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idri\Box\Prof. Stark\Prof. Stark's spreadsheet\2023\"/>
    </mc:Choice>
  </mc:AlternateContent>
  <xr:revisionPtr revIDLastSave="0" documentId="13_ncr:1_{EF680B78-C7AC-410B-AA7F-AAE42FE3695A}" xr6:coauthVersionLast="47" xr6:coauthVersionMax="47" xr10:uidLastSave="{00000000-0000-0000-0000-000000000000}"/>
  <workbookProtection workbookAlgorithmName="SHA-512" workbookHashValue="y5gghzGQB42yN/ULaRbxpGF/dKiX0hbfSlYFWq5xUvl+G4cOCAYFubeINGQBPzlk07qGwqmvI08ofBSELhVxAw==" workbookSaltValue="GJT49i23FXgaMBHNFY0siQ==" workbookSpinCount="100000" lockStructure="1"/>
  <bookViews>
    <workbookView xWindow="28680" yWindow="-120" windowWidth="29040" windowHeight="15840" xr2:uid="{00000000-000D-0000-FFFF-FFFF00000000}"/>
  </bookViews>
  <sheets>
    <sheet name="Stark Correlations (2023)LL&amp;CF" sheetId="1" r:id="rId1"/>
    <sheet name="Stark Correlations (2023)(PI)" sheetId="3" r:id="rId2"/>
    <sheet name="Laboratory (2023) (LL&amp;CF)" sheetId="4" r:id="rId3"/>
    <sheet name="Laboratory (2023) (PI)" sheetId="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6" l="1"/>
  <c r="C25" i="6"/>
  <c r="B25" i="6"/>
  <c r="C36" i="6" s="1"/>
  <c r="C35" i="6" l="1"/>
  <c r="C34" i="6"/>
  <c r="C33" i="6"/>
  <c r="C32" i="6"/>
  <c r="C31" i="6"/>
  <c r="C30" i="6"/>
  <c r="C28" i="6"/>
  <c r="C29" i="6"/>
  <c r="O10" i="6" l="1"/>
  <c r="O8" i="6"/>
  <c r="O9" i="6"/>
  <c r="L59" i="6"/>
  <c r="K59" i="6"/>
  <c r="L62" i="6" s="1"/>
  <c r="V59" i="6"/>
  <c r="U59" i="6"/>
  <c r="V62" i="6" s="1"/>
  <c r="P59" i="6"/>
  <c r="Q59" i="6"/>
  <c r="Q69" i="6" s="1"/>
  <c r="S61" i="6"/>
  <c r="X61" i="6"/>
  <c r="N61" i="6"/>
  <c r="N45" i="6"/>
  <c r="N78" i="4"/>
  <c r="N62" i="4"/>
  <c r="O51" i="4"/>
  <c r="P51" i="4"/>
  <c r="Q51" i="4"/>
  <c r="R51" i="4"/>
  <c r="O45" i="4"/>
  <c r="P45" i="4"/>
  <c r="Q45" i="4"/>
  <c r="R45" i="4"/>
  <c r="P8" i="4"/>
  <c r="L32" i="3"/>
  <c r="K32" i="3"/>
  <c r="L16" i="3"/>
  <c r="K16" i="3"/>
  <c r="N34" i="3"/>
  <c r="N18" i="3"/>
  <c r="O8" i="3"/>
  <c r="N78" i="1"/>
  <c r="N62" i="1"/>
  <c r="O51" i="1"/>
  <c r="P51" i="1"/>
  <c r="Q51" i="1"/>
  <c r="R51" i="1"/>
  <c r="Q45" i="1"/>
  <c r="P45" i="1"/>
  <c r="O45" i="1"/>
  <c r="R45" i="1"/>
  <c r="P8" i="1"/>
  <c r="G36" i="6"/>
  <c r="G35" i="6"/>
  <c r="G34" i="6"/>
  <c r="G33" i="6"/>
  <c r="G32" i="6"/>
  <c r="G31" i="6"/>
  <c r="G30" i="6"/>
  <c r="G29" i="6"/>
  <c r="H28" i="6" s="1"/>
  <c r="N12" i="6"/>
  <c r="R17" i="6"/>
  <c r="M12" i="6"/>
  <c r="G17" i="6"/>
  <c r="C12" i="6"/>
  <c r="B12" i="6"/>
  <c r="G18" i="6"/>
  <c r="R23" i="6"/>
  <c r="R22" i="6"/>
  <c r="R21" i="6"/>
  <c r="R20" i="6"/>
  <c r="R19" i="6"/>
  <c r="R18" i="6"/>
  <c r="R16" i="6"/>
  <c r="R15" i="6"/>
  <c r="X45" i="6"/>
  <c r="V32" i="3"/>
  <c r="U32" i="3"/>
  <c r="Q32" i="3"/>
  <c r="P32" i="3"/>
  <c r="V16" i="3"/>
  <c r="U16" i="3"/>
  <c r="Q16" i="3"/>
  <c r="P16" i="3"/>
  <c r="X78" i="4"/>
  <c r="X62" i="4"/>
  <c r="P53" i="1"/>
  <c r="O53" i="4"/>
  <c r="P53" i="4"/>
  <c r="Q53" i="4"/>
  <c r="R53" i="4"/>
  <c r="O47" i="4"/>
  <c r="P47" i="4"/>
  <c r="Q47" i="4"/>
  <c r="R47" i="4"/>
  <c r="X34" i="3"/>
  <c r="X18" i="3"/>
  <c r="O10" i="3"/>
  <c r="D10" i="3" l="1"/>
  <c r="D8" i="3"/>
  <c r="J8" i="3" s="1"/>
  <c r="P8" i="3" s="1"/>
  <c r="S51" i="1"/>
  <c r="D9" i="3"/>
  <c r="J9" i="3" s="1"/>
  <c r="P9" i="3" s="1"/>
  <c r="V69" i="6"/>
  <c r="W69" i="6" s="1"/>
  <c r="V68" i="6"/>
  <c r="X68" i="6" s="1"/>
  <c r="Q67" i="6"/>
  <c r="R67" i="6" s="1"/>
  <c r="V70" i="6"/>
  <c r="X70" i="6" s="1"/>
  <c r="Q70" i="6"/>
  <c r="S70" i="6" s="1"/>
  <c r="R69" i="6"/>
  <c r="S69" i="6"/>
  <c r="R70" i="6"/>
  <c r="V66" i="6"/>
  <c r="W66" i="6" s="1"/>
  <c r="Q66" i="6"/>
  <c r="Q63" i="6"/>
  <c r="S63" i="6" s="1"/>
  <c r="Q65" i="6"/>
  <c r="R65" i="6" s="1"/>
  <c r="Q64" i="6"/>
  <c r="R64" i="6" s="1"/>
  <c r="Q68" i="6"/>
  <c r="R68" i="6" s="1"/>
  <c r="Q62" i="6"/>
  <c r="L63" i="6"/>
  <c r="N63" i="6" s="1"/>
  <c r="L68" i="6"/>
  <c r="N68" i="6" s="1"/>
  <c r="V67" i="6"/>
  <c r="W67" i="6" s="1"/>
  <c r="V63" i="6"/>
  <c r="W63" i="6" s="1"/>
  <c r="V65" i="6"/>
  <c r="W65" i="6" s="1"/>
  <c r="V64" i="6"/>
  <c r="W62" i="6"/>
  <c r="X62" i="6"/>
  <c r="X69" i="6"/>
  <c r="L66" i="6"/>
  <c r="L69" i="6"/>
  <c r="L64" i="6"/>
  <c r="L67" i="6"/>
  <c r="L70" i="6"/>
  <c r="L65" i="6"/>
  <c r="S51" i="4"/>
  <c r="S45" i="4"/>
  <c r="L41" i="3"/>
  <c r="N41" i="3" s="1"/>
  <c r="L26" i="3"/>
  <c r="M26" i="3" s="1"/>
  <c r="G8" i="3" s="1"/>
  <c r="M8" i="3" s="1"/>
  <c r="L23" i="3"/>
  <c r="M23" i="3" s="1"/>
  <c r="F8" i="3" s="1"/>
  <c r="L36" i="3"/>
  <c r="L24" i="3"/>
  <c r="L39" i="3"/>
  <c r="L19" i="3"/>
  <c r="L42" i="3"/>
  <c r="L22" i="3"/>
  <c r="L37" i="3"/>
  <c r="L21" i="3"/>
  <c r="L25" i="3"/>
  <c r="L40" i="3"/>
  <c r="L20" i="3"/>
  <c r="L35" i="3"/>
  <c r="L43" i="3"/>
  <c r="L38" i="3"/>
  <c r="S45" i="1"/>
  <c r="C15" i="6"/>
  <c r="N17" i="6"/>
  <c r="N18" i="6"/>
  <c r="D30" i="6"/>
  <c r="D8" i="6" s="1"/>
  <c r="D36" i="6"/>
  <c r="M53" i="6" s="1"/>
  <c r="D35" i="6"/>
  <c r="M52" i="6" s="1"/>
  <c r="D34" i="6"/>
  <c r="M51" i="6" s="1"/>
  <c r="C19" i="6"/>
  <c r="K28" i="6"/>
  <c r="D33" i="6"/>
  <c r="M50" i="6" s="1"/>
  <c r="N15" i="6"/>
  <c r="D32" i="6"/>
  <c r="M49" i="6" s="1"/>
  <c r="E8" i="6" s="1"/>
  <c r="N23" i="6"/>
  <c r="N19" i="6"/>
  <c r="D31" i="6"/>
  <c r="N21" i="6"/>
  <c r="N22" i="6"/>
  <c r="N16" i="6"/>
  <c r="N20" i="6"/>
  <c r="D28" i="6"/>
  <c r="D29" i="6"/>
  <c r="C22" i="6"/>
  <c r="C21" i="6"/>
  <c r="C20" i="6"/>
  <c r="C18" i="6"/>
  <c r="C17" i="6"/>
  <c r="C16" i="6"/>
  <c r="C23" i="6"/>
  <c r="S15" i="6"/>
  <c r="S16" i="6" s="1"/>
  <c r="S17" i="6" s="1"/>
  <c r="V17" i="6" s="1"/>
  <c r="S53" i="4"/>
  <c r="S47" i="4"/>
  <c r="J10" i="3"/>
  <c r="P10" i="3" s="1"/>
  <c r="X78" i="1"/>
  <c r="X62" i="1"/>
  <c r="O53" i="1"/>
  <c r="Q53" i="1"/>
  <c r="R53" i="1"/>
  <c r="O47" i="1"/>
  <c r="P47" i="1"/>
  <c r="Q47" i="1"/>
  <c r="R47" i="1"/>
  <c r="AH71" i="1"/>
  <c r="AM71" i="1" s="1"/>
  <c r="AI71" i="1"/>
  <c r="AN71" i="1" s="1"/>
  <c r="AJ71" i="1"/>
  <c r="AO71" i="1" s="1"/>
  <c r="AK71" i="1"/>
  <c r="AP71" i="1" s="1"/>
  <c r="AR71" i="1"/>
  <c r="AS71" i="1"/>
  <c r="AT71" i="1"/>
  <c r="AU71" i="1"/>
  <c r="AH72" i="1"/>
  <c r="AM72" i="1" s="1"/>
  <c r="AI72" i="1"/>
  <c r="AN72" i="1" s="1"/>
  <c r="AJ72" i="1"/>
  <c r="AO72" i="1" s="1"/>
  <c r="AK72" i="1"/>
  <c r="AP72" i="1" s="1"/>
  <c r="AR72" i="1"/>
  <c r="AS72" i="1"/>
  <c r="AT72" i="1"/>
  <c r="AU72" i="1"/>
  <c r="AH73" i="1"/>
  <c r="AM73" i="1" s="1"/>
  <c r="AI73" i="1"/>
  <c r="AN73" i="1" s="1"/>
  <c r="AJ73" i="1"/>
  <c r="AO73" i="1" s="1"/>
  <c r="AK73" i="1"/>
  <c r="AP73" i="1" s="1"/>
  <c r="AR73" i="1"/>
  <c r="AS73" i="1"/>
  <c r="AT73" i="1"/>
  <c r="AU73" i="1"/>
  <c r="AH74" i="1"/>
  <c r="AM74" i="1" s="1"/>
  <c r="AI74" i="1"/>
  <c r="AN74" i="1" s="1"/>
  <c r="AJ74" i="1"/>
  <c r="AO74" i="1" s="1"/>
  <c r="AK74" i="1"/>
  <c r="AP74" i="1" s="1"/>
  <c r="AR74" i="1"/>
  <c r="AS74" i="1"/>
  <c r="AT74" i="1"/>
  <c r="AU74" i="1"/>
  <c r="AH75" i="1"/>
  <c r="AM75" i="1" s="1"/>
  <c r="AI75" i="1"/>
  <c r="AN75" i="1" s="1"/>
  <c r="AJ75" i="1"/>
  <c r="AO75" i="1" s="1"/>
  <c r="AK75" i="1"/>
  <c r="AP75" i="1" s="1"/>
  <c r="AR75" i="1"/>
  <c r="AS75" i="1"/>
  <c r="AT75" i="1"/>
  <c r="AU75" i="1"/>
  <c r="AH76" i="1"/>
  <c r="AM76" i="1" s="1"/>
  <c r="AI76" i="1"/>
  <c r="AN76" i="1" s="1"/>
  <c r="AJ76" i="1"/>
  <c r="AO76" i="1" s="1"/>
  <c r="AK76" i="1"/>
  <c r="AP76" i="1" s="1"/>
  <c r="AR76" i="1"/>
  <c r="AS76" i="1"/>
  <c r="AT76" i="1"/>
  <c r="AU76" i="1"/>
  <c r="AH77" i="1"/>
  <c r="AM77" i="1" s="1"/>
  <c r="AI77" i="1"/>
  <c r="AN77" i="1" s="1"/>
  <c r="AJ77" i="1"/>
  <c r="AO77" i="1" s="1"/>
  <c r="AK77" i="1"/>
  <c r="AP77" i="1" s="1"/>
  <c r="AR77" i="1"/>
  <c r="AS77" i="1"/>
  <c r="AT77" i="1"/>
  <c r="AU77" i="1"/>
  <c r="AH90" i="1"/>
  <c r="AM90" i="1" s="1"/>
  <c r="AI90" i="1"/>
  <c r="AN90" i="1" s="1"/>
  <c r="AJ90" i="1"/>
  <c r="AO90" i="1" s="1"/>
  <c r="AK90" i="1"/>
  <c r="AP90" i="1" s="1"/>
  <c r="AR90" i="1"/>
  <c r="AS90" i="1"/>
  <c r="AT90" i="1"/>
  <c r="AU90" i="1"/>
  <c r="AH91" i="1"/>
  <c r="AM91" i="1" s="1"/>
  <c r="AI91" i="1"/>
  <c r="AN91" i="1" s="1"/>
  <c r="AJ91" i="1"/>
  <c r="AO91" i="1" s="1"/>
  <c r="AK91" i="1"/>
  <c r="AP91" i="1" s="1"/>
  <c r="AR91" i="1"/>
  <c r="AS91" i="1"/>
  <c r="AT91" i="1"/>
  <c r="AU91" i="1"/>
  <c r="AH92" i="1"/>
  <c r="AM92" i="1" s="1"/>
  <c r="AI92" i="1"/>
  <c r="AN92" i="1" s="1"/>
  <c r="AJ92" i="1"/>
  <c r="AO92" i="1" s="1"/>
  <c r="AK92" i="1"/>
  <c r="AP92" i="1" s="1"/>
  <c r="AR92" i="1"/>
  <c r="AS92" i="1"/>
  <c r="AT92" i="1"/>
  <c r="AU92" i="1"/>
  <c r="AU70" i="1"/>
  <c r="AT70" i="1"/>
  <c r="AS70" i="1"/>
  <c r="AR70" i="1"/>
  <c r="AK70" i="1"/>
  <c r="AP70" i="1" s="1"/>
  <c r="AJ70" i="1"/>
  <c r="AO70" i="1" s="1"/>
  <c r="AI70" i="1"/>
  <c r="AN70" i="1" s="1"/>
  <c r="AH70" i="1"/>
  <c r="AM70" i="1" s="1"/>
  <c r="AU69" i="1"/>
  <c r="AT69" i="1"/>
  <c r="AS69" i="1"/>
  <c r="AR69" i="1"/>
  <c r="AK69" i="1"/>
  <c r="AP69" i="1" s="1"/>
  <c r="AJ69" i="1"/>
  <c r="AO69" i="1" s="1"/>
  <c r="AI69" i="1"/>
  <c r="AN69" i="1" s="1"/>
  <c r="AH69" i="1"/>
  <c r="AM69" i="1" s="1"/>
  <c r="AU68" i="1"/>
  <c r="AT68" i="1"/>
  <c r="AS68" i="1"/>
  <c r="AR68" i="1"/>
  <c r="AK68" i="1"/>
  <c r="AP68" i="1" s="1"/>
  <c r="AJ68" i="1"/>
  <c r="AO68" i="1" s="1"/>
  <c r="AI68" i="1"/>
  <c r="AN68" i="1" s="1"/>
  <c r="AH68" i="1"/>
  <c r="AM68" i="1" s="1"/>
  <c r="AU67" i="1"/>
  <c r="AT67" i="1"/>
  <c r="AS67" i="1"/>
  <c r="AR67" i="1"/>
  <c r="AK67" i="1"/>
  <c r="AP67" i="1" s="1"/>
  <c r="AJ67" i="1"/>
  <c r="AO67" i="1" s="1"/>
  <c r="AI67" i="1"/>
  <c r="AN67" i="1" s="1"/>
  <c r="AH67" i="1"/>
  <c r="AM67" i="1" s="1"/>
  <c r="AU66" i="1"/>
  <c r="AT66" i="1"/>
  <c r="AS66" i="1"/>
  <c r="AR66" i="1"/>
  <c r="AK66" i="1"/>
  <c r="AP66" i="1" s="1"/>
  <c r="AJ66" i="1"/>
  <c r="AO66" i="1" s="1"/>
  <c r="AI66" i="1"/>
  <c r="AN66" i="1" s="1"/>
  <c r="AH66" i="1"/>
  <c r="AM66" i="1" s="1"/>
  <c r="AU65" i="1"/>
  <c r="AT65" i="1"/>
  <c r="AS65" i="1"/>
  <c r="AR65" i="1"/>
  <c r="AK65" i="1"/>
  <c r="AP65" i="1" s="1"/>
  <c r="AJ65" i="1"/>
  <c r="AO65" i="1" s="1"/>
  <c r="AI65" i="1"/>
  <c r="AN65" i="1" s="1"/>
  <c r="AH65" i="1"/>
  <c r="AM65" i="1" s="1"/>
  <c r="AU64" i="1"/>
  <c r="AT64" i="1"/>
  <c r="AS64" i="1"/>
  <c r="AR64" i="1"/>
  <c r="AK64" i="1"/>
  <c r="AP64" i="1" s="1"/>
  <c r="AJ64" i="1"/>
  <c r="AO64" i="1" s="1"/>
  <c r="AI64" i="1"/>
  <c r="AN64" i="1" s="1"/>
  <c r="AH64" i="1"/>
  <c r="AM64" i="1" s="1"/>
  <c r="AU63" i="1"/>
  <c r="AT63" i="1"/>
  <c r="AS63" i="1"/>
  <c r="AR63" i="1"/>
  <c r="AK63" i="1"/>
  <c r="AP63" i="1" s="1"/>
  <c r="AJ63" i="1"/>
  <c r="AO63" i="1" s="1"/>
  <c r="AI63" i="1"/>
  <c r="AN63" i="1" s="1"/>
  <c r="AH63" i="1"/>
  <c r="AM63" i="1" s="1"/>
  <c r="AU62" i="1"/>
  <c r="AT62" i="1"/>
  <c r="AS62" i="1"/>
  <c r="AR62" i="1"/>
  <c r="AK62" i="1"/>
  <c r="AP62" i="1" s="1"/>
  <c r="AJ62" i="1"/>
  <c r="AO62" i="1" s="1"/>
  <c r="AI62" i="1"/>
  <c r="AN62" i="1" s="1"/>
  <c r="AH62" i="1"/>
  <c r="AM62" i="1" s="1"/>
  <c r="AU61" i="1"/>
  <c r="AT61" i="1"/>
  <c r="AS61" i="1"/>
  <c r="AR61" i="1"/>
  <c r="AK61" i="1"/>
  <c r="AP61" i="1" s="1"/>
  <c r="AJ61" i="1"/>
  <c r="AO61" i="1" s="1"/>
  <c r="AI61" i="1"/>
  <c r="AN61" i="1" s="1"/>
  <c r="AH61" i="1"/>
  <c r="AM61" i="1" s="1"/>
  <c r="AU60" i="1"/>
  <c r="AT60" i="1"/>
  <c r="AS60" i="1"/>
  <c r="AR60" i="1"/>
  <c r="AK60" i="1"/>
  <c r="AP60" i="1" s="1"/>
  <c r="AJ60" i="1"/>
  <c r="AO60" i="1" s="1"/>
  <c r="AI60" i="1"/>
  <c r="AN60" i="1" s="1"/>
  <c r="AH60" i="1"/>
  <c r="AM60" i="1" s="1"/>
  <c r="AU59" i="1"/>
  <c r="AT59" i="1"/>
  <c r="AS59" i="1"/>
  <c r="AR59" i="1"/>
  <c r="AK59" i="1"/>
  <c r="AP59" i="1" s="1"/>
  <c r="AJ59" i="1"/>
  <c r="AO59" i="1" s="1"/>
  <c r="AI59" i="1"/>
  <c r="AN59" i="1" s="1"/>
  <c r="AH59" i="1"/>
  <c r="AM59" i="1" s="1"/>
  <c r="AU58" i="1"/>
  <c r="AT58" i="1"/>
  <c r="AS58" i="1"/>
  <c r="AR58" i="1"/>
  <c r="AK58" i="1"/>
  <c r="AP58" i="1" s="1"/>
  <c r="AJ58" i="1"/>
  <c r="AO58" i="1" s="1"/>
  <c r="AI58" i="1"/>
  <c r="AN58" i="1" s="1"/>
  <c r="AH58" i="1"/>
  <c r="AM58" i="1" s="1"/>
  <c r="AU57" i="1"/>
  <c r="AT57" i="1"/>
  <c r="AS57" i="1"/>
  <c r="AR57" i="1"/>
  <c r="AK57" i="1"/>
  <c r="AP57" i="1" s="1"/>
  <c r="AJ57" i="1"/>
  <c r="AO57" i="1" s="1"/>
  <c r="AI57" i="1"/>
  <c r="AN57" i="1" s="1"/>
  <c r="AH57" i="1"/>
  <c r="AM57" i="1" s="1"/>
  <c r="AU56" i="1"/>
  <c r="AT56" i="1"/>
  <c r="AS56" i="1"/>
  <c r="AR56" i="1"/>
  <c r="AK56" i="1"/>
  <c r="AP56" i="1" s="1"/>
  <c r="AJ56" i="1"/>
  <c r="AO56" i="1" s="1"/>
  <c r="AI56" i="1"/>
  <c r="AN56" i="1" s="1"/>
  <c r="AH56" i="1"/>
  <c r="AM56" i="1" s="1"/>
  <c r="AU55" i="1"/>
  <c r="AT55" i="1"/>
  <c r="AS55" i="1"/>
  <c r="AR55" i="1"/>
  <c r="AK55" i="1"/>
  <c r="AP55" i="1" s="1"/>
  <c r="AJ55" i="1"/>
  <c r="AO55" i="1" s="1"/>
  <c r="AI55" i="1"/>
  <c r="AN55" i="1" s="1"/>
  <c r="AH55" i="1"/>
  <c r="AM55" i="1" s="1"/>
  <c r="AU54" i="1"/>
  <c r="AT54" i="1"/>
  <c r="AS54" i="1"/>
  <c r="AR54" i="1"/>
  <c r="AK54" i="1"/>
  <c r="AP54" i="1" s="1"/>
  <c r="AJ54" i="1"/>
  <c r="AO54" i="1" s="1"/>
  <c r="AI54" i="1"/>
  <c r="AN54" i="1" s="1"/>
  <c r="AH54" i="1"/>
  <c r="AM54" i="1" s="1"/>
  <c r="AU52" i="1"/>
  <c r="AT52" i="1"/>
  <c r="AS52" i="1"/>
  <c r="AR52" i="1"/>
  <c r="AK52" i="1"/>
  <c r="AP52" i="1" s="1"/>
  <c r="AJ52" i="1"/>
  <c r="AO52" i="1" s="1"/>
  <c r="AI52" i="1"/>
  <c r="AN52" i="1" s="1"/>
  <c r="AH52" i="1"/>
  <c r="AM52" i="1" s="1"/>
  <c r="AU50" i="1"/>
  <c r="AT50" i="1"/>
  <c r="AS50" i="1"/>
  <c r="AR50" i="1"/>
  <c r="AK50" i="1"/>
  <c r="AP50" i="1" s="1"/>
  <c r="AJ50" i="1"/>
  <c r="AO50" i="1" s="1"/>
  <c r="AI50" i="1"/>
  <c r="AN50" i="1" s="1"/>
  <c r="AH50" i="1"/>
  <c r="AM50" i="1" s="1"/>
  <c r="AU49" i="1"/>
  <c r="AT49" i="1"/>
  <c r="AS49" i="1"/>
  <c r="AR49" i="1"/>
  <c r="AK49" i="1"/>
  <c r="AP49" i="1" s="1"/>
  <c r="AJ49" i="1"/>
  <c r="AO49" i="1" s="1"/>
  <c r="AI49" i="1"/>
  <c r="AN49" i="1" s="1"/>
  <c r="AH49" i="1"/>
  <c r="AM49" i="1" s="1"/>
  <c r="AU48" i="1"/>
  <c r="AT48" i="1"/>
  <c r="AS48" i="1"/>
  <c r="AR48" i="1"/>
  <c r="AK48" i="1"/>
  <c r="AP48" i="1" s="1"/>
  <c r="AJ48" i="1"/>
  <c r="AO48" i="1" s="1"/>
  <c r="AI48" i="1"/>
  <c r="AN48" i="1" s="1"/>
  <c r="AH48" i="1"/>
  <c r="AM48" i="1" s="1"/>
  <c r="AU46" i="1"/>
  <c r="AT46" i="1"/>
  <c r="AS46" i="1"/>
  <c r="AR46" i="1"/>
  <c r="AK46" i="1"/>
  <c r="AP46" i="1" s="1"/>
  <c r="AJ46" i="1"/>
  <c r="AO46" i="1" s="1"/>
  <c r="AI46" i="1"/>
  <c r="AN46" i="1" s="1"/>
  <c r="AH46" i="1"/>
  <c r="AM46" i="1" s="1"/>
  <c r="AU44" i="1"/>
  <c r="AT44" i="1"/>
  <c r="AS44" i="1"/>
  <c r="AR44" i="1"/>
  <c r="AK44" i="1"/>
  <c r="AP44" i="1" s="1"/>
  <c r="AJ44" i="1"/>
  <c r="AO44" i="1" s="1"/>
  <c r="AI44" i="1"/>
  <c r="AN44" i="1" s="1"/>
  <c r="AH44" i="1"/>
  <c r="AM44" i="1" s="1"/>
  <c r="AU43" i="1"/>
  <c r="AT43" i="1"/>
  <c r="AS43" i="1"/>
  <c r="AR43" i="1"/>
  <c r="AK43" i="1"/>
  <c r="AP43" i="1" s="1"/>
  <c r="AJ43" i="1"/>
  <c r="AO43" i="1" s="1"/>
  <c r="AI43" i="1"/>
  <c r="AN43" i="1" s="1"/>
  <c r="AH43" i="1"/>
  <c r="AM43" i="1" s="1"/>
  <c r="AU42" i="1"/>
  <c r="AT42" i="1"/>
  <c r="AS42" i="1"/>
  <c r="AR42" i="1"/>
  <c r="AK42" i="1"/>
  <c r="AP42" i="1" s="1"/>
  <c r="AJ42" i="1"/>
  <c r="AO42" i="1" s="1"/>
  <c r="AI42" i="1"/>
  <c r="AN42" i="1" s="1"/>
  <c r="AH42" i="1"/>
  <c r="AM42" i="1" s="1"/>
  <c r="AU41" i="1"/>
  <c r="AT41" i="1"/>
  <c r="AS41" i="1"/>
  <c r="AR41" i="1"/>
  <c r="AK41" i="1"/>
  <c r="AP41" i="1" s="1"/>
  <c r="AJ41" i="1"/>
  <c r="AO41" i="1" s="1"/>
  <c r="AI41" i="1"/>
  <c r="AN41" i="1" s="1"/>
  <c r="AH41" i="1"/>
  <c r="AM41" i="1" s="1"/>
  <c r="AU40" i="1"/>
  <c r="AT40" i="1"/>
  <c r="AS40" i="1"/>
  <c r="AR40" i="1"/>
  <c r="AK40" i="1"/>
  <c r="AP40" i="1" s="1"/>
  <c r="AJ40" i="1"/>
  <c r="AO40" i="1" s="1"/>
  <c r="AI40" i="1"/>
  <c r="AN40" i="1" s="1"/>
  <c r="AH40" i="1"/>
  <c r="AM40" i="1" s="1"/>
  <c r="AU39" i="1"/>
  <c r="AT39" i="1"/>
  <c r="AS39" i="1"/>
  <c r="AR39" i="1"/>
  <c r="AK39" i="1"/>
  <c r="AP39" i="1" s="1"/>
  <c r="AJ39" i="1"/>
  <c r="AO39" i="1" s="1"/>
  <c r="AI39" i="1"/>
  <c r="AN39" i="1" s="1"/>
  <c r="AH39" i="1"/>
  <c r="AM39" i="1" s="1"/>
  <c r="AU38" i="1"/>
  <c r="AT38" i="1"/>
  <c r="AS38" i="1"/>
  <c r="AR38" i="1"/>
  <c r="AK38" i="1"/>
  <c r="AP38" i="1" s="1"/>
  <c r="AJ38" i="1"/>
  <c r="AO38" i="1" s="1"/>
  <c r="AI38" i="1"/>
  <c r="AN38" i="1" s="1"/>
  <c r="AH38" i="1"/>
  <c r="AM38" i="1" s="1"/>
  <c r="AU37" i="1"/>
  <c r="AT37" i="1"/>
  <c r="AS37" i="1"/>
  <c r="AR37" i="1"/>
  <c r="AK37" i="1"/>
  <c r="AP37" i="1" s="1"/>
  <c r="AJ37" i="1"/>
  <c r="AO37" i="1" s="1"/>
  <c r="AI37" i="1"/>
  <c r="AN37" i="1" s="1"/>
  <c r="AH37" i="1"/>
  <c r="AM37" i="1" s="1"/>
  <c r="AU36" i="1"/>
  <c r="AT36" i="1"/>
  <c r="AS36" i="1"/>
  <c r="AR36" i="1"/>
  <c r="AK36" i="1"/>
  <c r="AP36" i="1" s="1"/>
  <c r="AJ36" i="1"/>
  <c r="AO36" i="1" s="1"/>
  <c r="AI36" i="1"/>
  <c r="AN36" i="1" s="1"/>
  <c r="AH36" i="1"/>
  <c r="AM36" i="1" s="1"/>
  <c r="AK4" i="1"/>
  <c r="AP4" i="1" s="1"/>
  <c r="AK5" i="1"/>
  <c r="AP5" i="1" s="1"/>
  <c r="AK7" i="1"/>
  <c r="AP7" i="1" s="1"/>
  <c r="AK9" i="1"/>
  <c r="AP9" i="1" s="1"/>
  <c r="AK10" i="1"/>
  <c r="AP10" i="1" s="1"/>
  <c r="AK11" i="1"/>
  <c r="AP11" i="1" s="1"/>
  <c r="AK12" i="1"/>
  <c r="AP12" i="1" s="1"/>
  <c r="AK13" i="1"/>
  <c r="AP13" i="1" s="1"/>
  <c r="AK14" i="1"/>
  <c r="AP14" i="1" s="1"/>
  <c r="AK15" i="1"/>
  <c r="AP15" i="1" s="1"/>
  <c r="AK16" i="1"/>
  <c r="AP16" i="1" s="1"/>
  <c r="AK17" i="1"/>
  <c r="AP17" i="1" s="1"/>
  <c r="AK18" i="1"/>
  <c r="AP18" i="1" s="1"/>
  <c r="AK19" i="1"/>
  <c r="AP19" i="1" s="1"/>
  <c r="AK20" i="1"/>
  <c r="AP20" i="1" s="1"/>
  <c r="AK21" i="1"/>
  <c r="AP21" i="1" s="1"/>
  <c r="AK22" i="1"/>
  <c r="AP22" i="1" s="1"/>
  <c r="AK23" i="1"/>
  <c r="AP23" i="1" s="1"/>
  <c r="AK24" i="1"/>
  <c r="AP24" i="1" s="1"/>
  <c r="AK25" i="1"/>
  <c r="AP25" i="1" s="1"/>
  <c r="AK26" i="1"/>
  <c r="AP26" i="1" s="1"/>
  <c r="AK27" i="1"/>
  <c r="AP27" i="1" s="1"/>
  <c r="AK28" i="1"/>
  <c r="AP28" i="1" s="1"/>
  <c r="AK29" i="1"/>
  <c r="AP29" i="1" s="1"/>
  <c r="AK30" i="1"/>
  <c r="AP30" i="1" s="1"/>
  <c r="AK31" i="1"/>
  <c r="AP31" i="1" s="1"/>
  <c r="AK3" i="1"/>
  <c r="AP3" i="1" s="1"/>
  <c r="AJ3" i="1"/>
  <c r="AO3" i="1" s="1"/>
  <c r="AJ4" i="1"/>
  <c r="AO4" i="1" s="1"/>
  <c r="AJ5" i="1"/>
  <c r="AO5" i="1" s="1"/>
  <c r="AJ7" i="1"/>
  <c r="AO7" i="1" s="1"/>
  <c r="AJ9" i="1"/>
  <c r="AO9" i="1" s="1"/>
  <c r="AJ10" i="1"/>
  <c r="AO10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18" i="1"/>
  <c r="AO18" i="1" s="1"/>
  <c r="AJ19" i="1"/>
  <c r="AO19" i="1" s="1"/>
  <c r="AJ20" i="1"/>
  <c r="AO20" i="1" s="1"/>
  <c r="AJ21" i="1"/>
  <c r="AO21" i="1" s="1"/>
  <c r="AJ22" i="1"/>
  <c r="AO22" i="1" s="1"/>
  <c r="AJ23" i="1"/>
  <c r="AO23" i="1" s="1"/>
  <c r="AJ24" i="1"/>
  <c r="AO24" i="1" s="1"/>
  <c r="AJ25" i="1"/>
  <c r="AO25" i="1" s="1"/>
  <c r="AJ26" i="1"/>
  <c r="AO26" i="1" s="1"/>
  <c r="AJ27" i="1"/>
  <c r="AO27" i="1" s="1"/>
  <c r="AJ28" i="1"/>
  <c r="AO28" i="1" s="1"/>
  <c r="AJ29" i="1"/>
  <c r="AO29" i="1" s="1"/>
  <c r="AJ30" i="1"/>
  <c r="AO30" i="1" s="1"/>
  <c r="AJ31" i="1"/>
  <c r="AO31" i="1" s="1"/>
  <c r="AI4" i="1"/>
  <c r="AN4" i="1" s="1"/>
  <c r="AI5" i="1"/>
  <c r="AN5" i="1" s="1"/>
  <c r="AI7" i="1"/>
  <c r="AN7" i="1" s="1"/>
  <c r="AI9" i="1"/>
  <c r="AN9" i="1" s="1"/>
  <c r="AI10" i="1"/>
  <c r="AN10" i="1" s="1"/>
  <c r="AI11" i="1"/>
  <c r="AN11" i="1" s="1"/>
  <c r="AI12" i="1"/>
  <c r="AN12" i="1" s="1"/>
  <c r="AI13" i="1"/>
  <c r="AN13" i="1" s="1"/>
  <c r="AI14" i="1"/>
  <c r="AN14" i="1" s="1"/>
  <c r="AI15" i="1"/>
  <c r="AN15" i="1" s="1"/>
  <c r="AI16" i="1"/>
  <c r="AN16" i="1" s="1"/>
  <c r="AI17" i="1"/>
  <c r="AN17" i="1" s="1"/>
  <c r="AI18" i="1"/>
  <c r="AN18" i="1" s="1"/>
  <c r="AI19" i="1"/>
  <c r="AN19" i="1" s="1"/>
  <c r="AI20" i="1"/>
  <c r="AN20" i="1" s="1"/>
  <c r="AI21" i="1"/>
  <c r="AN21" i="1" s="1"/>
  <c r="AI22" i="1"/>
  <c r="AN22" i="1" s="1"/>
  <c r="AI23" i="1"/>
  <c r="AN23" i="1" s="1"/>
  <c r="AI24" i="1"/>
  <c r="AN24" i="1" s="1"/>
  <c r="AI25" i="1"/>
  <c r="AN25" i="1" s="1"/>
  <c r="AI26" i="1"/>
  <c r="AN26" i="1" s="1"/>
  <c r="AI27" i="1"/>
  <c r="AN27" i="1" s="1"/>
  <c r="AI28" i="1"/>
  <c r="AN28" i="1" s="1"/>
  <c r="AI29" i="1"/>
  <c r="AN29" i="1" s="1"/>
  <c r="AI30" i="1"/>
  <c r="AN30" i="1" s="1"/>
  <c r="AI31" i="1"/>
  <c r="AN31" i="1" s="1"/>
  <c r="AI3" i="1"/>
  <c r="AN3" i="1" s="1"/>
  <c r="AH3" i="1"/>
  <c r="AM3" i="1" s="1"/>
  <c r="AH4" i="1"/>
  <c r="AM4" i="1" s="1"/>
  <c r="AH5" i="1"/>
  <c r="AM5" i="1" s="1"/>
  <c r="AH7" i="1"/>
  <c r="AM7" i="1" s="1"/>
  <c r="AH9" i="1"/>
  <c r="AM9" i="1" s="1"/>
  <c r="AH10" i="1"/>
  <c r="AM10" i="1" s="1"/>
  <c r="AH11" i="1"/>
  <c r="AM11" i="1" s="1"/>
  <c r="AH12" i="1"/>
  <c r="AM12" i="1" s="1"/>
  <c r="AH13" i="1"/>
  <c r="AM13" i="1" s="1"/>
  <c r="AH14" i="1"/>
  <c r="AM14" i="1" s="1"/>
  <c r="AH15" i="1"/>
  <c r="AM15" i="1" s="1"/>
  <c r="AH16" i="1"/>
  <c r="AM16" i="1" s="1"/>
  <c r="AH17" i="1"/>
  <c r="AM17" i="1" s="1"/>
  <c r="AH18" i="1"/>
  <c r="AM18" i="1" s="1"/>
  <c r="AH19" i="1"/>
  <c r="AM19" i="1" s="1"/>
  <c r="AH20" i="1"/>
  <c r="AM20" i="1" s="1"/>
  <c r="AH21" i="1"/>
  <c r="AM21" i="1" s="1"/>
  <c r="AH22" i="1"/>
  <c r="AM22" i="1" s="1"/>
  <c r="AH23" i="1"/>
  <c r="AM23" i="1" s="1"/>
  <c r="AH24" i="1"/>
  <c r="AM24" i="1" s="1"/>
  <c r="AH25" i="1"/>
  <c r="AM25" i="1" s="1"/>
  <c r="AH26" i="1"/>
  <c r="AM26" i="1" s="1"/>
  <c r="AH27" i="1"/>
  <c r="AM27" i="1" s="1"/>
  <c r="AH28" i="1"/>
  <c r="AM28" i="1" s="1"/>
  <c r="AH29" i="1"/>
  <c r="AM29" i="1" s="1"/>
  <c r="AH30" i="1"/>
  <c r="AM30" i="1" s="1"/>
  <c r="AH31" i="1"/>
  <c r="AM31" i="1" s="1"/>
  <c r="AR4" i="1"/>
  <c r="AR5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" i="1"/>
  <c r="AS3" i="1"/>
  <c r="AU31" i="1"/>
  <c r="AT31" i="1"/>
  <c r="AS31" i="1"/>
  <c r="AU30" i="1"/>
  <c r="AT30" i="1"/>
  <c r="AS30" i="1"/>
  <c r="AU29" i="1"/>
  <c r="AT29" i="1"/>
  <c r="AS29" i="1"/>
  <c r="AU28" i="1"/>
  <c r="AT28" i="1"/>
  <c r="AS28" i="1"/>
  <c r="AU27" i="1"/>
  <c r="AT27" i="1"/>
  <c r="AS27" i="1"/>
  <c r="AU26" i="1"/>
  <c r="AT26" i="1"/>
  <c r="AS26" i="1"/>
  <c r="AU25" i="1"/>
  <c r="AT25" i="1"/>
  <c r="AS25" i="1"/>
  <c r="AU24" i="1"/>
  <c r="AT24" i="1"/>
  <c r="AS24" i="1"/>
  <c r="AU23" i="1"/>
  <c r="AT23" i="1"/>
  <c r="AS23" i="1"/>
  <c r="AU22" i="1"/>
  <c r="AT22" i="1"/>
  <c r="AS22" i="1"/>
  <c r="AU21" i="1"/>
  <c r="AT21" i="1"/>
  <c r="AS21" i="1"/>
  <c r="AU20" i="1"/>
  <c r="AT20" i="1"/>
  <c r="AS20" i="1"/>
  <c r="AU19" i="1"/>
  <c r="AT19" i="1"/>
  <c r="AS19" i="1"/>
  <c r="AU18" i="1"/>
  <c r="AT18" i="1"/>
  <c r="AS18" i="1"/>
  <c r="AU17" i="1"/>
  <c r="AT17" i="1"/>
  <c r="AS17" i="1"/>
  <c r="AU16" i="1"/>
  <c r="AT16" i="1"/>
  <c r="AS16" i="1"/>
  <c r="AU15" i="1"/>
  <c r="AT15" i="1"/>
  <c r="AS15" i="1"/>
  <c r="AU14" i="1"/>
  <c r="AT14" i="1"/>
  <c r="AS14" i="1"/>
  <c r="AU13" i="1"/>
  <c r="AT13" i="1"/>
  <c r="AS13" i="1"/>
  <c r="AU12" i="1"/>
  <c r="AT12" i="1"/>
  <c r="AS12" i="1"/>
  <c r="AU11" i="1"/>
  <c r="AT11" i="1"/>
  <c r="AS11" i="1"/>
  <c r="AU10" i="1"/>
  <c r="AT10" i="1"/>
  <c r="AS10" i="1"/>
  <c r="AU9" i="1"/>
  <c r="AT9" i="1"/>
  <c r="AS9" i="1"/>
  <c r="AU7" i="1"/>
  <c r="AT7" i="1"/>
  <c r="AS7" i="1"/>
  <c r="AU5" i="1"/>
  <c r="AT5" i="1"/>
  <c r="AS5" i="1"/>
  <c r="AU4" i="1"/>
  <c r="AT4" i="1"/>
  <c r="AS4" i="1"/>
  <c r="AU3" i="1"/>
  <c r="AT3" i="1"/>
  <c r="W70" i="6" l="1"/>
  <c r="E29" i="6"/>
  <c r="M47" i="6"/>
  <c r="M48" i="6"/>
  <c r="E31" i="6"/>
  <c r="F31" i="6" s="1"/>
  <c r="E28" i="6"/>
  <c r="F28" i="6" s="1"/>
  <c r="I28" i="6" s="1"/>
  <c r="M46" i="6"/>
  <c r="S67" i="6"/>
  <c r="W68" i="6"/>
  <c r="S68" i="6"/>
  <c r="M41" i="3"/>
  <c r="M63" i="6"/>
  <c r="X63" i="6"/>
  <c r="X67" i="6"/>
  <c r="S65" i="6"/>
  <c r="S64" i="6"/>
  <c r="S66" i="6"/>
  <c r="R66" i="6"/>
  <c r="F6" i="6" s="1"/>
  <c r="L6" i="6" s="1"/>
  <c r="X65" i="6"/>
  <c r="M68" i="6"/>
  <c r="S62" i="6"/>
  <c r="R62" i="6"/>
  <c r="R63" i="6"/>
  <c r="X66" i="6"/>
  <c r="N23" i="3"/>
  <c r="G8" i="6"/>
  <c r="F8" i="6"/>
  <c r="W64" i="6"/>
  <c r="X64" i="6"/>
  <c r="H7" i="6"/>
  <c r="N7" i="6" s="1"/>
  <c r="T7" i="6" s="1"/>
  <c r="E7" i="6"/>
  <c r="N69" i="6"/>
  <c r="M69" i="6"/>
  <c r="G5" i="6" s="1"/>
  <c r="N70" i="6"/>
  <c r="M70" i="6"/>
  <c r="H5" i="6" s="1"/>
  <c r="N62" i="6"/>
  <c r="M62" i="6"/>
  <c r="N66" i="6"/>
  <c r="M66" i="6"/>
  <c r="F5" i="6" s="1"/>
  <c r="M65" i="6"/>
  <c r="E5" i="6" s="1"/>
  <c r="K5" i="6" s="1"/>
  <c r="Q5" i="6" s="1"/>
  <c r="N65" i="6"/>
  <c r="N67" i="6"/>
  <c r="M67" i="6"/>
  <c r="N64" i="6"/>
  <c r="M64" i="6"/>
  <c r="N26" i="3"/>
  <c r="M24" i="3"/>
  <c r="N24" i="3"/>
  <c r="N36" i="3"/>
  <c r="M36" i="3"/>
  <c r="N21" i="3"/>
  <c r="M21" i="3"/>
  <c r="N40" i="3"/>
  <c r="M40" i="3"/>
  <c r="N25" i="3"/>
  <c r="M25" i="3"/>
  <c r="N37" i="3"/>
  <c r="M37" i="3"/>
  <c r="M38" i="3"/>
  <c r="E5" i="3" s="1"/>
  <c r="K5" i="3" s="1"/>
  <c r="Q5" i="3" s="1"/>
  <c r="N38" i="3"/>
  <c r="N22" i="3"/>
  <c r="M22" i="3"/>
  <c r="E8" i="3" s="1"/>
  <c r="N43" i="3"/>
  <c r="M43" i="3"/>
  <c r="H5" i="3" s="1"/>
  <c r="N42" i="3"/>
  <c r="M42" i="3"/>
  <c r="G5" i="3" s="1"/>
  <c r="N35" i="3"/>
  <c r="M35" i="3"/>
  <c r="N19" i="3"/>
  <c r="M19" i="3"/>
  <c r="N20" i="3"/>
  <c r="M20" i="3"/>
  <c r="N39" i="3"/>
  <c r="M39" i="3"/>
  <c r="F5" i="3" s="1"/>
  <c r="L5" i="3" s="1"/>
  <c r="E30" i="6"/>
  <c r="F30" i="6" s="1"/>
  <c r="E36" i="6"/>
  <c r="F36" i="6" s="1"/>
  <c r="E32" i="6"/>
  <c r="F32" i="6" s="1"/>
  <c r="E35" i="6"/>
  <c r="F35" i="6" s="1"/>
  <c r="H29" i="6"/>
  <c r="H33" i="6" s="1"/>
  <c r="E34" i="6"/>
  <c r="F34" i="6" s="1"/>
  <c r="F29" i="6"/>
  <c r="E33" i="6"/>
  <c r="F33" i="6" s="1"/>
  <c r="V15" i="6"/>
  <c r="S19" i="6"/>
  <c r="S18" i="6"/>
  <c r="V16" i="6"/>
  <c r="E6" i="6"/>
  <c r="K6" i="6" s="1"/>
  <c r="H6" i="6"/>
  <c r="N6" i="6" s="1"/>
  <c r="G6" i="6"/>
  <c r="M6" i="6" s="1"/>
  <c r="S53" i="1"/>
  <c r="S47" i="1"/>
  <c r="AW40" i="1"/>
  <c r="AW44" i="1"/>
  <c r="AW46" i="1"/>
  <c r="AW7" i="1"/>
  <c r="AW64" i="1"/>
  <c r="AW66" i="1"/>
  <c r="AW70" i="1"/>
  <c r="AW90" i="1"/>
  <c r="AW23" i="1"/>
  <c r="AW28" i="1"/>
  <c r="AW63" i="1"/>
  <c r="AW15" i="1"/>
  <c r="AW58" i="1"/>
  <c r="AW18" i="1"/>
  <c r="AW31" i="1"/>
  <c r="AW4" i="1"/>
  <c r="AW69" i="1"/>
  <c r="AW30" i="1"/>
  <c r="AW42" i="1"/>
  <c r="AW16" i="1"/>
  <c r="AW52" i="1"/>
  <c r="AW54" i="1"/>
  <c r="AW57" i="1"/>
  <c r="AW60" i="1"/>
  <c r="AW61" i="1"/>
  <c r="AW62" i="1"/>
  <c r="AW29" i="1"/>
  <c r="AW21" i="1"/>
  <c r="AW13" i="1"/>
  <c r="AW48" i="1"/>
  <c r="AW49" i="1"/>
  <c r="AW50" i="1"/>
  <c r="AW14" i="1"/>
  <c r="AW72" i="1"/>
  <c r="AW27" i="1"/>
  <c r="AW19" i="1"/>
  <c r="AW11" i="1"/>
  <c r="AW5" i="1"/>
  <c r="AX39" i="1"/>
  <c r="AW22" i="1"/>
  <c r="AW26" i="1"/>
  <c r="AW3" i="1"/>
  <c r="AW25" i="1"/>
  <c r="AW17" i="1"/>
  <c r="AW55" i="1"/>
  <c r="AW56" i="1"/>
  <c r="AW65" i="1"/>
  <c r="AW9" i="1"/>
  <c r="AW20" i="1"/>
  <c r="AW24" i="1"/>
  <c r="AW36" i="1"/>
  <c r="AW37" i="1"/>
  <c r="AW38" i="1"/>
  <c r="AW39" i="1"/>
  <c r="AW67" i="1"/>
  <c r="AW10" i="1"/>
  <c r="AW12" i="1"/>
  <c r="AW41" i="1"/>
  <c r="AW43" i="1"/>
  <c r="AW59" i="1"/>
  <c r="AW68" i="1"/>
  <c r="AW92" i="1"/>
  <c r="AW91" i="1"/>
  <c r="AW71" i="1"/>
  <c r="AX62" i="1"/>
  <c r="AW77" i="1"/>
  <c r="AX36" i="1"/>
  <c r="AW76" i="1"/>
  <c r="AX73" i="1"/>
  <c r="AX64" i="1"/>
  <c r="AX68" i="1"/>
  <c r="AW75" i="1"/>
  <c r="AX63" i="1"/>
  <c r="AW74" i="1"/>
  <c r="AX90" i="1"/>
  <c r="AW73" i="1"/>
  <c r="AX77" i="1"/>
  <c r="AX76" i="1"/>
  <c r="AX75" i="1"/>
  <c r="AX74" i="1"/>
  <c r="AX92" i="1"/>
  <c r="AX72" i="1"/>
  <c r="AX91" i="1"/>
  <c r="AX71" i="1"/>
  <c r="AX61" i="1"/>
  <c r="AX70" i="1"/>
  <c r="AX66" i="1"/>
  <c r="AX69" i="1"/>
  <c r="AX49" i="1"/>
  <c r="AX59" i="1"/>
  <c r="AX60" i="1"/>
  <c r="AX65" i="1"/>
  <c r="AX67" i="1"/>
  <c r="AX46" i="1"/>
  <c r="AX57" i="1"/>
  <c r="AX37" i="1"/>
  <c r="AX40" i="1"/>
  <c r="AX50" i="1"/>
  <c r="AX43" i="1"/>
  <c r="AX48" i="1"/>
  <c r="AX55" i="1"/>
  <c r="AY55" i="1" s="1"/>
  <c r="AZ55" i="1" s="1"/>
  <c r="AX58" i="1"/>
  <c r="AX44" i="1"/>
  <c r="AX56" i="1"/>
  <c r="AX52" i="1"/>
  <c r="AX41" i="1"/>
  <c r="AX42" i="1"/>
  <c r="AX54" i="1"/>
  <c r="AX38" i="1"/>
  <c r="AY38" i="1" s="1"/>
  <c r="AX28" i="1"/>
  <c r="AX27" i="1"/>
  <c r="AX26" i="1"/>
  <c r="AX12" i="1"/>
  <c r="AX11" i="1"/>
  <c r="AX5" i="1"/>
  <c r="AX13" i="1"/>
  <c r="AX21" i="1"/>
  <c r="AX23" i="1"/>
  <c r="AX20" i="1"/>
  <c r="AX9" i="1"/>
  <c r="AX31" i="1"/>
  <c r="AX25" i="1"/>
  <c r="AX17" i="1"/>
  <c r="AX29" i="1"/>
  <c r="AX18" i="1"/>
  <c r="AX7" i="1"/>
  <c r="AX24" i="1"/>
  <c r="AX16" i="1"/>
  <c r="AX10" i="1"/>
  <c r="AX15" i="1"/>
  <c r="AX30" i="1"/>
  <c r="AX22" i="1"/>
  <c r="AX14" i="1"/>
  <c r="AX19" i="1"/>
  <c r="AX4" i="1"/>
  <c r="AX3" i="1"/>
  <c r="AY54" i="1" l="1"/>
  <c r="AZ54" i="1" s="1"/>
  <c r="AY39" i="1"/>
  <c r="AZ39" i="1" s="1"/>
  <c r="AY20" i="1"/>
  <c r="AZ20" i="1" s="1"/>
  <c r="AY19" i="1"/>
  <c r="L5" i="6"/>
  <c r="R5" i="6" s="1"/>
  <c r="N5" i="6"/>
  <c r="T5" i="6" s="1"/>
  <c r="F7" i="6"/>
  <c r="L7" i="6" s="1"/>
  <c r="R7" i="6" s="1"/>
  <c r="M5" i="6"/>
  <c r="S5" i="6" s="1"/>
  <c r="G7" i="6"/>
  <c r="M7" i="6" s="1"/>
  <c r="S7" i="6" s="1"/>
  <c r="K7" i="6"/>
  <c r="Q7" i="6" s="1"/>
  <c r="AY15" i="1"/>
  <c r="AZ15" i="1" s="1"/>
  <c r="AY17" i="1"/>
  <c r="AZ17" i="1" s="1"/>
  <c r="AY64" i="1"/>
  <c r="AZ64" i="1" s="1"/>
  <c r="AY25" i="1"/>
  <c r="AZ25" i="1" s="1"/>
  <c r="AY13" i="1"/>
  <c r="AZ13" i="1" s="1"/>
  <c r="H32" i="6"/>
  <c r="K32" i="6" s="1"/>
  <c r="H30" i="6"/>
  <c r="K30" i="6" s="1"/>
  <c r="K29" i="6"/>
  <c r="H31" i="6"/>
  <c r="K31" i="6" s="1"/>
  <c r="I29" i="6"/>
  <c r="H34" i="6"/>
  <c r="K33" i="6"/>
  <c r="V18" i="6"/>
  <c r="S20" i="6"/>
  <c r="V19" i="6"/>
  <c r="AY46" i="1"/>
  <c r="AZ46" i="1" s="1"/>
  <c r="AY29" i="1"/>
  <c r="AZ29" i="1" s="1"/>
  <c r="AY67" i="1"/>
  <c r="AZ67" i="1" s="1"/>
  <c r="AY61" i="1"/>
  <c r="AZ61" i="1" s="1"/>
  <c r="AY18" i="1"/>
  <c r="AZ18" i="1" s="1"/>
  <c r="AY62" i="1"/>
  <c r="AZ62" i="1" s="1"/>
  <c r="AY63" i="1"/>
  <c r="AZ63" i="1" s="1"/>
  <c r="AY3" i="1"/>
  <c r="AZ3" i="1" s="1"/>
  <c r="AY42" i="1"/>
  <c r="AZ42" i="1" s="1"/>
  <c r="AY12" i="1"/>
  <c r="AZ12" i="1" s="1"/>
  <c r="AY44" i="1"/>
  <c r="AZ44" i="1" s="1"/>
  <c r="AY7" i="1"/>
  <c r="AZ7" i="1" s="1"/>
  <c r="AY60" i="1"/>
  <c r="AZ60" i="1" s="1"/>
  <c r="AY41" i="1"/>
  <c r="AZ41" i="1" s="1"/>
  <c r="AY23" i="1"/>
  <c r="AZ23" i="1" s="1"/>
  <c r="AY27" i="1"/>
  <c r="AZ27" i="1" s="1"/>
  <c r="AY43" i="1"/>
  <c r="AZ43" i="1" s="1"/>
  <c r="AY21" i="1"/>
  <c r="AZ21" i="1" s="1"/>
  <c r="AY40" i="1"/>
  <c r="AZ40" i="1" s="1"/>
  <c r="AY16" i="1"/>
  <c r="AZ16" i="1" s="1"/>
  <c r="AY66" i="1"/>
  <c r="AZ66" i="1" s="1"/>
  <c r="AY24" i="1"/>
  <c r="AZ24" i="1" s="1"/>
  <c r="AY49" i="1"/>
  <c r="AZ49" i="1" s="1"/>
  <c r="AY69" i="1"/>
  <c r="AZ69" i="1" s="1"/>
  <c r="AY90" i="1"/>
  <c r="AZ90" i="1" s="1"/>
  <c r="AY52" i="1"/>
  <c r="AZ52" i="1" s="1"/>
  <c r="AY77" i="1"/>
  <c r="AZ77" i="1" s="1"/>
  <c r="AY5" i="1"/>
  <c r="AZ5" i="1" s="1"/>
  <c r="AY30" i="1"/>
  <c r="AZ30" i="1" s="1"/>
  <c r="AY28" i="1"/>
  <c r="AZ28" i="1" s="1"/>
  <c r="AY56" i="1"/>
  <c r="AZ56" i="1" s="1"/>
  <c r="AY74" i="1"/>
  <c r="AZ74" i="1" s="1"/>
  <c r="AY75" i="1"/>
  <c r="AZ75" i="1" s="1"/>
  <c r="AY48" i="1"/>
  <c r="AZ48" i="1" s="1"/>
  <c r="AY31" i="1"/>
  <c r="AZ31" i="1" s="1"/>
  <c r="AY11" i="1"/>
  <c r="AZ11" i="1" s="1"/>
  <c r="AY59" i="1"/>
  <c r="AZ59" i="1" s="1"/>
  <c r="AY37" i="1"/>
  <c r="AZ37" i="1" s="1"/>
  <c r="AY71" i="1"/>
  <c r="AZ71" i="1" s="1"/>
  <c r="AY26" i="1"/>
  <c r="AZ26" i="1" s="1"/>
  <c r="AY57" i="1"/>
  <c r="AZ57" i="1" s="1"/>
  <c r="AY68" i="1"/>
  <c r="AZ68" i="1" s="1"/>
  <c r="AY65" i="1"/>
  <c r="AZ65" i="1" s="1"/>
  <c r="AY50" i="1"/>
  <c r="AZ50" i="1" s="1"/>
  <c r="AY10" i="1"/>
  <c r="AZ10" i="1" s="1"/>
  <c r="AY73" i="1"/>
  <c r="AZ73" i="1" s="1"/>
  <c r="AY76" i="1"/>
  <c r="AZ76" i="1" s="1"/>
  <c r="AY14" i="1"/>
  <c r="AZ14" i="1" s="1"/>
  <c r="AY9" i="1"/>
  <c r="AZ9" i="1" s="1"/>
  <c r="AY91" i="1"/>
  <c r="AZ91" i="1" s="1"/>
  <c r="AY36" i="1"/>
  <c r="AZ36" i="1" s="1"/>
  <c r="AY72" i="1"/>
  <c r="AZ72" i="1" s="1"/>
  <c r="AY92" i="1"/>
  <c r="AZ92" i="1" s="1"/>
  <c r="AY70" i="1"/>
  <c r="AZ70" i="1" s="1"/>
  <c r="AY58" i="1"/>
  <c r="AZ58" i="1" s="1"/>
  <c r="AZ38" i="1"/>
  <c r="AY22" i="1"/>
  <c r="AZ22" i="1" s="1"/>
  <c r="AZ19" i="1"/>
  <c r="AY4" i="1"/>
  <c r="AZ4" i="1" s="1"/>
  <c r="I31" i="6" l="1"/>
  <c r="J31" i="6" s="1"/>
  <c r="I33" i="6"/>
  <c r="I32" i="6"/>
  <c r="J32" i="6" s="1"/>
  <c r="J29" i="6"/>
  <c r="I30" i="6"/>
  <c r="J30" i="6" s="1"/>
  <c r="J28" i="6"/>
  <c r="H35" i="6"/>
  <c r="K34" i="6"/>
  <c r="S21" i="6"/>
  <c r="V20" i="6"/>
  <c r="P10" i="4"/>
  <c r="P10" i="1"/>
  <c r="G19" i="6"/>
  <c r="T4" i="6"/>
  <c r="S4" i="6"/>
  <c r="R4" i="6"/>
  <c r="Q4" i="6"/>
  <c r="P4" i="6"/>
  <c r="O9" i="3"/>
  <c r="T4" i="3"/>
  <c r="S4" i="3"/>
  <c r="R4" i="3"/>
  <c r="Q4" i="3"/>
  <c r="P4" i="3"/>
  <c r="G23" i="6"/>
  <c r="G22" i="6"/>
  <c r="G21" i="6"/>
  <c r="G20" i="6"/>
  <c r="G16" i="6"/>
  <c r="G15" i="6"/>
  <c r="L99" i="6"/>
  <c r="S45" i="6"/>
  <c r="Q38" i="3"/>
  <c r="R38" i="3" s="1"/>
  <c r="E6" i="3" l="1"/>
  <c r="K6" i="3" s="1"/>
  <c r="Q6" i="3" s="1"/>
  <c r="I34" i="6"/>
  <c r="J33" i="6"/>
  <c r="H36" i="6"/>
  <c r="K35" i="6"/>
  <c r="S22" i="6"/>
  <c r="V21" i="6"/>
  <c r="H15" i="6"/>
  <c r="H16" i="6" s="1"/>
  <c r="H17" i="6" s="1"/>
  <c r="I35" i="6" l="1"/>
  <c r="J34" i="6"/>
  <c r="K36" i="6"/>
  <c r="K17" i="6"/>
  <c r="H19" i="6"/>
  <c r="K19" i="6" s="1"/>
  <c r="H18" i="6"/>
  <c r="S23" i="6"/>
  <c r="V22" i="6"/>
  <c r="R6" i="6"/>
  <c r="K15" i="6"/>
  <c r="H20" i="6"/>
  <c r="K16" i="6"/>
  <c r="Q6" i="6"/>
  <c r="T6" i="6"/>
  <c r="S6" i="6"/>
  <c r="I36" i="6" l="1"/>
  <c r="J36" i="6" s="1"/>
  <c r="J35" i="6"/>
  <c r="K18" i="6"/>
  <c r="V23" i="6"/>
  <c r="H21" i="6"/>
  <c r="K20" i="6"/>
  <c r="J27" i="6" l="1"/>
  <c r="H22" i="6"/>
  <c r="K21" i="6"/>
  <c r="K27" i="6" l="1"/>
  <c r="K43" i="6" s="1"/>
  <c r="L43" i="6"/>
  <c r="H23" i="6"/>
  <c r="K22" i="6"/>
  <c r="K23" i="6" l="1"/>
  <c r="I34" i="4" l="1"/>
  <c r="I33" i="4"/>
  <c r="I32" i="4"/>
  <c r="H34" i="4"/>
  <c r="H33" i="4"/>
  <c r="H32" i="4"/>
  <c r="G151" i="4" l="1"/>
  <c r="D151" i="4"/>
  <c r="H148" i="4"/>
  <c r="G148" i="4"/>
  <c r="E148" i="4"/>
  <c r="D148" i="4"/>
  <c r="C148" i="4"/>
  <c r="B148" i="4"/>
  <c r="G131" i="4"/>
  <c r="D131" i="4"/>
  <c r="C131" i="4"/>
  <c r="G130" i="4"/>
  <c r="D130" i="4"/>
  <c r="C130" i="4"/>
  <c r="M116" i="4"/>
  <c r="C110" i="4"/>
  <c r="F92" i="4"/>
  <c r="D92" i="4"/>
  <c r="C92" i="4"/>
  <c r="S78" i="4"/>
  <c r="S62" i="4"/>
  <c r="R52" i="4"/>
  <c r="Q52" i="4"/>
  <c r="P52" i="4"/>
  <c r="O52" i="4"/>
  <c r="R46" i="4"/>
  <c r="Q46" i="4"/>
  <c r="P46" i="4"/>
  <c r="O46" i="4"/>
  <c r="E34" i="4"/>
  <c r="D34" i="4"/>
  <c r="E33" i="4"/>
  <c r="D33" i="4"/>
  <c r="E32" i="4"/>
  <c r="D32" i="4"/>
  <c r="C26" i="4"/>
  <c r="C27" i="4" s="1"/>
  <c r="C24" i="4"/>
  <c r="C22" i="4"/>
  <c r="D22" i="4" s="1"/>
  <c r="C19" i="4"/>
  <c r="C17" i="4"/>
  <c r="C18" i="4" s="1"/>
  <c r="G18" i="4" s="1"/>
  <c r="C15" i="4"/>
  <c r="C13" i="4"/>
  <c r="P9" i="4"/>
  <c r="U4" i="4"/>
  <c r="T4" i="4"/>
  <c r="S4" i="4"/>
  <c r="R4" i="4"/>
  <c r="Q4" i="4"/>
  <c r="F24" i="4" l="1"/>
  <c r="D24" i="4"/>
  <c r="E24" i="4"/>
  <c r="H15" i="4"/>
  <c r="F15" i="4"/>
  <c r="G15" i="4"/>
  <c r="H13" i="4"/>
  <c r="E13" i="4"/>
  <c r="C163" i="4"/>
  <c r="C109" i="4"/>
  <c r="C121" i="4" s="1"/>
  <c r="D121" i="4" s="1"/>
  <c r="C162" i="4"/>
  <c r="C16" i="4"/>
  <c r="E15" i="4"/>
  <c r="E17" i="4"/>
  <c r="F22" i="4"/>
  <c r="C14" i="4"/>
  <c r="F17" i="4"/>
  <c r="G22" i="4"/>
  <c r="G17" i="4"/>
  <c r="G19" i="4" s="1"/>
  <c r="C23" i="4"/>
  <c r="E22" i="4"/>
  <c r="H17" i="4"/>
  <c r="F18" i="4"/>
  <c r="H18" i="4"/>
  <c r="D26" i="4"/>
  <c r="D27" i="4" s="1"/>
  <c r="G24" i="4"/>
  <c r="E26" i="4"/>
  <c r="E27" i="4" s="1"/>
  <c r="S46" i="4"/>
  <c r="S52" i="4"/>
  <c r="F13" i="4"/>
  <c r="E18" i="4"/>
  <c r="C25" i="4"/>
  <c r="F26" i="4"/>
  <c r="F27" i="4" s="1"/>
  <c r="G26" i="4"/>
  <c r="G27" i="4" s="1"/>
  <c r="G13" i="4"/>
  <c r="I34" i="1"/>
  <c r="I33" i="1"/>
  <c r="I32" i="1"/>
  <c r="H34" i="1"/>
  <c r="H33" i="1"/>
  <c r="H32" i="1"/>
  <c r="D33" i="1"/>
  <c r="D32" i="1"/>
  <c r="E16" i="4" l="1"/>
  <c r="D25" i="4"/>
  <c r="E9" i="4" s="1"/>
  <c r="E8" i="4" s="1"/>
  <c r="K8" i="4" s="1"/>
  <c r="E14" i="4"/>
  <c r="F14" i="4"/>
  <c r="G14" i="4"/>
  <c r="H14" i="4"/>
  <c r="D23" i="4"/>
  <c r="E23" i="4"/>
  <c r="F23" i="4"/>
  <c r="G23" i="4"/>
  <c r="E25" i="4"/>
  <c r="F9" i="4" s="1"/>
  <c r="F25" i="4"/>
  <c r="G25" i="4"/>
  <c r="F16" i="4"/>
  <c r="G16" i="4"/>
  <c r="H16" i="4"/>
  <c r="F19" i="4"/>
  <c r="E19" i="4"/>
  <c r="H19" i="4"/>
  <c r="C171" i="4"/>
  <c r="D171" i="4" s="1"/>
  <c r="C119" i="4"/>
  <c r="D119" i="4" s="1"/>
  <c r="C118" i="4"/>
  <c r="D118" i="4" s="1"/>
  <c r="C117" i="4"/>
  <c r="D117" i="4" s="1"/>
  <c r="C122" i="4"/>
  <c r="D122" i="4" s="1"/>
  <c r="C114" i="4"/>
  <c r="D114" i="4" s="1"/>
  <c r="C120" i="4"/>
  <c r="D120" i="4" s="1"/>
  <c r="C116" i="4"/>
  <c r="D116" i="4" s="1"/>
  <c r="C123" i="4"/>
  <c r="D123" i="4" s="1"/>
  <c r="C124" i="4"/>
  <c r="D124" i="4" s="1"/>
  <c r="C115" i="4"/>
  <c r="D115" i="4" s="1"/>
  <c r="C169" i="4"/>
  <c r="D169" i="4" s="1"/>
  <c r="C173" i="4"/>
  <c r="D173" i="4" s="1"/>
  <c r="C172" i="4"/>
  <c r="D172" i="4" s="1"/>
  <c r="C176" i="4"/>
  <c r="D176" i="4" s="1"/>
  <c r="C170" i="4"/>
  <c r="D170" i="4" s="1"/>
  <c r="C174" i="4"/>
  <c r="D174" i="4" s="1"/>
  <c r="C175" i="4"/>
  <c r="D175" i="4" s="1"/>
  <c r="C168" i="4"/>
  <c r="D168" i="4" s="1"/>
  <c r="C167" i="4"/>
  <c r="D167" i="4" s="1"/>
  <c r="C177" i="4"/>
  <c r="D177" i="4" s="1"/>
  <c r="E33" i="1"/>
  <c r="F10" i="4" l="1"/>
  <c r="F8" i="4"/>
  <c r="L8" i="4" s="1"/>
  <c r="H51" i="4" s="1"/>
  <c r="L51" i="4" s="1"/>
  <c r="G51" i="4"/>
  <c r="K51" i="4" s="1"/>
  <c r="Q8" i="4"/>
  <c r="G9" i="4"/>
  <c r="G6" i="4"/>
  <c r="G5" i="4" s="1"/>
  <c r="M5" i="4" s="1"/>
  <c r="F6" i="4"/>
  <c r="F5" i="4" s="1"/>
  <c r="L5" i="4" s="1"/>
  <c r="I6" i="4"/>
  <c r="H9" i="4"/>
  <c r="H8" i="4" s="1"/>
  <c r="H6" i="4"/>
  <c r="H5" i="4" s="1"/>
  <c r="N5" i="4" s="1"/>
  <c r="S78" i="1"/>
  <c r="S62" i="1"/>
  <c r="S34" i="3"/>
  <c r="S18" i="3"/>
  <c r="L72" i="3"/>
  <c r="E32" i="1"/>
  <c r="E34" i="1"/>
  <c r="D34" i="1"/>
  <c r="S5" i="4" l="1"/>
  <c r="H45" i="4"/>
  <c r="L45" i="4" s="1"/>
  <c r="G10" i="4"/>
  <c r="G8" i="4"/>
  <c r="I7" i="4"/>
  <c r="I5" i="4"/>
  <c r="O5" i="4" s="1"/>
  <c r="R5" i="4"/>
  <c r="G45" i="4"/>
  <c r="K45" i="4" s="1"/>
  <c r="T5" i="4"/>
  <c r="I45" i="4"/>
  <c r="M45" i="4" s="1"/>
  <c r="M9" i="4"/>
  <c r="I52" i="4" s="1"/>
  <c r="M52" i="4" s="1"/>
  <c r="M6" i="4"/>
  <c r="S6" i="4" s="1"/>
  <c r="G7" i="4"/>
  <c r="N9" i="4"/>
  <c r="T9" i="4" s="1"/>
  <c r="H10" i="4"/>
  <c r="N10" i="4" s="1"/>
  <c r="N6" i="4"/>
  <c r="I46" i="4" s="1"/>
  <c r="M46" i="4" s="1"/>
  <c r="H7" i="4"/>
  <c r="K9" i="4"/>
  <c r="G52" i="4" s="1"/>
  <c r="K52" i="4" s="1"/>
  <c r="E10" i="4"/>
  <c r="O6" i="4"/>
  <c r="U6" i="4" s="1"/>
  <c r="L6" i="4"/>
  <c r="R6" i="4" s="1"/>
  <c r="F7" i="4"/>
  <c r="R8" i="4"/>
  <c r="L9" i="4"/>
  <c r="H52" i="4" s="1"/>
  <c r="L52" i="4" s="1"/>
  <c r="L10" i="4"/>
  <c r="Q39" i="3"/>
  <c r="R39" i="3" s="1"/>
  <c r="F6" i="3" s="1"/>
  <c r="L6" i="3" s="1"/>
  <c r="Q35" i="3"/>
  <c r="Q37" i="3"/>
  <c r="Q42" i="3"/>
  <c r="Q41" i="3"/>
  <c r="Q43" i="3"/>
  <c r="Q25" i="3"/>
  <c r="Q23" i="3"/>
  <c r="Q21" i="3"/>
  <c r="Q19" i="3"/>
  <c r="Q26" i="3"/>
  <c r="R26" i="3" s="1"/>
  <c r="G9" i="3" s="1"/>
  <c r="M9" i="3" s="1"/>
  <c r="Q24" i="3"/>
  <c r="Q22" i="3"/>
  <c r="Q20" i="3"/>
  <c r="Q36" i="3"/>
  <c r="Q40" i="3"/>
  <c r="M10" i="4" l="1"/>
  <c r="S10" i="4" s="1"/>
  <c r="U5" i="4"/>
  <c r="J45" i="4"/>
  <c r="N45" i="4" s="1"/>
  <c r="T45" i="4" s="1"/>
  <c r="U45" i="4" s="1"/>
  <c r="M8" i="4"/>
  <c r="H46" i="4"/>
  <c r="L46" i="4" s="1"/>
  <c r="S9" i="4"/>
  <c r="M7" i="4"/>
  <c r="H47" i="4" s="1"/>
  <c r="L47" i="4" s="1"/>
  <c r="K10" i="4"/>
  <c r="G53" i="4" s="1"/>
  <c r="K53" i="4" s="1"/>
  <c r="L7" i="4"/>
  <c r="R7" i="4" s="1"/>
  <c r="J52" i="4"/>
  <c r="N52" i="4" s="1"/>
  <c r="T52" i="4" s="1"/>
  <c r="U52" i="4" s="1"/>
  <c r="Q60" i="4" s="1"/>
  <c r="R10" i="4"/>
  <c r="H53" i="4"/>
  <c r="L53" i="4" s="1"/>
  <c r="T10" i="4"/>
  <c r="J53" i="4"/>
  <c r="N53" i="4" s="1"/>
  <c r="J46" i="4"/>
  <c r="N46" i="4" s="1"/>
  <c r="R9" i="4"/>
  <c r="T6" i="4"/>
  <c r="Q9" i="4"/>
  <c r="N7" i="4"/>
  <c r="O7" i="4"/>
  <c r="G46" i="4"/>
  <c r="K46" i="4" s="1"/>
  <c r="R6" i="3"/>
  <c r="S39" i="3"/>
  <c r="S38" i="3"/>
  <c r="R42" i="3"/>
  <c r="G6" i="3" s="1"/>
  <c r="M6" i="3" s="1"/>
  <c r="S42" i="3"/>
  <c r="R36" i="3"/>
  <c r="S36" i="3"/>
  <c r="R19" i="3"/>
  <c r="S19" i="3"/>
  <c r="R21" i="3"/>
  <c r="S21" i="3"/>
  <c r="R23" i="3"/>
  <c r="S23" i="3"/>
  <c r="S9" i="3"/>
  <c r="S26" i="3"/>
  <c r="R25" i="3"/>
  <c r="S25" i="3"/>
  <c r="R43" i="3"/>
  <c r="H6" i="3" s="1"/>
  <c r="N6" i="3" s="1"/>
  <c r="S43" i="3"/>
  <c r="R37" i="3"/>
  <c r="S37" i="3"/>
  <c r="R20" i="3"/>
  <c r="S20" i="3"/>
  <c r="R41" i="3"/>
  <c r="S41" i="3"/>
  <c r="R35" i="3"/>
  <c r="S35" i="3"/>
  <c r="R22" i="3"/>
  <c r="S22" i="3"/>
  <c r="R40" i="3"/>
  <c r="S40" i="3"/>
  <c r="R24" i="3"/>
  <c r="S24" i="3"/>
  <c r="I53" i="4" l="1"/>
  <c r="M53" i="4" s="1"/>
  <c r="V45" i="4"/>
  <c r="K76" i="4" s="1"/>
  <c r="L76" i="4"/>
  <c r="S8" i="4"/>
  <c r="I51" i="4"/>
  <c r="M51" i="4" s="1"/>
  <c r="S7" i="4"/>
  <c r="Q10" i="4"/>
  <c r="G47" i="4"/>
  <c r="K47" i="4" s="1"/>
  <c r="L81" i="4" s="1"/>
  <c r="U7" i="4"/>
  <c r="J47" i="4"/>
  <c r="N47" i="4" s="1"/>
  <c r="T7" i="4"/>
  <c r="I47" i="4"/>
  <c r="M47" i="4" s="1"/>
  <c r="T53" i="4"/>
  <c r="T46" i="4"/>
  <c r="U46" i="4" s="1"/>
  <c r="Q76" i="4" s="1"/>
  <c r="N8" i="4"/>
  <c r="T6" i="3"/>
  <c r="S6" i="3"/>
  <c r="F9" i="3"/>
  <c r="E9" i="3"/>
  <c r="V52" i="4"/>
  <c r="U53" i="4" l="1"/>
  <c r="L79" i="4"/>
  <c r="L87" i="4"/>
  <c r="L84" i="4"/>
  <c r="N84" i="4" s="1"/>
  <c r="L86" i="4"/>
  <c r="N86" i="4" s="1"/>
  <c r="L83" i="4"/>
  <c r="M83" i="4" s="1"/>
  <c r="M84" i="4"/>
  <c r="T8" i="4"/>
  <c r="J51" i="4"/>
  <c r="N51" i="4" s="1"/>
  <c r="T51" i="4" s="1"/>
  <c r="L80" i="4"/>
  <c r="L85" i="4"/>
  <c r="L82" i="4"/>
  <c r="N81" i="4"/>
  <c r="M81" i="4"/>
  <c r="T47" i="4"/>
  <c r="U47" i="4" s="1"/>
  <c r="V47" i="4" s="1"/>
  <c r="U76" i="4" s="1"/>
  <c r="V53" i="4"/>
  <c r="U60" i="4" s="1"/>
  <c r="V60" i="4"/>
  <c r="P60" i="4"/>
  <c r="V46" i="4"/>
  <c r="K9" i="3"/>
  <c r="Q9" i="3" s="1"/>
  <c r="L9" i="3"/>
  <c r="R9" i="3" s="1"/>
  <c r="V41" i="3"/>
  <c r="V39" i="3"/>
  <c r="V38" i="3"/>
  <c r="V42" i="3"/>
  <c r="V37" i="3"/>
  <c r="V35" i="3"/>
  <c r="V36" i="3"/>
  <c r="V43" i="3"/>
  <c r="V40" i="3"/>
  <c r="V26" i="3"/>
  <c r="V23" i="3"/>
  <c r="V19" i="3"/>
  <c r="V22" i="3"/>
  <c r="V21" i="3"/>
  <c r="V25" i="3"/>
  <c r="V20" i="3"/>
  <c r="V24" i="3"/>
  <c r="R52" i="1"/>
  <c r="Q52" i="1"/>
  <c r="P52" i="1"/>
  <c r="O52" i="1"/>
  <c r="P46" i="1"/>
  <c r="Q46" i="1"/>
  <c r="R46" i="1"/>
  <c r="O46" i="1"/>
  <c r="M86" i="4" l="1"/>
  <c r="N83" i="4"/>
  <c r="U51" i="4"/>
  <c r="L60" i="4" s="1"/>
  <c r="M79" i="4"/>
  <c r="N79" i="4"/>
  <c r="Q63" i="4"/>
  <c r="S63" i="4" s="1"/>
  <c r="N87" i="4"/>
  <c r="M87" i="4"/>
  <c r="M82" i="4"/>
  <c r="N82" i="4"/>
  <c r="N85" i="4"/>
  <c r="M85" i="4"/>
  <c r="N80" i="4"/>
  <c r="M80" i="4"/>
  <c r="V76" i="4"/>
  <c r="V80" i="4" s="1"/>
  <c r="Q67" i="4"/>
  <c r="S67" i="4" s="1"/>
  <c r="Q64" i="4"/>
  <c r="S64" i="4" s="1"/>
  <c r="P76" i="4"/>
  <c r="Q83" i="4" s="1"/>
  <c r="Q66" i="4"/>
  <c r="Q69" i="4"/>
  <c r="R69" i="4" s="1"/>
  <c r="V68" i="4"/>
  <c r="V64" i="4"/>
  <c r="V70" i="4"/>
  <c r="V69" i="4"/>
  <c r="V66" i="4"/>
  <c r="V63" i="4"/>
  <c r="V67" i="4"/>
  <c r="V65" i="4"/>
  <c r="Q65" i="4"/>
  <c r="R65" i="4" s="1"/>
  <c r="Q68" i="4"/>
  <c r="S68" i="4" s="1"/>
  <c r="Q70" i="4"/>
  <c r="R70" i="4" s="1"/>
  <c r="W19" i="3"/>
  <c r="X19" i="3"/>
  <c r="W23" i="3"/>
  <c r="F10" i="3" s="1"/>
  <c r="L10" i="3" s="1"/>
  <c r="R10" i="3" s="1"/>
  <c r="X23" i="3"/>
  <c r="W38" i="3"/>
  <c r="E7" i="3" s="1"/>
  <c r="K7" i="3" s="1"/>
  <c r="Q7" i="3" s="1"/>
  <c r="X38" i="3"/>
  <c r="X26" i="3"/>
  <c r="W26" i="3"/>
  <c r="G10" i="3" s="1"/>
  <c r="M10" i="3" s="1"/>
  <c r="S10" i="3" s="1"/>
  <c r="X39" i="3"/>
  <c r="W39" i="3"/>
  <c r="F7" i="3" s="1"/>
  <c r="L7" i="3" s="1"/>
  <c r="R7" i="3" s="1"/>
  <c r="W22" i="3"/>
  <c r="E10" i="3" s="1"/>
  <c r="K10" i="3" s="1"/>
  <c r="Q10" i="3" s="1"/>
  <c r="X22" i="3"/>
  <c r="X42" i="3"/>
  <c r="W42" i="3"/>
  <c r="G7" i="3" s="1"/>
  <c r="M7" i="3" s="1"/>
  <c r="S7" i="3" s="1"/>
  <c r="X24" i="3"/>
  <c r="W24" i="3"/>
  <c r="S8" i="3" s="1"/>
  <c r="W40" i="3"/>
  <c r="M5" i="3" s="1"/>
  <c r="S5" i="3" s="1"/>
  <c r="X40" i="3"/>
  <c r="X41" i="3"/>
  <c r="W41" i="3"/>
  <c r="N5" i="3" s="1"/>
  <c r="T5" i="3" s="1"/>
  <c r="X20" i="3"/>
  <c r="W20" i="3"/>
  <c r="K8" i="3" s="1"/>
  <c r="Q8" i="3" s="1"/>
  <c r="X43" i="3"/>
  <c r="W43" i="3"/>
  <c r="H7" i="3" s="1"/>
  <c r="N7" i="3" s="1"/>
  <c r="T7" i="3" s="1"/>
  <c r="X37" i="3"/>
  <c r="W37" i="3"/>
  <c r="R5" i="3" s="1"/>
  <c r="X25" i="3"/>
  <c r="W25" i="3"/>
  <c r="W36" i="3"/>
  <c r="X36" i="3"/>
  <c r="X21" i="3"/>
  <c r="W21" i="3"/>
  <c r="L8" i="3" s="1"/>
  <c r="R8" i="3" s="1"/>
  <c r="X35" i="3"/>
  <c r="W35" i="3"/>
  <c r="S46" i="1"/>
  <c r="S52" i="1"/>
  <c r="R63" i="4" l="1"/>
  <c r="V51" i="4"/>
  <c r="K60" i="4" s="1"/>
  <c r="Q86" i="4"/>
  <c r="R86" i="4" s="1"/>
  <c r="R64" i="4"/>
  <c r="Q84" i="4"/>
  <c r="S84" i="4" s="1"/>
  <c r="V82" i="4"/>
  <c r="X82" i="4" s="1"/>
  <c r="Q82" i="4"/>
  <c r="S82" i="4" s="1"/>
  <c r="V85" i="4"/>
  <c r="X85" i="4" s="1"/>
  <c r="V79" i="4"/>
  <c r="W79" i="4" s="1"/>
  <c r="V81" i="4"/>
  <c r="X81" i="4" s="1"/>
  <c r="Q80" i="4"/>
  <c r="R80" i="4" s="1"/>
  <c r="V83" i="4"/>
  <c r="X83" i="4" s="1"/>
  <c r="V86" i="4"/>
  <c r="X86" i="4" s="1"/>
  <c r="R67" i="4"/>
  <c r="Q87" i="4"/>
  <c r="S87" i="4" s="1"/>
  <c r="V84" i="4"/>
  <c r="X84" i="4" s="1"/>
  <c r="V87" i="4"/>
  <c r="X87" i="4" s="1"/>
  <c r="Q85" i="4"/>
  <c r="S85" i="4" s="1"/>
  <c r="Q79" i="4"/>
  <c r="S79" i="4" s="1"/>
  <c r="Q81" i="4"/>
  <c r="S81" i="4" s="1"/>
  <c r="R68" i="4"/>
  <c r="S65" i="4"/>
  <c r="R83" i="4"/>
  <c r="S83" i="4"/>
  <c r="X70" i="4"/>
  <c r="W70" i="4"/>
  <c r="X64" i="4"/>
  <c r="W64" i="4"/>
  <c r="X63" i="4"/>
  <c r="W63" i="4"/>
  <c r="S69" i="4"/>
  <c r="X67" i="4"/>
  <c r="W67" i="4"/>
  <c r="X68" i="4"/>
  <c r="W68" i="4"/>
  <c r="X66" i="4"/>
  <c r="W66" i="4"/>
  <c r="S66" i="4"/>
  <c r="R66" i="4"/>
  <c r="S70" i="4"/>
  <c r="X65" i="4"/>
  <c r="W65" i="4"/>
  <c r="X80" i="4"/>
  <c r="W80" i="4"/>
  <c r="X69" i="4"/>
  <c r="W69" i="4"/>
  <c r="P9" i="1"/>
  <c r="R4" i="1"/>
  <c r="S4" i="1"/>
  <c r="T4" i="1"/>
  <c r="U4" i="1"/>
  <c r="Q4" i="1"/>
  <c r="G151" i="1"/>
  <c r="D151" i="1"/>
  <c r="H148" i="1"/>
  <c r="G148" i="1"/>
  <c r="E148" i="1"/>
  <c r="D148" i="1"/>
  <c r="C148" i="1"/>
  <c r="B148" i="1"/>
  <c r="G131" i="1"/>
  <c r="D131" i="1"/>
  <c r="C131" i="1"/>
  <c r="G130" i="1"/>
  <c r="D130" i="1"/>
  <c r="C130" i="1"/>
  <c r="M116" i="1"/>
  <c r="C110" i="1"/>
  <c r="F92" i="1"/>
  <c r="D92" i="1"/>
  <c r="C92" i="1"/>
  <c r="C26" i="1"/>
  <c r="C24" i="1"/>
  <c r="C22" i="1"/>
  <c r="C19" i="1"/>
  <c r="C17" i="1"/>
  <c r="H17" i="1" s="1"/>
  <c r="C15" i="1"/>
  <c r="C13" i="1"/>
  <c r="H13" i="1" s="1"/>
  <c r="L69" i="4" l="1"/>
  <c r="L64" i="4"/>
  <c r="L70" i="4"/>
  <c r="L65" i="4"/>
  <c r="L66" i="4"/>
  <c r="L63" i="4"/>
  <c r="N63" i="4" s="1"/>
  <c r="L67" i="4"/>
  <c r="L68" i="4"/>
  <c r="S86" i="4"/>
  <c r="W81" i="4"/>
  <c r="W82" i="4"/>
  <c r="R84" i="4"/>
  <c r="W85" i="4"/>
  <c r="R82" i="4"/>
  <c r="X79" i="4"/>
  <c r="S80" i="4"/>
  <c r="R79" i="4"/>
  <c r="W86" i="4"/>
  <c r="R85" i="4"/>
  <c r="W87" i="4"/>
  <c r="W83" i="4"/>
  <c r="R87" i="4"/>
  <c r="W84" i="4"/>
  <c r="R81" i="4"/>
  <c r="G22" i="1"/>
  <c r="D22" i="1"/>
  <c r="E24" i="1"/>
  <c r="G24" i="1"/>
  <c r="F24" i="1"/>
  <c r="D24" i="1"/>
  <c r="E17" i="1"/>
  <c r="H15" i="1"/>
  <c r="G15" i="1"/>
  <c r="F15" i="1"/>
  <c r="E15" i="1"/>
  <c r="E26" i="1"/>
  <c r="D26" i="1"/>
  <c r="G26" i="1"/>
  <c r="F26" i="1"/>
  <c r="F22" i="1"/>
  <c r="E22" i="1"/>
  <c r="C23" i="1"/>
  <c r="C14" i="1"/>
  <c r="E13" i="1"/>
  <c r="G13" i="1"/>
  <c r="F13" i="1"/>
  <c r="C18" i="1"/>
  <c r="F17" i="1"/>
  <c r="G17" i="1"/>
  <c r="C163" i="1"/>
  <c r="C109" i="1"/>
  <c r="C115" i="1" s="1"/>
  <c r="D115" i="1" s="1"/>
  <c r="C162" i="1"/>
  <c r="C16" i="1"/>
  <c r="C25" i="1"/>
  <c r="C27" i="1"/>
  <c r="M63" i="4" l="1"/>
  <c r="M66" i="4"/>
  <c r="N66" i="4"/>
  <c r="M68" i="4"/>
  <c r="N68" i="4"/>
  <c r="N67" i="4"/>
  <c r="M67" i="4"/>
  <c r="N65" i="4"/>
  <c r="M65" i="4"/>
  <c r="M70" i="4"/>
  <c r="N70" i="4"/>
  <c r="N64" i="4"/>
  <c r="M64" i="4"/>
  <c r="N69" i="4"/>
  <c r="M69" i="4"/>
  <c r="F14" i="1"/>
  <c r="H14" i="1"/>
  <c r="G14" i="1"/>
  <c r="E14" i="1"/>
  <c r="G23" i="1"/>
  <c r="E23" i="1"/>
  <c r="D23" i="1"/>
  <c r="F23" i="1"/>
  <c r="G25" i="1"/>
  <c r="F25" i="1"/>
  <c r="E25" i="1"/>
  <c r="D25" i="1"/>
  <c r="E16" i="1"/>
  <c r="H16" i="1"/>
  <c r="G16" i="1"/>
  <c r="F16" i="1"/>
  <c r="D27" i="1"/>
  <c r="E27" i="1"/>
  <c r="G27" i="1"/>
  <c r="F27" i="1"/>
  <c r="G18" i="1"/>
  <c r="G19" i="1" s="1"/>
  <c r="E18" i="1"/>
  <c r="E19" i="1" s="1"/>
  <c r="H18" i="1"/>
  <c r="H19" i="1" s="1"/>
  <c r="F18" i="1"/>
  <c r="F19" i="1" s="1"/>
  <c r="C170" i="1"/>
  <c r="D170" i="1" s="1"/>
  <c r="C123" i="1"/>
  <c r="D123" i="1" s="1"/>
  <c r="C116" i="1"/>
  <c r="D116" i="1" s="1"/>
  <c r="C119" i="1"/>
  <c r="D119" i="1" s="1"/>
  <c r="C173" i="1"/>
  <c r="D173" i="1" s="1"/>
  <c r="C122" i="1"/>
  <c r="D122" i="1" s="1"/>
  <c r="C176" i="1"/>
  <c r="D176" i="1" s="1"/>
  <c r="C117" i="1"/>
  <c r="D117" i="1" s="1"/>
  <c r="C114" i="1"/>
  <c r="D114" i="1" s="1"/>
  <c r="C121" i="1"/>
  <c r="D121" i="1" s="1"/>
  <c r="C174" i="1"/>
  <c r="D174" i="1" s="1"/>
  <c r="C124" i="1"/>
  <c r="D124" i="1" s="1"/>
  <c r="C118" i="1"/>
  <c r="D118" i="1" s="1"/>
  <c r="C177" i="1"/>
  <c r="D177" i="1" s="1"/>
  <c r="C175" i="1"/>
  <c r="D175" i="1" s="1"/>
  <c r="C120" i="1"/>
  <c r="D120" i="1" s="1"/>
  <c r="C172" i="1"/>
  <c r="D172" i="1" s="1"/>
  <c r="C168" i="1"/>
  <c r="D168" i="1" s="1"/>
  <c r="C169" i="1"/>
  <c r="D169" i="1" s="1"/>
  <c r="C167" i="1"/>
  <c r="D167" i="1" s="1"/>
  <c r="C171" i="1"/>
  <c r="D171" i="1" s="1"/>
  <c r="I6" i="1" l="1"/>
  <c r="F6" i="1"/>
  <c r="E9" i="1"/>
  <c r="E8" i="1" s="1"/>
  <c r="K8" i="1" s="1"/>
  <c r="G6" i="1"/>
  <c r="H6" i="1"/>
  <c r="H5" i="1" s="1"/>
  <c r="N5" i="1" s="1"/>
  <c r="F9" i="1"/>
  <c r="G9" i="1"/>
  <c r="H9" i="1"/>
  <c r="H8" i="1" s="1"/>
  <c r="N8" i="1" s="1"/>
  <c r="T5" i="1" l="1"/>
  <c r="I45" i="1"/>
  <c r="M45" i="1" s="1"/>
  <c r="Q8" i="1"/>
  <c r="G51" i="1"/>
  <c r="K51" i="1" s="1"/>
  <c r="T8" i="1"/>
  <c r="J51" i="1"/>
  <c r="N51" i="1" s="1"/>
  <c r="L6" i="1"/>
  <c r="G46" i="1" s="1"/>
  <c r="F7" i="1"/>
  <c r="F5" i="1"/>
  <c r="L5" i="1" s="1"/>
  <c r="G10" i="1"/>
  <c r="G8" i="1"/>
  <c r="M8" i="1" s="1"/>
  <c r="F10" i="1"/>
  <c r="F8" i="1"/>
  <c r="L8" i="1" s="1"/>
  <c r="G7" i="1"/>
  <c r="G5" i="1"/>
  <c r="M5" i="1" s="1"/>
  <c r="I7" i="1"/>
  <c r="I5" i="1"/>
  <c r="O5" i="1" s="1"/>
  <c r="K9" i="1"/>
  <c r="G52" i="1" s="1"/>
  <c r="O6" i="1"/>
  <c r="H7" i="1"/>
  <c r="N6" i="1"/>
  <c r="M6" i="1"/>
  <c r="H46" i="1" s="1"/>
  <c r="N9" i="1"/>
  <c r="H10" i="1"/>
  <c r="N10" i="1" s="1"/>
  <c r="E10" i="1"/>
  <c r="M9" i="1"/>
  <c r="L9" i="1"/>
  <c r="M10" i="1" l="1"/>
  <c r="I53" i="1" s="1"/>
  <c r="M53" i="1" s="1"/>
  <c r="S5" i="1"/>
  <c r="H45" i="1"/>
  <c r="L45" i="1" s="1"/>
  <c r="R8" i="1"/>
  <c r="H51" i="1"/>
  <c r="L51" i="1" s="1"/>
  <c r="S8" i="1"/>
  <c r="I51" i="1"/>
  <c r="M51" i="1" s="1"/>
  <c r="O7" i="1"/>
  <c r="U7" i="1" s="1"/>
  <c r="U5" i="1"/>
  <c r="J45" i="1"/>
  <c r="N45" i="1" s="1"/>
  <c r="R5" i="1"/>
  <c r="G45" i="1"/>
  <c r="K45" i="1" s="1"/>
  <c r="M7" i="1"/>
  <c r="S7" i="1" s="1"/>
  <c r="L10" i="1"/>
  <c r="H53" i="1" s="1"/>
  <c r="L53" i="1" s="1"/>
  <c r="Q9" i="1"/>
  <c r="L7" i="1"/>
  <c r="G47" i="1" s="1"/>
  <c r="K47" i="1" s="1"/>
  <c r="K10" i="1"/>
  <c r="G53" i="1" s="1"/>
  <c r="K53" i="1" s="1"/>
  <c r="T10" i="1"/>
  <c r="J53" i="1"/>
  <c r="N53" i="1" s="1"/>
  <c r="N7" i="1"/>
  <c r="K52" i="1"/>
  <c r="T9" i="1"/>
  <c r="J52" i="1"/>
  <c r="N52" i="1" s="1"/>
  <c r="R6" i="1"/>
  <c r="K46" i="1"/>
  <c r="T6" i="1"/>
  <c r="I46" i="1"/>
  <c r="M46" i="1" s="1"/>
  <c r="U6" i="1"/>
  <c r="J46" i="1"/>
  <c r="N46" i="1" s="1"/>
  <c r="S6" i="1"/>
  <c r="L46" i="1"/>
  <c r="R9" i="1"/>
  <c r="H52" i="1"/>
  <c r="L52" i="1" s="1"/>
  <c r="S9" i="1"/>
  <c r="I52" i="1"/>
  <c r="M52" i="1" s="1"/>
  <c r="T51" i="1" l="1"/>
  <c r="U51" i="1" s="1"/>
  <c r="L60" i="1" s="1"/>
  <c r="T45" i="1"/>
  <c r="U45" i="1" s="1"/>
  <c r="L76" i="1" s="1"/>
  <c r="S10" i="1"/>
  <c r="R10" i="1"/>
  <c r="J47" i="1"/>
  <c r="N47" i="1" s="1"/>
  <c r="H47" i="1"/>
  <c r="L47" i="1" s="1"/>
  <c r="R7" i="1"/>
  <c r="Q10" i="1"/>
  <c r="T53" i="1"/>
  <c r="U53" i="1" s="1"/>
  <c r="V60" i="1" s="1"/>
  <c r="T7" i="1"/>
  <c r="I47" i="1"/>
  <c r="M47" i="1" s="1"/>
  <c r="T52" i="1"/>
  <c r="U52" i="1" s="1"/>
  <c r="Q60" i="1" s="1"/>
  <c r="T46" i="1"/>
  <c r="U46" i="1" s="1"/>
  <c r="Q76" i="1" s="1"/>
  <c r="V51" i="1" l="1"/>
  <c r="K60" i="1" s="1"/>
  <c r="L63" i="1" s="1"/>
  <c r="T47" i="1"/>
  <c r="U47" i="1" s="1"/>
  <c r="V76" i="1" s="1"/>
  <c r="V45" i="1"/>
  <c r="K76" i="1" s="1"/>
  <c r="V53" i="1"/>
  <c r="U60" i="1" s="1"/>
  <c r="V46" i="1"/>
  <c r="P76" i="1" s="1"/>
  <c r="V52" i="1"/>
  <c r="P60" i="1" s="1"/>
  <c r="L70" i="1" l="1"/>
  <c r="M70" i="1" s="1"/>
  <c r="L66" i="1"/>
  <c r="N66" i="1" s="1"/>
  <c r="L64" i="1"/>
  <c r="M64" i="1" s="1"/>
  <c r="L65" i="1"/>
  <c r="N65" i="1" s="1"/>
  <c r="L68" i="1"/>
  <c r="N68" i="1" s="1"/>
  <c r="L67" i="1"/>
  <c r="M67" i="1" s="1"/>
  <c r="L69" i="1"/>
  <c r="N69" i="1" s="1"/>
  <c r="N70" i="1"/>
  <c r="L82" i="1"/>
  <c r="L85" i="1"/>
  <c r="L81" i="1"/>
  <c r="L83" i="1"/>
  <c r="L84" i="1"/>
  <c r="L79" i="1"/>
  <c r="L87" i="1"/>
  <c r="L80" i="1"/>
  <c r="L86" i="1"/>
  <c r="M63" i="1"/>
  <c r="N63" i="1"/>
  <c r="V47" i="1"/>
  <c r="U76" i="1" s="1"/>
  <c r="V63" i="1"/>
  <c r="V67" i="1"/>
  <c r="V65" i="1"/>
  <c r="V69" i="1"/>
  <c r="V68" i="1"/>
  <c r="V64" i="1"/>
  <c r="V70" i="1"/>
  <c r="V66" i="1"/>
  <c r="Q63" i="1"/>
  <c r="Q82" i="1"/>
  <c r="Q83" i="1"/>
  <c r="Q85" i="1"/>
  <c r="Q86" i="1"/>
  <c r="Q87" i="1"/>
  <c r="Q84" i="1"/>
  <c r="Q80" i="1"/>
  <c r="Q79" i="1"/>
  <c r="Q81" i="1"/>
  <c r="M66" i="1" l="1"/>
  <c r="N64" i="1"/>
  <c r="N67" i="1"/>
  <c r="M65" i="1"/>
  <c r="M68" i="1"/>
  <c r="M69" i="1"/>
  <c r="N85" i="1"/>
  <c r="M85" i="1"/>
  <c r="N86" i="1"/>
  <c r="M86" i="1"/>
  <c r="N82" i="1"/>
  <c r="M82" i="1"/>
  <c r="M87" i="1"/>
  <c r="N87" i="1"/>
  <c r="M79" i="1"/>
  <c r="N79" i="1"/>
  <c r="N84" i="1"/>
  <c r="M84" i="1"/>
  <c r="N83" i="1"/>
  <c r="M83" i="1"/>
  <c r="N80" i="1"/>
  <c r="M80" i="1"/>
  <c r="N81" i="1"/>
  <c r="M81" i="1"/>
  <c r="W67" i="1"/>
  <c r="X67" i="1"/>
  <c r="W70" i="1"/>
  <c r="X70" i="1"/>
  <c r="X63" i="1"/>
  <c r="W63" i="1"/>
  <c r="V85" i="1"/>
  <c r="V81" i="1"/>
  <c r="V84" i="1"/>
  <c r="V83" i="1"/>
  <c r="V79" i="1"/>
  <c r="V82" i="1"/>
  <c r="V86" i="1"/>
  <c r="V87" i="1"/>
  <c r="V80" i="1"/>
  <c r="W69" i="1"/>
  <c r="X69" i="1"/>
  <c r="X66" i="1"/>
  <c r="W66" i="1"/>
  <c r="X64" i="1"/>
  <c r="W64" i="1"/>
  <c r="X68" i="1"/>
  <c r="W68" i="1"/>
  <c r="X65" i="1"/>
  <c r="W65" i="1"/>
  <c r="S63" i="1"/>
  <c r="R63" i="1"/>
  <c r="Q65" i="1"/>
  <c r="S65" i="1" s="1"/>
  <c r="Q67" i="1"/>
  <c r="R67" i="1" s="1"/>
  <c r="Q64" i="1"/>
  <c r="S64" i="1" s="1"/>
  <c r="Q66" i="1"/>
  <c r="S66" i="1" s="1"/>
  <c r="Q70" i="1"/>
  <c r="S70" i="1" s="1"/>
  <c r="Q68" i="1"/>
  <c r="S68" i="1" s="1"/>
  <c r="Q69" i="1"/>
  <c r="R69" i="1" s="1"/>
  <c r="R79" i="1"/>
  <c r="S79" i="1"/>
  <c r="R80" i="1"/>
  <c r="S80" i="1"/>
  <c r="R84" i="1"/>
  <c r="S84" i="1"/>
  <c r="R86" i="1"/>
  <c r="S86" i="1"/>
  <c r="R85" i="1"/>
  <c r="S85" i="1"/>
  <c r="R87" i="1"/>
  <c r="S87" i="1"/>
  <c r="R83" i="1"/>
  <c r="S83" i="1"/>
  <c r="R81" i="1"/>
  <c r="S81" i="1"/>
  <c r="R82" i="1"/>
  <c r="S82" i="1"/>
  <c r="W79" i="1" l="1"/>
  <c r="X79" i="1"/>
  <c r="X83" i="1"/>
  <c r="W83" i="1"/>
  <c r="W84" i="1"/>
  <c r="X84" i="1"/>
  <c r="X81" i="1"/>
  <c r="W81" i="1"/>
  <c r="X80" i="1"/>
  <c r="W80" i="1"/>
  <c r="X85" i="1"/>
  <c r="W85" i="1"/>
  <c r="X87" i="1"/>
  <c r="W87" i="1"/>
  <c r="X86" i="1"/>
  <c r="W86" i="1"/>
  <c r="X82" i="1"/>
  <c r="W82" i="1"/>
  <c r="R65" i="1"/>
  <c r="R66" i="1"/>
  <c r="S69" i="1"/>
  <c r="R70" i="1"/>
  <c r="R68" i="1"/>
  <c r="R64" i="1"/>
  <c r="S67" i="1"/>
  <c r="D15" i="6"/>
  <c r="R46" i="6" s="1"/>
  <c r="E15" i="6" l="1"/>
  <c r="D21" i="6"/>
  <c r="E21" i="6" s="1"/>
  <c r="D17" i="6"/>
  <c r="D9" i="6" s="1"/>
  <c r="D20" i="6"/>
  <c r="R50" i="6" s="1"/>
  <c r="F9" i="6" s="1"/>
  <c r="L9" i="6" s="1"/>
  <c r="D18" i="6"/>
  <c r="R48" i="6" s="1"/>
  <c r="D19" i="6"/>
  <c r="R49" i="6" s="1"/>
  <c r="D22" i="6"/>
  <c r="D16" i="6"/>
  <c r="R47" i="6" s="1"/>
  <c r="D23" i="6"/>
  <c r="E9" i="6" l="1"/>
  <c r="K9" i="6" s="1"/>
  <c r="Q9" i="6" s="1"/>
  <c r="F21" i="6"/>
  <c r="F15" i="6"/>
  <c r="J9" i="6"/>
  <c r="P9" i="6" s="1"/>
  <c r="R9" i="6"/>
  <c r="E16" i="6"/>
  <c r="R51" i="6"/>
  <c r="E17" i="6"/>
  <c r="F17" i="6" s="1"/>
  <c r="E23" i="6"/>
  <c r="R53" i="6"/>
  <c r="E22" i="6"/>
  <c r="R52" i="6"/>
  <c r="E19" i="6"/>
  <c r="E20" i="6"/>
  <c r="E18" i="6"/>
  <c r="F20" i="6" l="1"/>
  <c r="F19" i="6"/>
  <c r="F22" i="6"/>
  <c r="F16" i="6"/>
  <c r="F23" i="6"/>
  <c r="F18" i="6"/>
  <c r="G9" i="6"/>
  <c r="I15" i="6" l="1"/>
  <c r="I16" i="6" s="1"/>
  <c r="I20" i="6" s="1"/>
  <c r="M9" i="6"/>
  <c r="S9" i="6" s="1"/>
  <c r="J15" i="6" l="1"/>
  <c r="J16" i="6"/>
  <c r="I18" i="6"/>
  <c r="J18" i="6" s="1"/>
  <c r="I17" i="6"/>
  <c r="J17" i="6" s="1"/>
  <c r="I19" i="6"/>
  <c r="J19" i="6" s="1"/>
  <c r="I21" i="6"/>
  <c r="J20" i="6"/>
  <c r="I22" i="6" l="1"/>
  <c r="J21" i="6"/>
  <c r="I23" i="6" l="1"/>
  <c r="J22" i="6"/>
  <c r="J23" i="6" l="1"/>
  <c r="J14" i="6" s="1"/>
  <c r="Q43" i="6" s="1"/>
  <c r="K14" i="6" l="1"/>
  <c r="P43" i="6" s="1"/>
  <c r="Q47" i="6" l="1"/>
  <c r="Q46" i="6"/>
  <c r="Q48" i="6"/>
  <c r="Q53" i="6"/>
  <c r="Q50" i="6"/>
  <c r="Q52" i="6"/>
  <c r="Q51" i="6"/>
  <c r="Q49" i="6"/>
  <c r="L48" i="6" l="1"/>
  <c r="N48" i="6" s="1"/>
  <c r="L53" i="6"/>
  <c r="N53" i="6" s="1"/>
  <c r="L49" i="6"/>
  <c r="N49" i="6" s="1"/>
  <c r="L52" i="6"/>
  <c r="N52" i="6" s="1"/>
  <c r="L51" i="6"/>
  <c r="N51" i="6" s="1"/>
  <c r="L47" i="6"/>
  <c r="N47" i="6" s="1"/>
  <c r="L46" i="6"/>
  <c r="N46" i="6" s="1"/>
  <c r="L50" i="6"/>
  <c r="N50" i="6" s="1"/>
  <c r="S50" i="6"/>
  <c r="S53" i="6"/>
  <c r="S49" i="6"/>
  <c r="S47" i="6"/>
  <c r="S51" i="6"/>
  <c r="S52" i="6"/>
  <c r="S48" i="6"/>
  <c r="S46" i="6"/>
  <c r="O15" i="6" l="1"/>
  <c r="O18" i="6"/>
  <c r="O23" i="6"/>
  <c r="W53" i="6" s="1"/>
  <c r="G10" i="6" s="1"/>
  <c r="O22" i="6"/>
  <c r="O17" i="6"/>
  <c r="D10" i="6" s="1"/>
  <c r="O21" i="6"/>
  <c r="W51" i="6" s="1"/>
  <c r="M8" i="6" s="1"/>
  <c r="S8" i="6" s="1"/>
  <c r="O16" i="6"/>
  <c r="W47" i="6" s="1"/>
  <c r="K8" i="6" s="1"/>
  <c r="Q8" i="6" s="1"/>
  <c r="O20" i="6"/>
  <c r="W50" i="6" s="1"/>
  <c r="F10" i="6" s="1"/>
  <c r="O19" i="6"/>
  <c r="W49" i="6" s="1"/>
  <c r="E10" i="6" s="1"/>
  <c r="J8" i="6" l="1"/>
  <c r="P8" i="6" s="1"/>
  <c r="K10" i="6"/>
  <c r="Q10" i="6" s="1"/>
  <c r="L10" i="6"/>
  <c r="R10" i="6" s="1"/>
  <c r="J10" i="6"/>
  <c r="P10" i="6" s="1"/>
  <c r="M10" i="6"/>
  <c r="S10" i="6" s="1"/>
  <c r="P15" i="6"/>
  <c r="Q15" i="6" s="1"/>
  <c r="W46" i="6"/>
  <c r="P22" i="6"/>
  <c r="Q22" i="6" s="1"/>
  <c r="W52" i="6"/>
  <c r="P18" i="6"/>
  <c r="Q18" i="6" s="1"/>
  <c r="W48" i="6"/>
  <c r="L8" i="6" s="1"/>
  <c r="R8" i="6" s="1"/>
  <c r="P23" i="6"/>
  <c r="Q23" i="6" s="1"/>
  <c r="P20" i="6"/>
  <c r="Q20" i="6" s="1"/>
  <c r="P16" i="6"/>
  <c r="Q16" i="6" s="1"/>
  <c r="P17" i="6"/>
  <c r="Q17" i="6" s="1"/>
  <c r="P21" i="6"/>
  <c r="Q21" i="6" s="1"/>
  <c r="P19" i="6"/>
  <c r="Q19" i="6" s="1"/>
  <c r="T15" i="6" l="1"/>
  <c r="T16" i="6" s="1"/>
  <c r="U15" i="6" l="1"/>
  <c r="T19" i="6"/>
  <c r="T18" i="6"/>
  <c r="U18" i="6" s="1"/>
  <c r="T17" i="6"/>
  <c r="U17" i="6" s="1"/>
  <c r="U16" i="6"/>
  <c r="T20" i="6" l="1"/>
  <c r="U19" i="6"/>
  <c r="T21" i="6" l="1"/>
  <c r="U20" i="6"/>
  <c r="T22" i="6" l="1"/>
  <c r="U21" i="6"/>
  <c r="T23" i="6" l="1"/>
  <c r="U23" i="6" s="1"/>
  <c r="U22" i="6"/>
  <c r="U14" i="6" l="1"/>
  <c r="V43" i="6" s="1"/>
  <c r="V14" i="6" l="1"/>
  <c r="U43" i="6" s="1"/>
  <c r="V48" i="6" l="1"/>
  <c r="V49" i="6"/>
  <c r="V50" i="6"/>
  <c r="V53" i="6"/>
  <c r="V46" i="6"/>
  <c r="V51" i="6"/>
  <c r="V52" i="6"/>
  <c r="V47" i="6"/>
  <c r="X48" i="6" l="1"/>
  <c r="X52" i="6"/>
  <c r="X47" i="6"/>
  <c r="X46" i="6"/>
  <c r="X50" i="6"/>
  <c r="X51" i="6"/>
  <c r="X53" i="6"/>
  <c r="X49" i="6"/>
</calcChain>
</file>

<file path=xl/sharedStrings.xml><?xml version="1.0" encoding="utf-8"?>
<sst xmlns="http://schemas.openxmlformats.org/spreadsheetml/2006/main" count="815" uniqueCount="106">
  <si>
    <t>Input</t>
  </si>
  <si>
    <t>Secant Friction Angle, φ' (degrees)</t>
  </si>
  <si>
    <t>Shear Stress, τ (kPa)</t>
  </si>
  <si>
    <t>Shear Stress, τ (psf)</t>
  </si>
  <si>
    <t>LL</t>
  </si>
  <si>
    <t>CF (%)</t>
  </si>
  <si>
    <t>PI</t>
  </si>
  <si>
    <r>
      <t>σ'</t>
    </r>
    <r>
      <rPr>
        <b/>
        <vertAlign val="subscript"/>
        <sz val="12"/>
        <color indexed="8"/>
        <rFont val="Calibri"/>
        <family val="2"/>
      </rPr>
      <t xml:space="preserve">n </t>
    </r>
    <r>
      <rPr>
        <b/>
        <sz val="12"/>
        <color indexed="8"/>
        <rFont val="Calibri"/>
        <family val="2"/>
      </rPr>
      <t xml:space="preserve">  (kPa/psf)</t>
    </r>
  </si>
  <si>
    <t>12/250</t>
  </si>
  <si>
    <t>50/1,044</t>
  </si>
  <si>
    <t>100/2,088</t>
  </si>
  <si>
    <t>400/8,354</t>
  </si>
  <si>
    <t>700/14,620</t>
  </si>
  <si>
    <t>Residual</t>
  </si>
  <si>
    <t>NA</t>
  </si>
  <si>
    <t>Fully Softened</t>
  </si>
  <si>
    <t>Residual Strength</t>
  </si>
  <si>
    <t>Fully Softened Strength</t>
  </si>
  <si>
    <t>CF#1</t>
  </si>
  <si>
    <t>A</t>
  </si>
  <si>
    <t>B</t>
  </si>
  <si>
    <t>C</t>
  </si>
  <si>
    <r>
      <t>σ'</t>
    </r>
    <r>
      <rPr>
        <b/>
        <vertAlign val="subscript"/>
        <sz val="12"/>
        <color indexed="8"/>
        <rFont val="Calibri"/>
        <family val="2"/>
      </rPr>
      <t>n</t>
    </r>
  </si>
  <si>
    <t>X</t>
  </si>
  <si>
    <t>X^2</t>
  </si>
  <si>
    <t>CF#2</t>
  </si>
  <si>
    <t>CF#3</t>
  </si>
  <si>
    <t>D</t>
  </si>
  <si>
    <t>X^3</t>
  </si>
  <si>
    <r>
      <t xml:space="preserve">Left Part of the Plot (40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LL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120)</t>
    </r>
  </si>
  <si>
    <r>
      <t>Right Part of the Curve (LL</t>
    </r>
    <r>
      <rPr>
        <b/>
        <u/>
        <sz val="11"/>
        <color indexed="8"/>
        <rFont val="Calibri"/>
        <family val="2"/>
      </rPr>
      <t>&gt;</t>
    </r>
    <r>
      <rPr>
        <b/>
        <sz val="11"/>
        <color indexed="8"/>
        <rFont val="Calibri"/>
        <family val="2"/>
      </rPr>
      <t>120)</t>
    </r>
  </si>
  <si>
    <t>Parameters</t>
  </si>
  <si>
    <t>a</t>
  </si>
  <si>
    <t>b</t>
  </si>
  <si>
    <r>
      <t>σ'</t>
    </r>
    <r>
      <rPr>
        <b/>
        <vertAlign val="subscript"/>
        <sz val="12"/>
        <color indexed="8"/>
        <rFont val="Calibri"/>
        <family val="2"/>
      </rPr>
      <t xml:space="preserve">n </t>
    </r>
    <r>
      <rPr>
        <b/>
        <sz val="12"/>
        <color indexed="8"/>
        <rFont val="Calibri"/>
        <family val="2"/>
      </rPr>
      <t xml:space="preserve">  (kPa)</t>
    </r>
  </si>
  <si>
    <t xml:space="preserve"> τ (kPa)</t>
  </si>
  <si>
    <t xml:space="preserve"> φ' (degrees)</t>
  </si>
  <si>
    <t>LL (%)</t>
  </si>
  <si>
    <t>Aplicable Range</t>
  </si>
  <si>
    <t>Minimum</t>
  </si>
  <si>
    <t>Maximum</t>
  </si>
  <si>
    <t>Group #1 (CF ≤20%)</t>
  </si>
  <si>
    <t>Group #2 (25≤CF ≤45%)</t>
  </si>
  <si>
    <t>Group #3 (CF ≥50%)</t>
  </si>
  <si>
    <t>www.tstark.net</t>
  </si>
  <si>
    <t>Fully Softened Strength Power Function</t>
  </si>
  <si>
    <t>a for CF &lt;20</t>
  </si>
  <si>
    <t>a for CF 20-45</t>
  </si>
  <si>
    <t>a for CF &gt;50</t>
  </si>
  <si>
    <t>Pa</t>
  </si>
  <si>
    <t>kPa</t>
  </si>
  <si>
    <t>psf</t>
  </si>
  <si>
    <t>Fully Softened Strength Power Function Points</t>
  </si>
  <si>
    <t>σ(kpa)</t>
  </si>
  <si>
    <t>τ(kpa)</t>
  </si>
  <si>
    <t>τ(psf)</t>
  </si>
  <si>
    <t>Residual Strength Power Function</t>
  </si>
  <si>
    <r>
      <t xml:space="preserve">CF </t>
    </r>
    <r>
      <rPr>
        <sz val="11"/>
        <color theme="1"/>
        <rFont val="Calibri"/>
        <family val="2"/>
      </rPr>
      <t>≤</t>
    </r>
    <r>
      <rPr>
        <sz val="7.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20 %</t>
    </r>
  </si>
  <si>
    <t>20% ≤ CF ≤ 45%</t>
  </si>
  <si>
    <r>
      <t xml:space="preserve">CF </t>
    </r>
    <r>
      <rPr>
        <sz val="11"/>
        <color theme="1"/>
        <rFont val="Calibri"/>
        <family val="2"/>
      </rPr>
      <t>≥ 50%</t>
    </r>
  </si>
  <si>
    <t>−</t>
  </si>
  <si>
    <t>Residual Strength Power Function Points</t>
  </si>
  <si>
    <t>X^4</t>
  </si>
  <si>
    <t>X^5</t>
  </si>
  <si>
    <t>E</t>
  </si>
  <si>
    <t>F</t>
  </si>
  <si>
    <t>PI (%)</t>
  </si>
  <si>
    <t xml:space="preserve">All CF Groups </t>
  </si>
  <si>
    <t>Power function calculations</t>
  </si>
  <si>
    <t>x avergae</t>
  </si>
  <si>
    <t>y average</t>
  </si>
  <si>
    <t>Effective Normal Stress (kN)</t>
  </si>
  <si>
    <t>Residual Strength (kN)</t>
  </si>
  <si>
    <t>FSS Strength (kN)</t>
  </si>
  <si>
    <t>cf1</t>
  </si>
  <si>
    <t>cf2</t>
  </si>
  <si>
    <t>cf3</t>
  </si>
  <si>
    <t>FSS power function coefficients</t>
  </si>
  <si>
    <t>Residual power function coefficients</t>
  </si>
  <si>
    <t xml:space="preserve"> τ (psf)</t>
  </si>
  <si>
    <t>(Use this Worksheet when LL and CF are available)</t>
  </si>
  <si>
    <t>*Note that FSS secant friction angles in this worksheet tab (Laboratory) are NOT increased by 2.5°, and therefore, they reflect a Ring Shear (RS) mode of shear to compare with ring shear and direct shear laboratory data.</t>
  </si>
  <si>
    <t>X^6</t>
  </si>
  <si>
    <t>log strength</t>
  </si>
  <si>
    <t>log normal</t>
  </si>
  <si>
    <t>x avg</t>
  </si>
  <si>
    <t>y avg</t>
  </si>
  <si>
    <t>(Use this Worksheet when only PI is available)</t>
  </si>
  <si>
    <t>*Note that FSS secant friction angles in this correlation are increased by 2.5° to reflect a triaxial compression mode of shear after Stark and Eid (1997). To compare with ring shear and direct shear laboratory data use "Laboratory (LL&amp;CF)" Worksheet.</t>
  </si>
  <si>
    <t>FSS Power Function Based on LL&amp;CF- Stark and Idries (2023)</t>
  </si>
  <si>
    <t>Residual Power Function Based on LL&amp;CF- Stark and Idries (2023)</t>
  </si>
  <si>
    <t>FSS Power Function Based on PI- Stark and Idries (2023)</t>
  </si>
  <si>
    <t>Residual Power Function Based on PI- Stark and Idries (2023)</t>
  </si>
  <si>
    <t>cf 1 avg</t>
  </si>
  <si>
    <t>cf 2 avg</t>
  </si>
  <si>
    <t>Residual - 1 SD</t>
  </si>
  <si>
    <t>Fully Softened - 1 SD</t>
  </si>
  <si>
    <t>FSS Power Function - 1 SD</t>
  </si>
  <si>
    <t>Residual Power Function - 1 SD</t>
  </si>
  <si>
    <t>*Note that FSS secant friction angles in this correlation are increased by 2.5° to reflect a triaxial compression mode of shear after Stark and Eid (1997). To compare with ring shear and direct shear laboratory data use "Laboratory (PI)" Worksheet.</t>
  </si>
  <si>
    <t>Residualn + 1 SD</t>
  </si>
  <si>
    <t>Fully Softened + 1 SD</t>
  </si>
  <si>
    <t>FSS Power Function + 1 SD</t>
  </si>
  <si>
    <t>Residual Power Function + 1 SD</t>
  </si>
  <si>
    <t>Residual + 1 SD</t>
  </si>
  <si>
    <t>Drained Residual and Fully Softened Strengths and Standard Deviation - January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</si>
</sst>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0.000E+00"/>
    <numFmt numFmtId="167" formatCode="0.00000"/>
    <numFmt numFmtId="168" formatCode="0.00000000"/>
    <numFmt numFmtId="169" formatCode="0.0000000"/>
    <numFmt numFmtId="170" formatCode="0.0000"/>
    <numFmt numFmtId="171" formatCode="0.00000000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4"/>
      <color indexed="10"/>
      <name val="Calibri"/>
      <family val="2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b/>
      <sz val="14"/>
      <color theme="0"/>
      <name val="Calibri"/>
      <family val="2"/>
    </font>
    <font>
      <b/>
      <sz val="14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7.7"/>
      <color theme="1"/>
      <name val="Calibri"/>
      <family val="2"/>
    </font>
    <font>
      <sz val="8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FF0000"/>
      <name val="Calibri"/>
      <family val="2"/>
    </font>
    <font>
      <b/>
      <sz val="17"/>
      <color rgb="FFFF0000"/>
      <name val="Calibri"/>
      <family val="2"/>
    </font>
    <font>
      <b/>
      <sz val="16"/>
      <name val="Calibri"/>
      <family val="2"/>
    </font>
    <font>
      <b/>
      <sz val="12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0.249977111117893"/>
      <name val="Calibri"/>
      <family val="2"/>
    </font>
    <font>
      <sz val="12"/>
      <color theme="0" tint="-0.249977111117893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1FF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4" fillId="0" borderId="0"/>
  </cellStyleXfs>
  <cellXfs count="426">
    <xf numFmtId="0" fontId="0" fillId="0" borderId="0" xfId="0"/>
    <xf numFmtId="0" fontId="8" fillId="4" borderId="4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0" fillId="7" borderId="0" xfId="0" applyFill="1" applyAlignment="1" applyProtection="1">
      <alignment horizontal="center"/>
      <protection hidden="1"/>
    </xf>
    <xf numFmtId="164" fontId="0" fillId="7" borderId="0" xfId="0" applyNumberFormat="1" applyFill="1" applyAlignment="1" applyProtection="1">
      <alignment horizontal="center"/>
      <protection hidden="1"/>
    </xf>
    <xf numFmtId="164" fontId="0" fillId="7" borderId="7" xfId="0" applyNumberFormat="1" applyFill="1" applyBorder="1" applyAlignment="1" applyProtection="1">
      <alignment horizontal="center"/>
      <protection hidden="1"/>
    </xf>
    <xf numFmtId="0" fontId="12" fillId="7" borderId="5" xfId="0" applyFont="1" applyFill="1" applyBorder="1" applyProtection="1">
      <protection hidden="1"/>
    </xf>
    <xf numFmtId="0" fontId="13" fillId="7" borderId="5" xfId="0" applyFont="1" applyFill="1" applyBorder="1" applyAlignment="1" applyProtection="1">
      <alignment horizontal="center"/>
      <protection hidden="1"/>
    </xf>
    <xf numFmtId="164" fontId="14" fillId="7" borderId="5" xfId="0" applyNumberFormat="1" applyFont="1" applyFill="1" applyBorder="1" applyAlignment="1" applyProtection="1">
      <alignment horizontal="center"/>
      <protection hidden="1"/>
    </xf>
    <xf numFmtId="0" fontId="14" fillId="7" borderId="5" xfId="0" applyFont="1" applyFill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164" fontId="0" fillId="7" borderId="9" xfId="0" applyNumberFormat="1" applyFill="1" applyBorder="1" applyAlignment="1" applyProtection="1">
      <alignment horizontal="center"/>
      <protection hidden="1"/>
    </xf>
    <xf numFmtId="164" fontId="0" fillId="7" borderId="10" xfId="0" applyNumberFormat="1" applyFill="1" applyBorder="1" applyAlignment="1" applyProtection="1">
      <alignment horizontal="center"/>
      <protection hidden="1"/>
    </xf>
    <xf numFmtId="0" fontId="6" fillId="7" borderId="4" xfId="0" applyFont="1" applyFill="1" applyBorder="1" applyAlignment="1" applyProtection="1">
      <alignment horizontal="center"/>
      <protection hidden="1"/>
    </xf>
    <xf numFmtId="0" fontId="13" fillId="7" borderId="4" xfId="0" applyFont="1" applyFill="1" applyBorder="1" applyAlignment="1" applyProtection="1">
      <alignment horizontal="center"/>
      <protection hidden="1"/>
    </xf>
    <xf numFmtId="164" fontId="14" fillId="7" borderId="4" xfId="0" applyNumberFormat="1" applyFont="1" applyFill="1" applyBorder="1" applyAlignment="1" applyProtection="1">
      <alignment horizontal="center"/>
      <protection hidden="1"/>
    </xf>
    <xf numFmtId="0" fontId="14" fillId="7" borderId="4" xfId="0" applyFont="1" applyFill="1" applyBorder="1" applyAlignment="1" applyProtection="1">
      <alignment horizont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164" fontId="0" fillId="4" borderId="12" xfId="0" applyNumberFormat="1" applyFill="1" applyBorder="1" applyAlignment="1" applyProtection="1">
      <alignment horizontal="center"/>
      <protection hidden="1"/>
    </xf>
    <xf numFmtId="164" fontId="0" fillId="4" borderId="13" xfId="0" applyNumberFormat="1" applyFill="1" applyBorder="1" applyAlignment="1" applyProtection="1">
      <alignment horizontal="center"/>
      <protection hidden="1"/>
    </xf>
    <xf numFmtId="0" fontId="0" fillId="6" borderId="4" xfId="0" applyFill="1" applyBorder="1" applyProtection="1">
      <protection hidden="1"/>
    </xf>
    <xf numFmtId="2" fontId="0" fillId="6" borderId="0" xfId="0" applyNumberFormat="1" applyFill="1" applyProtection="1">
      <protection hidden="1"/>
    </xf>
    <xf numFmtId="165" fontId="0" fillId="6" borderId="0" xfId="0" applyNumberFormat="1" applyFill="1" applyProtection="1">
      <protection hidden="1"/>
    </xf>
    <xf numFmtId="166" fontId="0" fillId="6" borderId="0" xfId="0" applyNumberFormat="1" applyFill="1" applyProtection="1">
      <protection hidden="1"/>
    </xf>
    <xf numFmtId="0" fontId="13" fillId="3" borderId="4" xfId="0" applyFont="1" applyFill="1" applyBorder="1" applyProtection="1">
      <protection hidden="1"/>
    </xf>
    <xf numFmtId="165" fontId="0" fillId="3" borderId="0" xfId="0" applyNumberFormat="1" applyFill="1" applyProtection="1">
      <protection hidden="1"/>
    </xf>
    <xf numFmtId="167" fontId="0" fillId="3" borderId="0" xfId="0" applyNumberFormat="1" applyFill="1" applyProtection="1">
      <protection hidden="1"/>
    </xf>
    <xf numFmtId="168" fontId="0" fillId="3" borderId="0" xfId="0" applyNumberFormat="1" applyFill="1" applyProtection="1">
      <protection hidden="1"/>
    </xf>
    <xf numFmtId="0" fontId="0" fillId="4" borderId="9" xfId="0" applyFill="1" applyBorder="1" applyAlignment="1" applyProtection="1">
      <alignment horizontal="center"/>
      <protection hidden="1"/>
    </xf>
    <xf numFmtId="164" fontId="0" fillId="4" borderId="9" xfId="0" applyNumberFormat="1" applyFill="1" applyBorder="1" applyAlignment="1" applyProtection="1">
      <alignment horizontal="center"/>
      <protection hidden="1"/>
    </xf>
    <xf numFmtId="164" fontId="0" fillId="4" borderId="10" xfId="0" applyNumberFormat="1" applyFill="1" applyBorder="1" applyAlignment="1" applyProtection="1">
      <alignment horizontal="center"/>
      <protection hidden="1"/>
    </xf>
    <xf numFmtId="0" fontId="0" fillId="11" borderId="4" xfId="0" applyFill="1" applyBorder="1" applyProtection="1">
      <protection hidden="1"/>
    </xf>
    <xf numFmtId="2" fontId="0" fillId="11" borderId="0" xfId="0" applyNumberFormat="1" applyFill="1" applyProtection="1">
      <protection hidden="1"/>
    </xf>
    <xf numFmtId="165" fontId="0" fillId="11" borderId="0" xfId="0" applyNumberFormat="1" applyFill="1" applyProtection="1">
      <protection hidden="1"/>
    </xf>
    <xf numFmtId="166" fontId="0" fillId="11" borderId="0" xfId="0" applyNumberFormat="1" applyFill="1" applyProtection="1">
      <protection hidden="1"/>
    </xf>
    <xf numFmtId="0" fontId="13" fillId="4" borderId="4" xfId="0" applyFont="1" applyFill="1" applyBorder="1" applyProtection="1">
      <protection hidden="1"/>
    </xf>
    <xf numFmtId="165" fontId="0" fillId="4" borderId="0" xfId="0" applyNumberFormat="1" applyFill="1" applyProtection="1">
      <protection hidden="1"/>
    </xf>
    <xf numFmtId="167" fontId="0" fillId="4" borderId="0" xfId="0" applyNumberFormat="1" applyFill="1" applyProtection="1">
      <protection hidden="1"/>
    </xf>
    <xf numFmtId="169" fontId="0" fillId="4" borderId="0" xfId="0" applyNumberFormat="1" applyFill="1" applyProtection="1">
      <protection hidden="1"/>
    </xf>
    <xf numFmtId="0" fontId="0" fillId="12" borderId="12" xfId="0" applyFill="1" applyBorder="1" applyAlignment="1" applyProtection="1">
      <alignment horizontal="center"/>
      <protection hidden="1"/>
    </xf>
    <xf numFmtId="164" fontId="0" fillId="12" borderId="12" xfId="0" applyNumberFormat="1" applyFill="1" applyBorder="1" applyAlignment="1" applyProtection="1">
      <alignment horizontal="center"/>
      <protection hidden="1"/>
    </xf>
    <xf numFmtId="164" fontId="0" fillId="12" borderId="13" xfId="0" applyNumberFormat="1" applyFill="1" applyBorder="1" applyAlignment="1" applyProtection="1">
      <alignment horizontal="center"/>
      <protection hidden="1"/>
    </xf>
    <xf numFmtId="0" fontId="0" fillId="4" borderId="4" xfId="0" applyFill="1" applyBorder="1" applyProtection="1">
      <protection hidden="1"/>
    </xf>
    <xf numFmtId="2" fontId="0" fillId="4" borderId="0" xfId="0" applyNumberFormat="1" applyFill="1" applyProtection="1">
      <protection hidden="1"/>
    </xf>
    <xf numFmtId="166" fontId="0" fillId="4" borderId="0" xfId="0" applyNumberFormat="1" applyFill="1" applyProtection="1">
      <protection hidden="1"/>
    </xf>
    <xf numFmtId="0" fontId="13" fillId="13" borderId="4" xfId="0" applyFont="1" applyFill="1" applyBorder="1" applyProtection="1">
      <protection hidden="1"/>
    </xf>
    <xf numFmtId="165" fontId="0" fillId="13" borderId="0" xfId="0" applyNumberFormat="1" applyFill="1" applyProtection="1">
      <protection hidden="1"/>
    </xf>
    <xf numFmtId="167" fontId="0" fillId="13" borderId="0" xfId="0" applyNumberFormat="1" applyFill="1" applyProtection="1">
      <protection hidden="1"/>
    </xf>
    <xf numFmtId="169" fontId="0" fillId="13" borderId="0" xfId="0" applyNumberFormat="1" applyFill="1" applyProtection="1">
      <protection hidden="1"/>
    </xf>
    <xf numFmtId="0" fontId="0" fillId="12" borderId="0" xfId="0" applyFill="1" applyAlignment="1" applyProtection="1">
      <alignment horizontal="center"/>
      <protection hidden="1"/>
    </xf>
    <xf numFmtId="164" fontId="0" fillId="12" borderId="0" xfId="0" applyNumberFormat="1" applyFill="1" applyAlignment="1" applyProtection="1">
      <alignment horizontal="center"/>
      <protection hidden="1"/>
    </xf>
    <xf numFmtId="164" fontId="0" fillId="12" borderId="7" xfId="0" applyNumberFormat="1" applyFill="1" applyBorder="1" applyAlignment="1" applyProtection="1">
      <alignment horizontal="center"/>
      <protection hidden="1"/>
    </xf>
    <xf numFmtId="0" fontId="0" fillId="13" borderId="4" xfId="0" applyFill="1" applyBorder="1" applyProtection="1">
      <protection hidden="1"/>
    </xf>
    <xf numFmtId="2" fontId="0" fillId="13" borderId="0" xfId="0" applyNumberFormat="1" applyFill="1" applyProtection="1">
      <protection hidden="1"/>
    </xf>
    <xf numFmtId="166" fontId="0" fillId="13" borderId="0" xfId="0" applyNumberFormat="1" applyFill="1" applyProtection="1">
      <protection hidden="1"/>
    </xf>
    <xf numFmtId="0" fontId="14" fillId="12" borderId="9" xfId="0" applyFont="1" applyFill="1" applyBorder="1" applyAlignment="1" applyProtection="1">
      <alignment horizontal="center"/>
      <protection hidden="1"/>
    </xf>
    <xf numFmtId="164" fontId="14" fillId="12" borderId="9" xfId="0" applyNumberFormat="1" applyFont="1" applyFill="1" applyBorder="1" applyAlignment="1" applyProtection="1">
      <alignment horizontal="center"/>
      <protection hidden="1"/>
    </xf>
    <xf numFmtId="164" fontId="14" fillId="12" borderId="10" xfId="0" applyNumberFormat="1" applyFont="1" applyFill="1" applyBorder="1" applyAlignment="1" applyProtection="1">
      <alignment horizontal="center"/>
      <protection hidden="1"/>
    </xf>
    <xf numFmtId="0" fontId="12" fillId="4" borderId="4" xfId="0" applyFont="1" applyFill="1" applyBorder="1" applyProtection="1">
      <protection hidden="1"/>
    </xf>
    <xf numFmtId="0" fontId="13" fillId="4" borderId="4" xfId="0" applyFont="1" applyFill="1" applyBorder="1" applyAlignment="1" applyProtection="1">
      <alignment horizontal="center"/>
      <protection hidden="1"/>
    </xf>
    <xf numFmtId="164" fontId="14" fillId="4" borderId="4" xfId="0" applyNumberFormat="1" applyFont="1" applyFill="1" applyBorder="1" applyAlignment="1" applyProtection="1">
      <alignment horizontal="center"/>
      <protection hidden="1"/>
    </xf>
    <xf numFmtId="0" fontId="14" fillId="4" borderId="4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164" fontId="0" fillId="7" borderId="12" xfId="0" applyNumberFormat="1" applyFill="1" applyBorder="1" applyAlignment="1" applyProtection="1">
      <alignment horizontal="center"/>
      <protection hidden="1"/>
    </xf>
    <xf numFmtId="164" fontId="0" fillId="7" borderId="13" xfId="0" applyNumberFormat="1" applyFill="1" applyBorder="1" applyAlignment="1" applyProtection="1">
      <alignment horizontal="center"/>
      <protection hidden="1"/>
    </xf>
    <xf numFmtId="164" fontId="0" fillId="6" borderId="0" xfId="0" applyNumberFormat="1" applyFill="1" applyProtection="1">
      <protection hidden="1"/>
    </xf>
    <xf numFmtId="11" fontId="0" fillId="6" borderId="0" xfId="0" applyNumberFormat="1" applyFill="1" applyProtection="1">
      <protection hidden="1"/>
    </xf>
    <xf numFmtId="164" fontId="0" fillId="3" borderId="0" xfId="0" applyNumberFormat="1" applyFill="1" applyProtection="1">
      <protection hidden="1"/>
    </xf>
    <xf numFmtId="11" fontId="0" fillId="3" borderId="0" xfId="0" applyNumberFormat="1" applyFill="1" applyProtection="1">
      <protection hidden="1"/>
    </xf>
    <xf numFmtId="168" fontId="0" fillId="4" borderId="0" xfId="0" applyNumberFormat="1" applyFill="1" applyProtection="1">
      <protection hidden="1"/>
    </xf>
    <xf numFmtId="168" fontId="0" fillId="13" borderId="0" xfId="0" applyNumberFormat="1" applyFill="1" applyProtection="1">
      <protection hidden="1"/>
    </xf>
    <xf numFmtId="164" fontId="0" fillId="13" borderId="0" xfId="0" applyNumberFormat="1" applyFill="1" applyProtection="1">
      <protection hidden="1"/>
    </xf>
    <xf numFmtId="11" fontId="0" fillId="13" borderId="0" xfId="0" applyNumberFormat="1" applyFill="1" applyProtection="1">
      <protection hidden="1"/>
    </xf>
    <xf numFmtId="0" fontId="13" fillId="7" borderId="0" xfId="0" applyFont="1" applyFill="1" applyAlignment="1" applyProtection="1">
      <alignment horizontal="left"/>
      <protection hidden="1"/>
    </xf>
    <xf numFmtId="0" fontId="13" fillId="7" borderId="0" xfId="0" applyFont="1" applyFill="1" applyAlignment="1" applyProtection="1">
      <alignment horizontal="center"/>
      <protection hidden="1"/>
    </xf>
    <xf numFmtId="0" fontId="12" fillId="12" borderId="4" xfId="0" applyFont="1" applyFill="1" applyBorder="1" applyProtection="1">
      <protection hidden="1"/>
    </xf>
    <xf numFmtId="0" fontId="13" fillId="12" borderId="4" xfId="0" applyFont="1" applyFill="1" applyBorder="1" applyAlignment="1" applyProtection="1">
      <alignment horizontal="center"/>
      <protection hidden="1"/>
    </xf>
    <xf numFmtId="164" fontId="14" fillId="12" borderId="4" xfId="0" applyNumberFormat="1" applyFont="1" applyFill="1" applyBorder="1" applyAlignment="1" applyProtection="1">
      <alignment horizontal="center"/>
      <protection hidden="1"/>
    </xf>
    <xf numFmtId="0" fontId="14" fillId="12" borderId="4" xfId="0" applyFont="1" applyFill="1" applyBorder="1" applyAlignment="1" applyProtection="1">
      <alignment horizontal="center"/>
      <protection hidden="1"/>
    </xf>
    <xf numFmtId="0" fontId="6" fillId="12" borderId="1" xfId="0" applyFont="1" applyFill="1" applyBorder="1" applyAlignment="1" applyProtection="1">
      <alignment horizontal="center"/>
      <protection hidden="1"/>
    </xf>
    <xf numFmtId="0" fontId="0" fillId="12" borderId="4" xfId="0" applyFill="1" applyBorder="1" applyProtection="1">
      <protection hidden="1"/>
    </xf>
    <xf numFmtId="2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1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13" fillId="12" borderId="4" xfId="0" applyFont="1" applyFill="1" applyBorder="1" applyProtection="1">
      <protection hidden="1"/>
    </xf>
    <xf numFmtId="2" fontId="0" fillId="3" borderId="0" xfId="0" applyNumberFormat="1" applyFill="1" applyProtection="1">
      <protection hidden="1"/>
    </xf>
    <xf numFmtId="171" fontId="0" fillId="3" borderId="0" xfId="0" applyNumberFormat="1" applyFill="1" applyProtection="1">
      <protection hidden="1"/>
    </xf>
    <xf numFmtId="171" fontId="0" fillId="4" borderId="0" xfId="0" applyNumberFormat="1" applyFill="1" applyProtection="1">
      <protection hidden="1"/>
    </xf>
    <xf numFmtId="171" fontId="0" fillId="13" borderId="0" xfId="0" applyNumberFormat="1" applyFill="1" applyProtection="1">
      <protection hidden="1"/>
    </xf>
    <xf numFmtId="165" fontId="0" fillId="0" borderId="0" xfId="0" applyNumberFormat="1" applyProtection="1">
      <protection hidden="1"/>
    </xf>
    <xf numFmtId="0" fontId="17" fillId="24" borderId="4" xfId="0" applyFont="1" applyFill="1" applyBorder="1" applyAlignment="1" applyProtection="1">
      <alignment horizontal="center"/>
      <protection hidden="1"/>
    </xf>
    <xf numFmtId="0" fontId="0" fillId="14" borderId="4" xfId="0" applyFill="1" applyBorder="1" applyAlignment="1" applyProtection="1">
      <alignment horizontal="center"/>
      <protection hidden="1"/>
    </xf>
    <xf numFmtId="0" fontId="16" fillId="5" borderId="4" xfId="0" applyFont="1" applyFill="1" applyBorder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164" fontId="18" fillId="15" borderId="4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16" fillId="16" borderId="4" xfId="0" applyFont="1" applyFill="1" applyBorder="1" applyAlignment="1" applyProtection="1">
      <alignment horizontal="center" vertical="center"/>
      <protection hidden="1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20" fillId="16" borderId="4" xfId="0" applyFont="1" applyFill="1" applyBorder="1" applyAlignment="1" applyProtection="1">
      <alignment horizontal="center" vertical="center"/>
      <protection hidden="1"/>
    </xf>
    <xf numFmtId="0" fontId="20" fillId="5" borderId="4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25" fillId="0" borderId="0" xfId="2" applyFont="1" applyAlignment="1" applyProtection="1">
      <alignment horizontal="left"/>
      <protection hidden="1"/>
    </xf>
    <xf numFmtId="0" fontId="24" fillId="0" borderId="0" xfId="2" applyProtection="1">
      <protection hidden="1"/>
    </xf>
    <xf numFmtId="0" fontId="0" fillId="8" borderId="0" xfId="0" applyFill="1" applyProtection="1">
      <protection hidden="1"/>
    </xf>
    <xf numFmtId="0" fontId="0" fillId="17" borderId="0" xfId="0" applyFill="1" applyProtection="1">
      <protection hidden="1"/>
    </xf>
    <xf numFmtId="0" fontId="24" fillId="17" borderId="0" xfId="2" applyFill="1" applyProtection="1">
      <protection hidden="1"/>
    </xf>
    <xf numFmtId="0" fontId="0" fillId="18" borderId="0" xfId="0" applyFill="1" applyProtection="1">
      <protection hidden="1"/>
    </xf>
    <xf numFmtId="0" fontId="26" fillId="19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20" borderId="0" xfId="0" applyFill="1" applyProtection="1">
      <protection hidden="1"/>
    </xf>
    <xf numFmtId="0" fontId="0" fillId="21" borderId="0" xfId="0" applyFill="1" applyProtection="1">
      <protection hidden="1"/>
    </xf>
    <xf numFmtId="0" fontId="0" fillId="22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70" fontId="0" fillId="0" borderId="9" xfId="0" applyNumberForma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70" fontId="26" fillId="0" borderId="0" xfId="0" applyNumberFormat="1" applyFont="1" applyAlignment="1" applyProtection="1">
      <alignment horizontal="center"/>
      <protection hidden="1"/>
    </xf>
    <xf numFmtId="170" fontId="26" fillId="0" borderId="9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5" borderId="4" xfId="0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6" fillId="8" borderId="4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1" fontId="6" fillId="7" borderId="4" xfId="0" applyNumberFormat="1" applyFont="1" applyFill="1" applyBorder="1" applyAlignment="1" applyProtection="1">
      <alignment horizontal="center" vertical="center"/>
      <protection hidden="1"/>
    </xf>
    <xf numFmtId="0" fontId="0" fillId="25" borderId="0" xfId="0" applyFill="1" applyProtection="1">
      <protection hidden="1"/>
    </xf>
    <xf numFmtId="164" fontId="21" fillId="25" borderId="0" xfId="0" applyNumberFormat="1" applyFont="1" applyFill="1" applyAlignment="1" applyProtection="1">
      <alignment horizontal="center"/>
      <protection hidden="1"/>
    </xf>
    <xf numFmtId="0" fontId="0" fillId="12" borderId="0" xfId="0" applyFill="1" applyProtection="1">
      <protection hidden="1"/>
    </xf>
    <xf numFmtId="0" fontId="0" fillId="23" borderId="4" xfId="0" applyFill="1" applyBorder="1"/>
    <xf numFmtId="0" fontId="32" fillId="27" borderId="4" xfId="0" applyFont="1" applyFill="1" applyBorder="1"/>
    <xf numFmtId="1" fontId="0" fillId="7" borderId="4" xfId="0" applyNumberFormat="1" applyFill="1" applyBorder="1" applyAlignment="1" applyProtection="1">
      <alignment horizontal="center"/>
      <protection hidden="1"/>
    </xf>
    <xf numFmtId="1" fontId="0" fillId="8" borderId="4" xfId="0" applyNumberFormat="1" applyFill="1" applyBorder="1" applyProtection="1">
      <protection hidden="1"/>
    </xf>
    <xf numFmtId="0" fontId="0" fillId="27" borderId="4" xfId="0" applyFill="1" applyBorder="1"/>
    <xf numFmtId="0" fontId="0" fillId="28" borderId="0" xfId="0" applyFill="1" applyProtection="1">
      <protection hidden="1"/>
    </xf>
    <xf numFmtId="1" fontId="0" fillId="28" borderId="0" xfId="0" applyNumberFormat="1" applyFill="1" applyProtection="1">
      <protection hidden="1"/>
    </xf>
    <xf numFmtId="0" fontId="12" fillId="28" borderId="20" xfId="0" applyFont="1" applyFill="1" applyBorder="1" applyProtection="1">
      <protection hidden="1"/>
    </xf>
    <xf numFmtId="0" fontId="13" fillId="28" borderId="20" xfId="0" applyFont="1" applyFill="1" applyBorder="1" applyAlignment="1" applyProtection="1">
      <alignment horizontal="center"/>
      <protection hidden="1"/>
    </xf>
    <xf numFmtId="164" fontId="14" fillId="28" borderId="20" xfId="0" applyNumberFormat="1" applyFont="1" applyFill="1" applyBorder="1" applyAlignment="1" applyProtection="1">
      <alignment horizontal="center"/>
      <protection hidden="1"/>
    </xf>
    <xf numFmtId="0" fontId="14" fillId="28" borderId="20" xfId="0" applyFont="1" applyFill="1" applyBorder="1" applyAlignment="1" applyProtection="1">
      <alignment horizontal="center"/>
      <protection hidden="1"/>
    </xf>
    <xf numFmtId="164" fontId="0" fillId="24" borderId="4" xfId="0" applyNumberFormat="1" applyFill="1" applyBorder="1" applyProtection="1">
      <protection hidden="1"/>
    </xf>
    <xf numFmtId="0" fontId="0" fillId="14" borderId="4" xfId="0" applyFill="1" applyBorder="1"/>
    <xf numFmtId="0" fontId="0" fillId="25" borderId="0" xfId="0" applyFill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0" fontId="17" fillId="24" borderId="23" xfId="0" applyFont="1" applyFill="1" applyBorder="1" applyAlignment="1" applyProtection="1">
      <alignment horizont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6" fillId="5" borderId="24" xfId="0" applyFont="1" applyFill="1" applyBorder="1" applyAlignment="1" applyProtection="1">
      <alignment horizontal="center"/>
      <protection hidden="1"/>
    </xf>
    <xf numFmtId="0" fontId="0" fillId="25" borderId="21" xfId="0" applyFill="1" applyBorder="1" applyProtection="1">
      <protection hidden="1"/>
    </xf>
    <xf numFmtId="0" fontId="33" fillId="2" borderId="0" xfId="0" applyFont="1" applyFill="1" applyAlignment="1" applyProtection="1">
      <alignment horizontal="left" vertical="center"/>
      <protection hidden="1"/>
    </xf>
    <xf numFmtId="0" fontId="34" fillId="2" borderId="0" xfId="0" applyFont="1" applyFill="1" applyAlignment="1" applyProtection="1">
      <alignment horizontal="left" vertical="center"/>
      <protection hidden="1"/>
    </xf>
    <xf numFmtId="11" fontId="0" fillId="29" borderId="0" xfId="0" applyNumberFormat="1" applyFill="1" applyProtection="1">
      <protection hidden="1"/>
    </xf>
    <xf numFmtId="11" fontId="0" fillId="30" borderId="0" xfId="0" applyNumberFormat="1" applyFill="1" applyProtection="1">
      <protection hidden="1"/>
    </xf>
    <xf numFmtId="164" fontId="0" fillId="31" borderId="0" xfId="0" applyNumberFormat="1" applyFill="1" applyProtection="1">
      <protection hidden="1"/>
    </xf>
    <xf numFmtId="11" fontId="0" fillId="31" borderId="0" xfId="0" applyNumberFormat="1" applyFill="1" applyProtection="1">
      <protection hidden="1"/>
    </xf>
    <xf numFmtId="170" fontId="0" fillId="23" borderId="9" xfId="0" applyNumberFormat="1" applyFill="1" applyBorder="1" applyAlignment="1" applyProtection="1">
      <alignment horizontal="center" vertical="center"/>
      <protection hidden="1"/>
    </xf>
    <xf numFmtId="0" fontId="20" fillId="25" borderId="0" xfId="0" applyFont="1" applyFill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0" fillId="25" borderId="4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0" borderId="4" xfId="0" applyBorder="1"/>
    <xf numFmtId="0" fontId="22" fillId="2" borderId="0" xfId="1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9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/>
    <xf numFmtId="0" fontId="0" fillId="32" borderId="0" xfId="0" applyFill="1"/>
    <xf numFmtId="0" fontId="0" fillId="28" borderId="28" xfId="0" applyFill="1" applyBorder="1" applyProtection="1">
      <protection hidden="1"/>
    </xf>
    <xf numFmtId="0" fontId="0" fillId="28" borderId="28" xfId="0" applyFill="1" applyBorder="1"/>
    <xf numFmtId="1" fontId="5" fillId="7" borderId="0" xfId="0" applyNumberFormat="1" applyFont="1" applyFill="1" applyAlignment="1" applyProtection="1">
      <alignment horizontal="center" vertical="center"/>
      <protection hidden="1"/>
    </xf>
    <xf numFmtId="0" fontId="0" fillId="25" borderId="4" xfId="0" applyFill="1" applyBorder="1" applyAlignment="1" applyProtection="1">
      <alignment horizontal="center"/>
      <protection hidden="1"/>
    </xf>
    <xf numFmtId="0" fontId="5" fillId="2" borderId="4" xfId="0" applyFont="1" applyFill="1" applyBorder="1" applyProtection="1"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/>
      <protection hidden="1"/>
    </xf>
    <xf numFmtId="0" fontId="30" fillId="25" borderId="0" xfId="0" applyFont="1" applyFill="1" applyAlignment="1" applyProtection="1">
      <alignment shrinkToFit="1"/>
      <protection hidden="1"/>
    </xf>
    <xf numFmtId="0" fontId="6" fillId="30" borderId="4" xfId="0" applyFont="1" applyFill="1" applyBorder="1" applyAlignment="1" applyProtection="1">
      <alignment horizontal="center" vertical="center" wrapText="1"/>
      <protection hidden="1"/>
    </xf>
    <xf numFmtId="0" fontId="9" fillId="30" borderId="4" xfId="0" applyFont="1" applyFill="1" applyBorder="1" applyAlignment="1" applyProtection="1">
      <alignment horizontal="center" vertical="center"/>
      <protection hidden="1"/>
    </xf>
    <xf numFmtId="164" fontId="29" fillId="30" borderId="4" xfId="0" applyNumberFormat="1" applyFont="1" applyFill="1" applyBorder="1" applyAlignment="1" applyProtection="1">
      <alignment horizontal="center" vertical="center"/>
      <protection hidden="1"/>
    </xf>
    <xf numFmtId="2" fontId="9" fillId="30" borderId="4" xfId="0" applyNumberFormat="1" applyFont="1" applyFill="1" applyBorder="1" applyAlignment="1" applyProtection="1">
      <alignment horizontal="center" vertical="center"/>
      <protection hidden="1"/>
    </xf>
    <xf numFmtId="164" fontId="9" fillId="30" borderId="4" xfId="0" applyNumberFormat="1" applyFont="1" applyFill="1" applyBorder="1" applyAlignment="1" applyProtection="1">
      <alignment horizontal="center" vertical="center"/>
      <protection hidden="1"/>
    </xf>
    <xf numFmtId="1" fontId="6" fillId="30" borderId="4" xfId="0" applyNumberFormat="1" applyFont="1" applyFill="1" applyBorder="1" applyAlignment="1" applyProtection="1">
      <alignment horizontal="center" vertical="center"/>
      <protection hidden="1"/>
    </xf>
    <xf numFmtId="0" fontId="6" fillId="34" borderId="4" xfId="0" applyFont="1" applyFill="1" applyBorder="1" applyAlignment="1" applyProtection="1">
      <alignment horizontal="center" vertical="center" wrapText="1"/>
      <protection hidden="1"/>
    </xf>
    <xf numFmtId="0" fontId="9" fillId="34" borderId="4" xfId="0" applyFont="1" applyFill="1" applyBorder="1" applyAlignment="1" applyProtection="1">
      <alignment horizontal="center" vertical="center"/>
      <protection hidden="1"/>
    </xf>
    <xf numFmtId="164" fontId="29" fillId="34" borderId="4" xfId="0" applyNumberFormat="1" applyFont="1" applyFill="1" applyBorder="1" applyAlignment="1" applyProtection="1">
      <alignment horizontal="center" vertical="center"/>
      <protection hidden="1"/>
    </xf>
    <xf numFmtId="2" fontId="9" fillId="34" borderId="4" xfId="0" applyNumberFormat="1" applyFont="1" applyFill="1" applyBorder="1" applyAlignment="1" applyProtection="1">
      <alignment horizontal="center" vertical="center"/>
      <protection hidden="1"/>
    </xf>
    <xf numFmtId="164" fontId="9" fillId="34" borderId="4" xfId="0" applyNumberFormat="1" applyFont="1" applyFill="1" applyBorder="1" applyAlignment="1" applyProtection="1">
      <alignment horizontal="center" vertical="center"/>
      <protection hidden="1"/>
    </xf>
    <xf numFmtId="1" fontId="6" fillId="34" borderId="4" xfId="0" applyNumberFormat="1" applyFont="1" applyFill="1" applyBorder="1" applyAlignment="1" applyProtection="1">
      <alignment horizontal="center" vertical="center"/>
      <protection hidden="1"/>
    </xf>
    <xf numFmtId="0" fontId="0" fillId="30" borderId="23" xfId="0" applyFill="1" applyBorder="1" applyAlignment="1" applyProtection="1">
      <alignment horizontal="center"/>
      <protection hidden="1"/>
    </xf>
    <xf numFmtId="164" fontId="0" fillId="30" borderId="4" xfId="0" applyNumberFormat="1" applyFill="1" applyBorder="1" applyAlignment="1" applyProtection="1">
      <alignment horizontal="center"/>
      <protection hidden="1"/>
    </xf>
    <xf numFmtId="164" fontId="0" fillId="30" borderId="24" xfId="0" applyNumberFormat="1" applyFill="1" applyBorder="1" applyAlignment="1" applyProtection="1">
      <alignment horizontal="center"/>
      <protection hidden="1"/>
    </xf>
    <xf numFmtId="0" fontId="0" fillId="34" borderId="23" xfId="0" applyFill="1" applyBorder="1" applyAlignment="1" applyProtection="1">
      <alignment horizontal="center"/>
      <protection hidden="1"/>
    </xf>
    <xf numFmtId="164" fontId="0" fillId="34" borderId="4" xfId="0" applyNumberFormat="1" applyFill="1" applyBorder="1" applyAlignment="1" applyProtection="1">
      <alignment horizontal="center"/>
      <protection hidden="1"/>
    </xf>
    <xf numFmtId="164" fontId="0" fillId="34" borderId="24" xfId="0" applyNumberFormat="1" applyFill="1" applyBorder="1" applyAlignment="1" applyProtection="1">
      <alignment horizontal="center"/>
      <protection hidden="1"/>
    </xf>
    <xf numFmtId="0" fontId="0" fillId="30" borderId="25" xfId="0" applyFill="1" applyBorder="1" applyAlignment="1" applyProtection="1">
      <alignment horizontal="center"/>
      <protection hidden="1"/>
    </xf>
    <xf numFmtId="164" fontId="0" fillId="30" borderId="26" xfId="0" applyNumberFormat="1" applyFill="1" applyBorder="1" applyAlignment="1" applyProtection="1">
      <alignment horizontal="center"/>
      <protection hidden="1"/>
    </xf>
    <xf numFmtId="164" fontId="0" fillId="30" borderId="27" xfId="0" applyNumberFormat="1" applyFill="1" applyBorder="1" applyAlignment="1" applyProtection="1">
      <alignment horizontal="center"/>
      <protection hidden="1"/>
    </xf>
    <xf numFmtId="0" fontId="0" fillId="34" borderId="25" xfId="0" applyFill="1" applyBorder="1" applyAlignment="1" applyProtection="1">
      <alignment horizontal="center"/>
      <protection hidden="1"/>
    </xf>
    <xf numFmtId="164" fontId="0" fillId="34" borderId="26" xfId="0" applyNumberFormat="1" applyFill="1" applyBorder="1" applyAlignment="1" applyProtection="1">
      <alignment horizontal="center"/>
      <protection hidden="1"/>
    </xf>
    <xf numFmtId="164" fontId="0" fillId="34" borderId="27" xfId="0" applyNumberFormat="1" applyFill="1" applyBorder="1" applyAlignment="1" applyProtection="1">
      <alignment horizontal="center"/>
      <protection hidden="1"/>
    </xf>
    <xf numFmtId="0" fontId="31" fillId="15" borderId="4" xfId="0" applyFont="1" applyFill="1" applyBorder="1" applyAlignment="1" applyProtection="1">
      <alignment horizontal="center"/>
      <protection hidden="1"/>
    </xf>
    <xf numFmtId="164" fontId="31" fillId="15" borderId="4" xfId="0" applyNumberFormat="1" applyFont="1" applyFill="1" applyBorder="1" applyAlignment="1" applyProtection="1">
      <alignment horizontal="center"/>
      <protection hidden="1"/>
    </xf>
    <xf numFmtId="0" fontId="31" fillId="2" borderId="0" xfId="0" applyFont="1" applyFill="1" applyProtection="1">
      <protection hidden="1"/>
    </xf>
    <xf numFmtId="0" fontId="31" fillId="33" borderId="4" xfId="0" applyFont="1" applyFill="1" applyBorder="1" applyAlignment="1" applyProtection="1">
      <alignment horizontal="center"/>
      <protection hidden="1"/>
    </xf>
    <xf numFmtId="164" fontId="31" fillId="33" borderId="4" xfId="0" applyNumberFormat="1" applyFont="1" applyFill="1" applyBorder="1" applyAlignment="1" applyProtection="1">
      <alignment horizontal="center"/>
      <protection hidden="1"/>
    </xf>
    <xf numFmtId="0" fontId="38" fillId="9" borderId="4" xfId="0" applyFont="1" applyFill="1" applyBorder="1" applyAlignment="1" applyProtection="1">
      <alignment horizontal="center" vertical="center" wrapText="1"/>
      <protection hidden="1"/>
    </xf>
    <xf numFmtId="164" fontId="39" fillId="9" borderId="4" xfId="0" applyNumberFormat="1" applyFont="1" applyFill="1" applyBorder="1" applyAlignment="1" applyProtection="1">
      <alignment horizontal="center" vertical="center"/>
      <protection hidden="1"/>
    </xf>
    <xf numFmtId="167" fontId="39" fillId="9" borderId="4" xfId="0" applyNumberFormat="1" applyFont="1" applyFill="1" applyBorder="1" applyAlignment="1" applyProtection="1">
      <alignment horizontal="center" vertical="center"/>
      <protection hidden="1"/>
    </xf>
    <xf numFmtId="0" fontId="38" fillId="33" borderId="4" xfId="0" applyFont="1" applyFill="1" applyBorder="1" applyAlignment="1" applyProtection="1">
      <alignment horizontal="center" vertical="center" wrapText="1"/>
      <protection hidden="1"/>
    </xf>
    <xf numFmtId="164" fontId="39" fillId="33" borderId="4" xfId="0" applyNumberFormat="1" applyFont="1" applyFill="1" applyBorder="1" applyAlignment="1" applyProtection="1">
      <alignment horizontal="center" vertical="center"/>
      <protection hidden="1"/>
    </xf>
    <xf numFmtId="167" fontId="39" fillId="33" borderId="4" xfId="0" applyNumberFormat="1" applyFont="1" applyFill="1" applyBorder="1" applyAlignment="1" applyProtection="1">
      <alignment horizontal="center" vertical="center"/>
      <protection hidden="1"/>
    </xf>
    <xf numFmtId="0" fontId="6" fillId="30" borderId="4" xfId="0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shrinkToFit="1"/>
      <protection hidden="1"/>
    </xf>
    <xf numFmtId="0" fontId="19" fillId="25" borderId="0" xfId="0" applyFont="1" applyFill="1" applyAlignment="1" applyProtection="1">
      <alignment horizontal="center" vertical="center" shrinkToFit="1"/>
      <protection hidden="1"/>
    </xf>
    <xf numFmtId="164" fontId="39" fillId="15" borderId="4" xfId="0" applyNumberFormat="1" applyFont="1" applyFill="1" applyBorder="1" applyAlignment="1" applyProtection="1">
      <alignment horizontal="center" vertical="center"/>
      <protection hidden="1"/>
    </xf>
    <xf numFmtId="0" fontId="21" fillId="30" borderId="23" xfId="0" applyFont="1" applyFill="1" applyBorder="1" applyAlignment="1" applyProtection="1">
      <alignment horizontal="center"/>
      <protection hidden="1"/>
    </xf>
    <xf numFmtId="164" fontId="21" fillId="30" borderId="4" xfId="0" applyNumberFormat="1" applyFont="1" applyFill="1" applyBorder="1" applyAlignment="1" applyProtection="1">
      <alignment horizontal="center"/>
      <protection hidden="1"/>
    </xf>
    <xf numFmtId="164" fontId="21" fillId="30" borderId="24" xfId="0" applyNumberFormat="1" applyFont="1" applyFill="1" applyBorder="1" applyAlignment="1" applyProtection="1">
      <alignment horizontal="center"/>
      <protection hidden="1"/>
    </xf>
    <xf numFmtId="0" fontId="21" fillId="25" borderId="0" xfId="0" applyFont="1" applyFill="1" applyProtection="1">
      <protection hidden="1"/>
    </xf>
    <xf numFmtId="0" fontId="21" fillId="34" borderId="23" xfId="0" applyFont="1" applyFill="1" applyBorder="1" applyAlignment="1" applyProtection="1">
      <alignment horizontal="center"/>
      <protection hidden="1"/>
    </xf>
    <xf numFmtId="164" fontId="21" fillId="34" borderId="4" xfId="0" applyNumberFormat="1" applyFont="1" applyFill="1" applyBorder="1" applyAlignment="1" applyProtection="1">
      <alignment horizontal="center"/>
      <protection hidden="1"/>
    </xf>
    <xf numFmtId="164" fontId="21" fillId="34" borderId="24" xfId="0" applyNumberFormat="1" applyFont="1" applyFill="1" applyBorder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1" fillId="30" borderId="25" xfId="0" applyFont="1" applyFill="1" applyBorder="1" applyAlignment="1" applyProtection="1">
      <alignment horizontal="center"/>
      <protection hidden="1"/>
    </xf>
    <xf numFmtId="164" fontId="21" fillId="30" borderId="26" xfId="0" applyNumberFormat="1" applyFont="1" applyFill="1" applyBorder="1" applyAlignment="1" applyProtection="1">
      <alignment horizontal="center"/>
      <protection hidden="1"/>
    </xf>
    <xf numFmtId="164" fontId="21" fillId="30" borderId="27" xfId="0" applyNumberFormat="1" applyFont="1" applyFill="1" applyBorder="1" applyAlignment="1" applyProtection="1">
      <alignment horizontal="center"/>
      <protection hidden="1"/>
    </xf>
    <xf numFmtId="0" fontId="21" fillId="34" borderId="25" xfId="0" applyFont="1" applyFill="1" applyBorder="1" applyAlignment="1" applyProtection="1">
      <alignment horizontal="center"/>
      <protection hidden="1"/>
    </xf>
    <xf numFmtId="164" fontId="21" fillId="34" borderId="26" xfId="0" applyNumberFormat="1" applyFont="1" applyFill="1" applyBorder="1" applyAlignment="1" applyProtection="1">
      <alignment horizontal="center"/>
      <protection hidden="1"/>
    </xf>
    <xf numFmtId="164" fontId="21" fillId="34" borderId="27" xfId="0" applyNumberFormat="1" applyFont="1" applyFill="1" applyBorder="1" applyAlignment="1" applyProtection="1">
      <alignment horizontal="center"/>
      <protection hidden="1"/>
    </xf>
    <xf numFmtId="0" fontId="31" fillId="25" borderId="0" xfId="0" applyFont="1" applyFill="1" applyProtection="1"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6" fillId="34" borderId="4" xfId="0" applyFont="1" applyFill="1" applyBorder="1" applyAlignment="1" applyProtection="1">
      <alignment horizontal="center" vertical="center"/>
      <protection hidden="1"/>
    </xf>
    <xf numFmtId="0" fontId="38" fillId="9" borderId="4" xfId="0" applyFont="1" applyFill="1" applyBorder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shrinkToFit="1"/>
      <protection hidden="1"/>
    </xf>
    <xf numFmtId="0" fontId="8" fillId="4" borderId="1" xfId="0" applyFont="1" applyFill="1" applyBorder="1" applyAlignment="1" applyProtection="1">
      <alignment horizontal="center"/>
      <protection locked="0"/>
    </xf>
    <xf numFmtId="0" fontId="0" fillId="28" borderId="5" xfId="0" applyFill="1" applyBorder="1" applyProtection="1">
      <protection hidden="1"/>
    </xf>
    <xf numFmtId="2" fontId="0" fillId="28" borderId="5" xfId="0" applyNumberFormat="1" applyFill="1" applyBorder="1" applyProtection="1">
      <protection hidden="1"/>
    </xf>
    <xf numFmtId="170" fontId="0" fillId="28" borderId="5" xfId="0" applyNumberFormat="1" applyFill="1" applyBorder="1" applyProtection="1">
      <protection hidden="1"/>
    </xf>
    <xf numFmtId="11" fontId="0" fillId="28" borderId="5" xfId="0" applyNumberFormat="1" applyFill="1" applyBorder="1" applyProtection="1">
      <protection hidden="1"/>
    </xf>
    <xf numFmtId="166" fontId="0" fillId="28" borderId="5" xfId="0" applyNumberFormat="1" applyFill="1" applyBorder="1" applyProtection="1">
      <protection hidden="1"/>
    </xf>
    <xf numFmtId="0" fontId="0" fillId="28" borderId="3" xfId="0" applyFill="1" applyBorder="1" applyProtection="1">
      <protection hidden="1"/>
    </xf>
    <xf numFmtId="0" fontId="13" fillId="28" borderId="3" xfId="0" applyFont="1" applyFill="1" applyBorder="1" applyAlignment="1" applyProtection="1">
      <alignment horizontal="left"/>
      <protection hidden="1"/>
    </xf>
    <xf numFmtId="0" fontId="12" fillId="28" borderId="3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4" xfId="0" applyBorder="1" applyAlignment="1">
      <alignment shrinkToFit="1"/>
    </xf>
    <xf numFmtId="0" fontId="5" fillId="2" borderId="29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24" xfId="0" applyBorder="1"/>
    <xf numFmtId="164" fontId="0" fillId="0" borderId="0" xfId="0" applyNumberFormat="1" applyProtection="1">
      <protection hidden="1"/>
    </xf>
    <xf numFmtId="0" fontId="20" fillId="25" borderId="0" xfId="0" applyFont="1" applyFill="1" applyAlignment="1" applyProtection="1">
      <alignment horizontal="center" vertical="center" shrinkToFit="1"/>
      <protection hidden="1"/>
    </xf>
    <xf numFmtId="0" fontId="0" fillId="2" borderId="0" xfId="0" applyFill="1" applyAlignment="1" applyProtection="1">
      <alignment shrinkToFit="1"/>
      <protection hidden="1"/>
    </xf>
    <xf numFmtId="0" fontId="22" fillId="2" borderId="0" xfId="1" applyFont="1" applyFill="1" applyAlignment="1" applyProtection="1">
      <alignment horizontal="center" shrinkToFit="1"/>
      <protection hidden="1"/>
    </xf>
    <xf numFmtId="0" fontId="42" fillId="35" borderId="4" xfId="0" applyFont="1" applyFill="1" applyBorder="1" applyAlignment="1" applyProtection="1">
      <alignment horizontal="center" vertical="center" wrapText="1"/>
      <protection hidden="1"/>
    </xf>
    <xf numFmtId="0" fontId="43" fillId="35" borderId="4" xfId="0" applyFont="1" applyFill="1" applyBorder="1" applyAlignment="1" applyProtection="1">
      <alignment horizontal="center" vertical="center"/>
      <protection hidden="1"/>
    </xf>
    <xf numFmtId="164" fontId="43" fillId="35" borderId="4" xfId="0" applyNumberFormat="1" applyFont="1" applyFill="1" applyBorder="1" applyAlignment="1" applyProtection="1">
      <alignment horizontal="center" vertical="center"/>
      <protection hidden="1"/>
    </xf>
    <xf numFmtId="2" fontId="43" fillId="35" borderId="4" xfId="0" applyNumberFormat="1" applyFont="1" applyFill="1" applyBorder="1" applyAlignment="1" applyProtection="1">
      <alignment horizontal="center" vertical="center"/>
      <protection hidden="1"/>
    </xf>
    <xf numFmtId="1" fontId="42" fillId="35" borderId="4" xfId="0" applyNumberFormat="1" applyFont="1" applyFill="1" applyBorder="1" applyAlignment="1" applyProtection="1">
      <alignment horizontal="center" vertical="center"/>
      <protection hidden="1"/>
    </xf>
    <xf numFmtId="0" fontId="38" fillId="15" borderId="4" xfId="0" applyFont="1" applyFill="1" applyBorder="1" applyAlignment="1" applyProtection="1">
      <alignment horizontal="center" vertical="center" wrapText="1"/>
      <protection hidden="1"/>
    </xf>
    <xf numFmtId="167" fontId="39" fillId="15" borderId="4" xfId="0" applyNumberFormat="1" applyFont="1" applyFill="1" applyBorder="1" applyAlignment="1" applyProtection="1">
      <alignment horizontal="center" vertical="center"/>
      <protection hidden="1"/>
    </xf>
    <xf numFmtId="0" fontId="38" fillId="36" borderId="4" xfId="0" applyFont="1" applyFill="1" applyBorder="1" applyAlignment="1" applyProtection="1">
      <alignment horizontal="center" vertical="center" wrapText="1"/>
      <protection hidden="1"/>
    </xf>
    <xf numFmtId="164" fontId="39" fillId="36" borderId="4" xfId="0" applyNumberFormat="1" applyFont="1" applyFill="1" applyBorder="1" applyAlignment="1" applyProtection="1">
      <alignment horizontal="center" vertical="center"/>
      <protection hidden="1"/>
    </xf>
    <xf numFmtId="167" fontId="39" fillId="36" borderId="4" xfId="0" applyNumberFormat="1" applyFont="1" applyFill="1" applyBorder="1" applyAlignment="1" applyProtection="1">
      <alignment horizontal="center" vertical="center"/>
      <protection hidden="1"/>
    </xf>
    <xf numFmtId="0" fontId="31" fillId="37" borderId="4" xfId="0" applyFont="1" applyFill="1" applyBorder="1" applyAlignment="1" applyProtection="1">
      <alignment horizontal="center"/>
      <protection hidden="1"/>
    </xf>
    <xf numFmtId="164" fontId="31" fillId="37" borderId="4" xfId="0" applyNumberFormat="1" applyFont="1" applyFill="1" applyBorder="1" applyAlignment="1" applyProtection="1">
      <alignment horizontal="center"/>
      <protection hidden="1"/>
    </xf>
    <xf numFmtId="0" fontId="44" fillId="35" borderId="23" xfId="0" applyFont="1" applyFill="1" applyBorder="1" applyAlignment="1" applyProtection="1">
      <alignment horizontal="center"/>
      <protection hidden="1"/>
    </xf>
    <xf numFmtId="164" fontId="44" fillId="35" borderId="4" xfId="0" applyNumberFormat="1" applyFont="1" applyFill="1" applyBorder="1" applyAlignment="1" applyProtection="1">
      <alignment horizontal="center"/>
      <protection hidden="1"/>
    </xf>
    <xf numFmtId="164" fontId="44" fillId="35" borderId="24" xfId="0" applyNumberFormat="1" applyFont="1" applyFill="1" applyBorder="1" applyAlignment="1" applyProtection="1">
      <alignment horizontal="center"/>
      <protection hidden="1"/>
    </xf>
    <xf numFmtId="0" fontId="44" fillId="35" borderId="25" xfId="0" applyFont="1" applyFill="1" applyBorder="1" applyAlignment="1" applyProtection="1">
      <alignment horizontal="center"/>
      <protection hidden="1"/>
    </xf>
    <xf numFmtId="164" fontId="44" fillId="35" borderId="26" xfId="0" applyNumberFormat="1" applyFont="1" applyFill="1" applyBorder="1" applyAlignment="1" applyProtection="1">
      <alignment horizontal="center"/>
      <protection hidden="1"/>
    </xf>
    <xf numFmtId="164" fontId="44" fillId="35" borderId="27" xfId="0" applyNumberFormat="1" applyFont="1" applyFill="1" applyBorder="1" applyAlignment="1" applyProtection="1">
      <alignment horizontal="center"/>
      <protection hidden="1"/>
    </xf>
    <xf numFmtId="0" fontId="38" fillId="37" borderId="4" xfId="0" applyFont="1" applyFill="1" applyBorder="1" applyAlignment="1" applyProtection="1">
      <alignment horizontal="center" vertical="center" wrapText="1"/>
      <protection hidden="1"/>
    </xf>
    <xf numFmtId="164" fontId="39" fillId="37" borderId="4" xfId="0" applyNumberFormat="1" applyFont="1" applyFill="1" applyBorder="1" applyAlignment="1" applyProtection="1">
      <alignment horizontal="center" vertical="center"/>
      <protection hidden="1"/>
    </xf>
    <xf numFmtId="167" fontId="39" fillId="37" borderId="4" xfId="0" applyNumberFormat="1" applyFont="1" applyFill="1" applyBorder="1" applyAlignment="1" applyProtection="1">
      <alignment horizontal="center" vertical="center"/>
      <protection hidden="1"/>
    </xf>
    <xf numFmtId="164" fontId="42" fillId="35" borderId="4" xfId="0" applyNumberFormat="1" applyFont="1" applyFill="1" applyBorder="1" applyAlignment="1" applyProtection="1">
      <alignment horizontal="center" vertical="center"/>
      <protection hidden="1"/>
    </xf>
    <xf numFmtId="164" fontId="6" fillId="30" borderId="4" xfId="0" applyNumberFormat="1" applyFont="1" applyFill="1" applyBorder="1" applyAlignment="1" applyProtection="1">
      <alignment horizontal="center" vertical="center"/>
      <protection hidden="1"/>
    </xf>
    <xf numFmtId="164" fontId="6" fillId="34" borderId="4" xfId="0" applyNumberFormat="1" applyFont="1" applyFill="1" applyBorder="1" applyAlignment="1" applyProtection="1">
      <alignment horizontal="center" vertical="center"/>
      <protection hidden="1"/>
    </xf>
    <xf numFmtId="0" fontId="42" fillId="35" borderId="4" xfId="0" applyFont="1" applyFill="1" applyBorder="1" applyAlignment="1" applyProtection="1">
      <alignment horizontal="center" vertical="center"/>
      <protection hidden="1"/>
    </xf>
    <xf numFmtId="165" fontId="0" fillId="14" borderId="4" xfId="0" applyNumberFormat="1" applyFill="1" applyBorder="1" applyAlignment="1" applyProtection="1">
      <alignment horizontal="center"/>
      <protection hidden="1"/>
    </xf>
    <xf numFmtId="165" fontId="0" fillId="14" borderId="23" xfId="0" applyNumberForma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11" fillId="10" borderId="1" xfId="0" applyFont="1" applyFill="1" applyBorder="1" applyAlignment="1" applyProtection="1">
      <alignment horizontal="center"/>
      <protection hidden="1"/>
    </xf>
    <xf numFmtId="0" fontId="11" fillId="10" borderId="2" xfId="0" applyFont="1" applyFill="1" applyBorder="1" applyAlignment="1" applyProtection="1">
      <alignment horizontal="center"/>
      <protection hidden="1"/>
    </xf>
    <xf numFmtId="0" fontId="11" fillId="10" borderId="3" xfId="0" applyFont="1" applyFill="1" applyBorder="1" applyAlignment="1" applyProtection="1">
      <alignment horizont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5" fillId="12" borderId="11" xfId="0" applyFont="1" applyFill="1" applyBorder="1" applyAlignment="1" applyProtection="1">
      <alignment horizontal="center" vertical="center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left"/>
      <protection hidden="1"/>
    </xf>
    <xf numFmtId="0" fontId="11" fillId="10" borderId="1" xfId="0" applyFont="1" applyFill="1" applyBorder="1" applyAlignment="1" applyProtection="1">
      <alignment horizontal="left"/>
      <protection hidden="1"/>
    </xf>
    <xf numFmtId="0" fontId="11" fillId="10" borderId="2" xfId="0" applyFont="1" applyFill="1" applyBorder="1" applyAlignment="1" applyProtection="1">
      <alignment horizontal="left"/>
      <protection hidden="1"/>
    </xf>
    <xf numFmtId="0" fontId="11" fillId="10" borderId="3" xfId="0" applyFont="1" applyFill="1" applyBorder="1" applyAlignment="1" applyProtection="1">
      <alignment horizontal="left"/>
      <protection hidden="1"/>
    </xf>
    <xf numFmtId="0" fontId="5" fillId="7" borderId="6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/>
      <protection hidden="1"/>
    </xf>
    <xf numFmtId="0" fontId="5" fillId="6" borderId="2" xfId="0" applyFont="1" applyFill="1" applyBorder="1" applyAlignment="1" applyProtection="1">
      <alignment horizontal="center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4" fillId="6" borderId="2" xfId="0" applyFont="1" applyFill="1" applyBorder="1" applyAlignment="1" applyProtection="1">
      <alignment horizontal="center"/>
      <protection hidden="1"/>
    </xf>
    <xf numFmtId="0" fontId="4" fillId="6" borderId="3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31" fillId="26" borderId="0" xfId="0" applyFont="1" applyFill="1" applyAlignment="1" applyProtection="1">
      <alignment horizontal="center" vertical="center"/>
      <protection hidden="1"/>
    </xf>
    <xf numFmtId="0" fontId="31" fillId="26" borderId="0" xfId="0" applyFont="1" applyFill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/>
    <xf numFmtId="1" fontId="5" fillId="7" borderId="4" xfId="0" applyNumberFormat="1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horizontal="center"/>
    </xf>
    <xf numFmtId="0" fontId="0" fillId="0" borderId="4" xfId="0" applyBorder="1"/>
    <xf numFmtId="1" fontId="11" fillId="10" borderId="4" xfId="0" applyNumberFormat="1" applyFont="1" applyFill="1" applyBorder="1" applyAlignment="1" applyProtection="1">
      <alignment horizontal="center"/>
      <protection hidden="1"/>
    </xf>
    <xf numFmtId="1" fontId="0" fillId="0" borderId="4" xfId="0" applyNumberFormat="1" applyBorder="1" applyAlignment="1">
      <alignment horizontal="center"/>
    </xf>
    <xf numFmtId="1" fontId="0" fillId="0" borderId="4" xfId="0" applyNumberFormat="1" applyBorder="1"/>
    <xf numFmtId="1" fontId="0" fillId="7" borderId="1" xfId="0" applyNumberFormat="1" applyFill="1" applyBorder="1" applyAlignment="1" applyProtection="1">
      <alignment horizontal="center"/>
      <protection hidden="1"/>
    </xf>
    <xf numFmtId="0" fontId="0" fillId="0" borderId="2" xfId="0" applyBorder="1"/>
    <xf numFmtId="0" fontId="0" fillId="0" borderId="3" xfId="0" applyBorder="1"/>
    <xf numFmtId="1" fontId="0" fillId="24" borderId="1" xfId="0" applyNumberFormat="1" applyFill="1" applyBorder="1" applyAlignment="1" applyProtection="1">
      <alignment horizontal="center"/>
      <protection hidden="1"/>
    </xf>
    <xf numFmtId="0" fontId="0" fillId="24" borderId="2" xfId="0" applyFill="1" applyBorder="1"/>
    <xf numFmtId="0" fontId="0" fillId="24" borderId="3" xfId="0" applyFill="1" applyBorder="1"/>
    <xf numFmtId="1" fontId="0" fillId="23" borderId="1" xfId="0" applyNumberFormat="1" applyFill="1" applyBorder="1" applyAlignment="1" applyProtection="1">
      <alignment horizontal="center"/>
      <protection hidden="1"/>
    </xf>
    <xf numFmtId="0" fontId="0" fillId="23" borderId="2" xfId="0" applyFill="1" applyBorder="1"/>
    <xf numFmtId="0" fontId="0" fillId="23" borderId="3" xfId="0" applyFill="1" applyBorder="1"/>
    <xf numFmtId="1" fontId="0" fillId="14" borderId="1" xfId="0" applyNumberFormat="1" applyFill="1" applyBorder="1" applyAlignment="1" applyProtection="1">
      <alignment horizontal="center"/>
      <protection hidden="1"/>
    </xf>
    <xf numFmtId="0" fontId="0" fillId="14" borderId="2" xfId="0" applyFill="1" applyBorder="1"/>
    <xf numFmtId="0" fontId="0" fillId="14" borderId="3" xfId="0" applyFill="1" applyBorder="1"/>
    <xf numFmtId="170" fontId="0" fillId="23" borderId="9" xfId="0" applyNumberFormat="1" applyFill="1" applyBorder="1" applyAlignment="1" applyProtection="1">
      <alignment horizontal="center" vertical="center"/>
      <protection hidden="1"/>
    </xf>
    <xf numFmtId="0" fontId="0" fillId="23" borderId="9" xfId="0" applyFill="1" applyBorder="1" applyAlignment="1" applyProtection="1">
      <alignment horizontal="center" vertical="center"/>
      <protection hidden="1"/>
    </xf>
    <xf numFmtId="0" fontId="6" fillId="7" borderId="2" xfId="0" applyFont="1" applyFill="1" applyBorder="1" applyAlignment="1" applyProtection="1">
      <alignment horizontal="center" vertic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9" fillId="2" borderId="3" xfId="0" applyFont="1" applyFill="1" applyBorder="1" applyAlignment="1" applyProtection="1">
      <alignment horizontal="center" vertical="center"/>
      <protection hidden="1"/>
    </xf>
    <xf numFmtId="0" fontId="22" fillId="2" borderId="0" xfId="1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" fillId="24" borderId="4" xfId="0" applyFont="1" applyFill="1" applyBorder="1" applyAlignment="1" applyProtection="1">
      <alignment horizontal="center"/>
      <protection hidden="1"/>
    </xf>
    <xf numFmtId="0" fontId="0" fillId="24" borderId="4" xfId="0" applyFill="1" applyBorder="1" applyAlignment="1" applyProtection="1">
      <alignment horizontal="center"/>
      <protection hidden="1"/>
    </xf>
    <xf numFmtId="0" fontId="40" fillId="37" borderId="11" xfId="0" applyFont="1" applyFill="1" applyBorder="1" applyAlignment="1" applyProtection="1">
      <alignment horizontal="center" vertical="center" wrapText="1"/>
      <protection hidden="1"/>
    </xf>
    <xf numFmtId="0" fontId="0" fillId="37" borderId="12" xfId="0" applyFill="1" applyBorder="1" applyAlignment="1">
      <alignment wrapText="1"/>
    </xf>
    <xf numFmtId="0" fontId="0" fillId="37" borderId="13" xfId="0" applyFill="1" applyBorder="1" applyAlignment="1">
      <alignment wrapText="1"/>
    </xf>
    <xf numFmtId="0" fontId="0" fillId="37" borderId="8" xfId="0" applyFill="1" applyBorder="1" applyAlignment="1">
      <alignment wrapText="1"/>
    </xf>
    <xf numFmtId="0" fontId="0" fillId="37" borderId="9" xfId="0" applyFill="1" applyBorder="1" applyAlignment="1">
      <alignment wrapText="1"/>
    </xf>
    <xf numFmtId="0" fontId="0" fillId="37" borderId="10" xfId="0" applyFill="1" applyBorder="1" applyAlignment="1">
      <alignment wrapText="1"/>
    </xf>
    <xf numFmtId="0" fontId="45" fillId="35" borderId="14" xfId="0" applyFont="1" applyFill="1" applyBorder="1" applyAlignment="1" applyProtection="1">
      <alignment horizontal="center" vertical="center"/>
      <protection hidden="1"/>
    </xf>
    <xf numFmtId="0" fontId="44" fillId="35" borderId="15" xfId="0" applyFont="1" applyFill="1" applyBorder="1"/>
    <xf numFmtId="0" fontId="44" fillId="35" borderId="16" xfId="0" applyFont="1" applyFill="1" applyBorder="1"/>
    <xf numFmtId="0" fontId="44" fillId="35" borderId="17" xfId="0" applyFont="1" applyFill="1" applyBorder="1"/>
    <xf numFmtId="0" fontId="44" fillId="35" borderId="18" xfId="0" applyFont="1" applyFill="1" applyBorder="1"/>
    <xf numFmtId="0" fontId="44" fillId="35" borderId="19" xfId="0" applyFont="1" applyFill="1" applyBorder="1"/>
    <xf numFmtId="0" fontId="1" fillId="24" borderId="22" xfId="0" applyFont="1" applyFill="1" applyBorder="1" applyAlignment="1" applyProtection="1">
      <alignment horizontal="center"/>
      <protection hidden="1"/>
    </xf>
    <xf numFmtId="0" fontId="0" fillId="24" borderId="5" xfId="0" applyFill="1" applyBorder="1" applyAlignment="1" applyProtection="1">
      <alignment horizontal="center"/>
      <protection hidden="1"/>
    </xf>
    <xf numFmtId="0" fontId="40" fillId="33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40" fillId="15" borderId="4" xfId="0" applyFont="1" applyFill="1" applyBorder="1" applyAlignment="1" applyProtection="1">
      <alignment horizontal="center" vertical="center" wrapText="1"/>
      <protection hidden="1"/>
    </xf>
    <xf numFmtId="0" fontId="40" fillId="15" borderId="4" xfId="0" applyFont="1" applyFill="1" applyBorder="1" applyAlignment="1">
      <alignment horizontal="center" vertical="center" wrapText="1"/>
    </xf>
    <xf numFmtId="0" fontId="40" fillId="15" borderId="4" xfId="0" applyFont="1" applyFill="1" applyBorder="1" applyAlignment="1">
      <alignment wrapText="1"/>
    </xf>
    <xf numFmtId="0" fontId="16" fillId="30" borderId="14" xfId="0" applyFont="1" applyFill="1" applyBorder="1" applyAlignment="1" applyProtection="1">
      <alignment horizontal="center" vertical="center" wrapText="1"/>
      <protection hidden="1"/>
    </xf>
    <xf numFmtId="0" fontId="16" fillId="30" borderId="15" xfId="0" applyFont="1" applyFill="1" applyBorder="1" applyAlignment="1">
      <alignment horizontal="center" vertical="center" wrapText="1"/>
    </xf>
    <xf numFmtId="0" fontId="16" fillId="30" borderId="16" xfId="0" applyFont="1" applyFill="1" applyBorder="1" applyAlignment="1">
      <alignment wrapText="1"/>
    </xf>
    <xf numFmtId="0" fontId="16" fillId="30" borderId="17" xfId="0" applyFont="1" applyFill="1" applyBorder="1" applyAlignment="1">
      <alignment horizontal="center" vertical="center" wrapText="1"/>
    </xf>
    <xf numFmtId="0" fontId="16" fillId="30" borderId="18" xfId="0" applyFont="1" applyFill="1" applyBorder="1" applyAlignment="1">
      <alignment horizontal="center" vertical="center" wrapText="1"/>
    </xf>
    <xf numFmtId="0" fontId="16" fillId="30" borderId="19" xfId="0" applyFont="1" applyFill="1" applyBorder="1" applyAlignment="1">
      <alignment wrapText="1"/>
    </xf>
    <xf numFmtId="0" fontId="16" fillId="34" borderId="14" xfId="0" applyFont="1" applyFill="1" applyBorder="1" applyAlignment="1" applyProtection="1">
      <alignment horizontal="center" vertical="center"/>
      <protection hidden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0" fillId="33" borderId="4" xfId="0" applyFont="1" applyFill="1" applyBorder="1" applyAlignment="1" applyProtection="1">
      <alignment horizontal="center" vertical="center" wrapText="1"/>
      <protection hidden="1"/>
    </xf>
    <xf numFmtId="0" fontId="40" fillId="33" borderId="4" xfId="0" applyFont="1" applyFill="1" applyBorder="1" applyAlignment="1">
      <alignment horizontal="center" vertical="center" wrapText="1"/>
    </xf>
    <xf numFmtId="0" fontId="40" fillId="33" borderId="4" xfId="0" applyFont="1" applyFill="1" applyBorder="1" applyAlignment="1">
      <alignment wrapText="1"/>
    </xf>
    <xf numFmtId="0" fontId="16" fillId="34" borderId="14" xfId="0" applyFont="1" applyFill="1" applyBorder="1" applyAlignment="1" applyProtection="1">
      <alignment horizontal="center" vertical="center" wrapText="1"/>
      <protection hidden="1"/>
    </xf>
    <xf numFmtId="0" fontId="16" fillId="34" borderId="15" xfId="0" applyFont="1" applyFill="1" applyBorder="1" applyAlignment="1">
      <alignment horizontal="center" vertical="center" wrapText="1"/>
    </xf>
    <xf numFmtId="0" fontId="16" fillId="34" borderId="16" xfId="0" applyFont="1" applyFill="1" applyBorder="1" applyAlignment="1">
      <alignment wrapText="1"/>
    </xf>
    <xf numFmtId="0" fontId="16" fillId="34" borderId="17" xfId="0" applyFont="1" applyFill="1" applyBorder="1" applyAlignment="1">
      <alignment horizontal="center" vertical="center" wrapText="1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9" xfId="0" applyFont="1" applyFill="1" applyBorder="1" applyAlignment="1">
      <alignment wrapText="1"/>
    </xf>
    <xf numFmtId="0" fontId="37" fillId="3" borderId="4" xfId="0" applyFont="1" applyFill="1" applyBorder="1" applyAlignment="1" applyProtection="1">
      <alignment horizontal="center"/>
      <protection hidden="1"/>
    </xf>
    <xf numFmtId="0" fontId="36" fillId="30" borderId="14" xfId="0" applyFont="1" applyFill="1" applyBorder="1" applyAlignment="1" applyProtection="1">
      <alignment horizontal="center" vertical="center" wrapText="1"/>
      <protection hidden="1"/>
    </xf>
    <xf numFmtId="0" fontId="36" fillId="30" borderId="15" xfId="0" applyFont="1" applyFill="1" applyBorder="1" applyAlignment="1">
      <alignment horizontal="center" vertical="center" wrapText="1"/>
    </xf>
    <xf numFmtId="0" fontId="36" fillId="30" borderId="16" xfId="0" applyFont="1" applyFill="1" applyBorder="1" applyAlignment="1">
      <alignment wrapText="1"/>
    </xf>
    <xf numFmtId="0" fontId="36" fillId="30" borderId="17" xfId="0" applyFont="1" applyFill="1" applyBorder="1" applyAlignment="1">
      <alignment horizontal="center" vertical="center" wrapText="1"/>
    </xf>
    <xf numFmtId="0" fontId="36" fillId="30" borderId="18" xfId="0" applyFont="1" applyFill="1" applyBorder="1" applyAlignment="1">
      <alignment horizontal="center" vertical="center" wrapText="1"/>
    </xf>
    <xf numFmtId="0" fontId="36" fillId="30" borderId="19" xfId="0" applyFont="1" applyFill="1" applyBorder="1" applyAlignment="1">
      <alignment wrapText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40" fillId="37" borderId="4" xfId="0" applyFont="1" applyFill="1" applyBorder="1" applyAlignment="1" applyProtection="1">
      <alignment horizontal="center" vertical="center" wrapText="1"/>
      <protection hidden="1"/>
    </xf>
    <xf numFmtId="0" fontId="40" fillId="37" borderId="4" xfId="0" applyFont="1" applyFill="1" applyBorder="1" applyAlignment="1">
      <alignment horizontal="center" vertical="center" wrapText="1"/>
    </xf>
    <xf numFmtId="0" fontId="40" fillId="37" borderId="4" xfId="0" applyFont="1" applyFill="1" applyBorder="1" applyAlignment="1">
      <alignment wrapText="1"/>
    </xf>
    <xf numFmtId="0" fontId="45" fillId="35" borderId="14" xfId="0" applyFont="1" applyFill="1" applyBorder="1" applyAlignment="1" applyProtection="1">
      <alignment horizontal="center" vertical="center" wrapText="1"/>
      <protection hidden="1"/>
    </xf>
    <xf numFmtId="0" fontId="45" fillId="35" borderId="15" xfId="0" applyFont="1" applyFill="1" applyBorder="1" applyAlignment="1">
      <alignment horizontal="center" vertical="center" wrapText="1"/>
    </xf>
    <xf numFmtId="0" fontId="45" fillId="35" borderId="16" xfId="0" applyFont="1" applyFill="1" applyBorder="1" applyAlignment="1">
      <alignment wrapText="1"/>
    </xf>
    <xf numFmtId="0" fontId="45" fillId="35" borderId="17" xfId="0" applyFont="1" applyFill="1" applyBorder="1" applyAlignment="1">
      <alignment horizontal="center" vertical="center" wrapText="1"/>
    </xf>
    <xf numFmtId="0" fontId="45" fillId="35" borderId="18" xfId="0" applyFont="1" applyFill="1" applyBorder="1" applyAlignment="1">
      <alignment horizontal="center" vertical="center" wrapText="1"/>
    </xf>
    <xf numFmtId="0" fontId="45" fillId="35" borderId="19" xfId="0" applyFont="1" applyFill="1" applyBorder="1" applyAlignment="1">
      <alignment wrapText="1"/>
    </xf>
    <xf numFmtId="0" fontId="36" fillId="34" borderId="14" xfId="0" applyFont="1" applyFill="1" applyBorder="1" applyAlignment="1" applyProtection="1">
      <alignment horizontal="center" vertical="center" wrapText="1"/>
      <protection hidden="1"/>
    </xf>
    <xf numFmtId="0" fontId="36" fillId="34" borderId="15" xfId="0" applyFont="1" applyFill="1" applyBorder="1" applyAlignment="1">
      <alignment horizontal="center" vertical="center" wrapText="1"/>
    </xf>
    <xf numFmtId="0" fontId="36" fillId="34" borderId="16" xfId="0" applyFont="1" applyFill="1" applyBorder="1" applyAlignment="1">
      <alignment wrapText="1"/>
    </xf>
    <xf numFmtId="0" fontId="36" fillId="34" borderId="17" xfId="0" applyFont="1" applyFill="1" applyBorder="1" applyAlignment="1">
      <alignment horizontal="center" vertical="center" wrapText="1"/>
    </xf>
    <xf numFmtId="0" fontId="36" fillId="34" borderId="18" xfId="0" applyFont="1" applyFill="1" applyBorder="1" applyAlignment="1">
      <alignment horizontal="center" vertical="center" wrapText="1"/>
    </xf>
    <xf numFmtId="0" fontId="36" fillId="34" borderId="19" xfId="0" applyFont="1" applyFill="1" applyBorder="1" applyAlignment="1">
      <alignment wrapText="1"/>
    </xf>
    <xf numFmtId="0" fontId="1" fillId="24" borderId="31" xfId="0" applyFont="1" applyFill="1" applyBorder="1" applyAlignment="1" applyProtection="1">
      <alignment horizontal="center"/>
      <protection hidden="1"/>
    </xf>
    <xf numFmtId="0" fontId="1" fillId="24" borderId="32" xfId="0" applyFont="1" applyFill="1" applyBorder="1" applyAlignment="1" applyProtection="1">
      <alignment horizontal="center"/>
      <protection hidden="1"/>
    </xf>
    <xf numFmtId="0" fontId="19" fillId="25" borderId="0" xfId="0" applyFont="1" applyFill="1" applyAlignment="1" applyProtection="1">
      <alignment horizontal="center" vertical="center"/>
      <protection hidden="1"/>
    </xf>
    <xf numFmtId="0" fontId="35" fillId="3" borderId="4" xfId="0" applyFont="1" applyFill="1" applyBorder="1" applyAlignment="1" applyProtection="1">
      <alignment horizontal="center"/>
      <protection hidden="1"/>
    </xf>
    <xf numFmtId="0" fontId="36" fillId="30" borderId="15" xfId="0" applyFont="1" applyFill="1" applyBorder="1" applyAlignment="1" applyProtection="1">
      <alignment horizontal="center" vertical="center" wrapText="1"/>
      <protection hidden="1"/>
    </xf>
    <xf numFmtId="0" fontId="36" fillId="30" borderId="16" xfId="0" applyFont="1" applyFill="1" applyBorder="1" applyAlignment="1" applyProtection="1">
      <alignment horizontal="center" vertical="center" wrapText="1"/>
      <protection hidden="1"/>
    </xf>
    <xf numFmtId="0" fontId="36" fillId="30" borderId="17" xfId="0" applyFont="1" applyFill="1" applyBorder="1" applyAlignment="1" applyProtection="1">
      <alignment horizontal="center" vertical="center" wrapText="1"/>
      <protection hidden="1"/>
    </xf>
    <xf numFmtId="0" fontId="36" fillId="30" borderId="18" xfId="0" applyFont="1" applyFill="1" applyBorder="1" applyAlignment="1" applyProtection="1">
      <alignment horizontal="center" vertical="center" wrapText="1"/>
      <protection hidden="1"/>
    </xf>
    <xf numFmtId="0" fontId="36" fillId="30" borderId="19" xfId="0" applyFont="1" applyFill="1" applyBorder="1" applyAlignment="1" applyProtection="1">
      <alignment horizontal="center" vertical="center" wrapText="1"/>
      <protection hidden="1"/>
    </xf>
    <xf numFmtId="0" fontId="46" fillId="25" borderId="0" xfId="0" applyFont="1" applyFill="1" applyAlignment="1" applyProtection="1">
      <alignment vertical="center" shrinkToFit="1"/>
      <protection hidden="1"/>
    </xf>
    <xf numFmtId="0" fontId="47" fillId="25" borderId="0" xfId="0" applyFont="1" applyFill="1" applyAlignment="1">
      <alignment vertical="center" shrinkToFit="1"/>
    </xf>
    <xf numFmtId="0" fontId="48" fillId="2" borderId="0" xfId="0" applyFont="1" applyFill="1" applyAlignment="1" applyProtection="1">
      <alignment wrapText="1"/>
      <protection hidden="1"/>
    </xf>
    <xf numFmtId="0" fontId="49" fillId="0" borderId="0" xfId="0" applyFont="1" applyAlignment="1">
      <alignment wrapText="1"/>
    </xf>
    <xf numFmtId="0" fontId="30" fillId="25" borderId="0" xfId="0" applyFont="1" applyFill="1" applyAlignment="1" applyProtection="1">
      <alignment vertical="center" shrinkToFit="1"/>
      <protection hidden="1"/>
    </xf>
    <xf numFmtId="0" fontId="48" fillId="25" borderId="0" xfId="0" applyFont="1" applyFill="1" applyAlignment="1" applyProtection="1">
      <alignment wrapText="1"/>
      <protection hidden="1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colors>
    <mruColors>
      <color rgb="FF000080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0651094113817"/>
          <c:y val="5.0291827673935807E-2"/>
          <c:w val="0.86552461398424807"/>
          <c:h val="0.78499827208040851"/>
        </c:manualLayout>
      </c:layout>
      <c:scatterChart>
        <c:scatterStyle val="smoothMarker"/>
        <c:varyColors val="0"/>
        <c:ser>
          <c:idx val="0"/>
          <c:order val="0"/>
          <c:tx>
            <c:v>FSS Strength Envelope</c:v>
          </c:tx>
          <c:marker>
            <c:symbol val="diamond"/>
            <c:size val="7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'Stark Correlations (2023)LL&amp;CF'!$J$4:$N$4</c:f>
              <c:numCache>
                <c:formatCode>0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50</c:v>
                </c:pt>
                <c:pt idx="3">
                  <c:v>100</c:v>
                </c:pt>
                <c:pt idx="4">
                  <c:v>400</c:v>
                </c:pt>
              </c:numCache>
            </c:numRef>
          </c:xVal>
          <c:yVal>
            <c:numRef>
              <c:f>'Stark Correlations (2023)LL&amp;CF'!$J$9:$N$9</c:f>
              <c:numCache>
                <c:formatCode>0.0</c:formatCode>
                <c:ptCount val="5"/>
                <c:pt idx="0">
                  <c:v>0</c:v>
                </c:pt>
                <c:pt idx="1">
                  <c:v>8.4806510501538419</c:v>
                </c:pt>
                <c:pt idx="2">
                  <c:v>32.562148073934758</c:v>
                </c:pt>
                <c:pt idx="3">
                  <c:v>61.198909333185803</c:v>
                </c:pt>
                <c:pt idx="4">
                  <c:v>225.97425227861089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5D8-4139-848A-5E67AE58F14E}"/>
            </c:ext>
          </c:extLst>
        </c:ser>
        <c:ser>
          <c:idx val="2"/>
          <c:order val="1"/>
          <c:tx>
            <c:v>FSS Power Function</c:v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'Stark Correlations (2023)LL&amp;CF'!$P$62:$P$70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</c:numCache>
            </c:numRef>
          </c:xVal>
          <c:yVal>
            <c:numRef>
              <c:f>'Stark Correlations (2023)LL&amp;CF'!$Q$62:$Q$70</c:f>
              <c:numCache>
                <c:formatCode>0.0</c:formatCode>
                <c:ptCount val="9"/>
                <c:pt idx="0">
                  <c:v>0</c:v>
                </c:pt>
                <c:pt idx="1">
                  <c:v>3.7471610099624426</c:v>
                </c:pt>
                <c:pt idx="2">
                  <c:v>7.1650132505799826</c:v>
                </c:pt>
                <c:pt idx="3">
                  <c:v>16.879481974208534</c:v>
                </c:pt>
                <c:pt idx="4">
                  <c:v>32.275557865431111</c:v>
                </c:pt>
                <c:pt idx="5">
                  <c:v>61.714668561304407</c:v>
                </c:pt>
                <c:pt idx="6">
                  <c:v>118.0057160130757</c:v>
                </c:pt>
                <c:pt idx="7">
                  <c:v>172.41639255291454</c:v>
                </c:pt>
                <c:pt idx="8">
                  <c:v>225.64082958536659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5D8-4139-848A-5E67AE58F14E}"/>
            </c:ext>
          </c:extLst>
        </c:ser>
        <c:ser>
          <c:idx val="1"/>
          <c:order val="2"/>
          <c:tx>
            <c:v>Residual Strength Envelope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'Stark Correlations (2023)LL&amp;CF'!$J$4:$O$4</c:f>
              <c:numCache>
                <c:formatCode>0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50</c:v>
                </c:pt>
                <c:pt idx="3">
                  <c:v>100</c:v>
                </c:pt>
                <c:pt idx="4">
                  <c:v>400</c:v>
                </c:pt>
                <c:pt idx="5">
                  <c:v>700</c:v>
                </c:pt>
              </c:numCache>
            </c:numRef>
          </c:xVal>
          <c:yVal>
            <c:numRef>
              <c:f>'Stark Correlations (2023)LL&amp;CF'!$J$6:$O$6</c:f>
              <c:numCache>
                <c:formatCode>0.00</c:formatCode>
                <c:ptCount val="6"/>
                <c:pt idx="0" formatCode="0.0">
                  <c:v>0</c:v>
                </c:pt>
                <c:pt idx="1">
                  <c:v>0</c:v>
                </c:pt>
                <c:pt idx="2" formatCode="0.0">
                  <c:v>25.184838270459181</c:v>
                </c:pt>
                <c:pt idx="3" formatCode="0.0">
                  <c:v>46.231304313372007</c:v>
                </c:pt>
                <c:pt idx="4" formatCode="0.0">
                  <c:v>165.91192863300225</c:v>
                </c:pt>
                <c:pt idx="5" formatCode="0.0">
                  <c:v>251.17957924853658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1E-496D-BFC0-9201A361DF47}"/>
            </c:ext>
          </c:extLst>
        </c:ser>
        <c:ser>
          <c:idx val="3"/>
          <c:order val="3"/>
          <c:tx>
            <c:v>Residual Power Function</c:v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'Stark Correlations (2023)LL&amp;CF'!$P$79:$P$87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700</c:v>
                </c:pt>
              </c:numCache>
            </c:numRef>
          </c:xVal>
          <c:yVal>
            <c:numRef>
              <c:f>'Stark Correlations (2023)LL&amp;CF'!$Q$79:$Q$87</c:f>
              <c:numCache>
                <c:formatCode>0.0</c:formatCode>
                <c:ptCount val="9"/>
                <c:pt idx="0">
                  <c:v>3.3097059172931966</c:v>
                </c:pt>
                <c:pt idx="1">
                  <c:v>6.1034542581113991</c:v>
                </c:pt>
                <c:pt idx="2">
                  <c:v>13.706483736596132</c:v>
                </c:pt>
                <c:pt idx="3">
                  <c:v>25.276232576663514</c:v>
                </c:pt>
                <c:pt idx="4">
                  <c:v>46.612095818839634</c:v>
                </c:pt>
                <c:pt idx="5">
                  <c:v>85.957726098415407</c:v>
                </c:pt>
                <c:pt idx="6">
                  <c:v>122.95888882021706</c:v>
                </c:pt>
                <c:pt idx="7">
                  <c:v>158.5153069436503</c:v>
                </c:pt>
                <c:pt idx="8">
                  <c:v>259.8095278050879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5D8-4139-848A-5E67AE58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8320"/>
        <c:axId val="214397144"/>
        <c:extLst/>
      </c:scatterChart>
      <c:valAx>
        <c:axId val="214398320"/>
        <c:scaling>
          <c:orientation val="minMax"/>
          <c:max val="1000"/>
          <c:min val="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(kPa)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397144"/>
        <c:crosses val="autoZero"/>
        <c:crossBetween val="midCat"/>
        <c:majorUnit val="100"/>
        <c:minorUnit val="50"/>
      </c:valAx>
      <c:valAx>
        <c:axId val="21439714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(kPa)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14398320"/>
        <c:crosses val="autoZero"/>
        <c:crossBetween val="midCat"/>
        <c:majorUnit val="100"/>
        <c:minorUnit val="5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075535087537886"/>
          <c:y val="6.6270461939273814E-2"/>
          <c:w val="0.27253988350190084"/>
          <c:h val="0.2873107253063961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B9-4476-9558-DBB287D39CFF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1B9-4476-9558-DBB287D39CFF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1B9-4476-9558-DBB287D39CFF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English'!$C$65:$C$69</c:f>
              <c:numCache>
                <c:formatCode>General</c:formatCode>
                <c:ptCount val="5"/>
                <c:pt idx="0">
                  <c:v>0.61209999999999998</c:v>
                </c:pt>
                <c:pt idx="1">
                  <c:v>0.59660000000000002</c:v>
                </c:pt>
                <c:pt idx="2">
                  <c:v>0.58169999999999999</c:v>
                </c:pt>
                <c:pt idx="3">
                  <c:v>0.56940000000000002</c:v>
                </c:pt>
                <c:pt idx="4">
                  <c:v>0.5645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1B9-4476-9558-DBB287D39CFF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English'!$E$65:$E$75</c:f>
              <c:numCache>
                <c:formatCode>General</c:formatCode>
                <c:ptCount val="11"/>
                <c:pt idx="0">
                  <c:v>0.56240000000000001</c:v>
                </c:pt>
                <c:pt idx="1">
                  <c:v>0.5413</c:v>
                </c:pt>
                <c:pt idx="2">
                  <c:v>0.52239999999999998</c:v>
                </c:pt>
                <c:pt idx="3">
                  <c:v>0.50360000000000005</c:v>
                </c:pt>
                <c:pt idx="4">
                  <c:v>0.49509999999999998</c:v>
                </c:pt>
                <c:pt idx="5">
                  <c:v>0.48720000000000002</c:v>
                </c:pt>
                <c:pt idx="6">
                  <c:v>0.47220000000000001</c:v>
                </c:pt>
                <c:pt idx="7">
                  <c:v>0.45810000000000001</c:v>
                </c:pt>
                <c:pt idx="8">
                  <c:v>0.4451</c:v>
                </c:pt>
                <c:pt idx="9">
                  <c:v>0.43340000000000001</c:v>
                </c:pt>
                <c:pt idx="10">
                  <c:v>0.42370000000000002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1B9-4476-9558-DBB287D39CFF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English'!$G$65:$G$75</c:f>
              <c:numCache>
                <c:formatCode>General</c:formatCode>
                <c:ptCount val="11"/>
                <c:pt idx="0">
                  <c:v>0.49959999999999999</c:v>
                </c:pt>
                <c:pt idx="1">
                  <c:v>0.4773</c:v>
                </c:pt>
                <c:pt idx="2">
                  <c:v>0.45729999999999998</c:v>
                </c:pt>
                <c:pt idx="3">
                  <c:v>0.43890000000000001</c:v>
                </c:pt>
                <c:pt idx="4">
                  <c:v>0.43020000000000003</c:v>
                </c:pt>
                <c:pt idx="5">
                  <c:v>0.4219</c:v>
                </c:pt>
                <c:pt idx="6">
                  <c:v>0.40539999999999998</c:v>
                </c:pt>
                <c:pt idx="7">
                  <c:v>0.3906</c:v>
                </c:pt>
                <c:pt idx="8">
                  <c:v>0.37819999999999998</c:v>
                </c:pt>
                <c:pt idx="9">
                  <c:v>0.36559999999999998</c:v>
                </c:pt>
                <c:pt idx="10">
                  <c:v>0.35370000000000001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81B9-4476-9558-DBB287D3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4008"/>
        <c:axId val="214397536"/>
      </c:scatterChart>
      <c:valAx>
        <c:axId val="21439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536"/>
        <c:crosses val="autoZero"/>
        <c:crossBetween val="midCat"/>
      </c:valAx>
      <c:valAx>
        <c:axId val="214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4119-400D-94A5-6A4B4E451606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4119-400D-94A5-6A4B4E451606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4119-400D-94A5-6A4B4E45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5968"/>
        <c:axId val="214397928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4119-400D-94A5-6A4B4E451606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4119-400D-94A5-6A4B4E451606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4119-400D-94A5-6A4B4E45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6752"/>
        <c:axId val="214390872"/>
      </c:scatterChart>
      <c:valAx>
        <c:axId val="21439596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928"/>
        <c:crosses val="autoZero"/>
        <c:crossBetween val="midCat"/>
      </c:valAx>
      <c:valAx>
        <c:axId val="214397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5968"/>
        <c:crosses val="autoZero"/>
        <c:crossBetween val="midCat"/>
      </c:valAx>
      <c:valAx>
        <c:axId val="214390872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214396752"/>
        <c:crosses val="max"/>
        <c:crossBetween val="midCat"/>
        <c:minorUnit val="0.1"/>
      </c:valAx>
      <c:valAx>
        <c:axId val="21439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126889868604"/>
          <c:y val="5.0291827673935807E-2"/>
          <c:w val="0.84134109044884919"/>
          <c:h val="0.78499827208040851"/>
        </c:manualLayout>
      </c:layout>
      <c:scatterChart>
        <c:scatterStyle val="smoothMarker"/>
        <c:varyColors val="0"/>
        <c:ser>
          <c:idx val="2"/>
          <c:order val="0"/>
          <c:tx>
            <c:v>FSS Power Function (Based on PI)</c:v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'Laboratory (2023) (PI)'!$P$45:$P$53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</c:numCache>
            </c:numRef>
          </c:xVal>
          <c:yVal>
            <c:numRef>
              <c:f>'Laboratory (2023) (PI)'!$Q$45:$Q$53</c:f>
              <c:numCache>
                <c:formatCode>0.0</c:formatCode>
                <c:ptCount val="9"/>
                <c:pt idx="0">
                  <c:v>0</c:v>
                </c:pt>
                <c:pt idx="1">
                  <c:v>3.141012075383943</c:v>
                </c:pt>
                <c:pt idx="2">
                  <c:v>5.9561101022974823</c:v>
                </c:pt>
                <c:pt idx="3">
                  <c:v>13.877697880455029</c:v>
                </c:pt>
                <c:pt idx="4">
                  <c:v>26.315434184476015</c:v>
                </c:pt>
                <c:pt idx="5">
                  <c:v>49.900356837483088</c:v>
                </c:pt>
                <c:pt idx="6">
                  <c:v>94.623010779623456</c:v>
                </c:pt>
                <c:pt idx="7">
                  <c:v>137.57952698252737</c:v>
                </c:pt>
                <c:pt idx="8">
                  <c:v>179.42785856543665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95-4E86-924E-DDD24F4DBF28}"/>
            </c:ext>
          </c:extLst>
        </c:ser>
        <c:ser>
          <c:idx val="3"/>
          <c:order val="1"/>
          <c:tx>
            <c:v>Residual Power Function (Based on PI)</c:v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'Laboratory (2023) (PI)'!$P$62:$P$70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700</c:v>
                </c:pt>
              </c:numCache>
            </c:numRef>
          </c:xVal>
          <c:yVal>
            <c:numRef>
              <c:f>'Laboratory (2023) (PI)'!$Q$62:$Q$70</c:f>
              <c:numCache>
                <c:formatCode>0.0</c:formatCode>
                <c:ptCount val="9"/>
                <c:pt idx="0">
                  <c:v>2.5099207703539927</c:v>
                </c:pt>
                <c:pt idx="1">
                  <c:v>4.7989553293854597</c:v>
                </c:pt>
                <c:pt idx="2">
                  <c:v>11.304513521134249</c:v>
                </c:pt>
                <c:pt idx="3">
                  <c:v>21.614170474674346</c:v>
                </c:pt>
                <c:pt idx="4">
                  <c:v>41.326180417661192</c:v>
                </c:pt>
                <c:pt idx="5">
                  <c:v>79.015439889964824</c:v>
                </c:pt>
                <c:pt idx="6">
                  <c:v>115.44393541325321</c:v>
                </c:pt>
                <c:pt idx="7">
                  <c:v>151.07710603558326</c:v>
                </c:pt>
                <c:pt idx="8">
                  <c:v>254.95194275616103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95-4E86-924E-DDD24F4D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8320"/>
        <c:axId val="214397144"/>
        <c:extLst/>
      </c:scatterChart>
      <c:valAx>
        <c:axId val="214398320"/>
        <c:scaling>
          <c:orientation val="minMax"/>
          <c:max val="1000"/>
          <c:min val="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(kPa)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397144"/>
        <c:crosses val="autoZero"/>
        <c:crossBetween val="midCat"/>
        <c:majorUnit val="100"/>
        <c:minorUnit val="50"/>
      </c:valAx>
      <c:valAx>
        <c:axId val="21439714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(kPa)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14398320"/>
        <c:crosses val="autoZero"/>
        <c:crossBetween val="midCat"/>
        <c:majorUnit val="100"/>
        <c:minorUnit val="5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409846700012552"/>
          <c:y val="6.6270493909646913E-2"/>
          <c:w val="0.27253988350190084"/>
          <c:h val="0.2194534100837744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BAA-40ED-8F73-FAD7C7CE01C6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BAA-40ED-8F73-FAD7C7CE01C6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BAA-40ED-8F73-FAD7C7CE01C6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English'!$C$65:$C$69</c:f>
              <c:numCache>
                <c:formatCode>General</c:formatCode>
                <c:ptCount val="5"/>
                <c:pt idx="0">
                  <c:v>0.61209999999999998</c:v>
                </c:pt>
                <c:pt idx="1">
                  <c:v>0.59660000000000002</c:v>
                </c:pt>
                <c:pt idx="2">
                  <c:v>0.58169999999999999</c:v>
                </c:pt>
                <c:pt idx="3">
                  <c:v>0.56940000000000002</c:v>
                </c:pt>
                <c:pt idx="4">
                  <c:v>0.5645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BAA-40ED-8F73-FAD7C7CE01C6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English'!$E$65:$E$75</c:f>
              <c:numCache>
                <c:formatCode>General</c:formatCode>
                <c:ptCount val="11"/>
                <c:pt idx="0">
                  <c:v>0.56240000000000001</c:v>
                </c:pt>
                <c:pt idx="1">
                  <c:v>0.5413</c:v>
                </c:pt>
                <c:pt idx="2">
                  <c:v>0.52239999999999998</c:v>
                </c:pt>
                <c:pt idx="3">
                  <c:v>0.50360000000000005</c:v>
                </c:pt>
                <c:pt idx="4">
                  <c:v>0.49509999999999998</c:v>
                </c:pt>
                <c:pt idx="5">
                  <c:v>0.48720000000000002</c:v>
                </c:pt>
                <c:pt idx="6">
                  <c:v>0.47220000000000001</c:v>
                </c:pt>
                <c:pt idx="7">
                  <c:v>0.45810000000000001</c:v>
                </c:pt>
                <c:pt idx="8">
                  <c:v>0.4451</c:v>
                </c:pt>
                <c:pt idx="9">
                  <c:v>0.43340000000000001</c:v>
                </c:pt>
                <c:pt idx="10">
                  <c:v>0.42370000000000002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BAA-40ED-8F73-FAD7C7CE01C6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English'!$G$65:$G$75</c:f>
              <c:numCache>
                <c:formatCode>General</c:formatCode>
                <c:ptCount val="11"/>
                <c:pt idx="0">
                  <c:v>0.49959999999999999</c:v>
                </c:pt>
                <c:pt idx="1">
                  <c:v>0.4773</c:v>
                </c:pt>
                <c:pt idx="2">
                  <c:v>0.45729999999999998</c:v>
                </c:pt>
                <c:pt idx="3">
                  <c:v>0.43890000000000001</c:v>
                </c:pt>
                <c:pt idx="4">
                  <c:v>0.43020000000000003</c:v>
                </c:pt>
                <c:pt idx="5">
                  <c:v>0.4219</c:v>
                </c:pt>
                <c:pt idx="6">
                  <c:v>0.40539999999999998</c:v>
                </c:pt>
                <c:pt idx="7">
                  <c:v>0.3906</c:v>
                </c:pt>
                <c:pt idx="8">
                  <c:v>0.37819999999999998</c:v>
                </c:pt>
                <c:pt idx="9">
                  <c:v>0.36559999999999998</c:v>
                </c:pt>
                <c:pt idx="10">
                  <c:v>0.35370000000000001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BAA-40ED-8F73-FAD7C7CE0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4008"/>
        <c:axId val="214397536"/>
      </c:scatterChart>
      <c:valAx>
        <c:axId val="21439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536"/>
        <c:crosses val="autoZero"/>
        <c:crossBetween val="midCat"/>
      </c:valAx>
      <c:valAx>
        <c:axId val="214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435E-4FF7-A1C7-7820694187DF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435E-4FF7-A1C7-7820694187DF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435E-4FF7-A1C7-78206941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5968"/>
        <c:axId val="214397928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435E-4FF7-A1C7-7820694187DF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435E-4FF7-A1C7-7820694187DF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435E-4FF7-A1C7-782069418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6752"/>
        <c:axId val="214390872"/>
      </c:scatterChart>
      <c:valAx>
        <c:axId val="21439596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928"/>
        <c:crosses val="autoZero"/>
        <c:crossBetween val="midCat"/>
      </c:valAx>
      <c:valAx>
        <c:axId val="214397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5968"/>
        <c:crosses val="autoZero"/>
        <c:crossBetween val="midCat"/>
      </c:valAx>
      <c:valAx>
        <c:axId val="214390872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214396752"/>
        <c:crosses val="max"/>
        <c:crossBetween val="midCat"/>
        <c:minorUnit val="0.1"/>
      </c:valAx>
      <c:valAx>
        <c:axId val="21439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AB-40AE-B57C-BBBCAB25929B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AB-40AE-B57C-BBBCAB25929B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2AB-40AE-B57C-BBBCAB25929B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English'!$C$65:$C$69</c:f>
              <c:numCache>
                <c:formatCode>General</c:formatCode>
                <c:ptCount val="5"/>
                <c:pt idx="0">
                  <c:v>0.61209999999999998</c:v>
                </c:pt>
                <c:pt idx="1">
                  <c:v>0.59660000000000002</c:v>
                </c:pt>
                <c:pt idx="2">
                  <c:v>0.58169999999999999</c:v>
                </c:pt>
                <c:pt idx="3">
                  <c:v>0.56940000000000002</c:v>
                </c:pt>
                <c:pt idx="4">
                  <c:v>0.5645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2AB-40AE-B57C-BBBCAB25929B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English'!$E$65:$E$75</c:f>
              <c:numCache>
                <c:formatCode>General</c:formatCode>
                <c:ptCount val="11"/>
                <c:pt idx="0">
                  <c:v>0.56240000000000001</c:v>
                </c:pt>
                <c:pt idx="1">
                  <c:v>0.5413</c:v>
                </c:pt>
                <c:pt idx="2">
                  <c:v>0.52239999999999998</c:v>
                </c:pt>
                <c:pt idx="3">
                  <c:v>0.50360000000000005</c:v>
                </c:pt>
                <c:pt idx="4">
                  <c:v>0.49509999999999998</c:v>
                </c:pt>
                <c:pt idx="5">
                  <c:v>0.48720000000000002</c:v>
                </c:pt>
                <c:pt idx="6">
                  <c:v>0.47220000000000001</c:v>
                </c:pt>
                <c:pt idx="7">
                  <c:v>0.45810000000000001</c:v>
                </c:pt>
                <c:pt idx="8">
                  <c:v>0.4451</c:v>
                </c:pt>
                <c:pt idx="9">
                  <c:v>0.43340000000000001</c:v>
                </c:pt>
                <c:pt idx="10">
                  <c:v>0.42370000000000002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2AB-40AE-B57C-BBBCAB25929B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English'!$G$65:$G$75</c:f>
              <c:numCache>
                <c:formatCode>General</c:formatCode>
                <c:ptCount val="11"/>
                <c:pt idx="0">
                  <c:v>0.49959999999999999</c:v>
                </c:pt>
                <c:pt idx="1">
                  <c:v>0.4773</c:v>
                </c:pt>
                <c:pt idx="2">
                  <c:v>0.45729999999999998</c:v>
                </c:pt>
                <c:pt idx="3">
                  <c:v>0.43890000000000001</c:v>
                </c:pt>
                <c:pt idx="4">
                  <c:v>0.43020000000000003</c:v>
                </c:pt>
                <c:pt idx="5">
                  <c:v>0.4219</c:v>
                </c:pt>
                <c:pt idx="6">
                  <c:v>0.40539999999999998</c:v>
                </c:pt>
                <c:pt idx="7">
                  <c:v>0.3906</c:v>
                </c:pt>
                <c:pt idx="8">
                  <c:v>0.37819999999999998</c:v>
                </c:pt>
                <c:pt idx="9">
                  <c:v>0.36559999999999998</c:v>
                </c:pt>
                <c:pt idx="10">
                  <c:v>0.35370000000000001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2AB-40AE-B57C-BBBCAB25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4008"/>
        <c:axId val="214397536"/>
      </c:scatterChart>
      <c:valAx>
        <c:axId val="21439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536"/>
        <c:crosses val="autoZero"/>
        <c:crossBetween val="midCat"/>
      </c:valAx>
      <c:valAx>
        <c:axId val="214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019C-4B09-B98A-3133D950B43B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019C-4B09-B98A-3133D950B43B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019C-4B09-B98A-3133D950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5968"/>
        <c:axId val="214397928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019C-4B09-B98A-3133D950B43B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019C-4B09-B98A-3133D950B43B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019C-4B09-B98A-3133D950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6752"/>
        <c:axId val="214390872"/>
      </c:scatterChart>
      <c:valAx>
        <c:axId val="21439596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928"/>
        <c:crosses val="autoZero"/>
        <c:crossBetween val="midCat"/>
      </c:valAx>
      <c:valAx>
        <c:axId val="214397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5968"/>
        <c:crosses val="autoZero"/>
        <c:crossBetween val="midCat"/>
      </c:valAx>
      <c:valAx>
        <c:axId val="214390872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214396752"/>
        <c:crosses val="max"/>
        <c:crossBetween val="midCat"/>
        <c:minorUnit val="0.1"/>
      </c:valAx>
      <c:valAx>
        <c:axId val="21439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'Stark Correlations (2023)LL&amp;CF'!$Z$3:$Z$31</c:f>
            </c:numRef>
          </c:xVal>
          <c:yVal>
            <c:numRef>
              <c:f>'Stark Correlations (2023)LL&amp;CF'!$AZ$3:$AZ$31</c:f>
            </c:numRef>
          </c:yVal>
          <c:smooth val="1"/>
          <c:extLst>
            <c:ext xmlns:c16="http://schemas.microsoft.com/office/drawing/2014/chart" uri="{C3380CC4-5D6E-409C-BE32-E72D297353CC}">
              <c16:uniqueId val="{00000000-9BA0-4245-A70F-5CA86E2A9B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'Stark Correlations (2023)LL&amp;CF'!$Z$3:$Z$31</c:f>
            </c:numRef>
          </c:xVal>
          <c:yVal>
            <c:numRef>
              <c:f>'Stark Correlations (2023)LL&amp;CF'!$AY$3:$AY$31</c:f>
            </c:numRef>
          </c:yVal>
          <c:smooth val="1"/>
          <c:extLst>
            <c:ext xmlns:c16="http://schemas.microsoft.com/office/drawing/2014/chart" uri="{C3380CC4-5D6E-409C-BE32-E72D297353CC}">
              <c16:uniqueId val="{00000002-9BA0-4245-A70F-5CA86E2A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285407"/>
        <c:axId val="1138606703"/>
      </c:scatterChart>
      <c:valAx>
        <c:axId val="1337285407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606703"/>
        <c:crosses val="autoZero"/>
        <c:crossBetween val="midCat"/>
      </c:valAx>
      <c:valAx>
        <c:axId val="113860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8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'Stark Correlations (2023)LL&amp;CF'!$Z$3:$Z$31</c:f>
            </c:numRef>
          </c:xVal>
          <c:yVal>
            <c:numRef>
              <c:f>'Stark Correlations (2023)LL&amp;CF'!$AZ$3:$AZ$31</c:f>
            </c:numRef>
          </c:yVal>
          <c:smooth val="1"/>
          <c:extLst>
            <c:ext xmlns:c16="http://schemas.microsoft.com/office/drawing/2014/chart" uri="{C3380CC4-5D6E-409C-BE32-E72D297353CC}">
              <c16:uniqueId val="{00000000-880D-4CBF-A7BA-A61AE1E2591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'Stark Correlations (2023)LL&amp;CF'!$Z$3:$Z$31</c:f>
            </c:numRef>
          </c:xVal>
          <c:yVal>
            <c:numRef>
              <c:f>'Stark Correlations (2023)LL&amp;CF'!$AY$3:$AY$31</c:f>
            </c:numRef>
          </c:yVal>
          <c:smooth val="1"/>
          <c:extLst>
            <c:ext xmlns:c16="http://schemas.microsoft.com/office/drawing/2014/chart" uri="{C3380CC4-5D6E-409C-BE32-E72D297353CC}">
              <c16:uniqueId val="{00000001-880D-4CBF-A7BA-A61AE1E2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285407"/>
        <c:axId val="1138606703"/>
      </c:scatterChart>
      <c:valAx>
        <c:axId val="1337285407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8606703"/>
        <c:crosses val="autoZero"/>
        <c:crossBetween val="midCat"/>
      </c:valAx>
      <c:valAx>
        <c:axId val="113860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28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7655748087024"/>
          <c:y val="5.0291827673935807E-2"/>
          <c:w val="0.83932580186666506"/>
          <c:h val="0.78499827208040851"/>
        </c:manualLayout>
      </c:layout>
      <c:scatterChart>
        <c:scatterStyle val="smoothMarker"/>
        <c:varyColors val="0"/>
        <c:ser>
          <c:idx val="2"/>
          <c:order val="0"/>
          <c:tx>
            <c:v>FSS Power Function (Based on PI)</c:v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'Stark Correlations (2023)(PI)'!$P$18:$P$26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</c:numCache>
            </c:numRef>
          </c:xVal>
          <c:yVal>
            <c:numRef>
              <c:f>'Stark Correlations (2023)(PI)'!$Q$18:$Q$26</c:f>
              <c:numCache>
                <c:formatCode>0.0</c:formatCode>
                <c:ptCount val="9"/>
                <c:pt idx="0">
                  <c:v>0</c:v>
                </c:pt>
                <c:pt idx="1">
                  <c:v>3.4513056401743762</c:v>
                </c:pt>
                <c:pt idx="2">
                  <c:v>6.5629831766781468</c:v>
                </c:pt>
                <c:pt idx="3">
                  <c:v>15.34882183377904</c:v>
                </c:pt>
                <c:pt idx="4">
                  <c:v>29.187232305462359</c:v>
                </c:pt>
                <c:pt idx="5">
                  <c:v>55.502274954955304</c:v>
                </c:pt>
                <c:pt idx="6">
                  <c:v>105.54281039517906</c:v>
                </c:pt>
                <c:pt idx="7">
                  <c:v>153.71000670997239</c:v>
                </c:pt>
                <c:pt idx="8">
                  <c:v>200.6996079918016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88-4F12-B77A-8F0C5D0E55F2}"/>
            </c:ext>
          </c:extLst>
        </c:ser>
        <c:ser>
          <c:idx val="3"/>
          <c:order val="1"/>
          <c:tx>
            <c:v>Residual Power Function (Based on PI)</c:v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'Stark Correlations (2023)(PI)'!$P$35:$P$43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700</c:v>
                </c:pt>
              </c:numCache>
            </c:numRef>
          </c:xVal>
          <c:yVal>
            <c:numRef>
              <c:f>'Stark Correlations (2023)(PI)'!$Q$35:$Q$43</c:f>
              <c:numCache>
                <c:formatCode>0.0</c:formatCode>
                <c:ptCount val="9"/>
                <c:pt idx="0">
                  <c:v>2.5099207703539927</c:v>
                </c:pt>
                <c:pt idx="1">
                  <c:v>4.7989553293854597</c:v>
                </c:pt>
                <c:pt idx="2">
                  <c:v>11.304513521134249</c:v>
                </c:pt>
                <c:pt idx="3">
                  <c:v>21.614170474674346</c:v>
                </c:pt>
                <c:pt idx="4">
                  <c:v>41.326180417661192</c:v>
                </c:pt>
                <c:pt idx="5">
                  <c:v>79.015439889964824</c:v>
                </c:pt>
                <c:pt idx="6">
                  <c:v>115.44393541325321</c:v>
                </c:pt>
                <c:pt idx="7">
                  <c:v>151.07710603558326</c:v>
                </c:pt>
                <c:pt idx="8">
                  <c:v>254.95194275616103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88-4F12-B77A-8F0C5D0E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8320"/>
        <c:axId val="214397144"/>
        <c:extLst/>
      </c:scatterChart>
      <c:valAx>
        <c:axId val="214398320"/>
        <c:scaling>
          <c:orientation val="minMax"/>
          <c:max val="1000"/>
          <c:min val="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(kPa)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397144"/>
        <c:crosses val="autoZero"/>
        <c:crossBetween val="midCat"/>
        <c:majorUnit val="100"/>
        <c:minorUnit val="50"/>
      </c:valAx>
      <c:valAx>
        <c:axId val="21439714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(kPa)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14398320"/>
        <c:crosses val="autoZero"/>
        <c:crossBetween val="midCat"/>
        <c:majorUnit val="100"/>
        <c:minorUnit val="5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493880425470264"/>
          <c:y val="6.3006886981549048E-2"/>
          <c:w val="0.27253988350190084"/>
          <c:h val="0.2194534100837744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0C-41A1-823E-6B24B74634CC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0C-41A1-823E-6B24B74634CC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0C-41A1-823E-6B24B74634CC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English'!$C$65:$C$69</c:f>
              <c:numCache>
                <c:formatCode>General</c:formatCode>
                <c:ptCount val="5"/>
                <c:pt idx="0">
                  <c:v>0.61209999999999998</c:v>
                </c:pt>
                <c:pt idx="1">
                  <c:v>0.59660000000000002</c:v>
                </c:pt>
                <c:pt idx="2">
                  <c:v>0.58169999999999999</c:v>
                </c:pt>
                <c:pt idx="3">
                  <c:v>0.56940000000000002</c:v>
                </c:pt>
                <c:pt idx="4">
                  <c:v>0.5645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40C-41A1-823E-6B24B74634CC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English'!$E$65:$E$75</c:f>
              <c:numCache>
                <c:formatCode>General</c:formatCode>
                <c:ptCount val="11"/>
                <c:pt idx="0">
                  <c:v>0.56240000000000001</c:v>
                </c:pt>
                <c:pt idx="1">
                  <c:v>0.5413</c:v>
                </c:pt>
                <c:pt idx="2">
                  <c:v>0.52239999999999998</c:v>
                </c:pt>
                <c:pt idx="3">
                  <c:v>0.50360000000000005</c:v>
                </c:pt>
                <c:pt idx="4">
                  <c:v>0.49509999999999998</c:v>
                </c:pt>
                <c:pt idx="5">
                  <c:v>0.48720000000000002</c:v>
                </c:pt>
                <c:pt idx="6">
                  <c:v>0.47220000000000001</c:v>
                </c:pt>
                <c:pt idx="7">
                  <c:v>0.45810000000000001</c:v>
                </c:pt>
                <c:pt idx="8">
                  <c:v>0.4451</c:v>
                </c:pt>
                <c:pt idx="9">
                  <c:v>0.43340000000000001</c:v>
                </c:pt>
                <c:pt idx="10">
                  <c:v>0.42370000000000002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40C-41A1-823E-6B24B74634CC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'[1]Input-Output English'!$B$65:$B$75</c:f>
              <c:numCache>
                <c:formatCode>General</c:formatCode>
                <c:ptCount val="11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  <c:pt idx="8">
                  <c:v>110</c:v>
                </c:pt>
                <c:pt idx="9">
                  <c:v>120</c:v>
                </c:pt>
                <c:pt idx="10">
                  <c:v>130</c:v>
                </c:pt>
              </c:numCache>
            </c:numRef>
          </c:xVal>
          <c:yVal>
            <c:numRef>
              <c:f>'[1]Input-Output English'!$G$65:$G$75</c:f>
              <c:numCache>
                <c:formatCode>General</c:formatCode>
                <c:ptCount val="11"/>
                <c:pt idx="0">
                  <c:v>0.49959999999999999</c:v>
                </c:pt>
                <c:pt idx="1">
                  <c:v>0.4773</c:v>
                </c:pt>
                <c:pt idx="2">
                  <c:v>0.45729999999999998</c:v>
                </c:pt>
                <c:pt idx="3">
                  <c:v>0.43890000000000001</c:v>
                </c:pt>
                <c:pt idx="4">
                  <c:v>0.43020000000000003</c:v>
                </c:pt>
                <c:pt idx="5">
                  <c:v>0.4219</c:v>
                </c:pt>
                <c:pt idx="6">
                  <c:v>0.40539999999999998</c:v>
                </c:pt>
                <c:pt idx="7">
                  <c:v>0.3906</c:v>
                </c:pt>
                <c:pt idx="8">
                  <c:v>0.37819999999999998</c:v>
                </c:pt>
                <c:pt idx="9">
                  <c:v>0.36559999999999998</c:v>
                </c:pt>
                <c:pt idx="10">
                  <c:v>0.35370000000000001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40C-41A1-823E-6B24B7463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4008"/>
        <c:axId val="214397536"/>
      </c:scatterChart>
      <c:valAx>
        <c:axId val="21439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536"/>
        <c:crosses val="autoZero"/>
        <c:crossBetween val="midCat"/>
      </c:valAx>
      <c:valAx>
        <c:axId val="214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AD18-4FDE-934F-8210C81E7B38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AD18-4FDE-934F-8210C81E7B38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AD18-4FDE-934F-8210C81E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5968"/>
        <c:axId val="214397928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AD18-4FDE-934F-8210C81E7B38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AD18-4FDE-934F-8210C81E7B38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AD18-4FDE-934F-8210C81E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6752"/>
        <c:axId val="214390872"/>
      </c:scatterChart>
      <c:valAx>
        <c:axId val="214395968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7928"/>
        <c:crosses val="autoZero"/>
        <c:crossBetween val="midCat"/>
      </c:valAx>
      <c:valAx>
        <c:axId val="214397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5968"/>
        <c:crosses val="autoZero"/>
        <c:crossBetween val="midCat"/>
      </c:valAx>
      <c:valAx>
        <c:axId val="214390872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214396752"/>
        <c:crosses val="max"/>
        <c:crossBetween val="midCat"/>
        <c:minorUnit val="0.1"/>
      </c:valAx>
      <c:valAx>
        <c:axId val="21439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0651094113817"/>
          <c:y val="5.0291827673935807E-2"/>
          <c:w val="0.86552461398424807"/>
          <c:h val="0.78499827208040851"/>
        </c:manualLayout>
      </c:layout>
      <c:scatterChart>
        <c:scatterStyle val="smoothMarker"/>
        <c:varyColors val="0"/>
        <c:ser>
          <c:idx val="0"/>
          <c:order val="0"/>
          <c:tx>
            <c:v>FSS Strength Envelope</c:v>
          </c:tx>
          <c:marker>
            <c:symbol val="diamond"/>
            <c:size val="7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'Laboratory (2023) (LL&amp;CF)'!$J$4:$N$4</c:f>
              <c:numCache>
                <c:formatCode>0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50</c:v>
                </c:pt>
                <c:pt idx="3">
                  <c:v>100</c:v>
                </c:pt>
                <c:pt idx="4">
                  <c:v>400</c:v>
                </c:pt>
              </c:numCache>
            </c:numRef>
          </c:xVal>
          <c:yVal>
            <c:numRef>
              <c:f>'Laboratory (2023) (LL&amp;CF)'!$J$9:$N$9</c:f>
              <c:numCache>
                <c:formatCode>0.0</c:formatCode>
                <c:ptCount val="5"/>
                <c:pt idx="0">
                  <c:v>0</c:v>
                </c:pt>
                <c:pt idx="1">
                  <c:v>7.7185552101145785</c:v>
                </c:pt>
                <c:pt idx="2">
                  <c:v>29.539187173121679</c:v>
                </c:pt>
                <c:pt idx="3">
                  <c:v>55.353761383240617</c:v>
                </c:pt>
                <c:pt idx="4">
                  <c:v>203.49065155845355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9E-43F9-BF77-11A645EAC7F6}"/>
            </c:ext>
          </c:extLst>
        </c:ser>
        <c:ser>
          <c:idx val="2"/>
          <c:order val="1"/>
          <c:tx>
            <c:v>FSS Power Function</c:v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'Laboratory (2023) (LL&amp;CF)'!$P$62:$P$70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</c:numCache>
            </c:numRef>
          </c:xVal>
          <c:yVal>
            <c:numRef>
              <c:f>'Laboratory (2023) (LL&amp;CF)'!$Q$62:$Q$70</c:f>
              <c:numCache>
                <c:formatCode>0.0</c:formatCode>
                <c:ptCount val="9"/>
                <c:pt idx="0">
                  <c:v>0</c:v>
                </c:pt>
                <c:pt idx="1">
                  <c:v>3.4209837135226162</c:v>
                </c:pt>
                <c:pt idx="2">
                  <c:v>6.5273800273963873</c:v>
                </c:pt>
                <c:pt idx="3">
                  <c:v>15.334016115504088</c:v>
                </c:pt>
                <c:pt idx="4">
                  <c:v>29.257944180345479</c:v>
                </c:pt>
                <c:pt idx="5">
                  <c:v>55.825381375117402</c:v>
                </c:pt>
                <c:pt idx="6">
                  <c:v>106.51716287608646</c:v>
                </c:pt>
                <c:pt idx="7">
                  <c:v>155.43649159389713</c:v>
                </c:pt>
                <c:pt idx="8">
                  <c:v>203.23920245044397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9E-43F9-BF77-11A645EAC7F6}"/>
            </c:ext>
          </c:extLst>
        </c:ser>
        <c:ser>
          <c:idx val="1"/>
          <c:order val="2"/>
          <c:tx>
            <c:v>Residual Strength Envelope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</c:marker>
          <c:xVal>
            <c:numRef>
              <c:f>'Laboratory (2023) (LL&amp;CF)'!$J$4:$O$4</c:f>
              <c:numCache>
                <c:formatCode>0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50</c:v>
                </c:pt>
                <c:pt idx="3">
                  <c:v>100</c:v>
                </c:pt>
                <c:pt idx="4">
                  <c:v>400</c:v>
                </c:pt>
                <c:pt idx="5">
                  <c:v>700</c:v>
                </c:pt>
              </c:numCache>
            </c:numRef>
          </c:xVal>
          <c:yVal>
            <c:numRef>
              <c:f>'Laboratory (2023) (LL&amp;CF)'!$J$6:$O$6</c:f>
              <c:numCache>
                <c:formatCode>0.00</c:formatCode>
                <c:ptCount val="6"/>
                <c:pt idx="0" formatCode="0.0">
                  <c:v>0</c:v>
                </c:pt>
                <c:pt idx="1">
                  <c:v>0</c:v>
                </c:pt>
                <c:pt idx="2" formatCode="0.0">
                  <c:v>25.184838270459181</c:v>
                </c:pt>
                <c:pt idx="3" formatCode="0.0">
                  <c:v>46.231304313372007</c:v>
                </c:pt>
                <c:pt idx="4" formatCode="0.0">
                  <c:v>165.91192863300225</c:v>
                </c:pt>
                <c:pt idx="5" formatCode="0.0">
                  <c:v>251.17957924853658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9E-43F9-BF77-11A645EAC7F6}"/>
            </c:ext>
          </c:extLst>
        </c:ser>
        <c:ser>
          <c:idx val="3"/>
          <c:order val="3"/>
          <c:tx>
            <c:v>Residual Power Function</c:v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'Laboratory (2023) (LL&amp;CF)'!$P$79:$P$87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100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700</c:v>
                </c:pt>
              </c:numCache>
            </c:numRef>
          </c:xVal>
          <c:yVal>
            <c:numRef>
              <c:f>'Laboratory (2023) (LL&amp;CF)'!$Q$79:$Q$87</c:f>
              <c:numCache>
                <c:formatCode>0.0</c:formatCode>
                <c:ptCount val="9"/>
                <c:pt idx="0">
                  <c:v>3.3097059172931966</c:v>
                </c:pt>
                <c:pt idx="1">
                  <c:v>6.1034542581113991</c:v>
                </c:pt>
                <c:pt idx="2">
                  <c:v>13.706483736596132</c:v>
                </c:pt>
                <c:pt idx="3">
                  <c:v>25.276232576663514</c:v>
                </c:pt>
                <c:pt idx="4">
                  <c:v>46.612095818839634</c:v>
                </c:pt>
                <c:pt idx="5">
                  <c:v>85.957726098415407</c:v>
                </c:pt>
                <c:pt idx="6">
                  <c:v>122.95888882021706</c:v>
                </c:pt>
                <c:pt idx="7">
                  <c:v>158.5153069436503</c:v>
                </c:pt>
                <c:pt idx="8">
                  <c:v>259.8095278050879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9E-43F9-BF77-11A645EAC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98320"/>
        <c:axId val="214397144"/>
        <c:extLst/>
      </c:scatterChart>
      <c:valAx>
        <c:axId val="214398320"/>
        <c:scaling>
          <c:orientation val="minMax"/>
          <c:max val="1000"/>
          <c:min val="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(kPa)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4397144"/>
        <c:crosses val="autoZero"/>
        <c:crossBetween val="midCat"/>
        <c:majorUnit val="100"/>
        <c:minorUnit val="50"/>
      </c:valAx>
      <c:valAx>
        <c:axId val="21439714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(kPa)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214398320"/>
        <c:crosses val="autoZero"/>
        <c:crossBetween val="midCat"/>
        <c:majorUnit val="100"/>
        <c:minorUnit val="5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075535087537886"/>
          <c:y val="6.6270461939273814E-2"/>
          <c:w val="0.27253988350190084"/>
          <c:h val="0.2873107253063961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3.xml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image" Target="../media/image2.jpeg"/><Relationship Id="rId4" Type="http://schemas.openxmlformats.org/officeDocument/2006/relationships/image" Target="../media/image1.png"/><Relationship Id="rId9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6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5.jpeg"/><Relationship Id="rId5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image" Target="../media/image3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4.jpeg"/><Relationship Id="rId5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image" Target="../media/image8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image" Target="../media/image2.jpeg"/><Relationship Id="rId5" Type="http://schemas.openxmlformats.org/officeDocument/2006/relationships/image" Target="../media/image7.jpe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88206</xdr:colOff>
      <xdr:row>54</xdr:row>
      <xdr:rowOff>82826</xdr:rowOff>
    </xdr:from>
    <xdr:to>
      <xdr:col>9</xdr:col>
      <xdr:colOff>579783</xdr:colOff>
      <xdr:row>70</xdr:row>
      <xdr:rowOff>40401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03766D2-FE6E-4156-BCDB-FC858B6EB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94</xdr:row>
      <xdr:rowOff>0</xdr:rowOff>
    </xdr:from>
    <xdr:to>
      <xdr:col>14</xdr:col>
      <xdr:colOff>295275</xdr:colOff>
      <xdr:row>108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F31AF5-7F37-4483-B2F7-2166FEFD0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568785</xdr:colOff>
      <xdr:row>58</xdr:row>
      <xdr:rowOff>238125</xdr:rowOff>
    </xdr:from>
    <xdr:to>
      <xdr:col>6</xdr:col>
      <xdr:colOff>42294</xdr:colOff>
      <xdr:row>60</xdr:row>
      <xdr:rowOff>91805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BA67B9-145E-4A44-AA6B-D5F20ED849DA}"/>
            </a:ext>
          </a:extLst>
        </xdr:cNvPr>
        <xdr:cNvSpPr txBox="1"/>
      </xdr:nvSpPr>
      <xdr:spPr>
        <a:xfrm>
          <a:off x="4645485" y="2571750"/>
          <a:ext cx="149784" cy="3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10</xdr:col>
      <xdr:colOff>533398</xdr:colOff>
      <xdr:row>126</xdr:row>
      <xdr:rowOff>87086</xdr:rowOff>
    </xdr:from>
    <xdr:to>
      <xdr:col>21</xdr:col>
      <xdr:colOff>195943</xdr:colOff>
      <xdr:row>152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F5E92F-74BB-44D2-B3DB-9F1C019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54429</xdr:colOff>
      <xdr:row>118</xdr:row>
      <xdr:rowOff>119744</xdr:rowOff>
    </xdr:from>
    <xdr:to>
      <xdr:col>12</xdr:col>
      <xdr:colOff>457200</xdr:colOff>
      <xdr:row>120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382ED13-76FC-4703-8969-288F098CA3C9}"/>
            </a:ext>
          </a:extLst>
        </xdr:cNvPr>
        <xdr:cNvSpPr txBox="1"/>
      </xdr:nvSpPr>
      <xdr:spPr>
        <a:xfrm>
          <a:off x="8893629" y="7191375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12</xdr:col>
      <xdr:colOff>141514</xdr:colOff>
      <xdr:row>131</xdr:row>
      <xdr:rowOff>1</xdr:rowOff>
    </xdr:from>
    <xdr:to>
      <xdr:col>12</xdr:col>
      <xdr:colOff>544285</xdr:colOff>
      <xdr:row>132</xdr:row>
      <xdr:rowOff>141515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BD445F5-D1E9-46C0-9D67-042B9507B802}"/>
            </a:ext>
          </a:extLst>
        </xdr:cNvPr>
        <xdr:cNvSpPr txBox="1"/>
      </xdr:nvSpPr>
      <xdr:spPr>
        <a:xfrm>
          <a:off x="8980714" y="7191375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21</xdr:col>
      <xdr:colOff>352685</xdr:colOff>
      <xdr:row>3</xdr:row>
      <xdr:rowOff>34447</xdr:rowOff>
    </xdr:from>
    <xdr:to>
      <xdr:col>24</xdr:col>
      <xdr:colOff>612372</xdr:colOff>
      <xdr:row>5</xdr:row>
      <xdr:rowOff>36643</xdr:rowOff>
    </xdr:to>
    <xdr:pic>
      <xdr:nvPicPr>
        <xdr:cNvPr id="8" name="Picture 7" descr="UILog">
          <a:extLst>
            <a:ext uri="{FF2B5EF4-FFF2-40B4-BE49-F238E27FC236}">
              <a16:creationId xmlns:a16="http://schemas.microsoft.com/office/drawing/2014/main" id="{E7164930-166C-40DD-9555-E411951E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307185" y="900356"/>
          <a:ext cx="2649596" cy="5217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17</xdr:col>
      <xdr:colOff>8283</xdr:colOff>
      <xdr:row>57</xdr:row>
      <xdr:rowOff>8283</xdr:rowOff>
    </xdr:from>
    <xdr:to>
      <xdr:col>19</xdr:col>
      <xdr:colOff>0</xdr:colOff>
      <xdr:row>60</xdr:row>
      <xdr:rowOff>16677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EA33B13-B14C-4A1F-8415-ACED38792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408" y="3932583"/>
          <a:ext cx="1553817" cy="715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6627</xdr:colOff>
      <xdr:row>73</xdr:row>
      <xdr:rowOff>8283</xdr:rowOff>
    </xdr:from>
    <xdr:to>
      <xdr:col>19</xdr:col>
      <xdr:colOff>0</xdr:colOff>
      <xdr:row>76</xdr:row>
      <xdr:rowOff>3810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FF13F30-E2ED-41FB-AE93-DD63F63F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752" y="7961658"/>
          <a:ext cx="1555473" cy="706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84043</xdr:colOff>
      <xdr:row>4</xdr:row>
      <xdr:rowOff>34737</xdr:rowOff>
    </xdr:from>
    <xdr:to>
      <xdr:col>42</xdr:col>
      <xdr:colOff>498661</xdr:colOff>
      <xdr:row>10</xdr:row>
      <xdr:rowOff>122143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3923974-9EE6-45CD-A08E-0987A5F75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184896</xdr:colOff>
      <xdr:row>22</xdr:row>
      <xdr:rowOff>158001</xdr:rowOff>
    </xdr:from>
    <xdr:to>
      <xdr:col>42</xdr:col>
      <xdr:colOff>5602</xdr:colOff>
      <xdr:row>31</xdr:row>
      <xdr:rowOff>54908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6A6FA43-7E8B-4461-A23A-99DE4CB6C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22</xdr:col>
      <xdr:colOff>10188</xdr:colOff>
      <xdr:row>57</xdr:row>
      <xdr:rowOff>10188</xdr:rowOff>
    </xdr:from>
    <xdr:ext cx="1595454" cy="709060"/>
    <xdr:pic>
      <xdr:nvPicPr>
        <xdr:cNvPr id="13" name="Picture 12">
          <a:extLst>
            <a:ext uri="{FF2B5EF4-FFF2-40B4-BE49-F238E27FC236}">
              <a16:creationId xmlns:a16="http://schemas.microsoft.com/office/drawing/2014/main" id="{AEC2F51E-81EC-4427-B85C-CBD53976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5867" y="4554974"/>
          <a:ext cx="1595454" cy="70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8532</xdr:colOff>
      <xdr:row>73</xdr:row>
      <xdr:rowOff>10188</xdr:rowOff>
    </xdr:from>
    <xdr:ext cx="1610717" cy="725142"/>
    <xdr:pic>
      <xdr:nvPicPr>
        <xdr:cNvPr id="14" name="Picture 13">
          <a:extLst>
            <a:ext uri="{FF2B5EF4-FFF2-40B4-BE49-F238E27FC236}">
              <a16:creationId xmlns:a16="http://schemas.microsoft.com/office/drawing/2014/main" id="{C40ABE52-45F0-49A3-8DCC-9D816C65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4211" y="8582688"/>
          <a:ext cx="1610717" cy="725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8283</xdr:colOff>
      <xdr:row>57</xdr:row>
      <xdr:rowOff>8283</xdr:rowOff>
    </xdr:from>
    <xdr:ext cx="1595455" cy="740005"/>
    <xdr:pic>
      <xdr:nvPicPr>
        <xdr:cNvPr id="19" name="Picture 18">
          <a:extLst>
            <a:ext uri="{FF2B5EF4-FFF2-40B4-BE49-F238E27FC236}">
              <a16:creationId xmlns:a16="http://schemas.microsoft.com/office/drawing/2014/main" id="{0756D690-3B6D-431E-B262-0207619DD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759" y="14202438"/>
          <a:ext cx="1595455" cy="740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6627</xdr:colOff>
      <xdr:row>73</xdr:row>
      <xdr:rowOff>8283</xdr:rowOff>
    </xdr:from>
    <xdr:ext cx="1597111" cy="724598"/>
    <xdr:pic>
      <xdr:nvPicPr>
        <xdr:cNvPr id="20" name="Picture 19">
          <a:extLst>
            <a:ext uri="{FF2B5EF4-FFF2-40B4-BE49-F238E27FC236}">
              <a16:creationId xmlns:a16="http://schemas.microsoft.com/office/drawing/2014/main" id="{7B5CDA6C-CF5C-4C2A-8D62-8A217384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0103" y="18230152"/>
          <a:ext cx="1597111" cy="72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88205</xdr:colOff>
      <xdr:row>10</xdr:row>
      <xdr:rowOff>82826</xdr:rowOff>
    </xdr:from>
    <xdr:to>
      <xdr:col>9</xdr:col>
      <xdr:colOff>571500</xdr:colOff>
      <xdr:row>26</xdr:row>
      <xdr:rowOff>40401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5F0523D-1939-4AE1-A1E3-977D8DE1C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50</xdr:row>
      <xdr:rowOff>0</xdr:rowOff>
    </xdr:from>
    <xdr:to>
      <xdr:col>13</xdr:col>
      <xdr:colOff>295275</xdr:colOff>
      <xdr:row>64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2AE7B7-8960-4847-9EC8-B65B18F29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568785</xdr:colOff>
      <xdr:row>14</xdr:row>
      <xdr:rowOff>238125</xdr:rowOff>
    </xdr:from>
    <xdr:to>
      <xdr:col>5</xdr:col>
      <xdr:colOff>42294</xdr:colOff>
      <xdr:row>16</xdr:row>
      <xdr:rowOff>91805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59DE6E7-42EC-4065-A043-D93ED764482D}"/>
            </a:ext>
          </a:extLst>
        </xdr:cNvPr>
        <xdr:cNvSpPr txBox="1"/>
      </xdr:nvSpPr>
      <xdr:spPr>
        <a:xfrm>
          <a:off x="4131135" y="2800350"/>
          <a:ext cx="149784" cy="3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9</xdr:col>
      <xdr:colOff>533398</xdr:colOff>
      <xdr:row>82</xdr:row>
      <xdr:rowOff>87086</xdr:rowOff>
    </xdr:from>
    <xdr:to>
      <xdr:col>17</xdr:col>
      <xdr:colOff>195943</xdr:colOff>
      <xdr:row>108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12BA18-77F1-416E-A594-190C665DA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54429</xdr:colOff>
      <xdr:row>74</xdr:row>
      <xdr:rowOff>119744</xdr:rowOff>
    </xdr:from>
    <xdr:to>
      <xdr:col>11</xdr:col>
      <xdr:colOff>457200</xdr:colOff>
      <xdr:row>76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1AB261-EF91-4C72-B7F8-1523BD898774}"/>
            </a:ext>
          </a:extLst>
        </xdr:cNvPr>
        <xdr:cNvSpPr txBox="1"/>
      </xdr:nvSpPr>
      <xdr:spPr>
        <a:xfrm>
          <a:off x="8550729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11</xdr:col>
      <xdr:colOff>141514</xdr:colOff>
      <xdr:row>87</xdr:row>
      <xdr:rowOff>1</xdr:rowOff>
    </xdr:from>
    <xdr:to>
      <xdr:col>11</xdr:col>
      <xdr:colOff>544285</xdr:colOff>
      <xdr:row>88</xdr:row>
      <xdr:rowOff>141515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0A808A-311D-4FDD-8C41-BDC1E8D404F8}"/>
            </a:ext>
          </a:extLst>
        </xdr:cNvPr>
        <xdr:cNvSpPr txBox="1"/>
      </xdr:nvSpPr>
      <xdr:spPr>
        <a:xfrm>
          <a:off x="8637814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20</xdr:col>
      <xdr:colOff>581440</xdr:colOff>
      <xdr:row>2</xdr:row>
      <xdr:rowOff>158202</xdr:rowOff>
    </xdr:from>
    <xdr:to>
      <xdr:col>23</xdr:col>
      <xdr:colOff>767495</xdr:colOff>
      <xdr:row>4</xdr:row>
      <xdr:rowOff>225106</xdr:rowOff>
    </xdr:to>
    <xdr:pic>
      <xdr:nvPicPr>
        <xdr:cNvPr id="8" name="Picture 7" descr="UILog">
          <a:extLst>
            <a:ext uri="{FF2B5EF4-FFF2-40B4-BE49-F238E27FC236}">
              <a16:creationId xmlns:a16="http://schemas.microsoft.com/office/drawing/2014/main" id="{520DD9C2-8C06-4422-87DD-5D21F53F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600758" y="781657"/>
          <a:ext cx="2575964" cy="517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17</xdr:col>
      <xdr:colOff>12093</xdr:colOff>
      <xdr:row>13</xdr:row>
      <xdr:rowOff>12093</xdr:rowOff>
    </xdr:from>
    <xdr:to>
      <xdr:col>18</xdr:col>
      <xdr:colOff>783500</xdr:colOff>
      <xdr:row>16</xdr:row>
      <xdr:rowOff>17129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B8810F-828F-4700-BA2B-8D0C67C2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4486" y="4529664"/>
          <a:ext cx="1579943" cy="739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8532</xdr:colOff>
      <xdr:row>29</xdr:row>
      <xdr:rowOff>10188</xdr:rowOff>
    </xdr:from>
    <xdr:to>
      <xdr:col>18</xdr:col>
      <xdr:colOff>783227</xdr:colOff>
      <xdr:row>32</xdr:row>
      <xdr:rowOff>16495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C7D20C0-A85F-4AD8-BB3E-844DC17B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0925" y="8555474"/>
          <a:ext cx="1569896" cy="747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10188</xdr:colOff>
      <xdr:row>13</xdr:row>
      <xdr:rowOff>10188</xdr:rowOff>
    </xdr:from>
    <xdr:ext cx="1609062" cy="711791"/>
    <xdr:pic>
      <xdr:nvPicPr>
        <xdr:cNvPr id="13" name="Picture 12">
          <a:extLst>
            <a:ext uri="{FF2B5EF4-FFF2-40B4-BE49-F238E27FC236}">
              <a16:creationId xmlns:a16="http://schemas.microsoft.com/office/drawing/2014/main" id="{31D9EA8A-80AB-427B-A4DB-BE875295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688" y="4527759"/>
          <a:ext cx="1609062" cy="71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6627</xdr:colOff>
      <xdr:row>29</xdr:row>
      <xdr:rowOff>8283</xdr:rowOff>
    </xdr:from>
    <xdr:ext cx="1555473" cy="711791"/>
    <xdr:pic>
      <xdr:nvPicPr>
        <xdr:cNvPr id="14" name="Picture 13">
          <a:extLst>
            <a:ext uri="{FF2B5EF4-FFF2-40B4-BE49-F238E27FC236}">
              <a16:creationId xmlns:a16="http://schemas.microsoft.com/office/drawing/2014/main" id="{97A335AA-79DC-4107-A80B-36DC12C77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2102" y="7961658"/>
          <a:ext cx="1555473" cy="71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8283</xdr:colOff>
      <xdr:row>13</xdr:row>
      <xdr:rowOff>8283</xdr:rowOff>
    </xdr:from>
    <xdr:ext cx="1576677" cy="721316"/>
    <xdr:pic>
      <xdr:nvPicPr>
        <xdr:cNvPr id="11" name="Picture 10">
          <a:extLst>
            <a:ext uri="{FF2B5EF4-FFF2-40B4-BE49-F238E27FC236}">
              <a16:creationId xmlns:a16="http://schemas.microsoft.com/office/drawing/2014/main" id="{47A0DD2C-C8CD-4092-9C9F-00D3B5C3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1438" y="4415501"/>
          <a:ext cx="1576677" cy="72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8532</xdr:colOff>
      <xdr:row>29</xdr:row>
      <xdr:rowOff>10188</xdr:rowOff>
    </xdr:from>
    <xdr:ext cx="1597111" cy="723221"/>
    <xdr:pic>
      <xdr:nvPicPr>
        <xdr:cNvPr id="12" name="Picture 11">
          <a:extLst>
            <a:ext uri="{FF2B5EF4-FFF2-40B4-BE49-F238E27FC236}">
              <a16:creationId xmlns:a16="http://schemas.microsoft.com/office/drawing/2014/main" id="{95ED6702-AAEC-4DB1-AD23-C1B192544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818" y="8555474"/>
          <a:ext cx="1597111" cy="723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88206</xdr:colOff>
      <xdr:row>54</xdr:row>
      <xdr:rowOff>82826</xdr:rowOff>
    </xdr:from>
    <xdr:to>
      <xdr:col>9</xdr:col>
      <xdr:colOff>579783</xdr:colOff>
      <xdr:row>70</xdr:row>
      <xdr:rowOff>40401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4F2C73D-614B-4164-87B9-F77086707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94</xdr:row>
      <xdr:rowOff>0</xdr:rowOff>
    </xdr:from>
    <xdr:to>
      <xdr:col>14</xdr:col>
      <xdr:colOff>295275</xdr:colOff>
      <xdr:row>108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6ED684-59F3-4FEB-9B05-F558D0D6E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568785</xdr:colOff>
      <xdr:row>58</xdr:row>
      <xdr:rowOff>238125</xdr:rowOff>
    </xdr:from>
    <xdr:to>
      <xdr:col>6</xdr:col>
      <xdr:colOff>42294</xdr:colOff>
      <xdr:row>60</xdr:row>
      <xdr:rowOff>91805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11A57C-FF29-49E9-8FF9-6A8BA25A81D1}"/>
            </a:ext>
          </a:extLst>
        </xdr:cNvPr>
        <xdr:cNvSpPr txBox="1"/>
      </xdr:nvSpPr>
      <xdr:spPr>
        <a:xfrm>
          <a:off x="4131135" y="2800350"/>
          <a:ext cx="149784" cy="3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10</xdr:col>
      <xdr:colOff>533398</xdr:colOff>
      <xdr:row>126</xdr:row>
      <xdr:rowOff>87086</xdr:rowOff>
    </xdr:from>
    <xdr:to>
      <xdr:col>21</xdr:col>
      <xdr:colOff>195943</xdr:colOff>
      <xdr:row>152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A4BE8F-0F6E-42F5-8F5B-38AC25D9F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54429</xdr:colOff>
      <xdr:row>118</xdr:row>
      <xdr:rowOff>119744</xdr:rowOff>
    </xdr:from>
    <xdr:to>
      <xdr:col>12</xdr:col>
      <xdr:colOff>457200</xdr:colOff>
      <xdr:row>120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D097516-53AC-4B7C-B928-F23D1639F7E2}"/>
            </a:ext>
          </a:extLst>
        </xdr:cNvPr>
        <xdr:cNvSpPr txBox="1"/>
      </xdr:nvSpPr>
      <xdr:spPr>
        <a:xfrm>
          <a:off x="8550729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12</xdr:col>
      <xdr:colOff>141514</xdr:colOff>
      <xdr:row>131</xdr:row>
      <xdr:rowOff>1</xdr:rowOff>
    </xdr:from>
    <xdr:to>
      <xdr:col>12</xdr:col>
      <xdr:colOff>544285</xdr:colOff>
      <xdr:row>132</xdr:row>
      <xdr:rowOff>141515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C2B5F8-E54D-4205-97CC-E8B8364F679C}"/>
            </a:ext>
          </a:extLst>
        </xdr:cNvPr>
        <xdr:cNvSpPr txBox="1"/>
      </xdr:nvSpPr>
      <xdr:spPr>
        <a:xfrm>
          <a:off x="8637814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21</xdr:col>
      <xdr:colOff>264394</xdr:colOff>
      <xdr:row>3</xdr:row>
      <xdr:rowOff>79255</xdr:rowOff>
    </xdr:from>
    <xdr:to>
      <xdr:col>24</xdr:col>
      <xdr:colOff>671973</xdr:colOff>
      <xdr:row>5</xdr:row>
      <xdr:rowOff>122038</xdr:rowOff>
    </xdr:to>
    <xdr:pic>
      <xdr:nvPicPr>
        <xdr:cNvPr id="8" name="Picture 7" descr="UILog">
          <a:extLst>
            <a:ext uri="{FF2B5EF4-FFF2-40B4-BE49-F238E27FC236}">
              <a16:creationId xmlns:a16="http://schemas.microsoft.com/office/drawing/2014/main" id="{77FDCFCD-E54B-46C0-B4CD-10FC1075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137251" y="950112"/>
          <a:ext cx="2816043" cy="5190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17</xdr:col>
      <xdr:colOff>8283</xdr:colOff>
      <xdr:row>57</xdr:row>
      <xdr:rowOff>8283</xdr:rowOff>
    </xdr:from>
    <xdr:to>
      <xdr:col>19</xdr:col>
      <xdr:colOff>16921</xdr:colOff>
      <xdr:row>60</xdr:row>
      <xdr:rowOff>2071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AB19EA3-7B24-481A-8851-CE4BDF24C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018" y="3941548"/>
          <a:ext cx="1571747" cy="70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6627</xdr:colOff>
      <xdr:row>73</xdr:row>
      <xdr:rowOff>8283</xdr:rowOff>
    </xdr:from>
    <xdr:to>
      <xdr:col>18</xdr:col>
      <xdr:colOff>778921</xdr:colOff>
      <xdr:row>76</xdr:row>
      <xdr:rowOff>18095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A52AEFC-127A-4C9C-989E-5D9B49BA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8362" y="7964459"/>
          <a:ext cx="1550991" cy="71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10188</xdr:colOff>
      <xdr:row>57</xdr:row>
      <xdr:rowOff>10188</xdr:rowOff>
    </xdr:from>
    <xdr:ext cx="1581847" cy="708163"/>
    <xdr:pic>
      <xdr:nvPicPr>
        <xdr:cNvPr id="11" name="Picture 10">
          <a:extLst>
            <a:ext uri="{FF2B5EF4-FFF2-40B4-BE49-F238E27FC236}">
              <a16:creationId xmlns:a16="http://schemas.microsoft.com/office/drawing/2014/main" id="{BB27FBE6-C779-4C23-9221-963CD2ED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5867" y="4527759"/>
          <a:ext cx="1581847" cy="70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8532</xdr:colOff>
      <xdr:row>73</xdr:row>
      <xdr:rowOff>10188</xdr:rowOff>
    </xdr:from>
    <xdr:ext cx="1583503" cy="708163"/>
    <xdr:pic>
      <xdr:nvPicPr>
        <xdr:cNvPr id="12" name="Picture 11">
          <a:extLst>
            <a:ext uri="{FF2B5EF4-FFF2-40B4-BE49-F238E27FC236}">
              <a16:creationId xmlns:a16="http://schemas.microsoft.com/office/drawing/2014/main" id="{64A5BD08-1CA0-4EB9-948E-11B759754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4211" y="8555474"/>
          <a:ext cx="1583503" cy="70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10188</xdr:colOff>
      <xdr:row>57</xdr:row>
      <xdr:rowOff>10188</xdr:rowOff>
    </xdr:from>
    <xdr:ext cx="1581848" cy="708163"/>
    <xdr:pic>
      <xdr:nvPicPr>
        <xdr:cNvPr id="17" name="Picture 16">
          <a:extLst>
            <a:ext uri="{FF2B5EF4-FFF2-40B4-BE49-F238E27FC236}">
              <a16:creationId xmlns:a16="http://schemas.microsoft.com/office/drawing/2014/main" id="{4BFD5297-BBE5-4D77-96AB-04C20166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7652" y="4527759"/>
          <a:ext cx="1581848" cy="70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6627</xdr:colOff>
      <xdr:row>73</xdr:row>
      <xdr:rowOff>8283</xdr:rowOff>
    </xdr:from>
    <xdr:ext cx="1550991" cy="708163"/>
    <xdr:pic>
      <xdr:nvPicPr>
        <xdr:cNvPr id="18" name="Picture 17">
          <a:extLst>
            <a:ext uri="{FF2B5EF4-FFF2-40B4-BE49-F238E27FC236}">
              <a16:creationId xmlns:a16="http://schemas.microsoft.com/office/drawing/2014/main" id="{CD9BA3FD-C30F-4541-BED6-D18F2D38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0282" y="18441063"/>
          <a:ext cx="1550991" cy="70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88206</xdr:colOff>
      <xdr:row>37</xdr:row>
      <xdr:rowOff>82826</xdr:rowOff>
    </xdr:from>
    <xdr:to>
      <xdr:col>9</xdr:col>
      <xdr:colOff>561975</xdr:colOff>
      <xdr:row>53</xdr:row>
      <xdr:rowOff>40401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DF7550A-43D7-4006-826E-050D5B726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77</xdr:row>
      <xdr:rowOff>0</xdr:rowOff>
    </xdr:from>
    <xdr:to>
      <xdr:col>13</xdr:col>
      <xdr:colOff>295275</xdr:colOff>
      <xdr:row>91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1837FB-A240-4D87-929F-6B69ED594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568785</xdr:colOff>
      <xdr:row>41</xdr:row>
      <xdr:rowOff>238125</xdr:rowOff>
    </xdr:from>
    <xdr:to>
      <xdr:col>5</xdr:col>
      <xdr:colOff>42294</xdr:colOff>
      <xdr:row>43</xdr:row>
      <xdr:rowOff>91805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8844DB-A09C-4AD4-B614-5953C89CD86F}"/>
            </a:ext>
          </a:extLst>
        </xdr:cNvPr>
        <xdr:cNvSpPr txBox="1"/>
      </xdr:nvSpPr>
      <xdr:spPr>
        <a:xfrm>
          <a:off x="3388185" y="2800350"/>
          <a:ext cx="149784" cy="33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9</xdr:col>
      <xdr:colOff>533398</xdr:colOff>
      <xdr:row>109</xdr:row>
      <xdr:rowOff>87086</xdr:rowOff>
    </xdr:from>
    <xdr:to>
      <xdr:col>17</xdr:col>
      <xdr:colOff>195943</xdr:colOff>
      <xdr:row>135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26D0E60-36DF-476A-9BE9-C651083CD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54429</xdr:colOff>
      <xdr:row>101</xdr:row>
      <xdr:rowOff>119744</xdr:rowOff>
    </xdr:from>
    <xdr:to>
      <xdr:col>11</xdr:col>
      <xdr:colOff>457200</xdr:colOff>
      <xdr:row>103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91708E-8F81-4298-9679-A5FCC0511B3A}"/>
            </a:ext>
          </a:extLst>
        </xdr:cNvPr>
        <xdr:cNvSpPr txBox="1"/>
      </xdr:nvSpPr>
      <xdr:spPr>
        <a:xfrm>
          <a:off x="7807779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11</xdr:col>
      <xdr:colOff>141514</xdr:colOff>
      <xdr:row>114</xdr:row>
      <xdr:rowOff>1</xdr:rowOff>
    </xdr:from>
    <xdr:to>
      <xdr:col>11</xdr:col>
      <xdr:colOff>544285</xdr:colOff>
      <xdr:row>115</xdr:row>
      <xdr:rowOff>141515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1EAD47A-80AE-47FC-AC87-82A505740EE9}"/>
            </a:ext>
          </a:extLst>
        </xdr:cNvPr>
        <xdr:cNvSpPr txBox="1"/>
      </xdr:nvSpPr>
      <xdr:spPr>
        <a:xfrm>
          <a:off x="7894864" y="7467600"/>
          <a:ext cx="40277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20</xdr:col>
      <xdr:colOff>481627</xdr:colOff>
      <xdr:row>2</xdr:row>
      <xdr:rowOff>166870</xdr:rowOff>
    </xdr:from>
    <xdr:to>
      <xdr:col>24</xdr:col>
      <xdr:colOff>244004</xdr:colOff>
      <xdr:row>4</xdr:row>
      <xdr:rowOff>226366</xdr:rowOff>
    </xdr:to>
    <xdr:pic>
      <xdr:nvPicPr>
        <xdr:cNvPr id="8" name="Picture 7" descr="UILog">
          <a:extLst>
            <a:ext uri="{FF2B5EF4-FFF2-40B4-BE49-F238E27FC236}">
              <a16:creationId xmlns:a16="http://schemas.microsoft.com/office/drawing/2014/main" id="{74BEB6A5-4218-451E-A622-50631CE58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592484" y="792799"/>
          <a:ext cx="2973663" cy="5085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17</xdr:col>
      <xdr:colOff>8531</xdr:colOff>
      <xdr:row>56</xdr:row>
      <xdr:rowOff>10188</xdr:rowOff>
    </xdr:from>
    <xdr:to>
      <xdr:col>18</xdr:col>
      <xdr:colOff>780376</xdr:colOff>
      <xdr:row>58</xdr:row>
      <xdr:rowOff>224887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B8B8052-FD99-46AB-9F31-7F935AE6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2472" y="8493041"/>
          <a:ext cx="1582703" cy="70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9524</xdr:colOff>
      <xdr:row>40</xdr:row>
      <xdr:rowOff>0</xdr:rowOff>
    </xdr:from>
    <xdr:to>
      <xdr:col>18</xdr:col>
      <xdr:colOff>777240</xdr:colOff>
      <xdr:row>43</xdr:row>
      <xdr:rowOff>138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943216F-5566-4B27-A9DF-ED95CC9E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49" y="3924300"/>
          <a:ext cx="1543051" cy="714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10188</xdr:colOff>
      <xdr:row>40</xdr:row>
      <xdr:rowOff>10188</xdr:rowOff>
    </xdr:from>
    <xdr:ext cx="1581047" cy="706188"/>
    <xdr:pic>
      <xdr:nvPicPr>
        <xdr:cNvPr id="17" name="Picture 16">
          <a:extLst>
            <a:ext uri="{FF2B5EF4-FFF2-40B4-BE49-F238E27FC236}">
              <a16:creationId xmlns:a16="http://schemas.microsoft.com/office/drawing/2014/main" id="{228D4EAA-87E0-4EC1-98FF-B8BD199A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2217" y="4470129"/>
          <a:ext cx="1581047" cy="706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22</xdr:col>
      <xdr:colOff>8532</xdr:colOff>
      <xdr:row>56</xdr:row>
      <xdr:rowOff>10188</xdr:rowOff>
    </xdr:from>
    <xdr:ext cx="1560292" cy="706188"/>
    <xdr:pic>
      <xdr:nvPicPr>
        <xdr:cNvPr id="18" name="Picture 17">
          <a:extLst>
            <a:ext uri="{FF2B5EF4-FFF2-40B4-BE49-F238E27FC236}">
              <a16:creationId xmlns:a16="http://schemas.microsoft.com/office/drawing/2014/main" id="{D24C068A-0A38-4993-A056-FF644613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90561" y="8493041"/>
          <a:ext cx="1560292" cy="706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10189</xdr:colOff>
      <xdr:row>40</xdr:row>
      <xdr:rowOff>10188</xdr:rowOff>
    </xdr:from>
    <xdr:ext cx="1569840" cy="706188"/>
    <xdr:pic>
      <xdr:nvPicPr>
        <xdr:cNvPr id="9" name="Picture 8">
          <a:extLst>
            <a:ext uri="{FF2B5EF4-FFF2-40B4-BE49-F238E27FC236}">
              <a16:creationId xmlns:a16="http://schemas.microsoft.com/office/drawing/2014/main" id="{3A1D6039-66CB-4140-B2CF-28DC59F7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6042" y="4470129"/>
          <a:ext cx="1569840" cy="706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8532</xdr:colOff>
      <xdr:row>56</xdr:row>
      <xdr:rowOff>10188</xdr:rowOff>
    </xdr:from>
    <xdr:ext cx="1560291" cy="706188"/>
    <xdr:pic>
      <xdr:nvPicPr>
        <xdr:cNvPr id="12" name="Picture 11">
          <a:extLst>
            <a:ext uri="{FF2B5EF4-FFF2-40B4-BE49-F238E27FC236}">
              <a16:creationId xmlns:a16="http://schemas.microsoft.com/office/drawing/2014/main" id="{A576AD99-9AF4-4502-9F25-09C47107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4385" y="8493041"/>
          <a:ext cx="1560291" cy="706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/Box/new%20excel%20correlation/Residual-FullySoftened-Correlations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Output Metric"/>
      <sheetName val="Input-Output English"/>
    </sheetNames>
    <sheetDataSet>
      <sheetData sheetId="0">
        <row r="4">
          <cell r="K4">
            <v>0</v>
          </cell>
        </row>
      </sheetData>
      <sheetData sheetId="1">
        <row r="65">
          <cell r="B65">
            <v>40</v>
          </cell>
          <cell r="C65">
            <v>0.61209999999999998</v>
          </cell>
          <cell r="E65">
            <v>0.56240000000000001</v>
          </cell>
          <cell r="G65">
            <v>0.49959999999999999</v>
          </cell>
        </row>
        <row r="66">
          <cell r="B66">
            <v>50</v>
          </cell>
          <cell r="C66">
            <v>0.59660000000000002</v>
          </cell>
          <cell r="E66">
            <v>0.5413</v>
          </cell>
          <cell r="G66">
            <v>0.4773</v>
          </cell>
        </row>
        <row r="67">
          <cell r="B67">
            <v>60</v>
          </cell>
          <cell r="C67">
            <v>0.58169999999999999</v>
          </cell>
          <cell r="E67">
            <v>0.52239999999999998</v>
          </cell>
          <cell r="G67">
            <v>0.45729999999999998</v>
          </cell>
        </row>
        <row r="68">
          <cell r="B68">
            <v>70</v>
          </cell>
          <cell r="C68">
            <v>0.56940000000000002</v>
          </cell>
          <cell r="E68">
            <v>0.50360000000000005</v>
          </cell>
          <cell r="G68">
            <v>0.43890000000000001</v>
          </cell>
        </row>
        <row r="69">
          <cell r="B69">
            <v>75</v>
          </cell>
          <cell r="C69">
            <v>0.5645</v>
          </cell>
          <cell r="E69">
            <v>0.49509999999999998</v>
          </cell>
          <cell r="G69">
            <v>0.43020000000000003</v>
          </cell>
        </row>
        <row r="70">
          <cell r="B70">
            <v>80</v>
          </cell>
          <cell r="E70">
            <v>0.48720000000000002</v>
          </cell>
          <cell r="G70">
            <v>0.4219</v>
          </cell>
        </row>
        <row r="71">
          <cell r="B71">
            <v>90</v>
          </cell>
          <cell r="E71">
            <v>0.47220000000000001</v>
          </cell>
          <cell r="G71">
            <v>0.40539999999999998</v>
          </cell>
        </row>
        <row r="72">
          <cell r="B72">
            <v>100</v>
          </cell>
          <cell r="E72">
            <v>0.45810000000000001</v>
          </cell>
          <cell r="G72">
            <v>0.3906</v>
          </cell>
        </row>
        <row r="73">
          <cell r="B73">
            <v>110</v>
          </cell>
          <cell r="E73">
            <v>0.4451</v>
          </cell>
          <cell r="G73">
            <v>0.37819999999999998</v>
          </cell>
        </row>
        <row r="74">
          <cell r="B74">
            <v>120</v>
          </cell>
          <cell r="E74">
            <v>0.43340000000000001</v>
          </cell>
          <cell r="G74">
            <v>0.36559999999999998</v>
          </cell>
        </row>
        <row r="75">
          <cell r="B75">
            <v>130</v>
          </cell>
          <cell r="E75">
            <v>0.42370000000000002</v>
          </cell>
          <cell r="G75">
            <v>0.35370000000000001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stark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stark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tstark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stark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183"/>
  <sheetViews>
    <sheetView tabSelected="1" topLeftCell="B1" zoomScale="85" zoomScaleNormal="85" workbookViewId="0">
      <selection activeCell="B5" sqref="B5"/>
    </sheetView>
  </sheetViews>
  <sheetFormatPr defaultColWidth="8.88671875" defaultRowHeight="14.4" x14ac:dyDescent="0.3"/>
  <cols>
    <col min="1" max="1" width="1.88671875" style="3" customWidth="1"/>
    <col min="2" max="2" width="10.109375" style="3" customWidth="1"/>
    <col min="3" max="3" width="11.109375" style="3" customWidth="1"/>
    <col min="4" max="4" width="29.21875" style="3" customWidth="1"/>
    <col min="5" max="24" width="11.6640625" style="3" customWidth="1"/>
    <col min="25" max="25" width="11.6640625" customWidth="1"/>
    <col min="26" max="26" width="10" style="3" hidden="1" customWidth="1"/>
    <col min="27" max="38" width="8.88671875" style="3" hidden="1" customWidth="1"/>
    <col min="39" max="39" width="8.88671875" style="171" hidden="1" customWidth="1"/>
    <col min="40" max="54" width="8.88671875" style="3" hidden="1" customWidth="1"/>
    <col min="55" max="59" width="8.88671875" style="3" customWidth="1"/>
    <col min="60" max="16384" width="8.88671875" style="3"/>
  </cols>
  <sheetData>
    <row r="1" spans="1:52" ht="30" customHeight="1" x14ac:dyDescent="0.35">
      <c r="A1" s="123"/>
      <c r="B1" s="123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53" t="s">
        <v>80</v>
      </c>
      <c r="Q1" s="124"/>
      <c r="R1" s="124"/>
      <c r="S1" s="124"/>
      <c r="T1" s="124"/>
      <c r="U1" s="124"/>
      <c r="V1" s="153"/>
      <c r="W1" s="178"/>
      <c r="X1" s="178"/>
      <c r="Y1" s="178"/>
    </row>
    <row r="2" spans="1:52" ht="19.5" customHeight="1" x14ac:dyDescent="0.4">
      <c r="A2" s="2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"/>
      <c r="W2" s="178"/>
      <c r="X2" s="178"/>
      <c r="Y2" s="178"/>
      <c r="Z2" s="3" t="s">
        <v>4</v>
      </c>
      <c r="AA2" s="3" t="s">
        <v>93</v>
      </c>
      <c r="AD2"/>
      <c r="AE2"/>
      <c r="AF2"/>
      <c r="AG2"/>
      <c r="AH2"/>
      <c r="AI2"/>
      <c r="AJ2"/>
      <c r="AK2"/>
      <c r="AL2"/>
      <c r="AM2" s="172"/>
      <c r="AN2"/>
      <c r="AO2"/>
      <c r="AP2"/>
      <c r="AQ2"/>
      <c r="AR2"/>
      <c r="AS2"/>
      <c r="AT2"/>
      <c r="AU2"/>
      <c r="AV2"/>
      <c r="AW2"/>
      <c r="AX2"/>
      <c r="AY2" t="s">
        <v>33</v>
      </c>
      <c r="AZ2" t="s">
        <v>32</v>
      </c>
    </row>
    <row r="3" spans="1:52" ht="18.75" customHeight="1" x14ac:dyDescent="0.4">
      <c r="A3" s="2"/>
      <c r="B3" s="300" t="s">
        <v>0</v>
      </c>
      <c r="C3" s="301"/>
      <c r="D3" s="125"/>
      <c r="E3" s="302" t="s">
        <v>1</v>
      </c>
      <c r="F3" s="303"/>
      <c r="G3" s="303"/>
      <c r="H3" s="303"/>
      <c r="I3" s="304"/>
      <c r="J3" s="305" t="s">
        <v>2</v>
      </c>
      <c r="K3" s="306"/>
      <c r="L3" s="306"/>
      <c r="M3" s="306"/>
      <c r="N3" s="306"/>
      <c r="O3" s="307"/>
      <c r="P3" s="305" t="s">
        <v>3</v>
      </c>
      <c r="Q3" s="306"/>
      <c r="R3" s="306"/>
      <c r="S3" s="306"/>
      <c r="T3" s="306"/>
      <c r="U3" s="307"/>
      <c r="V3" s="2"/>
      <c r="W3" s="178"/>
      <c r="X3" s="178"/>
      <c r="Y3" s="178"/>
      <c r="Z3" s="3">
        <v>20</v>
      </c>
      <c r="AA3" s="3" t="s">
        <v>93</v>
      </c>
      <c r="AB3" s="169">
        <v>0</v>
      </c>
      <c r="AC3" s="169">
        <v>12</v>
      </c>
      <c r="AD3" s="169">
        <v>50</v>
      </c>
      <c r="AE3" s="169">
        <v>100</v>
      </c>
      <c r="AF3" s="169">
        <v>400</v>
      </c>
      <c r="AG3" s="169"/>
      <c r="AH3" s="66">
        <f>AC3*TAN(RADIANS(($R$15+$S$15*(Z3)+$T$15*(Z3)^2)))</f>
        <v>8.8989336835748727</v>
      </c>
      <c r="AI3" s="66">
        <f>AD3*TAN(RADIANS(($R$16+$S$16*(Z3)+$T$16*(Z3)^2)))</f>
        <v>35.104831955902476</v>
      </c>
      <c r="AJ3" s="66">
        <f>AE3*TAN(RADIANS(($R$17+$S$17*(Z3)+$T$17*(Z3)^2)))</f>
        <v>69.593024129366299</v>
      </c>
      <c r="AK3" s="66">
        <f>AF3*TAN(RADIANS(($R$18+$S$18*(Z3)+$T$18*(Z3)^2+$U$18*(Z3)^3)))</f>
        <v>270.78878644429329</v>
      </c>
      <c r="AL3" s="170"/>
      <c r="AM3" s="165">
        <f>LOG(AH3/101)</f>
        <v>-1.0549834034392502</v>
      </c>
      <c r="AN3" s="165">
        <f t="shared" ref="AN3" si="0">LOG(AI3/101)</f>
        <v>-0.45895447534084632</v>
      </c>
      <c r="AO3" s="165">
        <f t="shared" ref="AO3:AO31" si="1">LOG(AJ3/101)</f>
        <v>-0.16175566483238724</v>
      </c>
      <c r="AP3" s="165">
        <f t="shared" ref="AP3:AP31" si="2">LOG(AK3/101)</f>
        <v>0.42830930216030416</v>
      </c>
      <c r="AQ3" s="165"/>
      <c r="AR3" s="165">
        <f>LOG(AC3/101)</f>
        <v>-0.92514012773501775</v>
      </c>
      <c r="AS3" s="165">
        <f>LOG(AD3/101)</f>
        <v>-0.30535136944662378</v>
      </c>
      <c r="AT3" s="165">
        <f>LOG(AE3/101)</f>
        <v>-4.3213737826425782E-3</v>
      </c>
      <c r="AU3" s="165">
        <f>LOG(AF3/101)</f>
        <v>0.59773861754531976</v>
      </c>
      <c r="AV3" s="165"/>
      <c r="AW3" s="135">
        <f>AVERAGE(AR3:AU3)</f>
        <v>-0.15926856335474107</v>
      </c>
      <c r="AX3" s="135">
        <f>AVERAGE(AM3:AP3)</f>
        <v>-0.31184606036304491</v>
      </c>
      <c r="AY3" s="135">
        <f>((AR3-AW3)*(AM3-AX3)+(AS3-AW3)*(AN3-AX3)+(AT3-AW3)*(AO3-AX3)+(AU3-AW3)*(AP3-AX3))/((AR3-AW3)^2+(AS3-AW3)^2+(AT3-AW3)^2+(AU3-AW3)^2)</f>
        <v>0.97446308501144829</v>
      </c>
      <c r="AZ3" s="135">
        <f>10^(AX3-(AY3*AW3))</f>
        <v>0.69719662359568446</v>
      </c>
    </row>
    <row r="4" spans="1:52" ht="22.8" customHeight="1" x14ac:dyDescent="0.35">
      <c r="A4" s="2"/>
      <c r="B4" s="126" t="s">
        <v>4</v>
      </c>
      <c r="C4" s="126" t="s">
        <v>5</v>
      </c>
      <c r="D4" s="127" t="s">
        <v>7</v>
      </c>
      <c r="E4" s="128" t="s">
        <v>8</v>
      </c>
      <c r="F4" s="129" t="s">
        <v>9</v>
      </c>
      <c r="G4" s="128" t="s">
        <v>10</v>
      </c>
      <c r="H4" s="129" t="s">
        <v>11</v>
      </c>
      <c r="I4" s="129" t="s">
        <v>12</v>
      </c>
      <c r="J4" s="130">
        <v>0</v>
      </c>
      <c r="K4" s="130">
        <v>12</v>
      </c>
      <c r="L4" s="130">
        <v>50</v>
      </c>
      <c r="M4" s="130">
        <v>100</v>
      </c>
      <c r="N4" s="130">
        <v>400</v>
      </c>
      <c r="O4" s="130">
        <v>700</v>
      </c>
      <c r="P4" s="130">
        <v>0</v>
      </c>
      <c r="Q4" s="130">
        <f>K4*20.89</f>
        <v>250.68</v>
      </c>
      <c r="R4" s="130">
        <f t="shared" ref="R4:U5" si="3">L4*20.89</f>
        <v>1044.5</v>
      </c>
      <c r="S4" s="130">
        <f t="shared" si="3"/>
        <v>2089</v>
      </c>
      <c r="T4" s="130">
        <f t="shared" si="3"/>
        <v>8356</v>
      </c>
      <c r="U4" s="130">
        <f t="shared" si="3"/>
        <v>14623</v>
      </c>
      <c r="V4" s="2"/>
      <c r="W4" s="178"/>
      <c r="X4" s="178"/>
      <c r="Y4" s="178"/>
      <c r="Z4" s="3">
        <v>22</v>
      </c>
      <c r="AA4" s="3" t="s">
        <v>93</v>
      </c>
      <c r="AB4" s="169">
        <v>0</v>
      </c>
      <c r="AC4" s="169">
        <v>12</v>
      </c>
      <c r="AD4" s="169">
        <v>50</v>
      </c>
      <c r="AE4" s="169">
        <v>100</v>
      </c>
      <c r="AF4" s="169">
        <v>400</v>
      </c>
      <c r="AG4" s="169"/>
      <c r="AH4" s="66">
        <f>AC4*TAN(RADIANS(($R$15+$S$15*(Z4)+$T$15*(Z4)^2)))</f>
        <v>8.8586335072259157</v>
      </c>
      <c r="AI4" s="66">
        <f>AD4*TAN(RADIANS(($R$16+$S$16*(Z4)+$T$16*(Z4)^2)))</f>
        <v>34.939732579466693</v>
      </c>
      <c r="AJ4" s="66">
        <f>AE4*TAN(RADIANS(($R$17+$S$17*(Z4)+$T$17*(Z4)^2)))</f>
        <v>69.199193889354333</v>
      </c>
      <c r="AK4" s="66">
        <f>AF4*TAN(RADIANS(($R$18+$S$18*(Z4)+$T$18*(Z4)^2+$U$18*(Z4)^3)))</f>
        <v>268.99334069421286</v>
      </c>
      <c r="AL4" s="170"/>
      <c r="AM4" s="165">
        <f t="shared" ref="AM4:AM31" si="4">LOG(AH4/101)</f>
        <v>-1.0569546390334295</v>
      </c>
      <c r="AN4" s="165">
        <f t="shared" ref="AN4:AN31" si="5">LOG(AI4/101)</f>
        <v>-0.46100179711130035</v>
      </c>
      <c r="AO4" s="165">
        <f t="shared" si="1"/>
        <v>-0.16422033845080281</v>
      </c>
      <c r="AP4" s="165">
        <f t="shared" si="2"/>
        <v>0.4254201547864741</v>
      </c>
      <c r="AQ4" s="165"/>
      <c r="AR4" s="165">
        <f t="shared" ref="AR4:AR31" si="6">LOG(AC4/101)</f>
        <v>-0.92514012773501775</v>
      </c>
      <c r="AS4" s="165">
        <f t="shared" ref="AS4:AS31" si="7">LOG(AD4/101)</f>
        <v>-0.30535136944662378</v>
      </c>
      <c r="AT4" s="165">
        <f t="shared" ref="AT4:AT31" si="8">LOG(AE4/101)</f>
        <v>-4.3213737826425782E-3</v>
      </c>
      <c r="AU4" s="165">
        <f t="shared" ref="AU4:AU31" si="9">LOG(AF4/101)</f>
        <v>0.59773861754531976</v>
      </c>
      <c r="AV4" s="165"/>
      <c r="AW4" s="135">
        <f t="shared" ref="AW4:AW31" si="10">AVERAGE(AR4:AU4)</f>
        <v>-0.15926856335474107</v>
      </c>
      <c r="AX4" s="135">
        <f t="shared" ref="AX4:AX31" si="11">AVERAGE(AM4:AP4)</f>
        <v>-0.31418915495226463</v>
      </c>
      <c r="AY4" s="135">
        <f t="shared" ref="AY4:AY31" si="12">((AR4-AW4)*(AM4-AX4)+(AS4-AW4)*(AN4-AX4)+(AT4-AW4)*(AO4-AX4)+(AU4-AW4)*(AP4-AX4))/((AR4-AW4)^2+(AS4-AW4)^2+(AT4-AW4)^2+(AU4-AW4)^2)</f>
        <v>0.9738321904170435</v>
      </c>
      <c r="AZ4" s="135">
        <f t="shared" ref="AZ4:AZ31" si="13">10^(AX4-(AY4*AW4))</f>
        <v>0.69328483256351114</v>
      </c>
    </row>
    <row r="5" spans="1:52" ht="24" customHeight="1" x14ac:dyDescent="0.35">
      <c r="A5" s="2"/>
      <c r="B5" s="1">
        <v>37</v>
      </c>
      <c r="C5" s="1">
        <v>30</v>
      </c>
      <c r="D5" s="257" t="s">
        <v>100</v>
      </c>
      <c r="E5" s="258" t="s">
        <v>14</v>
      </c>
      <c r="F5" s="259">
        <f>IF(($C$5&lt;=20),(F6+(3.6/3)),IF(($C$5&lt;25),(F6+(3.3/3)),IF(($C$5&lt;45),(F6+(3/3)),IF($C$5=25,(F6+(3/3)),IF($C$5=45,(F6+(3/3)),IF(($C$5&lt;50),(F6+(2.7/3)),IF($C$5=50,F6+(2.4/3),(F6+(2.4/3)))))))))</f>
        <v>27.734247737167539</v>
      </c>
      <c r="G5" s="259">
        <f>IF(($C$5&lt;=20),(G6+(3.6/3)),IF(($C$5&lt;25),(G6+(3.3/3)),IF(($C$5&lt;45),(G6+(3/3)),IF($C$5=25,(G6+(3/3)),IF($C$5=45,(G6+(3/3)),IF(($C$5&lt;50),(G6+(2.1/3)),IF($C$5=50,G6+(2.4/3),(G6+(2.4/3)))))))))</f>
        <v>25.811716434577917</v>
      </c>
      <c r="H5" s="259">
        <f>IF(($C$5&lt;=20),(H6+(4.2/3)),IF(($C$5&lt;25),(H6+(4.35/3)),IF(($C$5&lt;45),(H6+(4.5/3)),IF($C$5=25,(H6+(4.5/3)),IF($C$5=45,(H6+(4.5/3)),IF(($C$5&lt;50),(H6+(3.45/3)),IF($C$5=50,H6+(2.4/3),(H6+(2.4/3)))))))))</f>
        <v>24.027687365281071</v>
      </c>
      <c r="I5" s="259">
        <f>IF(($C$5&lt;=20),(I6+(3.9/3)),IF(($C$5&lt;25),(I6+(3.6/3)),IF(($C$5&lt;45),(I6+(3.3/3)),IF($C$5=25,(I6+(3.3/3)),IF($C$5=45,(I6+(3.3/3)),IF(($C$5&lt;50),(I6+(2.4/3)),IF($C$5=50,I6+(2.4/3),(I6+(2.4/3)))))))))</f>
        <v>20.839406258683951</v>
      </c>
      <c r="J5" s="259">
        <v>0</v>
      </c>
      <c r="K5" s="260" t="s">
        <v>14</v>
      </c>
      <c r="L5" s="259">
        <f>IF(F5="NA", "NA", $L$4*TAN(RADIANS(F5)))</f>
        <v>26.28872354487935</v>
      </c>
      <c r="M5" s="259">
        <f t="shared" ref="M5" si="14">IF(G5="NA", "NA", $M$4*TAN(RADIANS(G5)))</f>
        <v>48.367119150018013</v>
      </c>
      <c r="N5" s="259">
        <f>IF(H5="NA", "NA", $N$4*TAN(RADIANS(H5)))</f>
        <v>178.32313470736909</v>
      </c>
      <c r="O5" s="259">
        <f t="shared" ref="O5" si="15">IF(I5="NA", "NA", $O$4*TAN(RADIANS(I5)))</f>
        <v>266.45610823694011</v>
      </c>
      <c r="P5" s="278">
        <v>0</v>
      </c>
      <c r="Q5" s="261" t="s">
        <v>14</v>
      </c>
      <c r="R5" s="261">
        <f>L5*20.89</f>
        <v>549.17143485252961</v>
      </c>
      <c r="S5" s="261">
        <f t="shared" si="3"/>
        <v>1010.3891190438763</v>
      </c>
      <c r="T5" s="261">
        <f t="shared" si="3"/>
        <v>3725.1702840369403</v>
      </c>
      <c r="U5" s="261">
        <f t="shared" si="3"/>
        <v>5566.2681010696788</v>
      </c>
      <c r="V5" s="2"/>
      <c r="W5" s="420"/>
      <c r="X5" s="421"/>
      <c r="Y5" s="421"/>
      <c r="Z5" s="3">
        <v>24</v>
      </c>
      <c r="AA5" s="3" t="s">
        <v>93</v>
      </c>
      <c r="AB5" s="169">
        <v>0</v>
      </c>
      <c r="AC5" s="169">
        <v>12</v>
      </c>
      <c r="AD5" s="169">
        <v>50</v>
      </c>
      <c r="AE5" s="169">
        <v>100</v>
      </c>
      <c r="AF5" s="169">
        <v>400</v>
      </c>
      <c r="AG5" s="169"/>
      <c r="AH5" s="66">
        <f>AC5*TAN(RADIANS(($R$15+$S$15*(Z5)+$T$15*(Z5)^2)))</f>
        <v>8.8190651593861791</v>
      </c>
      <c r="AI5" s="66">
        <f>AD5*TAN(RADIANS(($R$16+$S$16*(Z5)+$T$16*(Z5)^2)))</f>
        <v>34.777333819573705</v>
      </c>
      <c r="AJ5" s="66">
        <f>AE5*TAN(RADIANS(($R$17+$S$17*(Z5)+$T$17*(Z5)^2)))</f>
        <v>68.812450904338434</v>
      </c>
      <c r="AK5" s="66">
        <f>AF5*TAN(RADIANS(($R$18+$S$18*(Z5)+$T$18*(Z5)^2+$U$18*(Z5)^3)))</f>
        <v>267.21804790562959</v>
      </c>
      <c r="AL5" s="170"/>
      <c r="AM5" s="165">
        <f t="shared" si="4"/>
        <v>-1.0588988223965745</v>
      </c>
      <c r="AN5" s="165">
        <f t="shared" si="5"/>
        <v>-0.46302508972810685</v>
      </c>
      <c r="AO5" s="165">
        <f t="shared" si="1"/>
        <v>-0.16665434732305551</v>
      </c>
      <c r="AP5" s="165">
        <f t="shared" si="2"/>
        <v>0.42254441325861275</v>
      </c>
      <c r="AQ5" s="165"/>
      <c r="AR5" s="165">
        <f t="shared" si="6"/>
        <v>-0.92514012773501775</v>
      </c>
      <c r="AS5" s="165">
        <f t="shared" si="7"/>
        <v>-0.30535136944662378</v>
      </c>
      <c r="AT5" s="165">
        <f t="shared" si="8"/>
        <v>-4.3213737826425782E-3</v>
      </c>
      <c r="AU5" s="165">
        <f t="shared" si="9"/>
        <v>0.59773861754531976</v>
      </c>
      <c r="AV5" s="165"/>
      <c r="AW5" s="135">
        <f t="shared" si="10"/>
        <v>-0.15926856335474107</v>
      </c>
      <c r="AX5" s="135">
        <f t="shared" si="11"/>
        <v>-0.31650846154728102</v>
      </c>
      <c r="AY5" s="135">
        <f t="shared" si="12"/>
        <v>0.97319355367244353</v>
      </c>
      <c r="AZ5" s="135">
        <f t="shared" si="13"/>
        <v>0.6894307939725548</v>
      </c>
    </row>
    <row r="6" spans="1:52" ht="21" customHeight="1" x14ac:dyDescent="0.35">
      <c r="A6" s="2"/>
      <c r="B6" s="162"/>
      <c r="C6" s="162"/>
      <c r="D6" s="179" t="s">
        <v>13</v>
      </c>
      <c r="E6" s="180" t="s">
        <v>14</v>
      </c>
      <c r="F6" s="181">
        <f>IF(C5&lt;21,E14,IF(C5=21,((4*E14+E16)/5),IF(C5=22,((3*E14+2*E16)/5),IF(C5=23,((2*E14+3*E16)/5),IF(C5=24,((E14+4*E16)/5),IF(C5=46,((4*E16+E19)/5),IF(C5=47,((3*E16+2*E19)/5),IF(C5=48,((2*E16+3*E19)/5),IF(C5=49,((E16+4*E19)/5),IF(C5&gt;49,E19,E16))))))))))</f>
        <v>26.734247737167539</v>
      </c>
      <c r="G6" s="181">
        <f>IF(C5&lt;21,F14,IF(C5=21,((4*F14+F16)/5),IF(C5=22,((3*F14+2*F16)/5),IF(C5=23,((2*F14+3*F16)/5),IF(C5=24,((F14+4*F16)/5),IF(C5=46,((4*F16+F19)/5),IF(C5=47,((3*F16+2*F19)/5),IF(C5=48,((2*F16+3*F19)/5),IF(C5=49,((F16+4*F19)/5),IF(C5&gt;49,F19,F16))))))))))</f>
        <v>24.811716434577917</v>
      </c>
      <c r="H6" s="181">
        <f>IF(C5&lt;21,G14,IF(C5=21,((4*G14+G16)/5),IF(C5=22,((3*G14+2*G16)/5),IF(C5=23,((2*G14+3*G16)/5),IF(C5=24,((G14+4*G16)/5),IF(C5=46,((4*G16+G19)/5),IF(C5=47,((3*G16+2*G19)/5),IF(C5=48,((2*G16+3*G19)/5),IF(C5=49,((G16+4*G19)/5),IF(C5&gt;49,G19,G16))))))))))</f>
        <v>22.527687365281071</v>
      </c>
      <c r="I6" s="181">
        <f>IF(C5&lt;21,H14,IF(C5=21,((4*H14+H16)/5),IF(C5=22,((3*H14+2*H16)/5),IF(C5=23,((2*H14+3*H16)/5),IF(C5=24,((H14+4*H16)/5),IF(C5=46,((4*H16+H19)/5),IF(C5=47,((3*H16+2*H19)/5),IF(C5=48,((2*H16+3*H19)/5),IF(C5=49,((H16+4*H19)/5),IF(C5&gt;49,H19,H16))))))))))</f>
        <v>19.73940625868395</v>
      </c>
      <c r="J6" s="183">
        <v>0</v>
      </c>
      <c r="K6" s="182" t="s">
        <v>14</v>
      </c>
      <c r="L6" s="183">
        <f>IF(F6="NA", "NA", $L$4*TAN(RADIANS(F6)))</f>
        <v>25.184838270459181</v>
      </c>
      <c r="M6" s="183">
        <f>IF(G6="NA", "NA", $M$4*TAN(RADIANS(G6)))</f>
        <v>46.231304313372007</v>
      </c>
      <c r="N6" s="183">
        <f>IF(H6="NA", "NA", $N$4*TAN(RADIANS(H6)))</f>
        <v>165.91192863300225</v>
      </c>
      <c r="O6" s="183">
        <f>IF(I6="NA", "NA", $O$4*TAN(RADIANS(I6)))</f>
        <v>251.17957924853658</v>
      </c>
      <c r="P6" s="279">
        <v>0</v>
      </c>
      <c r="Q6" s="184" t="s">
        <v>14</v>
      </c>
      <c r="R6" s="184">
        <f>L6*20.89</f>
        <v>526.11127146989236</v>
      </c>
      <c r="S6" s="184">
        <f>M6*20.89</f>
        <v>965.77194710634126</v>
      </c>
      <c r="T6" s="184">
        <f>N6*20.89</f>
        <v>3465.9001891434173</v>
      </c>
      <c r="U6" s="184">
        <f t="shared" ref="U6" si="16">O6*20.89</f>
        <v>5247.1414105019294</v>
      </c>
      <c r="V6" s="2"/>
      <c r="W6" s="420"/>
      <c r="X6" s="421"/>
      <c r="Y6" s="421"/>
      <c r="AB6" s="169"/>
      <c r="AC6" s="169"/>
      <c r="AD6" s="169"/>
      <c r="AE6" s="169"/>
      <c r="AF6" s="169"/>
      <c r="AG6" s="169"/>
      <c r="AH6" s="66"/>
      <c r="AI6" s="66"/>
      <c r="AJ6" s="66"/>
      <c r="AK6" s="66"/>
      <c r="AL6" s="170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35"/>
      <c r="AX6" s="135"/>
      <c r="AY6" s="135"/>
      <c r="AZ6" s="135"/>
    </row>
    <row r="7" spans="1:52" ht="21" customHeight="1" x14ac:dyDescent="0.55000000000000004">
      <c r="A7" s="2"/>
      <c r="B7" s="162"/>
      <c r="C7" s="162"/>
      <c r="D7" s="185" t="s">
        <v>95</v>
      </c>
      <c r="E7" s="186" t="s">
        <v>14</v>
      </c>
      <c r="F7" s="187">
        <f>IF(($C$5&lt;=20),(F6-(3.6/3)),IF(($C$5&lt;25),(F6-(3.3/3)),IF(($C$5&lt;45),(F6-(3/3)),IF($C$5=25,(F6-(3/3)),IF($C$5=45,(F6-(3/3)),IF(($C$5&lt;50),(F6-(2.7/3)),IF($C$5=50,F6-(2.4/3),(F6-(2.4/3)))))))))</f>
        <v>25.734247737167539</v>
      </c>
      <c r="G7" s="187">
        <f>IF(($C$5&lt;=20),(G6-(3.6/3)),IF(($C$5&lt;25),(G6-(3.3/3)),IF(($C$5&lt;45),(G6-(3/3)),IF($C$5=25,(G6-(3/3)),IF($C$5=45,(G6-(3/3)),IF(($C$5&lt;50),(G6-(2.1/3)),IF($C$5=50,G6-(2.4/3),(G6-(2.4/3)))))))))</f>
        <v>23.811716434577917</v>
      </c>
      <c r="H7" s="187">
        <f>IF(($C$5&lt;=20),(H6-(4.2/3)),IF(($C$5&lt;25),(H6-(4.35/3)),IF(($C$5&lt;45),(H6-(4.5/3)),IF($C$5=25,(H6-(4.5/3)),IF($C$5=45,(H6-(4.5/3)),IF(($C$5&lt;50),(H6-(3.45/3)),IF($C$5=50,H6-(2.4/3),(H6-(2.4/3)))))))))</f>
        <v>21.027687365281071</v>
      </c>
      <c r="I7" s="187">
        <f>IF(($C$5&lt;=20),(I6-(3.9/3)),IF(($C$5&lt;25),(I6-(3.6/3)),IF(($C$5&lt;45),(I6-(3.3/3)),IF($C$5=25,(I6-(3.3/3)),IF($C$5=45,(I6-(3.3/3)),IF(($C$5&lt;50),(I6-(2.4/3)),IF($C$5=50,I6-(2.4/3),(I6-(2.4/3)))))))))</f>
        <v>18.639406258683948</v>
      </c>
      <c r="J7" s="189">
        <v>0</v>
      </c>
      <c r="K7" s="188" t="s">
        <v>14</v>
      </c>
      <c r="L7" s="189">
        <f t="shared" ref="L7" si="17">IF(F7="NA", "NA", $L$4*TAN(RADIANS(F7)))</f>
        <v>24.100194672636004</v>
      </c>
      <c r="M7" s="189">
        <f t="shared" ref="M7:M8" si="18">IF(G7="NA", "NA", $M$4*TAN(RADIANS(G7)))</f>
        <v>44.129684322289258</v>
      </c>
      <c r="N7" s="189">
        <f t="shared" ref="N7" si="19">IF(H7="NA", "NA", $N$4*TAN(RADIANS(H7)))</f>
        <v>153.76743167210293</v>
      </c>
      <c r="O7" s="189">
        <f t="shared" ref="O7" si="20">IF(I7="NA", "NA", $O$4*TAN(RADIANS(I7)))</f>
        <v>236.11211578641539</v>
      </c>
      <c r="P7" s="280">
        <v>0</v>
      </c>
      <c r="Q7" s="190" t="s">
        <v>14</v>
      </c>
      <c r="R7" s="190">
        <f t="shared" ref="R7" si="21">L7*20.89</f>
        <v>503.45306671136615</v>
      </c>
      <c r="S7" s="190">
        <f t="shared" ref="S7:S8" si="22">M7*20.89</f>
        <v>921.86910549262257</v>
      </c>
      <c r="T7" s="190">
        <f t="shared" ref="T7:T8" si="23">N7*20.89</f>
        <v>3212.2016476302301</v>
      </c>
      <c r="U7" s="190">
        <f t="shared" ref="U7" si="24">O7*20.89</f>
        <v>4932.3820987782174</v>
      </c>
      <c r="V7" s="2"/>
      <c r="W7" s="339" t="s">
        <v>44</v>
      </c>
      <c r="X7" s="340"/>
      <c r="Y7" s="340"/>
      <c r="Z7" s="3">
        <v>26</v>
      </c>
      <c r="AA7" s="3" t="s">
        <v>93</v>
      </c>
      <c r="AB7" s="169">
        <v>0</v>
      </c>
      <c r="AC7" s="169">
        <v>12</v>
      </c>
      <c r="AD7" s="169">
        <v>50</v>
      </c>
      <c r="AE7" s="169">
        <v>100</v>
      </c>
      <c r="AF7" s="169">
        <v>400</v>
      </c>
      <c r="AG7" s="169"/>
      <c r="AH7" s="66">
        <f>AC7*TAN(RADIANS(($R$15+$S$15*(Z7)+$T$15*(Z7)^2)))</f>
        <v>8.780221984640189</v>
      </c>
      <c r="AI7" s="66">
        <f>AD7*TAN(RADIANS(($R$16+$S$16*(Z7)+$T$16*(Z7)^2)))</f>
        <v>34.617611804930988</v>
      </c>
      <c r="AJ7" s="66">
        <f>AE7*TAN(RADIANS(($R$17+$S$17*(Z7)+$T$17*(Z7)^2)))</f>
        <v>68.432720972454248</v>
      </c>
      <c r="AK7" s="66">
        <f>AF7*TAN(RADIANS(($R$18+$S$18*(Z7)+$T$18*(Z7)^2+$U$18*(Z7)^3)))</f>
        <v>265.46267290456058</v>
      </c>
      <c r="AL7" s="170"/>
      <c r="AM7" s="165">
        <f t="shared" si="4"/>
        <v>-1.0608158777528958</v>
      </c>
      <c r="AN7" s="165">
        <f t="shared" si="5"/>
        <v>-0.46502427025816556</v>
      </c>
      <c r="AO7" s="165">
        <f t="shared" si="1"/>
        <v>-0.16905756533932059</v>
      </c>
      <c r="AP7" s="165">
        <f t="shared" si="2"/>
        <v>0.41968208914428323</v>
      </c>
      <c r="AQ7" s="165"/>
      <c r="AR7" s="165">
        <f t="shared" si="6"/>
        <v>-0.92514012773501775</v>
      </c>
      <c r="AS7" s="165">
        <f t="shared" si="7"/>
        <v>-0.30535136944662378</v>
      </c>
      <c r="AT7" s="165">
        <f t="shared" si="8"/>
        <v>-4.3213737826425782E-3</v>
      </c>
      <c r="AU7" s="165">
        <f t="shared" si="9"/>
        <v>0.59773861754531976</v>
      </c>
      <c r="AV7" s="165"/>
      <c r="AW7" s="135">
        <f t="shared" si="10"/>
        <v>-0.15926856335474107</v>
      </c>
      <c r="AX7" s="135">
        <f t="shared" si="11"/>
        <v>-0.3188039060515247</v>
      </c>
      <c r="AY7" s="135">
        <f t="shared" si="12"/>
        <v>0.97254714004433362</v>
      </c>
      <c r="AZ7" s="135">
        <f t="shared" si="13"/>
        <v>0.68563389580276723</v>
      </c>
    </row>
    <row r="8" spans="1:52" ht="21" customHeight="1" x14ac:dyDescent="0.35">
      <c r="A8" s="2"/>
      <c r="B8" s="162"/>
      <c r="C8" s="162"/>
      <c r="D8" s="264" t="s">
        <v>101</v>
      </c>
      <c r="E8" s="265">
        <f>IF(($C$5&lt;=20),(E9+(1.3/3)),IF(($C$5&lt;25),(E9+(2.15/3)),IF(($C$5&lt;45),(E9+(3/3)),IF($C$5=25,(E9+(3/3)),IF($C$5=45,(E9+(3/3)),IF(($C$5&lt;50),(E9+(4.05/3)),IF($C$5=50,E9+(5.1/3),(E9+(5.1/3)))))))))</f>
        <v>36.2496482223386</v>
      </c>
      <c r="F8" s="265">
        <f>IF(($C$5&lt;=20),(F9+(0.63/3)),IF(($C$5&lt;25),(F9+(2.27/3)),IF(($C$5&lt;45),(F9+(3.9/3)),IF($C$5=25,(F9+(3.9/3)),IF($C$5=45,(F9+(3.9/3)),IF(($C$5&lt;50),(F9+(4.05/3)),IF($C$5=50,F9+(4.2/3),(F9+(4.2/3)))))))))</f>
        <v>34.373903410634199</v>
      </c>
      <c r="G8" s="265">
        <f>IF(($C$5&lt;=20),(G9+(0.63/3)),IF(($C$5&lt;25),(G9+(1.8/3)),IF(($C$5&lt;45),(G9+(3/3)),IF($C$5=25,(G9+(3/3)),IF($C$5=45,(G9+(3/3)),IF(($C$5&lt;50),(G9+(3.6/3)),IF($C$5=50,G9+(4.2/3),(G9+(4.2/3)))))))))</f>
        <v>32.466177632971998</v>
      </c>
      <c r="H8" s="265">
        <f>IF(($C$5&lt;=20),(H9+(1.2/3)),IF(($C$5&lt;25),(H9+(2.1/3)),IF(($C$5&lt;45),(H9+(3/3)),IF($C$5=25,(H9+(3/3)),IF($C$5=45,(H9+(3/3)),IF(($C$5&lt;50),(H9+(3.45/3)),IF($C$5=50,H9+(3.9/3),(H9+(3.9/3)))))))))</f>
        <v>30.463652549528899</v>
      </c>
      <c r="I8" s="266" t="s">
        <v>14</v>
      </c>
      <c r="J8" s="265">
        <v>0</v>
      </c>
      <c r="K8" s="265">
        <f>IF(E8="NA", "NA", $K$4*TAN(RADIANS(E8)))</f>
        <v>8.7986507492482637</v>
      </c>
      <c r="L8" s="265">
        <f>IF(F8="NA", "NA", $L$4*TAN(RADIANS(F8)))</f>
        <v>34.202274356932271</v>
      </c>
      <c r="M8" s="265">
        <f t="shared" si="18"/>
        <v>63.624067800965257</v>
      </c>
      <c r="N8" s="265">
        <f t="shared" ref="N8" si="25">IF(H8="NA","NA",$N$4*TAN(RADIANS(H8)))</f>
        <v>235.27633539676773</v>
      </c>
      <c r="O8" s="265" t="s">
        <v>14</v>
      </c>
      <c r="P8" s="265">
        <f t="shared" ref="P8" si="26">J8*20.89</f>
        <v>0</v>
      </c>
      <c r="Q8" s="265">
        <f t="shared" ref="Q8" si="27">K8*20.89</f>
        <v>183.80381415179625</v>
      </c>
      <c r="R8" s="265">
        <f>L8*20.89</f>
        <v>714.48551131631518</v>
      </c>
      <c r="S8" s="265">
        <f t="shared" si="22"/>
        <v>1329.1067763621643</v>
      </c>
      <c r="T8" s="265">
        <f t="shared" si="23"/>
        <v>4914.9226464384783</v>
      </c>
      <c r="U8" s="265" t="s">
        <v>14</v>
      </c>
      <c r="V8" s="2"/>
      <c r="W8" s="421"/>
      <c r="X8" s="421"/>
      <c r="Y8" s="421"/>
      <c r="AB8" s="169"/>
      <c r="AC8" s="169"/>
      <c r="AD8" s="169"/>
      <c r="AE8" s="169"/>
      <c r="AF8" s="169"/>
      <c r="AG8" s="169"/>
      <c r="AH8" s="66"/>
      <c r="AI8" s="66"/>
      <c r="AJ8" s="66"/>
      <c r="AK8" s="66"/>
      <c r="AL8" s="170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35"/>
      <c r="AX8" s="135"/>
      <c r="AY8" s="135"/>
      <c r="AZ8" s="135"/>
    </row>
    <row r="9" spans="1:52" ht="21" customHeight="1" x14ac:dyDescent="0.35">
      <c r="A9" s="2"/>
      <c r="B9" s="162"/>
      <c r="C9" s="162"/>
      <c r="D9" s="262" t="s">
        <v>15</v>
      </c>
      <c r="E9" s="217">
        <f>IF(C5&lt;21,D23,IF(C5=21,((4*D23+D25)/5),IF(C5=22,((3*D23+2*D25)/5),IF(C5=23,((2*D23+3*D25)/5),IF(C5=24,((D23+4*D25)/5),IF(C5=46,((4*D25+D27)/5),IF(C5=47,((3*D25+2*D27)/5),IF(C5=48,((2*D25+3*D27)/5),IF(C5=49,((D25+4*D27)/5),IF(C5&gt;49,D27,D25))))))))))</f>
        <v>35.2496482223386</v>
      </c>
      <c r="F9" s="217">
        <f>IF(C5&lt;21,E23,IF(C5=21,((4*E23+E25)/5),IF(C5=22,((3*E23+2*E25)/5),IF(C5=23,((2*E23+3*E25)/5),IF(C5=24,((E23+4*E25)/5),IF(C5=46,((4*E25+E27)/5),IF(C5=47,((3*E25+2*E27)/5),IF(C5=48,((2*E25+3*E27)/5),IF(C5=49,((E25+4*E27)/5),IF(C5&gt;49,E27,E25))))))))))</f>
        <v>33.073903410634202</v>
      </c>
      <c r="G9" s="217">
        <f>IF(C5&lt;21,F23,IF(C5=21,((4*F23+F25)/5),IF(C5=22,((3*F23+2*F25)/5),IF(C5=23,((2*F23+3*F25)/5),IF(C5=24,((F23+4*F25)/5),IF(C5=46,((4*F25+F27)/5),IF(C5=47,((3*F25+2*F27)/5),IF(C5=48,((2*F25+3*F27)/5),IF(C5=49,((F25+4*F27)/5),IF(C5&gt;49,F27,F25))))))))))</f>
        <v>31.466177632971998</v>
      </c>
      <c r="H9" s="217">
        <f>IF(C5&lt;21,G23,IF(C5=21,((4*G23+G25)/5),IF(C5=22,((3*G23+2*G25)/5),IF(C5=23,((2*G23+3*G25)/5),IF(C5=24,((G23+4*G25)/5),IF(C5=46,((4*G25+G27)/5),IF(C5=47,((3*G25+2*G27)/5),IF(C5=48,((2*G25+3*G27)/5),IF(C5=49,((G25+4*G27)/5),IF(C5&gt;49,G27,G25))))))))))</f>
        <v>29.463652549528899</v>
      </c>
      <c r="I9" s="263" t="s">
        <v>14</v>
      </c>
      <c r="J9" s="217">
        <v>0</v>
      </c>
      <c r="K9" s="217">
        <f>IF(E9="NA", "NA", $K$4*TAN(RADIANS(E9)))</f>
        <v>8.4806510501538419</v>
      </c>
      <c r="L9" s="217">
        <f>IF(F9="NA", "NA", $L$4*TAN(RADIANS(F9)))</f>
        <v>32.562148073934758</v>
      </c>
      <c r="M9" s="217">
        <f>IF(G9="NA", "NA", $M$4*TAN(RADIANS(G9)))</f>
        <v>61.198909333185803</v>
      </c>
      <c r="N9" s="217">
        <f>IF(H9="NA","NA",$N$4*TAN(RADIANS(H9)))</f>
        <v>225.97425227861089</v>
      </c>
      <c r="O9" s="217" t="s">
        <v>14</v>
      </c>
      <c r="P9" s="217">
        <f>J9*20.89</f>
        <v>0</v>
      </c>
      <c r="Q9" s="217">
        <f>K9*20.89</f>
        <v>177.16080043771376</v>
      </c>
      <c r="R9" s="217">
        <f t="shared" ref="R9" si="28">L9*20.89</f>
        <v>680.22327326449715</v>
      </c>
      <c r="S9" s="217">
        <f t="shared" ref="S9" si="29">M9*20.89</f>
        <v>1278.4452159702514</v>
      </c>
      <c r="T9" s="217">
        <f t="shared" ref="T9" si="30">N9*20.89</f>
        <v>4720.602130100182</v>
      </c>
      <c r="U9" s="217" t="s">
        <v>14</v>
      </c>
      <c r="V9" s="2"/>
      <c r="W9" s="421"/>
      <c r="X9" s="421"/>
      <c r="Y9" s="421"/>
      <c r="Z9" s="3">
        <v>32</v>
      </c>
      <c r="AA9" s="3" t="s">
        <v>93</v>
      </c>
      <c r="AB9" s="169">
        <v>0</v>
      </c>
      <c r="AC9" s="169">
        <v>12</v>
      </c>
      <c r="AD9" s="169">
        <v>50</v>
      </c>
      <c r="AE9" s="169">
        <v>100</v>
      </c>
      <c r="AF9" s="169">
        <v>400</v>
      </c>
      <c r="AG9" s="169"/>
      <c r="AH9" s="66">
        <f>AC9*TAN(RADIANS(($R$15+$S$15*(Z9)+$T$15*(Z9)^2)))</f>
        <v>8.6679796183585864</v>
      </c>
      <c r="AI9" s="66">
        <f>AD9*TAN(RADIANS(($R$16+$S$16*(Z9)+$T$16*(Z9)^2)))</f>
        <v>34.154276510107387</v>
      </c>
      <c r="AJ9" s="66">
        <f>AE9*TAN(RADIANS(($R$17+$S$17*(Z9)+$T$17*(Z9)^2)))</f>
        <v>67.334899028008749</v>
      </c>
      <c r="AK9" s="66">
        <f>AF9*TAN(RADIANS(($R$18+$S$18*(Z9)+$T$18*(Z9)^2+$U$18*(Z9)^3)))</f>
        <v>260.31378218633773</v>
      </c>
      <c r="AL9" s="170"/>
      <c r="AM9" s="165">
        <f t="shared" si="4"/>
        <v>-1.0664034923213879</v>
      </c>
      <c r="AN9" s="165">
        <f t="shared" si="5"/>
        <v>-0.47087628367252654</v>
      </c>
      <c r="AO9" s="165">
        <f t="shared" si="1"/>
        <v>-0.17608116057074552</v>
      </c>
      <c r="AP9" s="165">
        <f t="shared" si="2"/>
        <v>0.41117578844500202</v>
      </c>
      <c r="AQ9" s="165"/>
      <c r="AR9" s="165">
        <f t="shared" si="6"/>
        <v>-0.92514012773501775</v>
      </c>
      <c r="AS9" s="165">
        <f t="shared" si="7"/>
        <v>-0.30535136944662378</v>
      </c>
      <c r="AT9" s="165">
        <f t="shared" si="8"/>
        <v>-4.3213737826425782E-3</v>
      </c>
      <c r="AU9" s="165">
        <f t="shared" si="9"/>
        <v>0.59773861754531976</v>
      </c>
      <c r="AV9" s="165"/>
      <c r="AW9" s="135">
        <f t="shared" si="10"/>
        <v>-0.15926856335474107</v>
      </c>
      <c r="AX9" s="135">
        <f t="shared" si="11"/>
        <v>-0.32554628702991445</v>
      </c>
      <c r="AY9" s="135">
        <f t="shared" si="12"/>
        <v>0.9705609101062953</v>
      </c>
      <c r="AZ9" s="135">
        <f t="shared" si="13"/>
        <v>0.67458014557836066</v>
      </c>
    </row>
    <row r="10" spans="1:52" ht="21" customHeight="1" x14ac:dyDescent="0.35">
      <c r="A10" s="2"/>
      <c r="B10" s="162"/>
      <c r="C10" s="162"/>
      <c r="D10" s="211" t="s">
        <v>96</v>
      </c>
      <c r="E10" s="212">
        <f>IF(($C$5&lt;=20),(E9-(1.3/3)),IF(($C$5&lt;25),(E9-(2.15/3)),IF(($C$5&lt;45),(E9-(3/3)),IF($C$5=25,(E9-(3/3)),IF($C$5=45,(E9-(3/3)),IF(($C$5&lt;50),(E9-(4.05/3)),IF($C$5=50,E9-(5.1/3),(E9-(5.1/3)))))))))</f>
        <v>34.2496482223386</v>
      </c>
      <c r="F10" s="212">
        <f>IF(($C$5&lt;=20),(F9-(0.63/3)),IF(($C$5&lt;25),(F9-(2.27/3)),IF(($C$5&lt;45),(F9-(3.9/3)),IF($C$5=25,(F9-(3.9/3)),IF($C$5=45,(F9-(3.9/3)),IF(($C$5&lt;50),(F9-(4.05/3)),IF($C$5=50,F9-(4.2/3),(F9-(4.2/3)))))))))</f>
        <v>31.773903410634201</v>
      </c>
      <c r="G10" s="212">
        <f>IF(($C$5&lt;=20),(G9-(0.63/3)),IF(($C$5&lt;25),(G9-(1.8/3)),IF(($C$5&lt;45),(G9-(3/3)),IF($C$5=25,(G9-(3/3)),IF($C$5=45,(G9-(3/3)),IF(($C$5&lt;50),(G9-(3.6/3)),IF($C$5=50,G9-(4.2/3),(G9-(4.2/3)))))))))</f>
        <v>30.466177632971998</v>
      </c>
      <c r="H10" s="212">
        <f>IF(($C$5&lt;=20),(H9-(1.2/3)),IF(($C$5&lt;25),(H9-(2.1/3)),IF(($C$5&lt;45),(H9-(3/3)),IF($C$5=25,(H9-(3/3)),IF($C$5=45,(H9-(3/3)),IF(($C$5&lt;50),(H9-(3.45/3)),IF($C$5=50,H9-(3.9/3),(H9-(3.9/3)))))))))</f>
        <v>28.463652549528899</v>
      </c>
      <c r="I10" s="213" t="s">
        <v>14</v>
      </c>
      <c r="J10" s="212">
        <v>0</v>
      </c>
      <c r="K10" s="212">
        <f t="shared" ref="K10" si="31">IF(E10="NA", "NA", $K$4*TAN(RADIANS(E10)))</f>
        <v>8.1704013474483652</v>
      </c>
      <c r="L10" s="212">
        <f t="shared" ref="L10" si="32">IF(F10="NA", "NA", $L$4*TAN(RADIANS(F10)))</f>
        <v>30.969793877193347</v>
      </c>
      <c r="M10" s="212">
        <f t="shared" ref="M10" si="33">IF(G10="NA", "NA", $M$4*TAN(RADIANS(G10)))</f>
        <v>58.825015823264295</v>
      </c>
      <c r="N10" s="212">
        <f t="shared" ref="N10" si="34">IF(H10="NA","NA",$N$4*TAN(RADIANS(H10)))</f>
        <v>216.8538332352997</v>
      </c>
      <c r="O10" s="212" t="s">
        <v>14</v>
      </c>
      <c r="P10" s="212">
        <f t="shared" ref="P10" si="35">J10*20.89</f>
        <v>0</v>
      </c>
      <c r="Q10" s="212">
        <f t="shared" ref="Q10" si="36">K10*20.89</f>
        <v>170.67968414819634</v>
      </c>
      <c r="R10" s="212">
        <f t="shared" ref="R10" si="37">L10*20.89</f>
        <v>646.95899409456899</v>
      </c>
      <c r="S10" s="212">
        <f t="shared" ref="S10" si="38">M10*20.89</f>
        <v>1228.8545805479912</v>
      </c>
      <c r="T10" s="212">
        <f t="shared" ref="T10" si="39">N10*20.89</f>
        <v>4530.0765762854107</v>
      </c>
      <c r="U10" s="212" t="s">
        <v>14</v>
      </c>
      <c r="V10" s="2"/>
      <c r="W10" s="178"/>
      <c r="X10" s="178"/>
      <c r="Y10" s="178"/>
      <c r="Z10" s="3">
        <v>34</v>
      </c>
      <c r="AA10" s="3" t="s">
        <v>93</v>
      </c>
      <c r="AB10" s="169">
        <v>0</v>
      </c>
      <c r="AC10" s="169">
        <v>12</v>
      </c>
      <c r="AD10" s="169">
        <v>50</v>
      </c>
      <c r="AE10" s="169">
        <v>100</v>
      </c>
      <c r="AF10" s="169">
        <v>400</v>
      </c>
      <c r="AG10" s="169"/>
      <c r="AH10" s="66">
        <f>AC10*TAN(RADIANS(($R$15+$S$15*(Z10)+$T$15*(Z10)^2)))</f>
        <v>8.6319741156289673</v>
      </c>
      <c r="AI10" s="66">
        <f>AD10*TAN(RADIANS(($R$16+$S$16*(Z10)+$T$16*(Z10)^2)))</f>
        <v>34.005034649777279</v>
      </c>
      <c r="AJ10" s="66">
        <f>AE10*TAN(RADIANS(($R$17+$S$17*(Z10)+$T$17*(Z10)^2)))</f>
        <v>66.982520947222511</v>
      </c>
      <c r="AK10" s="66">
        <f>AF10*TAN(RADIANS(($R$18+$S$18*(Z10)+$T$18*(Z10)^2+$U$18*(Z10)^3)))</f>
        <v>258.63583139187114</v>
      </c>
      <c r="AL10" s="170"/>
      <c r="AM10" s="165">
        <f t="shared" si="4"/>
        <v>-1.0682112444081082</v>
      </c>
      <c r="AN10" s="165">
        <f t="shared" si="5"/>
        <v>-0.47277815207142165</v>
      </c>
      <c r="AO10" s="165">
        <f t="shared" si="1"/>
        <v>-0.17835988520905538</v>
      </c>
      <c r="AP10" s="165">
        <f t="shared" si="2"/>
        <v>0.40836731806019649</v>
      </c>
      <c r="AQ10" s="165"/>
      <c r="AR10" s="165">
        <f t="shared" si="6"/>
        <v>-0.92514012773501775</v>
      </c>
      <c r="AS10" s="165">
        <f t="shared" si="7"/>
        <v>-0.30535136944662378</v>
      </c>
      <c r="AT10" s="165">
        <f t="shared" si="8"/>
        <v>-4.3213737826425782E-3</v>
      </c>
      <c r="AU10" s="165">
        <f t="shared" si="9"/>
        <v>0.59773861754531976</v>
      </c>
      <c r="AV10" s="165"/>
      <c r="AW10" s="135">
        <f t="shared" si="10"/>
        <v>-0.15926856335474107</v>
      </c>
      <c r="AX10" s="135">
        <f t="shared" si="11"/>
        <v>-0.32774549090709715</v>
      </c>
      <c r="AY10" s="135">
        <f t="shared" si="12"/>
        <v>0.9698830679771282</v>
      </c>
      <c r="AZ10" s="135">
        <f t="shared" si="13"/>
        <v>0.67100598206491624</v>
      </c>
    </row>
    <row r="11" spans="1:52" ht="21" hidden="1" x14ac:dyDescent="0.4">
      <c r="A11" s="2"/>
      <c r="E11" s="162"/>
      <c r="F11" s="162"/>
      <c r="G11" s="162"/>
      <c r="H11" s="162"/>
      <c r="I11" s="162"/>
      <c r="P11" s="2"/>
      <c r="Q11" s="4"/>
      <c r="Y11" s="2"/>
      <c r="Z11" s="3">
        <v>40</v>
      </c>
      <c r="AA11" s="3" t="s">
        <v>93</v>
      </c>
      <c r="AB11" s="169">
        <v>0</v>
      </c>
      <c r="AC11" s="169">
        <v>12</v>
      </c>
      <c r="AD11" s="169">
        <v>50</v>
      </c>
      <c r="AE11" s="169">
        <v>100</v>
      </c>
      <c r="AF11" s="169">
        <v>400</v>
      </c>
      <c r="AG11" s="169"/>
      <c r="AH11" s="66">
        <f>AC11*TAN(RADIANS(($R$15+$S$15*(Z11)+$T$15*(Z11)^2)))</f>
        <v>8.5281022526468959</v>
      </c>
      <c r="AI11" s="66">
        <f>AD11*TAN(RADIANS(($R$16+$S$16*(Z11)+$T$16*(Z11)^2)))</f>
        <v>33.572624858758907</v>
      </c>
      <c r="AJ11" s="66">
        <f>AE11*TAN(RADIANS(($R$17+$S$17*(Z11)+$T$17*(Z11)^2)))</f>
        <v>65.965176008198512</v>
      </c>
      <c r="AK11" s="66">
        <f>AF11*TAN(RADIANS(($R$18+$S$18*(Z11)+$T$18*(Z11)^2+$U$18*(Z11)^3)))</f>
        <v>253.71407938769676</v>
      </c>
      <c r="AL11" s="170"/>
      <c r="AM11" s="165">
        <f t="shared" si="4"/>
        <v>-1.0734689748423971</v>
      </c>
      <c r="AN11" s="165">
        <f t="shared" si="5"/>
        <v>-0.47833607611193296</v>
      </c>
      <c r="AO11" s="165">
        <f t="shared" si="1"/>
        <v>-0.18500664822307031</v>
      </c>
      <c r="AP11" s="165">
        <f t="shared" si="2"/>
        <v>0.40002319446677037</v>
      </c>
      <c r="AQ11" s="165"/>
      <c r="AR11" s="165">
        <f t="shared" si="6"/>
        <v>-0.92514012773501775</v>
      </c>
      <c r="AS11" s="165">
        <f t="shared" si="7"/>
        <v>-0.30535136944662378</v>
      </c>
      <c r="AT11" s="165">
        <f t="shared" si="8"/>
        <v>-4.3213737826425782E-3</v>
      </c>
      <c r="AU11" s="165">
        <f t="shared" si="9"/>
        <v>0.59773861754531976</v>
      </c>
      <c r="AV11" s="165"/>
      <c r="AW11" s="135">
        <f t="shared" si="10"/>
        <v>-0.15926856335474107</v>
      </c>
      <c r="AX11" s="135">
        <f t="shared" si="11"/>
        <v>-0.33419712617765751</v>
      </c>
      <c r="AY11" s="135">
        <f t="shared" si="12"/>
        <v>0.96780185463904034</v>
      </c>
      <c r="AZ11" s="135">
        <f t="shared" si="13"/>
        <v>0.66060717267840063</v>
      </c>
    </row>
    <row r="12" spans="1:52" ht="18" hidden="1" x14ac:dyDescent="0.35">
      <c r="A12" s="2"/>
      <c r="B12" s="315" t="s">
        <v>16</v>
      </c>
      <c r="C12" s="315"/>
      <c r="D12" s="315"/>
      <c r="E12" s="315"/>
      <c r="F12" s="315"/>
      <c r="G12" s="315"/>
      <c r="H12" s="315"/>
      <c r="K12" s="294" t="s">
        <v>16</v>
      </c>
      <c r="L12" s="294"/>
      <c r="M12" s="294"/>
      <c r="N12" s="294"/>
      <c r="O12" s="294"/>
      <c r="P12" s="2"/>
      <c r="Q12" s="295" t="s">
        <v>17</v>
      </c>
      <c r="R12" s="296"/>
      <c r="S12" s="296"/>
      <c r="T12" s="297"/>
      <c r="Y12" s="2"/>
      <c r="Z12" s="3">
        <v>42</v>
      </c>
      <c r="AA12" s="3" t="s">
        <v>93</v>
      </c>
      <c r="AB12" s="169">
        <v>0</v>
      </c>
      <c r="AC12" s="169">
        <v>12</v>
      </c>
      <c r="AD12" s="169">
        <v>50</v>
      </c>
      <c r="AE12" s="169">
        <v>100</v>
      </c>
      <c r="AF12" s="169">
        <v>400</v>
      </c>
      <c r="AG12" s="169"/>
      <c r="AH12" s="66">
        <f>AC12*TAN(RADIANS(($R$15+$S$15*(Z12)+$T$15*(Z12)^2)))</f>
        <v>8.4948415598602089</v>
      </c>
      <c r="AI12" s="66">
        <f>AD12*TAN(RADIANS(($R$16+$S$16*(Z12)+$T$16*(Z12)^2)))</f>
        <v>33.433527083874438</v>
      </c>
      <c r="AJ12" s="66">
        <f>AE12*TAN(RADIANS(($R$17+$S$17*(Z12)+$T$17*(Z12)^2)))</f>
        <v>65.639122413002724</v>
      </c>
      <c r="AK12" s="66">
        <f>AF12*TAN(RADIANS(($R$18+$S$18*(Z12)+$T$18*(Z12)^2+$U$18*(Z12)^3)))</f>
        <v>252.11019368672112</v>
      </c>
      <c r="AL12" s="170"/>
      <c r="AM12" s="165">
        <f t="shared" si="4"/>
        <v>-1.0751660906741192</v>
      </c>
      <c r="AN12" s="165">
        <f t="shared" si="5"/>
        <v>-0.48013917869583345</v>
      </c>
      <c r="AO12" s="165">
        <f t="shared" si="1"/>
        <v>-0.18715860782660423</v>
      </c>
      <c r="AP12" s="165">
        <f t="shared" si="2"/>
        <v>0.39726903227615684</v>
      </c>
      <c r="AQ12" s="165"/>
      <c r="AR12" s="165">
        <f t="shared" si="6"/>
        <v>-0.92514012773501775</v>
      </c>
      <c r="AS12" s="165">
        <f t="shared" si="7"/>
        <v>-0.30535136944662378</v>
      </c>
      <c r="AT12" s="165">
        <f t="shared" si="8"/>
        <v>-4.3213737826425782E-3</v>
      </c>
      <c r="AU12" s="165">
        <f t="shared" si="9"/>
        <v>0.59773861754531976</v>
      </c>
      <c r="AV12" s="165"/>
      <c r="AW12" s="135">
        <f t="shared" si="10"/>
        <v>-0.15926856335474107</v>
      </c>
      <c r="AX12" s="135">
        <f t="shared" si="11"/>
        <v>-0.33629871123010002</v>
      </c>
      <c r="AY12" s="135">
        <f t="shared" si="12"/>
        <v>0.96709213815963724</v>
      </c>
      <c r="AZ12" s="135">
        <f t="shared" si="13"/>
        <v>0.65724707838923024</v>
      </c>
    </row>
    <row r="13" spans="1:52" ht="18" hidden="1" x14ac:dyDescent="0.35">
      <c r="A13" s="2"/>
      <c r="B13" s="298" t="s">
        <v>18</v>
      </c>
      <c r="C13" s="5">
        <f>B5</f>
        <v>37</v>
      </c>
      <c r="D13" s="5" t="s">
        <v>14</v>
      </c>
      <c r="E13" s="6">
        <f>L15+M15*C13+N15*(C13)^2</f>
        <v>29.065705595453498</v>
      </c>
      <c r="F13" s="6">
        <f>L16+M16*C13+N16*(C13)^2</f>
        <v>28.407685476989599</v>
      </c>
      <c r="G13" s="6">
        <f>L17+M17*C13+N17*(C13)^2</f>
        <v>27.709290814608398</v>
      </c>
      <c r="H13" s="7">
        <f>L18+M18*C13+N18*(C13)^2+O18*(C13)^3</f>
        <v>26.781837237651551</v>
      </c>
      <c r="K13" s="8" t="s">
        <v>18</v>
      </c>
      <c r="L13" s="9" t="s">
        <v>19</v>
      </c>
      <c r="M13" s="9" t="s">
        <v>20</v>
      </c>
      <c r="N13" s="9" t="s">
        <v>21</v>
      </c>
      <c r="O13" s="9" t="s">
        <v>21</v>
      </c>
      <c r="P13" s="2"/>
      <c r="Q13" s="8" t="s">
        <v>18</v>
      </c>
      <c r="R13" s="10" t="s">
        <v>19</v>
      </c>
      <c r="S13" s="11" t="s">
        <v>20</v>
      </c>
      <c r="T13" s="11" t="s">
        <v>21</v>
      </c>
      <c r="U13" s="11" t="s">
        <v>27</v>
      </c>
      <c r="Y13" s="2"/>
      <c r="Z13" s="3">
        <v>44</v>
      </c>
      <c r="AA13" s="3" t="s">
        <v>93</v>
      </c>
      <c r="AB13" s="169">
        <v>0</v>
      </c>
      <c r="AC13" s="169">
        <v>12</v>
      </c>
      <c r="AD13" s="169">
        <v>50</v>
      </c>
      <c r="AE13" s="169">
        <v>100</v>
      </c>
      <c r="AF13" s="169">
        <v>400</v>
      </c>
      <c r="AG13" s="169"/>
      <c r="AH13" s="66">
        <f>AC13*TAN(RADIANS(($R$15+$S$15*(Z13)+$T$15*(Z13)^2)))</f>
        <v>8.4622537312163448</v>
      </c>
      <c r="AI13" s="66">
        <f>AD13*TAN(RADIANS(($R$16+$S$16*(Z13)+$T$16*(Z13)^2)))</f>
        <v>33.296916771770789</v>
      </c>
      <c r="AJ13" s="66">
        <f>AE13*TAN(RADIANS(($R$17+$S$17*(Z13)+$T$17*(Z13)^2)))</f>
        <v>65.319503001852425</v>
      </c>
      <c r="AK13" s="66">
        <f>AF13*TAN(RADIANS(($R$18+$S$18*(Z13)+$T$18*(Z13)^2+$U$18*(Z13)^3)))</f>
        <v>250.52433400562518</v>
      </c>
      <c r="AL13" s="170"/>
      <c r="AM13" s="165">
        <f t="shared" si="4"/>
        <v>-1.0768353307576923</v>
      </c>
      <c r="AN13" s="165">
        <f t="shared" si="5"/>
        <v>-0.48191735321927143</v>
      </c>
      <c r="AO13" s="165">
        <f t="shared" si="1"/>
        <v>-0.18927850213280309</v>
      </c>
      <c r="AP13" s="165">
        <f t="shared" si="2"/>
        <v>0.3945285424928609</v>
      </c>
      <c r="AQ13" s="165"/>
      <c r="AR13" s="165">
        <f t="shared" si="6"/>
        <v>-0.92514012773501775</v>
      </c>
      <c r="AS13" s="165">
        <f t="shared" si="7"/>
        <v>-0.30535136944662378</v>
      </c>
      <c r="AT13" s="165">
        <f t="shared" si="8"/>
        <v>-4.3213737826425782E-3</v>
      </c>
      <c r="AU13" s="165">
        <f t="shared" si="9"/>
        <v>0.59773861754531976</v>
      </c>
      <c r="AV13" s="165"/>
      <c r="AW13" s="135">
        <f t="shared" si="10"/>
        <v>-0.15926856335474107</v>
      </c>
      <c r="AX13" s="135">
        <f t="shared" si="11"/>
        <v>-0.33837566090422649</v>
      </c>
      <c r="AY13" s="135">
        <f t="shared" si="12"/>
        <v>0.96637439469022279</v>
      </c>
      <c r="AZ13" s="135">
        <f t="shared" si="13"/>
        <v>0.65393924356289224</v>
      </c>
    </row>
    <row r="14" spans="1:52" ht="18" hidden="1" x14ac:dyDescent="0.4">
      <c r="A14" s="2"/>
      <c r="B14" s="289"/>
      <c r="C14" s="12">
        <f>C13</f>
        <v>37</v>
      </c>
      <c r="D14" s="12" t="s">
        <v>14</v>
      </c>
      <c r="E14" s="13">
        <f>IF(C14&lt;25,"NA",IF(C14&lt;81,E13,"NA"))</f>
        <v>29.065705595453498</v>
      </c>
      <c r="F14" s="13">
        <f>IF(C14&lt;25,"NA",IF(C14&lt;81,F13,"NA"))</f>
        <v>28.407685476989599</v>
      </c>
      <c r="G14" s="13">
        <f>IF(C14&lt;25,"NA",IF(C14&lt;81,G13,"NA"))</f>
        <v>27.709290814608398</v>
      </c>
      <c r="H14" s="14">
        <f>IF(C14&lt;25,"NA",IF(C14&lt;81,H13,"NA"))</f>
        <v>26.781837237651551</v>
      </c>
      <c r="K14" s="15" t="s">
        <v>22</v>
      </c>
      <c r="L14" s="16"/>
      <c r="M14" s="16" t="s">
        <v>23</v>
      </c>
      <c r="N14" s="16" t="s">
        <v>24</v>
      </c>
      <c r="O14" s="16" t="s">
        <v>28</v>
      </c>
      <c r="P14" s="2"/>
      <c r="Q14" s="15" t="s">
        <v>22</v>
      </c>
      <c r="R14" s="17"/>
      <c r="S14" s="18" t="s">
        <v>23</v>
      </c>
      <c r="T14" s="18" t="s">
        <v>24</v>
      </c>
      <c r="U14" s="18" t="s">
        <v>28</v>
      </c>
      <c r="Y14" s="2"/>
      <c r="Z14" s="3">
        <v>46</v>
      </c>
      <c r="AA14" s="3" t="s">
        <v>93</v>
      </c>
      <c r="AB14" s="169">
        <v>0</v>
      </c>
      <c r="AC14" s="169">
        <v>12</v>
      </c>
      <c r="AD14" s="169">
        <v>50</v>
      </c>
      <c r="AE14" s="169">
        <v>100</v>
      </c>
      <c r="AF14" s="169">
        <v>400</v>
      </c>
      <c r="AG14" s="169"/>
      <c r="AH14" s="66">
        <f>AC14*TAN(RADIANS(($R$15+$S$15*(Z14)+$T$15*(Z14)^2)))</f>
        <v>8.4303337254262942</v>
      </c>
      <c r="AI14" s="66">
        <f>AD14*TAN(RADIANS(($R$16+$S$16*(Z14)+$T$16*(Z14)^2)))</f>
        <v>33.16277549234519</v>
      </c>
      <c r="AJ14" s="66">
        <f>AE14*TAN(RADIANS(($R$17+$S$17*(Z14)+$T$17*(Z14)^2)))</f>
        <v>65.006262383113352</v>
      </c>
      <c r="AK14" s="66">
        <f>AF14*TAN(RADIANS(($R$18+$S$18*(Z14)+$T$18*(Z14)^2+$U$18*(Z14)^3)))</f>
        <v>248.95631290653841</v>
      </c>
      <c r="AL14" s="170"/>
      <c r="AM14" s="165">
        <f t="shared" si="4"/>
        <v>-1.0784766067210849</v>
      </c>
      <c r="AN14" s="165">
        <f t="shared" si="5"/>
        <v>-0.48367050297293218</v>
      </c>
      <c r="AO14" s="165">
        <f t="shared" si="1"/>
        <v>-0.19136617733327393</v>
      </c>
      <c r="AP14" s="165">
        <f t="shared" si="2"/>
        <v>0.39180176958526591</v>
      </c>
      <c r="AQ14" s="165"/>
      <c r="AR14" s="165">
        <f t="shared" si="6"/>
        <v>-0.92514012773501775</v>
      </c>
      <c r="AS14" s="165">
        <f t="shared" si="7"/>
        <v>-0.30535136944662378</v>
      </c>
      <c r="AT14" s="165">
        <f t="shared" si="8"/>
        <v>-4.3213737826425782E-3</v>
      </c>
      <c r="AU14" s="165">
        <f t="shared" si="9"/>
        <v>0.59773861754531976</v>
      </c>
      <c r="AV14" s="165"/>
      <c r="AW14" s="135">
        <f t="shared" si="10"/>
        <v>-0.15926856335474107</v>
      </c>
      <c r="AX14" s="135">
        <f t="shared" si="11"/>
        <v>-0.34042787936050634</v>
      </c>
      <c r="AY14" s="135">
        <f t="shared" si="12"/>
        <v>0.96564860405255826</v>
      </c>
      <c r="AZ14" s="135">
        <f t="shared" si="13"/>
        <v>0.65068318904785249</v>
      </c>
    </row>
    <row r="15" spans="1:52" hidden="1" x14ac:dyDescent="0.3">
      <c r="A15" s="2"/>
      <c r="B15" s="290" t="s">
        <v>25</v>
      </c>
      <c r="C15" s="19">
        <f>B5</f>
        <v>37</v>
      </c>
      <c r="D15" s="19" t="s">
        <v>14</v>
      </c>
      <c r="E15" s="20">
        <f>J22+K22*C15+L22*(C15)^2+M22*(C15)^3</f>
        <v>26.734247737167539</v>
      </c>
      <c r="F15" s="20">
        <f>J23+K23*C15+L23*(C15)^2+M23*(C15)^3+N23*(C15)^4+O23*(C15)^5</f>
        <v>24.811716434577917</v>
      </c>
      <c r="G15" s="20">
        <f>J24+K24*C15+L24*(C15)^2+M24*(C15)^3+N24*(C15)^4+O24*(C15)^5+P24*(C15)^6</f>
        <v>22.527687365281071</v>
      </c>
      <c r="H15" s="21">
        <f>J25+K25*C15+L25*(C15)^2+M25*(C15)^3+N25*(C15)^4+O25*(C15)^5</f>
        <v>19.73940625868395</v>
      </c>
      <c r="K15" s="22">
        <v>50</v>
      </c>
      <c r="L15" s="23">
        <v>38.033086709999999</v>
      </c>
      <c r="M15" s="24">
        <v>-0.2605941973</v>
      </c>
      <c r="N15" s="25">
        <v>4.9277150149999998E-4</v>
      </c>
      <c r="P15" s="2"/>
      <c r="Q15" s="26">
        <v>12</v>
      </c>
      <c r="R15" s="27">
        <v>37.906075280000003</v>
      </c>
      <c r="S15" s="28">
        <v>-7.1986118880000005E-2</v>
      </c>
      <c r="T15" s="29">
        <v>2.3364568279999999E-4</v>
      </c>
      <c r="U15" s="29">
        <v>0</v>
      </c>
      <c r="Y15" s="2"/>
      <c r="Z15" s="3">
        <v>48</v>
      </c>
      <c r="AA15" s="3" t="s">
        <v>93</v>
      </c>
      <c r="AB15" s="169">
        <v>0</v>
      </c>
      <c r="AC15" s="169">
        <v>12</v>
      </c>
      <c r="AD15" s="169">
        <v>50</v>
      </c>
      <c r="AE15" s="169">
        <v>100</v>
      </c>
      <c r="AF15" s="169">
        <v>400</v>
      </c>
      <c r="AG15" s="169"/>
      <c r="AH15" s="66">
        <f>AC15*TAN(RADIANS(($R$15+$S$15*(Z15)+$T$15*(Z15)^2)))</f>
        <v>8.3990766422821519</v>
      </c>
      <c r="AI15" s="66">
        <f>AD15*TAN(RADIANS(($R$16+$S$16*(Z15)+$T$16*(Z15)^2)))</f>
        <v>33.031085292398195</v>
      </c>
      <c r="AJ15" s="66">
        <f>AE15*TAN(RADIANS(($R$17+$S$17*(Z15)+$T$17*(Z15)^2)))</f>
        <v>64.699346779169986</v>
      </c>
      <c r="AK15" s="66">
        <f>AF15*TAN(RADIANS(($R$18+$S$18*(Z15)+$T$18*(Z15)^2+$U$18*(Z15)^3)))</f>
        <v>247.40594709827417</v>
      </c>
      <c r="AL15" s="170"/>
      <c r="AM15" s="165">
        <f t="shared" si="4"/>
        <v>-1.0800898295306982</v>
      </c>
      <c r="AN15" s="165">
        <f t="shared" si="5"/>
        <v>-0.48539853037410996</v>
      </c>
      <c r="AO15" s="165">
        <f t="shared" si="1"/>
        <v>-0.19342147783780672</v>
      </c>
      <c r="AP15" s="165">
        <f t="shared" si="2"/>
        <v>0.38908876112614732</v>
      </c>
      <c r="AQ15" s="165"/>
      <c r="AR15" s="165">
        <f t="shared" si="6"/>
        <v>-0.92514012773501775</v>
      </c>
      <c r="AS15" s="165">
        <f t="shared" si="7"/>
        <v>-0.30535136944662378</v>
      </c>
      <c r="AT15" s="165">
        <f t="shared" si="8"/>
        <v>-4.3213737826425782E-3</v>
      </c>
      <c r="AU15" s="165">
        <f t="shared" si="9"/>
        <v>0.59773861754531976</v>
      </c>
      <c r="AV15" s="165"/>
      <c r="AW15" s="135">
        <f t="shared" si="10"/>
        <v>-0.15926856335474107</v>
      </c>
      <c r="AX15" s="135">
        <f t="shared" si="11"/>
        <v>-0.34245526915411689</v>
      </c>
      <c r="AY15" s="135">
        <f t="shared" si="12"/>
        <v>0.96491474772145502</v>
      </c>
      <c r="AZ15" s="135">
        <f t="shared" si="13"/>
        <v>0.64747844714908387</v>
      </c>
    </row>
    <row r="16" spans="1:52" hidden="1" x14ac:dyDescent="0.3">
      <c r="A16" s="2"/>
      <c r="B16" s="291"/>
      <c r="C16" s="30">
        <f>C15</f>
        <v>37</v>
      </c>
      <c r="D16" s="30" t="s">
        <v>14</v>
      </c>
      <c r="E16" s="31">
        <f>IF(C16&lt;35,"NA",IF(C16&lt;=131,E15,"NA"))</f>
        <v>26.734247737167539</v>
      </c>
      <c r="F16" s="31">
        <f>IF(C16&lt;35,"NA",IF(C16&lt;=131,F15,"NA"))</f>
        <v>24.811716434577917</v>
      </c>
      <c r="G16" s="31">
        <f>IF(C16&lt;35,"NA",IF(C16&lt;=131,G15,"NA"))</f>
        <v>22.527687365281071</v>
      </c>
      <c r="H16" s="32">
        <f>IF(C16&lt;35,"NA",IF(C16&lt;=131,H15,"NA"))</f>
        <v>19.73940625868395</v>
      </c>
      <c r="K16" s="33">
        <v>100</v>
      </c>
      <c r="L16" s="34">
        <v>37.803024729999997</v>
      </c>
      <c r="M16" s="35">
        <v>-0.27287084909999998</v>
      </c>
      <c r="N16" s="36">
        <v>5.1196651839999999E-4</v>
      </c>
      <c r="P16" s="2"/>
      <c r="Q16" s="26">
        <v>50</v>
      </c>
      <c r="R16" s="27">
        <v>36.434800000000003</v>
      </c>
      <c r="S16" s="28">
        <v>-7.234071551E-2</v>
      </c>
      <c r="T16" s="29">
        <v>2.1144580809999999E-4</v>
      </c>
      <c r="U16" s="29">
        <v>0</v>
      </c>
      <c r="Y16" s="2"/>
      <c r="Z16" s="3">
        <v>50</v>
      </c>
      <c r="AA16" s="3" t="s">
        <v>93</v>
      </c>
      <c r="AB16" s="169">
        <v>0</v>
      </c>
      <c r="AC16" s="169">
        <v>12</v>
      </c>
      <c r="AD16" s="169">
        <v>50</v>
      </c>
      <c r="AE16" s="169">
        <v>100</v>
      </c>
      <c r="AF16" s="169">
        <v>400</v>
      </c>
      <c r="AG16" s="169"/>
      <c r="AH16" s="66">
        <f>AC16*TAN(RADIANS(($R$15+$S$15*(Z16)+$T$15*(Z16)^2)))</f>
        <v>8.3684777194422484</v>
      </c>
      <c r="AI16" s="66">
        <f>AD16*TAN(RADIANS(($R$16+$S$16*(Z16)+$T$16*(Z16)^2)))</f>
        <v>32.901828684903009</v>
      </c>
      <c r="AJ16" s="66">
        <f>AE16*TAN(RADIANS(($R$17+$S$17*(Z16)+$T$17*(Z16)^2)))</f>
        <v>64.398703984553094</v>
      </c>
      <c r="AK16" s="66">
        <f>AF16*TAN(RADIANS(($R$18+$S$18*(Z16)+$T$18*(Z16)^2+$U$18*(Z16)^3)))</f>
        <v>245.87305733551008</v>
      </c>
      <c r="AL16" s="170"/>
      <c r="AM16" s="165">
        <f t="shared" si="4"/>
        <v>-1.081674909597427</v>
      </c>
      <c r="AN16" s="165">
        <f t="shared" si="5"/>
        <v>-0.48710133705784719</v>
      </c>
      <c r="AO16" s="165">
        <f t="shared" si="1"/>
        <v>-0.19544424645420749</v>
      </c>
      <c r="AP16" s="165">
        <f t="shared" si="2"/>
        <v>0.38638956775969235</v>
      </c>
      <c r="AQ16" s="165"/>
      <c r="AR16" s="165">
        <f t="shared" si="6"/>
        <v>-0.92514012773501775</v>
      </c>
      <c r="AS16" s="165">
        <f t="shared" si="7"/>
        <v>-0.30535136944662378</v>
      </c>
      <c r="AT16" s="165">
        <f t="shared" si="8"/>
        <v>-4.3213737826425782E-3</v>
      </c>
      <c r="AU16" s="165">
        <f t="shared" si="9"/>
        <v>0.59773861754531976</v>
      </c>
      <c r="AV16" s="165"/>
      <c r="AW16" s="135">
        <f t="shared" si="10"/>
        <v>-0.15926856335474107</v>
      </c>
      <c r="AX16" s="135">
        <f t="shared" si="11"/>
        <v>-0.34445773133744728</v>
      </c>
      <c r="AY16" s="135">
        <f t="shared" si="12"/>
        <v>0.96417280885939061</v>
      </c>
      <c r="AZ16" s="135">
        <f t="shared" si="13"/>
        <v>0.64432456133738558</v>
      </c>
    </row>
    <row r="17" spans="1:52" hidden="1" x14ac:dyDescent="0.3">
      <c r="A17" s="2"/>
      <c r="B17" s="292" t="s">
        <v>26</v>
      </c>
      <c r="C17" s="41">
        <f>B5</f>
        <v>37</v>
      </c>
      <c r="D17" s="41" t="s">
        <v>14</v>
      </c>
      <c r="E17" s="42">
        <f>L29+M29*C17+N29*(C17)^2+O29*(C17)^3</f>
        <v>22.726783199999996</v>
      </c>
      <c r="F17" s="42">
        <f>L30+M30*$C17+N30*($C17)^2+O30*($C17)^3</f>
        <v>21.217144708699998</v>
      </c>
      <c r="G17" s="42">
        <f>L31+M31*C17+N31*(C17)^2+O31*(C17)^3</f>
        <v>19.519018670000001</v>
      </c>
      <c r="H17" s="43">
        <f>L32+M32*C17+N32*(C17)^2+O32*(C17)^3</f>
        <v>18.354335599999999</v>
      </c>
      <c r="K17" s="44">
        <v>400</v>
      </c>
      <c r="L17" s="45">
        <v>38.32356411</v>
      </c>
      <c r="M17" s="38">
        <v>-0.31898651680000001</v>
      </c>
      <c r="N17" s="46">
        <v>8.679531236E-4</v>
      </c>
      <c r="P17" s="2"/>
      <c r="Q17" s="37">
        <v>100</v>
      </c>
      <c r="R17" s="38">
        <v>36.478889160000001</v>
      </c>
      <c r="S17" s="39">
        <v>-8.7667032820000004E-2</v>
      </c>
      <c r="T17" s="40">
        <v>2.7418913529999998E-4</v>
      </c>
      <c r="U17" s="29">
        <v>0</v>
      </c>
      <c r="Y17" s="2"/>
      <c r="Z17" s="3">
        <v>52</v>
      </c>
      <c r="AA17" s="3" t="s">
        <v>93</v>
      </c>
      <c r="AB17" s="169">
        <v>0</v>
      </c>
      <c r="AC17" s="169">
        <v>12</v>
      </c>
      <c r="AD17" s="169">
        <v>50</v>
      </c>
      <c r="AE17" s="169">
        <v>100</v>
      </c>
      <c r="AF17" s="169">
        <v>400</v>
      </c>
      <c r="AG17" s="169"/>
      <c r="AH17" s="66">
        <f>AC17*TAN(RADIANS(($R$15+$S$15*(Z17)+$T$15*(Z17)^2)))</f>
        <v>8.3385323293240479</v>
      </c>
      <c r="AI17" s="66">
        <f>AD17*TAN(RADIANS(($R$16+$S$16*(Z17)+$T$16*(Z17)^2)))</f>
        <v>32.774988638608917</v>
      </c>
      <c r="AJ17" s="66">
        <f>AE17*TAN(RADIANS(($R$17+$S$17*(Z17)+$T$17*(Z17)^2)))</f>
        <v>64.104283325539242</v>
      </c>
      <c r="AK17" s="66">
        <f>AF17*TAN(RADIANS(($R$18+$S$18*(Z17)+$T$18*(Z17)^2+$U$18*(Z17)^3)))</f>
        <v>244.35746832089856</v>
      </c>
      <c r="AL17" s="170"/>
      <c r="AM17" s="165">
        <f t="shared" si="4"/>
        <v>-1.0832317568819829</v>
      </c>
      <c r="AN17" s="165">
        <f t="shared" si="5"/>
        <v>-0.48877882396789857</v>
      </c>
      <c r="AO17" s="165">
        <f t="shared" si="1"/>
        <v>-0.19743432456809695</v>
      </c>
      <c r="AP17" s="165">
        <f t="shared" si="2"/>
        <v>0.38370424316857432</v>
      </c>
      <c r="AQ17" s="165"/>
      <c r="AR17" s="165">
        <f t="shared" si="6"/>
        <v>-0.92514012773501775</v>
      </c>
      <c r="AS17" s="165">
        <f t="shared" si="7"/>
        <v>-0.30535136944662378</v>
      </c>
      <c r="AT17" s="165">
        <f t="shared" si="8"/>
        <v>-4.3213737826425782E-3</v>
      </c>
      <c r="AU17" s="165">
        <f t="shared" si="9"/>
        <v>0.59773861754531976</v>
      </c>
      <c r="AV17" s="165"/>
      <c r="AW17" s="135">
        <f t="shared" si="10"/>
        <v>-0.15926856335474107</v>
      </c>
      <c r="AX17" s="135">
        <f t="shared" si="11"/>
        <v>-0.34643516556235099</v>
      </c>
      <c r="AY17" s="135">
        <f t="shared" si="12"/>
        <v>0.96342277235067331</v>
      </c>
      <c r="AZ17" s="135">
        <f t="shared" si="13"/>
        <v>0.64122108596810012</v>
      </c>
    </row>
    <row r="18" spans="1:52" ht="13.5" hidden="1" customHeight="1" x14ac:dyDescent="0.3">
      <c r="A18" s="2"/>
      <c r="B18" s="299"/>
      <c r="C18" s="51">
        <f>C17</f>
        <v>37</v>
      </c>
      <c r="D18" s="51" t="s">
        <v>14</v>
      </c>
      <c r="E18" s="52">
        <f>L36+M36*$C18</f>
        <v>11.233499999999999</v>
      </c>
      <c r="F18" s="52">
        <f>L37+M37*$C18</f>
        <v>9.9617000000000004</v>
      </c>
      <c r="G18" s="52">
        <f>L38+M38*$C18</f>
        <v>7.8955999999999991</v>
      </c>
      <c r="H18" s="53">
        <f>L39+M39*$C18</f>
        <v>5.7667000000000002</v>
      </c>
      <c r="K18" s="54">
        <v>700</v>
      </c>
      <c r="L18" s="55">
        <v>39.095295100000001</v>
      </c>
      <c r="M18" s="48">
        <v>-0.43707049380000002</v>
      </c>
      <c r="N18" s="56">
        <v>3.4175760939999999E-3</v>
      </c>
      <c r="O18" s="156">
        <v>-1.6198670650000001E-5</v>
      </c>
      <c r="P18" s="2"/>
      <c r="Q18" s="47">
        <v>400</v>
      </c>
      <c r="R18" s="48">
        <v>35.933427129999998</v>
      </c>
      <c r="S18" s="49">
        <v>-9.4975937659999995E-2</v>
      </c>
      <c r="T18" s="50">
        <v>1.5747615449999999E-4</v>
      </c>
      <c r="U18" s="29">
        <v>0</v>
      </c>
      <c r="Y18" s="2"/>
      <c r="Z18" s="3">
        <v>54</v>
      </c>
      <c r="AA18" s="3" t="s">
        <v>93</v>
      </c>
      <c r="AB18" s="169">
        <v>0</v>
      </c>
      <c r="AC18" s="169">
        <v>12</v>
      </c>
      <c r="AD18" s="169">
        <v>50</v>
      </c>
      <c r="AE18" s="169">
        <v>100</v>
      </c>
      <c r="AF18" s="169">
        <v>400</v>
      </c>
      <c r="AG18" s="169"/>
      <c r="AH18" s="66">
        <f>AC18*TAN(RADIANS(($R$15+$S$15*(Z18)+$T$15*(Z18)^2)))</f>
        <v>8.3092359761011849</v>
      </c>
      <c r="AI18" s="66">
        <f>AD18*TAN(RADIANS(($R$16+$S$16*(Z18)+$T$16*(Z18)^2)))</f>
        <v>32.650548567968507</v>
      </c>
      <c r="AJ18" s="66">
        <f>AE18*TAN(RADIANS(($R$17+$S$17*(Z18)+$T$17*(Z18)^2)))</f>
        <v>63.816035621169121</v>
      </c>
      <c r="AK18" s="66">
        <f>AF18*TAN(RADIANS(($R$18+$S$18*(Z18)+$T$18*(Z18)^2+$U$18*(Z18)^3)))</f>
        <v>242.85900861000761</v>
      </c>
      <c r="AL18" s="170"/>
      <c r="AM18" s="165">
        <f t="shared" si="4"/>
        <v>-1.0847602809994523</v>
      </c>
      <c r="AN18" s="165">
        <f t="shared" si="5"/>
        <v>-0.49043089144749769</v>
      </c>
      <c r="AO18" s="165">
        <f t="shared" si="1"/>
        <v>-0.1993915523226325</v>
      </c>
      <c r="AP18" s="165">
        <f t="shared" si="2"/>
        <v>0.38103284404103854</v>
      </c>
      <c r="AQ18" s="165"/>
      <c r="AR18" s="165">
        <f t="shared" si="6"/>
        <v>-0.92514012773501775</v>
      </c>
      <c r="AS18" s="165">
        <f t="shared" si="7"/>
        <v>-0.30535136944662378</v>
      </c>
      <c r="AT18" s="165">
        <f t="shared" si="8"/>
        <v>-4.3213737826425782E-3</v>
      </c>
      <c r="AU18" s="165">
        <f t="shared" si="9"/>
        <v>0.59773861754531976</v>
      </c>
      <c r="AV18" s="165"/>
      <c r="AW18" s="135">
        <f t="shared" si="10"/>
        <v>-0.15926856335474107</v>
      </c>
      <c r="AX18" s="135">
        <f t="shared" si="11"/>
        <v>-0.34838747018213601</v>
      </c>
      <c r="AY18" s="135">
        <f t="shared" si="12"/>
        <v>0.96266462483511583</v>
      </c>
      <c r="AZ18" s="135">
        <f t="shared" si="13"/>
        <v>0.63816758600891965</v>
      </c>
    </row>
    <row r="19" spans="1:52" hidden="1" x14ac:dyDescent="0.3">
      <c r="A19" s="2"/>
      <c r="B19" s="293"/>
      <c r="C19" s="57">
        <f>B5</f>
        <v>37</v>
      </c>
      <c r="D19" s="57" t="s">
        <v>14</v>
      </c>
      <c r="E19" s="58" t="str">
        <f>IF(C19&lt;45,"NA",IF(C19&lt;120,E17,IF(C19&lt;=300,E18,"NA")))</f>
        <v>NA</v>
      </c>
      <c r="F19" s="58" t="str">
        <f>IF(C19&lt;45,"NA",IF(C19&lt;120,F17,IF(C19&lt;=300,F18,"NA")))</f>
        <v>NA</v>
      </c>
      <c r="G19" s="58" t="str">
        <f>IF(C19&lt;45,"NA",IF(C19&lt;120,G17,IF(C19&lt;=300,G18,"NA")))</f>
        <v>NA</v>
      </c>
      <c r="H19" s="59" t="str">
        <f>IF(C19&lt;45,"NA",IF(C19&lt;120,H17,IF(C19&lt;=300,H18,"NA")))</f>
        <v>NA</v>
      </c>
      <c r="P19" s="2"/>
      <c r="Y19" s="2"/>
      <c r="Z19" s="3">
        <v>56</v>
      </c>
      <c r="AA19" s="3" t="s">
        <v>93</v>
      </c>
      <c r="AB19" s="169">
        <v>0</v>
      </c>
      <c r="AC19" s="169">
        <v>12</v>
      </c>
      <c r="AD19" s="169">
        <v>50</v>
      </c>
      <c r="AE19" s="169">
        <v>100</v>
      </c>
      <c r="AF19" s="169">
        <v>400</v>
      </c>
      <c r="AG19" s="169"/>
      <c r="AH19" s="66">
        <f>AC19*TAN(RADIANS(($R$15+$S$15*(Z19)+$T$15*(Z19)^2)))</f>
        <v>8.2805842928014961</v>
      </c>
      <c r="AI19" s="66">
        <f>AD19*TAN(RADIANS(($R$16+$S$16*(Z19)+$T$16*(Z19)^2)))</f>
        <v>32.528492323378629</v>
      </c>
      <c r="AJ19" s="66">
        <f>AE19*TAN(RADIANS(($R$17+$S$17*(Z19)+$T$17*(Z19)^2)))</f>
        <v>63.533913145634067</v>
      </c>
      <c r="AK19" s="66">
        <f>AF19*TAN(RADIANS(($R$18+$S$18*(Z19)+$T$18*(Z19)^2+$U$18*(Z19)^3)))</f>
        <v>241.37751051899724</v>
      </c>
      <c r="AL19" s="170"/>
      <c r="AM19" s="165">
        <f t="shared" si="4"/>
        <v>-1.086260391323054</v>
      </c>
      <c r="AN19" s="165">
        <f t="shared" si="5"/>
        <v>-0.49205743932990537</v>
      </c>
      <c r="AO19" s="165">
        <f t="shared" si="1"/>
        <v>-0.20131576879810231</v>
      </c>
      <c r="AP19" s="165">
        <f t="shared" si="2"/>
        <v>0.37837543003796098</v>
      </c>
      <c r="AQ19" s="165"/>
      <c r="AR19" s="165">
        <f t="shared" si="6"/>
        <v>-0.92514012773501775</v>
      </c>
      <c r="AS19" s="165">
        <f t="shared" si="7"/>
        <v>-0.30535136944662378</v>
      </c>
      <c r="AT19" s="165">
        <f t="shared" si="8"/>
        <v>-4.3213737826425782E-3</v>
      </c>
      <c r="AU19" s="165">
        <f t="shared" si="9"/>
        <v>0.59773861754531976</v>
      </c>
      <c r="AV19" s="165"/>
      <c r="AW19" s="135">
        <f t="shared" si="10"/>
        <v>-0.15926856335474107</v>
      </c>
      <c r="AX19" s="135">
        <f t="shared" si="11"/>
        <v>-0.35031454235327519</v>
      </c>
      <c r="AY19" s="135">
        <f t="shared" si="12"/>
        <v>0.96189835474116947</v>
      </c>
      <c r="AZ19" s="135">
        <f t="shared" si="13"/>
        <v>0.6351636367764909</v>
      </c>
    </row>
    <row r="20" spans="1:52" ht="18" hidden="1" x14ac:dyDescent="0.35">
      <c r="A20" s="2"/>
      <c r="I20" s="60" t="s">
        <v>25</v>
      </c>
      <c r="J20" s="61" t="s">
        <v>19</v>
      </c>
      <c r="K20" s="61" t="s">
        <v>20</v>
      </c>
      <c r="L20" s="61" t="s">
        <v>21</v>
      </c>
      <c r="M20" s="61" t="s">
        <v>27</v>
      </c>
      <c r="N20" s="61" t="s">
        <v>27</v>
      </c>
      <c r="O20" s="61" t="s">
        <v>27</v>
      </c>
      <c r="P20" s="61" t="s">
        <v>27</v>
      </c>
      <c r="Q20" s="60" t="s">
        <v>25</v>
      </c>
      <c r="R20" s="62" t="s">
        <v>19</v>
      </c>
      <c r="S20" s="63" t="s">
        <v>20</v>
      </c>
      <c r="T20" s="63" t="s">
        <v>21</v>
      </c>
      <c r="U20" s="63" t="s">
        <v>27</v>
      </c>
      <c r="Y20" s="2"/>
      <c r="Z20" s="3">
        <v>58</v>
      </c>
      <c r="AA20" s="3" t="s">
        <v>93</v>
      </c>
      <c r="AB20" s="169">
        <v>0</v>
      </c>
      <c r="AC20" s="169">
        <v>12</v>
      </c>
      <c r="AD20" s="169">
        <v>50</v>
      </c>
      <c r="AE20" s="169">
        <v>100</v>
      </c>
      <c r="AF20" s="169">
        <v>400</v>
      </c>
      <c r="AG20" s="169"/>
      <c r="AH20" s="66">
        <f>AC20*TAN(RADIANS(($R$15+$S$15*(Z20)+$T$15*(Z20)^2)))</f>
        <v>8.2525730385027352</v>
      </c>
      <c r="AI20" s="66">
        <f>AD20*TAN(RADIANS(($R$16+$S$16*(Z20)+$T$16*(Z20)^2)))</f>
        <v>32.408804181725223</v>
      </c>
      <c r="AJ20" s="66">
        <f>AE20*TAN(RADIANS(($R$17+$S$17*(Z20)+$T$17*(Z20)^2)))</f>
        <v>63.257869591982853</v>
      </c>
      <c r="AK20" s="66">
        <f>AF20*TAN(RADIANS(($R$18+$S$18*(Z20)+$T$18*(Z20)^2+$U$18*(Z20)^3)))</f>
        <v>239.91281003493867</v>
      </c>
      <c r="AL20" s="170"/>
      <c r="AM20" s="165">
        <f t="shared" si="4"/>
        <v>-1.0877319970870689</v>
      </c>
      <c r="AN20" s="165">
        <f t="shared" si="5"/>
        <v>-0.49365836702871757</v>
      </c>
      <c r="AO20" s="165">
        <f t="shared" si="1"/>
        <v>-0.20320681219133241</v>
      </c>
      <c r="AP20" s="165">
        <f t="shared" si="2"/>
        <v>0.37573206375983803</v>
      </c>
      <c r="AQ20" s="165"/>
      <c r="AR20" s="165">
        <f t="shared" si="6"/>
        <v>-0.92514012773501775</v>
      </c>
      <c r="AS20" s="165">
        <f t="shared" si="7"/>
        <v>-0.30535136944662378</v>
      </c>
      <c r="AT20" s="165">
        <f t="shared" si="8"/>
        <v>-4.3213737826425782E-3</v>
      </c>
      <c r="AU20" s="165">
        <f t="shared" si="9"/>
        <v>0.59773861754531976</v>
      </c>
      <c r="AV20" s="165"/>
      <c r="AW20" s="135">
        <f t="shared" si="10"/>
        <v>-0.15926856335474107</v>
      </c>
      <c r="AX20" s="135">
        <f t="shared" si="11"/>
        <v>-0.35221627813682022</v>
      </c>
      <c r="AY20" s="135">
        <f t="shared" si="12"/>
        <v>0.96112395231848824</v>
      </c>
      <c r="AZ20" s="135">
        <f t="shared" si="13"/>
        <v>0.63220882368153397</v>
      </c>
    </row>
    <row r="21" spans="1:52" ht="18.600000000000001" hidden="1" x14ac:dyDescent="0.4">
      <c r="A21" s="2"/>
      <c r="B21" s="285" t="s">
        <v>17</v>
      </c>
      <c r="C21" s="286"/>
      <c r="D21" s="286"/>
      <c r="E21" s="286"/>
      <c r="F21" s="286"/>
      <c r="G21" s="286"/>
      <c r="H21" s="287"/>
      <c r="I21" s="64" t="s">
        <v>22</v>
      </c>
      <c r="J21" s="61"/>
      <c r="K21" s="61" t="s">
        <v>23</v>
      </c>
      <c r="L21" s="61" t="s">
        <v>24</v>
      </c>
      <c r="M21" s="61" t="s">
        <v>28</v>
      </c>
      <c r="N21" s="61" t="s">
        <v>62</v>
      </c>
      <c r="O21" s="61" t="s">
        <v>63</v>
      </c>
      <c r="P21" s="61" t="s">
        <v>82</v>
      </c>
      <c r="Q21" s="64" t="s">
        <v>22</v>
      </c>
      <c r="R21" s="62"/>
      <c r="S21" s="63" t="s">
        <v>23</v>
      </c>
      <c r="T21" s="63" t="s">
        <v>24</v>
      </c>
      <c r="U21" s="63" t="s">
        <v>28</v>
      </c>
      <c r="Y21" s="2"/>
      <c r="Z21" s="3">
        <v>60</v>
      </c>
      <c r="AA21" s="3" t="s">
        <v>93</v>
      </c>
      <c r="AB21" s="169">
        <v>0</v>
      </c>
      <c r="AC21" s="169">
        <v>12</v>
      </c>
      <c r="AD21" s="169">
        <v>50</v>
      </c>
      <c r="AE21" s="169">
        <v>100</v>
      </c>
      <c r="AF21" s="169">
        <v>400</v>
      </c>
      <c r="AG21" s="169"/>
      <c r="AH21" s="66">
        <f>AC21*TAN(RADIANS(($R$15+$S$15*(Z21)+$T$15*(Z21)^2)))</f>
        <v>8.2251980956229858</v>
      </c>
      <c r="AI21" s="66">
        <f>AD21*TAN(RADIANS(($R$16+$S$16*(Z21)+$T$16*(Z21)^2)))</f>
        <v>32.29146883722315</v>
      </c>
      <c r="AJ21" s="66">
        <f>AE21*TAN(RADIANS(($R$17+$S$17*(Z21)+$T$17*(Z21)^2)))</f>
        <v>62.987860037102564</v>
      </c>
      <c r="AK21" s="66">
        <f>AF21*TAN(RADIANS(($R$18+$S$18*(Z21)+$T$18*(Z21)^2+$U$18*(Z21)^3)))</f>
        <v>238.4647467286901</v>
      </c>
      <c r="AL21" s="170"/>
      <c r="AM21" s="165">
        <f t="shared" si="4"/>
        <v>-1.0891750074889044</v>
      </c>
      <c r="AN21" s="165">
        <f t="shared" si="5"/>
        <v>-0.49523357362790282</v>
      </c>
      <c r="AO21" s="165">
        <f t="shared" si="1"/>
        <v>-0.20506451999484376</v>
      </c>
      <c r="AP21" s="165">
        <f t="shared" si="2"/>
        <v>0.37310281071367013</v>
      </c>
      <c r="AQ21" s="165"/>
      <c r="AR21" s="165">
        <f t="shared" si="6"/>
        <v>-0.92514012773501775</v>
      </c>
      <c r="AS21" s="165">
        <f t="shared" si="7"/>
        <v>-0.30535136944662378</v>
      </c>
      <c r="AT21" s="165">
        <f t="shared" si="8"/>
        <v>-4.3213737826425782E-3</v>
      </c>
      <c r="AU21" s="165">
        <f t="shared" si="9"/>
        <v>0.59773861754531976</v>
      </c>
      <c r="AV21" s="165"/>
      <c r="AW21" s="135">
        <f t="shared" si="10"/>
        <v>-0.15926856335474107</v>
      </c>
      <c r="AX21" s="135">
        <f t="shared" si="11"/>
        <v>-0.35409257259949523</v>
      </c>
      <c r="AY21" s="135">
        <f t="shared" si="12"/>
        <v>0.96034140966987125</v>
      </c>
      <c r="AZ21" s="135">
        <f t="shared" si="13"/>
        <v>0.62930274198221059</v>
      </c>
    </row>
    <row r="22" spans="1:52" hidden="1" x14ac:dyDescent="0.3">
      <c r="A22" s="2"/>
      <c r="B22" s="288" t="s">
        <v>18</v>
      </c>
      <c r="C22" s="65">
        <f>B5</f>
        <v>37</v>
      </c>
      <c r="D22" s="66">
        <f>R15+S15*(C22)+T15*(C22)^2</f>
        <v>35.562449821193198</v>
      </c>
      <c r="E22" s="66">
        <f>R16+S16*(C22)+T16*(C22)^2</f>
        <v>34.047662837418898</v>
      </c>
      <c r="F22" s="66">
        <f>R17+S17*(C22)+T17*(C22)^2</f>
        <v>33.610573871885698</v>
      </c>
      <c r="G22" s="66">
        <f>R18+S18*(C22)+T18*(C22)^2+U18*(C22)^3</f>
        <v>32.634902292090501</v>
      </c>
      <c r="H22" s="67" t="s">
        <v>14</v>
      </c>
      <c r="I22" s="22">
        <v>50</v>
      </c>
      <c r="J22" s="68">
        <v>32.008962449999999</v>
      </c>
      <c r="K22" s="69">
        <v>-5.1561604470000001E-2</v>
      </c>
      <c r="L22" s="69">
        <v>-3.096033389E-3</v>
      </c>
      <c r="M22" s="69">
        <v>1.7205977180000002E-5</v>
      </c>
      <c r="P22" s="2"/>
      <c r="Q22" s="26">
        <v>12</v>
      </c>
      <c r="R22" s="27">
        <v>38.121955309999997</v>
      </c>
      <c r="S22" s="28">
        <v>-7.6736341390000004E-2</v>
      </c>
      <c r="T22" s="29">
        <v>-7.0530895469999994E-5</v>
      </c>
      <c r="U22" s="155">
        <v>1.2535158759999999E-6</v>
      </c>
      <c r="Y22" s="2"/>
      <c r="Z22" s="3">
        <v>62</v>
      </c>
      <c r="AA22" s="3" t="s">
        <v>93</v>
      </c>
      <c r="AB22" s="169">
        <v>0</v>
      </c>
      <c r="AC22" s="169">
        <v>12</v>
      </c>
      <c r="AD22" s="169">
        <v>50</v>
      </c>
      <c r="AE22" s="169">
        <v>100</v>
      </c>
      <c r="AF22" s="169">
        <v>400</v>
      </c>
      <c r="AG22" s="169"/>
      <c r="AH22" s="66">
        <f>AC22*TAN(RADIANS(($R$15+$S$15*(Z22)+$T$15*(Z22)^2)))</f>
        <v>8.19845546730288</v>
      </c>
      <c r="AI22" s="66">
        <f>AD22*TAN(RADIANS(($R$16+$S$16*(Z22)+$T$16*(Z22)^2)))</f>
        <v>32.176471392541679</v>
      </c>
      <c r="AJ22" s="66">
        <f>AE22*TAN(RADIANS(($R$17+$S$17*(Z22)+$T$17*(Z22)^2)))</f>
        <v>62.723840907929727</v>
      </c>
      <c r="AK22" s="66">
        <f>AF22*TAN(RADIANS(($R$18+$S$18*(Z22)+$T$18*(Z22)^2+$U$18*(Z22)^3)))</f>
        <v>237.03316367024257</v>
      </c>
      <c r="AL22" s="170"/>
      <c r="AM22" s="165">
        <f t="shared" si="4"/>
        <v>-1.090589331790252</v>
      </c>
      <c r="AN22" s="165">
        <f t="shared" si="5"/>
        <v>-0.4967829579715462</v>
      </c>
      <c r="AO22" s="165">
        <f t="shared" si="1"/>
        <v>-0.20688872917568718</v>
      </c>
      <c r="AP22" s="165">
        <f t="shared" si="2"/>
        <v>0.37048773927969869</v>
      </c>
      <c r="AQ22" s="165"/>
      <c r="AR22" s="165">
        <f t="shared" si="6"/>
        <v>-0.92514012773501775</v>
      </c>
      <c r="AS22" s="165">
        <f t="shared" si="7"/>
        <v>-0.30535136944662378</v>
      </c>
      <c r="AT22" s="165">
        <f t="shared" si="8"/>
        <v>-4.3213737826425782E-3</v>
      </c>
      <c r="AU22" s="165">
        <f t="shared" si="9"/>
        <v>0.59773861754531976</v>
      </c>
      <c r="AV22" s="165"/>
      <c r="AW22" s="135">
        <f t="shared" si="10"/>
        <v>-0.15926856335474107</v>
      </c>
      <c r="AX22" s="135">
        <f t="shared" si="11"/>
        <v>-0.35594331991444661</v>
      </c>
      <c r="AY22" s="135">
        <f t="shared" si="12"/>
        <v>0.95955072078254477</v>
      </c>
      <c r="AZ22" s="135">
        <f t="shared" si="13"/>
        <v>0.62644499654548103</v>
      </c>
    </row>
    <row r="23" spans="1:52" hidden="1" x14ac:dyDescent="0.3">
      <c r="A23" s="2"/>
      <c r="B23" s="289"/>
      <c r="C23" s="12">
        <f>C22</f>
        <v>37</v>
      </c>
      <c r="D23" s="13">
        <f>IF(C23&lt;25,"NA",IF(C23&lt;81,D22,"NA"))</f>
        <v>35.562449821193198</v>
      </c>
      <c r="E23" s="13">
        <f>IF(C23&lt;25,"NA",IF(C23&lt;81,E22,"NA"))</f>
        <v>34.047662837418898</v>
      </c>
      <c r="F23" s="13">
        <f>IF(C23&lt;25,"NA",IF(C23&lt;81,F22,"NA"))</f>
        <v>33.610573871885698</v>
      </c>
      <c r="G23" s="13">
        <f>IF(C23&lt;25,"NA",IF(C23&lt;81,G22,"NA"))</f>
        <v>32.634902292090501</v>
      </c>
      <c r="H23" s="14" t="s">
        <v>14</v>
      </c>
      <c r="I23" s="33">
        <v>100</v>
      </c>
      <c r="J23" s="70">
        <v>42.846793499999997</v>
      </c>
      <c r="K23" s="71">
        <v>-0.95247491269999995</v>
      </c>
      <c r="L23" s="71">
        <v>2.099823411E-2</v>
      </c>
      <c r="M23" s="71">
        <v>-2.9366059069999999E-4</v>
      </c>
      <c r="N23" s="86">
        <v>1.9564796509999998E-6</v>
      </c>
      <c r="O23" s="86">
        <v>-4.7885319059999996E-9</v>
      </c>
      <c r="P23" s="2"/>
      <c r="Q23" s="26">
        <v>50</v>
      </c>
      <c r="R23" s="27">
        <v>36.289955640000002</v>
      </c>
      <c r="S23" s="28">
        <v>-9.4482599269999995E-2</v>
      </c>
      <c r="T23" s="29">
        <v>2.0438564179999999E-4</v>
      </c>
      <c r="Y23" s="2"/>
      <c r="Z23" s="3">
        <v>64</v>
      </c>
      <c r="AA23" s="3" t="s">
        <v>93</v>
      </c>
      <c r="AB23" s="169">
        <v>0</v>
      </c>
      <c r="AC23" s="169">
        <v>12</v>
      </c>
      <c r="AD23" s="169">
        <v>50</v>
      </c>
      <c r="AE23" s="169">
        <v>100</v>
      </c>
      <c r="AF23" s="169">
        <v>400</v>
      </c>
      <c r="AG23" s="169"/>
      <c r="AH23" s="66">
        <f>AC23*TAN(RADIANS(($R$15+$S$15*(Z23)+$T$15*(Z23)^2)))</f>
        <v>8.1723412748768034</v>
      </c>
      <c r="AI23" s="66">
        <f>AD23*TAN(RADIANS(($R$16+$S$16*(Z23)+$T$16*(Z23)^2)))</f>
        <v>32.063797350207423</v>
      </c>
      <c r="AJ23" s="66">
        <f>AE23*TAN(RADIANS(($R$17+$S$17*(Z23)+$T$17*(Z23)^2)))</f>
        <v>62.465769948849804</v>
      </c>
      <c r="AK23" s="66">
        <f>AF23*TAN(RADIANS(($R$18+$S$18*(Z23)+$T$18*(Z23)^2+$U$18*(Z23)^3)))</f>
        <v>235.61790734645464</v>
      </c>
      <c r="AL23" s="170"/>
      <c r="AM23" s="165">
        <f t="shared" si="4"/>
        <v>-1.0919748794173036</v>
      </c>
      <c r="AN23" s="165">
        <f t="shared" si="5"/>
        <v>-0.49830641875326598</v>
      </c>
      <c r="AO23" s="165">
        <f t="shared" si="1"/>
        <v>-0.20867927635387981</v>
      </c>
      <c r="AP23" s="165">
        <f t="shared" si="2"/>
        <v>0.36788692067795875</v>
      </c>
      <c r="AQ23" s="165"/>
      <c r="AR23" s="165">
        <f t="shared" si="6"/>
        <v>-0.92514012773501775</v>
      </c>
      <c r="AS23" s="165">
        <f t="shared" si="7"/>
        <v>-0.30535136944662378</v>
      </c>
      <c r="AT23" s="165">
        <f t="shared" si="8"/>
        <v>-4.3213737826425782E-3</v>
      </c>
      <c r="AU23" s="165">
        <f t="shared" si="9"/>
        <v>0.59773861754531976</v>
      </c>
      <c r="AV23" s="165"/>
      <c r="AW23" s="135">
        <f t="shared" si="10"/>
        <v>-0.15926856335474107</v>
      </c>
      <c r="AX23" s="135">
        <f t="shared" si="11"/>
        <v>-0.35776841346162269</v>
      </c>
      <c r="AY23" s="135">
        <f t="shared" si="12"/>
        <v>0.9587518815587428</v>
      </c>
      <c r="AZ23" s="135">
        <f t="shared" si="13"/>
        <v>0.62363520161620423</v>
      </c>
    </row>
    <row r="24" spans="1:52" hidden="1" x14ac:dyDescent="0.3">
      <c r="A24" s="2"/>
      <c r="B24" s="290" t="s">
        <v>25</v>
      </c>
      <c r="C24" s="19">
        <f>B5</f>
        <v>37</v>
      </c>
      <c r="D24" s="20">
        <f>R22+S22*(C24)+T22*(C24)^2+U22*(C24)^3</f>
        <v>35.2496482223386</v>
      </c>
      <c r="E24" s="20">
        <f>R23+S23*(C24)+T23*(C24)^2</f>
        <v>33.073903410634202</v>
      </c>
      <c r="F24" s="20">
        <f>R24+S24*(C24)+T24*(C24)^2</f>
        <v>31.466177632971998</v>
      </c>
      <c r="G24" s="20">
        <f>R25+S25*(C24)+T25*(C24)^2</f>
        <v>29.463652549528899</v>
      </c>
      <c r="H24" s="21" t="s">
        <v>14</v>
      </c>
      <c r="I24" s="44">
        <v>400</v>
      </c>
      <c r="J24" s="157">
        <v>47.345950649999999</v>
      </c>
      <c r="K24" s="158">
        <v>-1.5287339520000001</v>
      </c>
      <c r="L24" s="158">
        <v>4.0686569999999998E-2</v>
      </c>
      <c r="M24" s="158">
        <v>-6.4303825950000001E-4</v>
      </c>
      <c r="N24" s="158">
        <v>5.3513928050000002E-6</v>
      </c>
      <c r="O24" s="158">
        <v>-2.158603094E-8</v>
      </c>
      <c r="P24" s="158">
        <v>3.2850220479999997E-11</v>
      </c>
      <c r="Q24" s="37">
        <v>100</v>
      </c>
      <c r="R24" s="38">
        <v>35.107030330000001</v>
      </c>
      <c r="S24" s="39">
        <v>-0.10782350340000001</v>
      </c>
      <c r="T24" s="72">
        <v>2.5465078799999998E-4</v>
      </c>
      <c r="Y24" s="2"/>
      <c r="Z24" s="3">
        <v>66</v>
      </c>
      <c r="AA24" s="3" t="s">
        <v>93</v>
      </c>
      <c r="AB24" s="169">
        <v>0</v>
      </c>
      <c r="AC24" s="169">
        <v>12</v>
      </c>
      <c r="AD24" s="169">
        <v>50</v>
      </c>
      <c r="AE24" s="169">
        <v>100</v>
      </c>
      <c r="AF24" s="169">
        <v>400</v>
      </c>
      <c r="AG24" s="169"/>
      <c r="AH24" s="66">
        <f>AC24*TAN(RADIANS(($R$15+$S$15*(Z24)+$T$15*(Z24)^2)))</f>
        <v>8.1468517554304185</v>
      </c>
      <c r="AI24" s="66">
        <f>AD24*TAN(RADIANS(($R$16+$S$16*(Z24)+$T$16*(Z24)^2)))</f>
        <v>31.953432604276355</v>
      </c>
      <c r="AJ24" s="66">
        <f>AE24*TAN(RADIANS(($R$17+$S$17*(Z24)+$T$17*(Z24)^2)))</f>
        <v>62.213606190244896</v>
      </c>
      <c r="AK24" s="66">
        <f>AF24*TAN(RADIANS(($R$18+$S$18*(Z24)+$T$18*(Z24)^2+$U$18*(Z24)^3)))</f>
        <v>234.21882758109879</v>
      </c>
      <c r="AL24" s="170"/>
      <c r="AM24" s="165">
        <f t="shared" si="4"/>
        <v>-1.0933315600599831</v>
      </c>
      <c r="AN24" s="165">
        <f t="shared" si="5"/>
        <v>-0.49980385460527377</v>
      </c>
      <c r="AO24" s="165">
        <f t="shared" si="1"/>
        <v>-0.21043599798035961</v>
      </c>
      <c r="AP24" s="165">
        <f t="shared" si="2"/>
        <v>0.36530042893461173</v>
      </c>
      <c r="AQ24" s="165"/>
      <c r="AR24" s="165">
        <f t="shared" si="6"/>
        <v>-0.92514012773501775</v>
      </c>
      <c r="AS24" s="165">
        <f t="shared" si="7"/>
        <v>-0.30535136944662378</v>
      </c>
      <c r="AT24" s="165">
        <f t="shared" si="8"/>
        <v>-4.3213737826425782E-3</v>
      </c>
      <c r="AU24" s="165">
        <f t="shared" si="9"/>
        <v>0.59773861754531976</v>
      </c>
      <c r="AV24" s="165"/>
      <c r="AW24" s="135">
        <f t="shared" si="10"/>
        <v>-0.15926856335474107</v>
      </c>
      <c r="AX24" s="135">
        <f t="shared" si="11"/>
        <v>-0.3595677459277512</v>
      </c>
      <c r="AY24" s="135">
        <f t="shared" si="12"/>
        <v>0.95794488984553849</v>
      </c>
      <c r="AZ24" s="135">
        <f t="shared" si="13"/>
        <v>0.62087298059374518</v>
      </c>
    </row>
    <row r="25" spans="1:52" hidden="1" x14ac:dyDescent="0.3">
      <c r="A25" s="2"/>
      <c r="B25" s="291"/>
      <c r="C25" s="30">
        <f>C24</f>
        <v>37</v>
      </c>
      <c r="D25" s="31">
        <f>IF(C25&lt;35,"NA",IF(C25&lt;=131,D24,"NA"))</f>
        <v>35.2496482223386</v>
      </c>
      <c r="E25" s="31">
        <f>IF(C25&lt;35,"NA",IF(C25&lt;=131,E24,"NA"))</f>
        <v>33.073903410634202</v>
      </c>
      <c r="F25" s="31">
        <f>IF(C25&lt;35,"NA",IF(C25&lt;=131,F24,"NA"))</f>
        <v>31.466177632971998</v>
      </c>
      <c r="G25" s="31">
        <f>IF(C25&lt;35,"NA",IF(C25&lt;=131,G24,"NA"))</f>
        <v>29.463652549528899</v>
      </c>
      <c r="H25" s="32" t="s">
        <v>14</v>
      </c>
      <c r="I25" s="54">
        <v>700</v>
      </c>
      <c r="J25" s="74">
        <v>38.358431019999998</v>
      </c>
      <c r="K25" s="75">
        <v>-0.95417449909999996</v>
      </c>
      <c r="L25" s="75">
        <v>1.9693885059999999E-2</v>
      </c>
      <c r="M25" s="75">
        <v>-2.6045865530000001E-4</v>
      </c>
      <c r="N25" s="86">
        <v>1.7128802039999999E-6</v>
      </c>
      <c r="O25" s="86">
        <v>-4.2209583000000002E-9</v>
      </c>
      <c r="P25" s="2"/>
      <c r="Q25" s="47">
        <v>400</v>
      </c>
      <c r="R25" s="48">
        <v>34.30820121</v>
      </c>
      <c r="S25" s="49">
        <v>-0.14648675559999999</v>
      </c>
      <c r="T25" s="73">
        <v>4.203515681E-4</v>
      </c>
      <c r="Y25" s="2"/>
      <c r="Z25" s="3">
        <v>68</v>
      </c>
      <c r="AA25" s="3" t="s">
        <v>93</v>
      </c>
      <c r="AB25" s="169">
        <v>0</v>
      </c>
      <c r="AC25" s="169">
        <v>12</v>
      </c>
      <c r="AD25" s="169">
        <v>50</v>
      </c>
      <c r="AE25" s="169">
        <v>100</v>
      </c>
      <c r="AF25" s="169">
        <v>400</v>
      </c>
      <c r="AG25" s="169"/>
      <c r="AH25" s="66">
        <f>AC25*TAN(RADIANS(($R$15+$S$15*(Z25)+$T$15*(Z25)^2)))</f>
        <v>8.1219832594419632</v>
      </c>
      <c r="AI25" s="66">
        <f>AD25*TAN(RADIANS(($R$16+$S$16*(Z25)+$T$16*(Z25)^2)))</f>
        <v>31.845363432267082</v>
      </c>
      <c r="AJ25" s="66">
        <f>AE25*TAN(RADIANS(($R$17+$S$17*(Z25)+$T$17*(Z25)^2)))</f>
        <v>61.967309918151436</v>
      </c>
      <c r="AK25" s="66">
        <f>AF25*TAN(RADIANS(($R$18+$S$18*(Z25)+$T$18*(Z25)^2+$U$18*(Z25)^3)))</f>
        <v>232.83577745714155</v>
      </c>
      <c r="AL25" s="170"/>
      <c r="AM25" s="165">
        <f t="shared" si="4"/>
        <v>-1.0946592837701501</v>
      </c>
      <c r="AN25" s="165">
        <f t="shared" si="5"/>
        <v>-0.50127516418704232</v>
      </c>
      <c r="AO25" s="165">
        <f t="shared" si="1"/>
        <v>-0.21215873051437059</v>
      </c>
      <c r="AP25" s="165">
        <f t="shared" si="2"/>
        <v>0.36272834084801775</v>
      </c>
      <c r="AQ25" s="165"/>
      <c r="AR25" s="165">
        <f t="shared" si="6"/>
        <v>-0.92514012773501775</v>
      </c>
      <c r="AS25" s="165">
        <f t="shared" si="7"/>
        <v>-0.30535136944662378</v>
      </c>
      <c r="AT25" s="165">
        <f t="shared" si="8"/>
        <v>-4.3213737826425782E-3</v>
      </c>
      <c r="AU25" s="165">
        <f t="shared" si="9"/>
        <v>0.59773861754531976</v>
      </c>
      <c r="AV25" s="165"/>
      <c r="AW25" s="135">
        <f t="shared" si="10"/>
        <v>-0.15926856335474107</v>
      </c>
      <c r="AX25" s="135">
        <f t="shared" si="11"/>
        <v>-0.36134120940588632</v>
      </c>
      <c r="AY25" s="135">
        <f t="shared" si="12"/>
        <v>0.9571297454638894</v>
      </c>
      <c r="AZ25" s="135">
        <f t="shared" si="13"/>
        <v>0.61815796581585936</v>
      </c>
    </row>
    <row r="26" spans="1:52" hidden="1" x14ac:dyDescent="0.3">
      <c r="A26" s="2"/>
      <c r="B26" s="292" t="s">
        <v>26</v>
      </c>
      <c r="C26" s="51">
        <f>B5</f>
        <v>37</v>
      </c>
      <c r="D26" s="52">
        <f>R29+S29*(C26)+T29*(C26)^2+U29*(C26)^3+V29*(C26)^4+W29*(C26)^5</f>
        <v>34.209370134776186</v>
      </c>
      <c r="E26" s="52">
        <f>R30+S30*(C26)+T30*(C26)^2+U30*(C26)^3+V30*(C26)^4+W30*(C26)^5</f>
        <v>30.655259817425517</v>
      </c>
      <c r="F26" s="52">
        <f>R31+S31*(C26)+T31*(C26)^2+U31*(C26)^3+V31*(C26)^4+W31*(C26)^5</f>
        <v>28.191098122119737</v>
      </c>
      <c r="G26" s="52">
        <f>R32+S32*(C26)+T32*(C26)^2+U32*(C26)^3+V32*(C26)^4+W32*(C26)^5</f>
        <v>26.103927907847812</v>
      </c>
      <c r="H26" s="53" t="s">
        <v>14</v>
      </c>
      <c r="K26" s="76" t="s">
        <v>29</v>
      </c>
      <c r="L26" s="77"/>
      <c r="M26" s="77"/>
      <c r="N26" s="77"/>
      <c r="O26" s="77"/>
      <c r="P26" s="2"/>
      <c r="Y26" s="2"/>
      <c r="Z26" s="3">
        <v>70</v>
      </c>
      <c r="AA26" s="3" t="s">
        <v>93</v>
      </c>
      <c r="AB26" s="169">
        <v>0</v>
      </c>
      <c r="AC26" s="169">
        <v>12</v>
      </c>
      <c r="AD26" s="169">
        <v>50</v>
      </c>
      <c r="AE26" s="169">
        <v>100</v>
      </c>
      <c r="AF26" s="169">
        <v>400</v>
      </c>
      <c r="AG26" s="169"/>
      <c r="AH26" s="66">
        <f>AC26*TAN(RADIANS(($R$15+$S$15*(Z26)+$T$15*(Z26)^2)))</f>
        <v>8.09773224850486</v>
      </c>
      <c r="AI26" s="66">
        <f>AD26*TAN(RADIANS(($R$16+$S$16*(Z26)+$T$16*(Z26)^2)))</f>
        <v>31.739576487347804</v>
      </c>
      <c r="AJ26" s="66">
        <f>AE26*TAN(RADIANS(($R$17+$S$17*(Z26)+$T$17*(Z26)^2)))</f>
        <v>61.726842644991486</v>
      </c>
      <c r="AK26" s="66">
        <f>AF26*TAN(RADIANS(($R$18+$S$18*(Z26)+$T$18*(Z26)^2+$U$18*(Z26)^3)))</f>
        <v>231.46861324118854</v>
      </c>
      <c r="AL26" s="170"/>
      <c r="AM26" s="165">
        <f t="shared" si="4"/>
        <v>-1.09595796105873</v>
      </c>
      <c r="AN26" s="165">
        <f t="shared" si="5"/>
        <v>-0.50272024627354772</v>
      </c>
      <c r="AO26" s="165">
        <f t="shared" si="1"/>
        <v>-0.21384731060018086</v>
      </c>
      <c r="AP26" s="165">
        <f t="shared" si="2"/>
        <v>0.36017073595451787</v>
      </c>
      <c r="AQ26" s="165"/>
      <c r="AR26" s="165">
        <f t="shared" si="6"/>
        <v>-0.92514012773501775</v>
      </c>
      <c r="AS26" s="165">
        <f t="shared" si="7"/>
        <v>-0.30535136944662378</v>
      </c>
      <c r="AT26" s="165">
        <f t="shared" si="8"/>
        <v>-4.3213737826425782E-3</v>
      </c>
      <c r="AU26" s="165">
        <f t="shared" si="9"/>
        <v>0.59773861754531976</v>
      </c>
      <c r="AV26" s="165"/>
      <c r="AW26" s="135">
        <f t="shared" si="10"/>
        <v>-0.15926856335474107</v>
      </c>
      <c r="AX26" s="135">
        <f t="shared" si="11"/>
        <v>-0.36308869549448514</v>
      </c>
      <c r="AY26" s="135">
        <f t="shared" si="12"/>
        <v>0.95630645023684779</v>
      </c>
      <c r="AZ26" s="135">
        <f t="shared" si="13"/>
        <v>0.61548979834964257</v>
      </c>
    </row>
    <row r="27" spans="1:52" ht="18" hidden="1" x14ac:dyDescent="0.35">
      <c r="A27" s="2"/>
      <c r="B27" s="293"/>
      <c r="C27" s="57">
        <f>C26</f>
        <v>37</v>
      </c>
      <c r="D27" s="58" t="str">
        <f>IF(C27&lt;45,"NA",IF(C27&lt;=300,D26,"NA"))</f>
        <v>NA</v>
      </c>
      <c r="E27" s="58" t="str">
        <f>IF(C27&lt;45,"NA",IF(C27&lt;=300,E26,"NA"))</f>
        <v>NA</v>
      </c>
      <c r="F27" s="58" t="str">
        <f>IF(C27&lt;45,"NA",IF(C27&lt;=300,F26,"NA"))</f>
        <v>NA</v>
      </c>
      <c r="G27" s="58" t="str">
        <f>IF(C27&lt;45,"NA",IF(C27&lt;=300,G26,"NA"))</f>
        <v>NA</v>
      </c>
      <c r="H27" s="59" t="s">
        <v>14</v>
      </c>
      <c r="K27" s="78" t="s">
        <v>26</v>
      </c>
      <c r="L27" s="79" t="s">
        <v>19</v>
      </c>
      <c r="M27" s="79" t="s">
        <v>20</v>
      </c>
      <c r="N27" s="79" t="s">
        <v>21</v>
      </c>
      <c r="O27" s="79" t="s">
        <v>27</v>
      </c>
      <c r="P27" s="2"/>
      <c r="Q27" s="78" t="s">
        <v>26</v>
      </c>
      <c r="R27" s="80" t="s">
        <v>19</v>
      </c>
      <c r="S27" s="81" t="s">
        <v>20</v>
      </c>
      <c r="T27" s="81" t="s">
        <v>21</v>
      </c>
      <c r="U27" s="81" t="s">
        <v>27</v>
      </c>
      <c r="V27" s="81" t="s">
        <v>64</v>
      </c>
      <c r="W27" s="81" t="s">
        <v>65</v>
      </c>
      <c r="Y27" s="2"/>
      <c r="Z27" s="3">
        <v>72</v>
      </c>
      <c r="AA27" s="3" t="s">
        <v>93</v>
      </c>
      <c r="AB27" s="169">
        <v>0</v>
      </c>
      <c r="AC27" s="169">
        <v>12</v>
      </c>
      <c r="AD27" s="169">
        <v>50</v>
      </c>
      <c r="AE27" s="169">
        <v>100</v>
      </c>
      <c r="AF27" s="169">
        <v>400</v>
      </c>
      <c r="AG27" s="169"/>
      <c r="AH27" s="66">
        <f>AC27*TAN(RADIANS(($R$15+$S$15*(Z27)+$T$15*(Z27)^2)))</f>
        <v>8.0740952931293162</v>
      </c>
      <c r="AI27" s="66">
        <f>AD27*TAN(RADIANS(($R$16+$S$16*(Z27)+$T$16*(Z27)^2)))</f>
        <v>31.636058790769727</v>
      </c>
      <c r="AJ27" s="66">
        <f>AE27*TAN(RADIANS(($R$17+$S$17*(Z27)+$T$17*(Z27)^2)))</f>
        <v>61.492167081342586</v>
      </c>
      <c r="AK27" s="66">
        <f>AF27*TAN(RADIANS(($R$18+$S$18*(Z27)+$T$18*(Z27)^2+$U$18*(Z27)^3)))</f>
        <v>230.1171943100199</v>
      </c>
      <c r="AL27" s="170"/>
      <c r="AM27" s="165">
        <f t="shared" si="4"/>
        <v>-1.0972275029917253</v>
      </c>
      <c r="AN27" s="165">
        <f t="shared" si="5"/>
        <v>-0.50413899984304678</v>
      </c>
      <c r="AO27" s="165">
        <f t="shared" si="1"/>
        <v>-0.21550157524303742</v>
      </c>
      <c r="AP27" s="165">
        <f t="shared" si="2"/>
        <v>0.35762769649388326</v>
      </c>
      <c r="AQ27" s="165"/>
      <c r="AR27" s="165">
        <f t="shared" si="6"/>
        <v>-0.92514012773501775</v>
      </c>
      <c r="AS27" s="165">
        <f t="shared" si="7"/>
        <v>-0.30535136944662378</v>
      </c>
      <c r="AT27" s="165">
        <f t="shared" si="8"/>
        <v>-4.3213737826425782E-3</v>
      </c>
      <c r="AU27" s="165">
        <f t="shared" si="9"/>
        <v>0.59773861754531976</v>
      </c>
      <c r="AV27" s="165"/>
      <c r="AW27" s="135">
        <f t="shared" si="10"/>
        <v>-0.15926856335474107</v>
      </c>
      <c r="AX27" s="135">
        <f t="shared" si="11"/>
        <v>-0.36481009539598153</v>
      </c>
      <c r="AY27" s="135">
        <f t="shared" si="12"/>
        <v>0.95547500801689522</v>
      </c>
      <c r="AZ27" s="135">
        <f t="shared" si="13"/>
        <v>0.61286812778933331</v>
      </c>
    </row>
    <row r="28" spans="1:52" ht="18" hidden="1" x14ac:dyDescent="0.4">
      <c r="A28" s="2"/>
      <c r="K28" s="82" t="s">
        <v>22</v>
      </c>
      <c r="L28" s="79"/>
      <c r="M28" s="79" t="s">
        <v>23</v>
      </c>
      <c r="N28" s="79" t="s">
        <v>24</v>
      </c>
      <c r="O28" s="79" t="s">
        <v>28</v>
      </c>
      <c r="P28" s="2"/>
      <c r="Q28" s="82" t="s">
        <v>22</v>
      </c>
      <c r="R28" s="80"/>
      <c r="S28" s="81" t="s">
        <v>23</v>
      </c>
      <c r="T28" s="81" t="s">
        <v>24</v>
      </c>
      <c r="U28" s="81" t="s">
        <v>28</v>
      </c>
      <c r="V28" s="81" t="s">
        <v>62</v>
      </c>
      <c r="W28" s="81" t="s">
        <v>63</v>
      </c>
      <c r="Y28" s="2"/>
      <c r="Z28" s="3">
        <v>74</v>
      </c>
      <c r="AA28" s="3" t="s">
        <v>93</v>
      </c>
      <c r="AB28" s="169">
        <v>0</v>
      </c>
      <c r="AC28" s="169">
        <v>12</v>
      </c>
      <c r="AD28" s="169">
        <v>50</v>
      </c>
      <c r="AE28" s="169">
        <v>100</v>
      </c>
      <c r="AF28" s="169">
        <v>400</v>
      </c>
      <c r="AG28" s="169"/>
      <c r="AH28" s="66">
        <f>AC28*TAN(RADIANS(($R$15+$S$15*(Z28)+$T$15*(Z28)^2)))</f>
        <v>8.0510690706206631</v>
      </c>
      <c r="AI28" s="66">
        <f>AD28*TAN(RADIANS(($R$16+$S$16*(Z28)+$T$16*(Z28)^2)))</f>
        <v>31.53479772453985</v>
      </c>
      <c r="AJ28" s="66">
        <f>AE28*TAN(RADIANS(($R$17+$S$17*(Z28)+$T$17*(Z28)^2)))</f>
        <v>61.263247108712996</v>
      </c>
      <c r="AK28" s="66">
        <f>AF28*TAN(RADIANS(($R$18+$S$18*(Z28)+$T$18*(Z28)^2+$U$18*(Z28)^3)))</f>
        <v>228.78138307915336</v>
      </c>
      <c r="AL28" s="170"/>
      <c r="AM28" s="165">
        <f t="shared" si="4"/>
        <v>-1.0984678212850585</v>
      </c>
      <c r="AN28" s="165">
        <f t="shared" si="5"/>
        <v>-0.5055313241643522</v>
      </c>
      <c r="AO28" s="165">
        <f t="shared" si="1"/>
        <v>-0.21712136198425008</v>
      </c>
      <c r="AP28" s="165">
        <f t="shared" si="2"/>
        <v>0.35509930737440371</v>
      </c>
      <c r="AQ28" s="165"/>
      <c r="AR28" s="165">
        <f t="shared" si="6"/>
        <v>-0.92514012773501775</v>
      </c>
      <c r="AS28" s="165">
        <f t="shared" si="7"/>
        <v>-0.30535136944662378</v>
      </c>
      <c r="AT28" s="165">
        <f t="shared" si="8"/>
        <v>-4.3213737826425782E-3</v>
      </c>
      <c r="AU28" s="165">
        <f t="shared" si="9"/>
        <v>0.59773861754531976</v>
      </c>
      <c r="AV28" s="165"/>
      <c r="AW28" s="135">
        <f t="shared" si="10"/>
        <v>-0.15926856335474107</v>
      </c>
      <c r="AX28" s="135">
        <f t="shared" si="11"/>
        <v>-0.36650530001481424</v>
      </c>
      <c r="AY28" s="135">
        <f t="shared" si="12"/>
        <v>0.95463542471235785</v>
      </c>
      <c r="AZ28" s="135">
        <f t="shared" si="13"/>
        <v>0.61029261206077068</v>
      </c>
    </row>
    <row r="29" spans="1:52" ht="17.25" hidden="1" customHeight="1" x14ac:dyDescent="0.3">
      <c r="A29" s="2"/>
      <c r="K29" s="83">
        <v>50</v>
      </c>
      <c r="L29" s="84">
        <v>33.44</v>
      </c>
      <c r="M29" s="85">
        <v>-0.31</v>
      </c>
      <c r="N29" s="86">
        <v>3.8999999999999999E-4</v>
      </c>
      <c r="O29" s="87">
        <v>4.4000000000000002E-6</v>
      </c>
      <c r="P29" s="2"/>
      <c r="Q29" s="88">
        <v>12</v>
      </c>
      <c r="R29" s="89">
        <v>38.142353880000002</v>
      </c>
      <c r="S29" s="28">
        <v>-0.11425207749999999</v>
      </c>
      <c r="T29" s="29">
        <v>2.238184592E-4</v>
      </c>
      <c r="U29" s="90">
        <v>-2.381763838E-7</v>
      </c>
      <c r="V29" s="90">
        <v>0</v>
      </c>
      <c r="W29" s="90">
        <v>0</v>
      </c>
      <c r="Y29" s="2"/>
      <c r="Z29" s="3">
        <v>76</v>
      </c>
      <c r="AA29" s="3" t="s">
        <v>93</v>
      </c>
      <c r="AB29" s="169">
        <v>0</v>
      </c>
      <c r="AC29" s="169">
        <v>12</v>
      </c>
      <c r="AD29" s="169">
        <v>50</v>
      </c>
      <c r="AE29" s="169">
        <v>100</v>
      </c>
      <c r="AF29" s="169">
        <v>400</v>
      </c>
      <c r="AG29" s="169"/>
      <c r="AH29" s="66">
        <f>AC29*TAN(RADIANS(($R$15+$S$15*(Z29)+$T$15*(Z29)^2)))</f>
        <v>8.0286503630322255</v>
      </c>
      <c r="AI29" s="66">
        <f>AD29*TAN(RADIANS(($R$16+$S$16*(Z29)+$T$16*(Z29)^2)))</f>
        <v>31.43578102432663</v>
      </c>
      <c r="AJ29" s="66">
        <f>AE29*TAN(RADIANS(($R$17+$S$17*(Z29)+$T$17*(Z29)^2)))</f>
        <v>61.040047753290303</v>
      </c>
      <c r="AK29" s="66">
        <f>AF29*TAN(RADIANS(($R$18+$S$18*(Z29)+$T$18*(Z29)^2+$U$18*(Z29)^3)))</f>
        <v>227.46104493336671</v>
      </c>
      <c r="AL29" s="170"/>
      <c r="AM29" s="165">
        <f t="shared" si="4"/>
        <v>-1.0996788283982002</v>
      </c>
      <c r="AN29" s="165">
        <f t="shared" si="5"/>
        <v>-0.50689711888356548</v>
      </c>
      <c r="AO29" s="165">
        <f t="shared" si="1"/>
        <v>-0.21870650907529496</v>
      </c>
      <c r="AP29" s="165">
        <f t="shared" si="2"/>
        <v>0.35258565613757697</v>
      </c>
      <c r="AQ29" s="165"/>
      <c r="AR29" s="165">
        <f t="shared" si="6"/>
        <v>-0.92514012773501775</v>
      </c>
      <c r="AS29" s="165">
        <f t="shared" si="7"/>
        <v>-0.30535136944662378</v>
      </c>
      <c r="AT29" s="165">
        <f t="shared" si="8"/>
        <v>-4.3213737826425782E-3</v>
      </c>
      <c r="AU29" s="165">
        <f t="shared" si="9"/>
        <v>0.59773861754531976</v>
      </c>
      <c r="AV29" s="165"/>
      <c r="AW29" s="135">
        <f t="shared" si="10"/>
        <v>-0.15926856335474107</v>
      </c>
      <c r="AX29" s="135">
        <f t="shared" si="11"/>
        <v>-0.36817420005487089</v>
      </c>
      <c r="AY29" s="135">
        <f t="shared" si="12"/>
        <v>0.95378770831285908</v>
      </c>
      <c r="AZ29" s="135">
        <f t="shared" si="13"/>
        <v>0.60776291723231302</v>
      </c>
    </row>
    <row r="30" spans="1:52" hidden="1" x14ac:dyDescent="0.3">
      <c r="A30" s="2"/>
      <c r="C30" s="312" t="s">
        <v>78</v>
      </c>
      <c r="D30" s="313"/>
      <c r="E30" s="313"/>
      <c r="G30" s="312" t="s">
        <v>77</v>
      </c>
      <c r="H30" s="313"/>
      <c r="I30" s="313"/>
      <c r="K30" s="83">
        <v>100</v>
      </c>
      <c r="L30" s="84">
        <v>30.65</v>
      </c>
      <c r="M30" s="85">
        <v>-0.25040000000000001</v>
      </c>
      <c r="N30" s="86">
        <v>-4.2053000000000001E-4</v>
      </c>
      <c r="O30" s="87">
        <v>8.0478999999999996E-6</v>
      </c>
      <c r="P30" s="2"/>
      <c r="Q30" s="88">
        <v>50</v>
      </c>
      <c r="R30" s="89">
        <v>37.259863250000002</v>
      </c>
      <c r="S30" s="28">
        <v>-0.24065530630000001</v>
      </c>
      <c r="T30" s="29">
        <v>2.0315981500000002E-3</v>
      </c>
      <c r="U30" s="90">
        <v>-1.0439104369999999E-5</v>
      </c>
      <c r="V30" s="90">
        <v>2.6104614510000001E-8</v>
      </c>
      <c r="W30" s="90">
        <v>-2.5485473889999999E-11</v>
      </c>
      <c r="Y30" s="2"/>
      <c r="Z30" s="3">
        <v>78</v>
      </c>
      <c r="AA30" s="3" t="s">
        <v>93</v>
      </c>
      <c r="AB30" s="169">
        <v>0</v>
      </c>
      <c r="AC30" s="169">
        <v>12</v>
      </c>
      <c r="AD30" s="169">
        <v>50</v>
      </c>
      <c r="AE30" s="169">
        <v>100</v>
      </c>
      <c r="AF30" s="169">
        <v>400</v>
      </c>
      <c r="AG30" s="169"/>
      <c r="AH30" s="66">
        <f>AC30*TAN(RADIANS(($R$15+$S$15*(Z30)+$T$15*(Z30)^2)))</f>
        <v>8.0068360551908082</v>
      </c>
      <c r="AI30" s="66">
        <f>AD30*TAN(RADIANS(($R$16+$S$16*(Z30)+$T$16*(Z30)^2)))</f>
        <v>31.338996772591887</v>
      </c>
      <c r="AJ30" s="66">
        <f>AE30*TAN(RADIANS(($R$17+$S$17*(Z30)+$T$17*(Z30)^2)))</f>
        <v>60.822535160633386</v>
      </c>
      <c r="AK30" s="66">
        <f>AF30*TAN(RADIANS(($R$18+$S$18*(Z30)+$T$18*(Z30)^2+$U$18*(Z30)^3)))</f>
        <v>226.15604815911948</v>
      </c>
      <c r="AL30" s="170"/>
      <c r="AM30" s="165">
        <f t="shared" si="4"/>
        <v>-1.1008604376265276</v>
      </c>
      <c r="AN30" s="165">
        <f t="shared" si="5"/>
        <v>-0.50823628411022248</v>
      </c>
      <c r="AO30" s="165">
        <f t="shared" si="1"/>
        <v>-0.22025685565082276</v>
      </c>
      <c r="AP30" s="165">
        <f t="shared" si="2"/>
        <v>0.35008683292236753</v>
      </c>
      <c r="AQ30" s="165"/>
      <c r="AR30" s="165">
        <f t="shared" si="6"/>
        <v>-0.92514012773501775</v>
      </c>
      <c r="AS30" s="165">
        <f t="shared" si="7"/>
        <v>-0.30535136944662378</v>
      </c>
      <c r="AT30" s="165">
        <f t="shared" si="8"/>
        <v>-4.3213737826425782E-3</v>
      </c>
      <c r="AU30" s="165">
        <f t="shared" si="9"/>
        <v>0.59773861754531976</v>
      </c>
      <c r="AV30" s="165"/>
      <c r="AW30" s="135">
        <f t="shared" si="10"/>
        <v>-0.15926856335474107</v>
      </c>
      <c r="AX30" s="135">
        <f t="shared" si="11"/>
        <v>-0.36981668611630125</v>
      </c>
      <c r="AY30" s="135">
        <f t="shared" si="12"/>
        <v>0.95293186891376536</v>
      </c>
      <c r="AZ30" s="135">
        <f t="shared" si="13"/>
        <v>0.60527871733203797</v>
      </c>
    </row>
    <row r="31" spans="1:52" hidden="1" x14ac:dyDescent="0.3">
      <c r="A31" s="2"/>
      <c r="D31" s="3" t="s">
        <v>32</v>
      </c>
      <c r="E31" s="3" t="s">
        <v>33</v>
      </c>
      <c r="H31" s="3" t="s">
        <v>32</v>
      </c>
      <c r="I31" s="3" t="s">
        <v>33</v>
      </c>
      <c r="K31" s="83">
        <v>400</v>
      </c>
      <c r="L31" s="84">
        <v>29.42</v>
      </c>
      <c r="M31" s="85">
        <v>-0.26650000000000001</v>
      </c>
      <c r="N31" s="86">
        <v>-3.4000000000000002E-4</v>
      </c>
      <c r="O31" s="87">
        <v>8.3899999999999993E-6</v>
      </c>
      <c r="P31" s="2"/>
      <c r="Q31" s="88">
        <v>100</v>
      </c>
      <c r="R31" s="45">
        <v>35.46766865</v>
      </c>
      <c r="S31" s="39">
        <v>-0.25454966759999997</v>
      </c>
      <c r="T31" s="72">
        <v>1.7867971039999999E-3</v>
      </c>
      <c r="U31" s="91">
        <v>-6.3067128199999996E-6</v>
      </c>
      <c r="V31" s="91">
        <v>8.0547308450000003E-9</v>
      </c>
      <c r="W31" s="91">
        <v>0</v>
      </c>
      <c r="Y31" s="2"/>
      <c r="Z31" s="3">
        <v>80</v>
      </c>
      <c r="AA31" s="3" t="s">
        <v>93</v>
      </c>
      <c r="AB31" s="169">
        <v>0</v>
      </c>
      <c r="AC31" s="169">
        <v>12</v>
      </c>
      <c r="AD31" s="169">
        <v>50</v>
      </c>
      <c r="AE31" s="169">
        <v>100</v>
      </c>
      <c r="AF31" s="169">
        <v>400</v>
      </c>
      <c r="AG31" s="169"/>
      <c r="AH31" s="66">
        <f>AC31*TAN(RADIANS(($R$15+$S$15*(Z31)+$T$15*(Z31)^2)))</f>
        <v>7.9856231327926501</v>
      </c>
      <c r="AI31" s="66">
        <f>AD31*TAN(RADIANS(($R$16+$S$16*(Z31)+$T$16*(Z31)^2)))</f>
        <v>31.244433391942845</v>
      </c>
      <c r="AJ31" s="66">
        <f>AE31*TAN(RADIANS(($R$17+$S$17*(Z31)+$T$17*(Z31)^2)))</f>
        <v>60.610676571278212</v>
      </c>
      <c r="AK31" s="66">
        <f>AF31*TAN(RADIANS(($R$18+$S$18*(Z31)+$T$18*(Z31)^2+$U$18*(Z31)^3)))</f>
        <v>224.86626387881296</v>
      </c>
      <c r="AL31" s="170"/>
      <c r="AM31" s="165">
        <f t="shared" si="4"/>
        <v>-1.1020125631923665</v>
      </c>
      <c r="AN31" s="165">
        <f t="shared" si="5"/>
        <v>-0.50954872050281463</v>
      </c>
      <c r="AO31" s="165">
        <f t="shared" si="1"/>
        <v>-0.22177224190045336</v>
      </c>
      <c r="AP31" s="165">
        <f t="shared" si="2"/>
        <v>0.34760293042900281</v>
      </c>
      <c r="AQ31" s="165"/>
      <c r="AR31" s="165">
        <f t="shared" si="6"/>
        <v>-0.92514012773501775</v>
      </c>
      <c r="AS31" s="165">
        <f t="shared" si="7"/>
        <v>-0.30535136944662378</v>
      </c>
      <c r="AT31" s="165">
        <f t="shared" si="8"/>
        <v>-4.3213737826425782E-3</v>
      </c>
      <c r="AU31" s="165">
        <f t="shared" si="9"/>
        <v>0.59773861754531976</v>
      </c>
      <c r="AV31" s="165"/>
      <c r="AW31" s="135">
        <f t="shared" si="10"/>
        <v>-0.15926856335474107</v>
      </c>
      <c r="AX31" s="135">
        <f t="shared" si="11"/>
        <v>-0.37143264879165794</v>
      </c>
      <c r="AY31" s="135">
        <f t="shared" si="12"/>
        <v>0.95206791873958374</v>
      </c>
      <c r="AZ31" s="135">
        <f t="shared" si="13"/>
        <v>0.60283969417104222</v>
      </c>
    </row>
    <row r="32" spans="1:52" hidden="1" x14ac:dyDescent="0.3">
      <c r="A32" s="2"/>
      <c r="C32" s="3" t="s">
        <v>74</v>
      </c>
      <c r="D32" s="3">
        <f>IF(B5&lt;25,"NA",IF(B5&lt;76,(2.2*B5^(-0.393)),"NA"))</f>
        <v>0.53225457518937525</v>
      </c>
      <c r="E32" s="3">
        <f>IF(B5&lt;25,"NA",IF(B5&lt;76,(1.31*B5^(-0.0842)),"NA"))</f>
        <v>0.96655975986798182</v>
      </c>
      <c r="G32" s="3" t="s">
        <v>74</v>
      </c>
      <c r="H32" s="3">
        <f>IF(B5&lt;25,"NA",IF(B5&lt;76,(0.937*B5^(-0.099)),"NA"))</f>
        <v>0.65537160385158255</v>
      </c>
      <c r="I32" s="3">
        <f>IF(B5&lt;25,"NA",IF(B5&lt;76,(1.09*B5^(-0.032)),"NA"))</f>
        <v>0.97105547843398898</v>
      </c>
      <c r="K32" s="83">
        <v>700</v>
      </c>
      <c r="L32" s="84">
        <v>40.49</v>
      </c>
      <c r="M32" s="85">
        <v>-0.8</v>
      </c>
      <c r="N32" s="86">
        <v>6.0000000000000001E-3</v>
      </c>
      <c r="O32" s="87">
        <v>-1.4800000000000001E-5</v>
      </c>
      <c r="P32" s="2"/>
      <c r="Q32" s="88">
        <v>400</v>
      </c>
      <c r="R32" s="55">
        <v>34.51931476</v>
      </c>
      <c r="S32" s="49">
        <v>-0.29080876979999998</v>
      </c>
      <c r="T32" s="73">
        <v>1.9356442050000001E-3</v>
      </c>
      <c r="U32" s="92">
        <v>-6.30856158E-6</v>
      </c>
      <c r="V32" s="92">
        <v>7.5704720750000005E-9</v>
      </c>
      <c r="W32" s="92">
        <v>0</v>
      </c>
      <c r="Y32" s="2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70"/>
      <c r="AM32" s="172"/>
      <c r="AN32" s="165"/>
      <c r="AO32" s="165"/>
      <c r="AP32" s="165"/>
      <c r="AQ32" s="165"/>
      <c r="AR32" s="165"/>
      <c r="AS32" s="165"/>
      <c r="AT32" s="165"/>
      <c r="AU32" s="165"/>
      <c r="AV32" s="165"/>
      <c r="AW32" s="135"/>
      <c r="AX32" s="135"/>
      <c r="AY32" s="135"/>
      <c r="AZ32" s="135"/>
    </row>
    <row r="33" spans="1:52" hidden="1" x14ac:dyDescent="0.3">
      <c r="A33" s="2"/>
      <c r="C33" s="3" t="s">
        <v>75</v>
      </c>
      <c r="D33" s="3">
        <f>IF(B5&lt;35,"NA",IF(B5&lt;126,(8.83*B5^(-0.795)),"NA"))</f>
        <v>0.50031132419436786</v>
      </c>
      <c r="E33" s="3">
        <f>IF(B5&lt;35,"NA",IF(B5&lt;126,(1.07*B5^(-0.0452)),"NA"))</f>
        <v>0.90886851686706716</v>
      </c>
      <c r="G33" s="3" t="s">
        <v>75</v>
      </c>
      <c r="H33" s="3">
        <f>IF(B5&lt;35,"NA",IF(B5&lt;126,(0.91*B5^(-0.129)),"NA"))</f>
        <v>0.57114104249623787</v>
      </c>
      <c r="I33" s="3">
        <f>IF(B5&lt;35,"NA",IF(B5&lt;126,(1.1*B5^(-0.044)),"NA"))</f>
        <v>0.93840823289224873</v>
      </c>
      <c r="K33" s="76" t="s">
        <v>30</v>
      </c>
      <c r="L33" s="77"/>
      <c r="M33" s="77"/>
      <c r="P33" s="2"/>
      <c r="Y33" s="2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70"/>
      <c r="AM33" s="172"/>
      <c r="AN33" s="165"/>
      <c r="AO33" s="165"/>
      <c r="AP33" s="165"/>
      <c r="AQ33" s="165"/>
      <c r="AR33" s="165"/>
      <c r="AS33" s="165"/>
      <c r="AT33" s="165"/>
      <c r="AU33" s="165"/>
      <c r="AV33" s="165"/>
      <c r="AW33" s="135"/>
      <c r="AX33" s="135"/>
      <c r="AY33" s="135"/>
      <c r="AZ33" s="135"/>
    </row>
    <row r="34" spans="1:52" ht="18" hidden="1" x14ac:dyDescent="0.35">
      <c r="A34" s="2"/>
      <c r="C34" s="3" t="s">
        <v>76</v>
      </c>
      <c r="D34" s="3" t="str">
        <f>IF(B5&lt;45,"NA",IF(B5&lt;301,(5.23*B5^(-0.729)),"NA"))</f>
        <v>NA</v>
      </c>
      <c r="E34" s="3" t="str">
        <f>IF(B5&lt;45,"NA",IF(B5&lt;301,(1.257-0.00938*B5+0.0000574*B5^2-0.0000000991*B5^3),"NA"))</f>
        <v>NA</v>
      </c>
      <c r="G34" s="3" t="s">
        <v>76</v>
      </c>
      <c r="H34" s="3" t="str">
        <f>IF(B5&lt;45,"NA",IF(B5&lt;301,(-0.02+2.41*B5^(-0.376)),"NA"))</f>
        <v>NA</v>
      </c>
      <c r="I34" s="3" t="str">
        <f>IF(B5&lt;45,"NA",IF(B5&lt;301,(0.988-0.00163*B5+0.00000459*B5^2),"NA"))</f>
        <v>NA</v>
      </c>
      <c r="K34" s="78" t="s">
        <v>26</v>
      </c>
      <c r="L34" s="79" t="s">
        <v>19</v>
      </c>
      <c r="M34" s="79" t="s">
        <v>20</v>
      </c>
      <c r="P34" s="2"/>
      <c r="Y34" s="2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70"/>
      <c r="AM34" s="172"/>
      <c r="AN34" s="165"/>
      <c r="AO34" s="165"/>
      <c r="AP34" s="165"/>
      <c r="AQ34" s="165"/>
      <c r="AR34" s="165"/>
      <c r="AS34" s="165"/>
      <c r="AT34" s="165"/>
      <c r="AU34" s="165"/>
      <c r="AV34" s="165"/>
      <c r="AW34" s="135"/>
      <c r="AX34" s="135"/>
      <c r="AY34" s="135"/>
      <c r="AZ34" s="135"/>
    </row>
    <row r="35" spans="1:52" hidden="1" x14ac:dyDescent="0.3">
      <c r="A35" s="2"/>
      <c r="K35" s="83"/>
      <c r="L35" s="79"/>
      <c r="M35" s="79" t="s">
        <v>23</v>
      </c>
      <c r="P35" s="2"/>
      <c r="Y35" s="2"/>
      <c r="Z35" s="3" t="s">
        <v>4</v>
      </c>
      <c r="AA35" s="3" t="s">
        <v>94</v>
      </c>
      <c r="AD35"/>
      <c r="AE35"/>
      <c r="AF35"/>
      <c r="AG35"/>
      <c r="AH35"/>
      <c r="AI35"/>
      <c r="AJ35"/>
      <c r="AK35"/>
      <c r="AL35"/>
      <c r="AM35" s="172"/>
      <c r="AN35"/>
      <c r="AO35"/>
      <c r="AP35"/>
      <c r="AQ35"/>
      <c r="AR35"/>
      <c r="AS35"/>
      <c r="AT35"/>
      <c r="AU35"/>
      <c r="AV35"/>
      <c r="AW35"/>
      <c r="AX35"/>
      <c r="AY35" t="s">
        <v>33</v>
      </c>
      <c r="AZ35" t="s">
        <v>32</v>
      </c>
    </row>
    <row r="36" spans="1:52" hidden="1" x14ac:dyDescent="0.3">
      <c r="A36" s="2"/>
      <c r="K36" s="83">
        <v>50</v>
      </c>
      <c r="L36" s="93">
        <v>12.029</v>
      </c>
      <c r="M36" s="87">
        <v>-2.1499999999999998E-2</v>
      </c>
      <c r="P36" s="2"/>
      <c r="Y36" s="2"/>
      <c r="Z36" s="3">
        <v>35</v>
      </c>
      <c r="AA36" s="3" t="s">
        <v>94</v>
      </c>
      <c r="AB36" s="169">
        <v>0</v>
      </c>
      <c r="AC36" s="169">
        <v>12</v>
      </c>
      <c r="AD36" s="169">
        <v>50</v>
      </c>
      <c r="AE36" s="169">
        <v>100</v>
      </c>
      <c r="AF36" s="169">
        <v>400</v>
      </c>
      <c r="AG36" s="169"/>
      <c r="AH36" s="66">
        <f>AC36*TAN(RADIANS(($R$15+$S$15*(Z36)+$T$15*(Z36)^2)))</f>
        <v>8.6142321610895767</v>
      </c>
      <c r="AI36" s="66">
        <f>AD36*TAN(RADIANS(($R$16+$S$16*(Z36)+$T$16*(Z36)^2)))</f>
        <v>33.931377327467139</v>
      </c>
      <c r="AJ36" s="66">
        <f>AE36*TAN(RADIANS(($R$17+$S$17*(Z36)+$T$17*(Z36)^2)))</f>
        <v>66.808838136738004</v>
      </c>
      <c r="AK36" s="66">
        <f>AF36*TAN(RADIANS(($R$18+$S$18*(Z36)+$T$18*(Z36)^2+$U$18*(Z36)^3)))</f>
        <v>257.80392618295383</v>
      </c>
      <c r="AL36" s="170"/>
      <c r="AM36" s="165">
        <f>LOG(AH36/101)</f>
        <v>-1.0691048015822715</v>
      </c>
      <c r="AN36" s="165">
        <f t="shared" ref="AN36" si="40">LOG(AI36/101)</f>
        <v>-0.47371988509012286</v>
      </c>
      <c r="AO36" s="165">
        <f t="shared" ref="AO36:AO46" si="41">LOG(AJ36/101)</f>
        <v>-0.17948745471852465</v>
      </c>
      <c r="AP36" s="165">
        <f t="shared" ref="AP36:AP46" si="42">LOG(AK36/101)</f>
        <v>0.40696815330226604</v>
      </c>
      <c r="AQ36" s="165"/>
      <c r="AR36" s="165">
        <f>LOG(AC36/101)</f>
        <v>-0.92514012773501775</v>
      </c>
      <c r="AS36" s="165">
        <f>LOG(AD36/101)</f>
        <v>-0.30535136944662378</v>
      </c>
      <c r="AT36" s="165">
        <f>LOG(AE36/101)</f>
        <v>-4.3213737826425782E-3</v>
      </c>
      <c r="AU36" s="165">
        <f>LOG(AF36/101)</f>
        <v>0.59773861754531976</v>
      </c>
      <c r="AV36" s="165"/>
      <c r="AW36" s="135">
        <f>AVERAGE(AR36:AU36)</f>
        <v>-0.15926856335474107</v>
      </c>
      <c r="AX36" s="135">
        <f>AVERAGE(AM36:AP36)</f>
        <v>-0.32883599702216326</v>
      </c>
      <c r="AY36" s="135">
        <f>((AR36-AW36)*(AM36-AX36)+(AS36-AW36)*(AN36-AX36)+(AT36-AW36)*(AO36-AX36)+(AU36-AW36)*(AP36-AX36))/((AR36-AW36)^2+(AS36-AW36)^2+(AT36-AW36)^2+(AU36-AW36)^2)</f>
        <v>0.96954117468013368</v>
      </c>
      <c r="AZ36" s="135">
        <f>10^(AX36-(AY36*AW36))</f>
        <v>0.66923929491359357</v>
      </c>
    </row>
    <row r="37" spans="1:52" hidden="1" x14ac:dyDescent="0.3">
      <c r="A37" s="2"/>
      <c r="K37" s="83">
        <v>100</v>
      </c>
      <c r="L37" s="93">
        <v>10.6388</v>
      </c>
      <c r="M37" s="87">
        <v>-1.83E-2</v>
      </c>
      <c r="P37" s="2"/>
      <c r="Y37" s="2"/>
      <c r="Z37" s="3">
        <v>37.5</v>
      </c>
      <c r="AA37" s="3" t="s">
        <v>94</v>
      </c>
      <c r="AB37" s="169">
        <v>0</v>
      </c>
      <c r="AC37" s="169">
        <v>12</v>
      </c>
      <c r="AD37" s="169">
        <v>50</v>
      </c>
      <c r="AE37" s="169">
        <v>100</v>
      </c>
      <c r="AF37" s="169">
        <v>400</v>
      </c>
      <c r="AG37" s="169"/>
      <c r="AH37" s="66">
        <f t="shared" ref="AH37:AH70" si="43">AC37*TAN(RADIANS(($R$15+$S$15*(Z37)+$T$15*(Z37)^2)))</f>
        <v>8.5706322479422532</v>
      </c>
      <c r="AI37" s="66">
        <f t="shared" ref="AI37:AI70" si="44">AD37*TAN(RADIANS(($R$16+$S$16*(Z37)+$T$16*(Z37)^2)))</f>
        <v>33.750023939800137</v>
      </c>
      <c r="AJ37" s="66">
        <f t="shared" ref="AJ37:AJ70" si="45">AE37*TAN(RADIANS(($R$17+$S$17*(Z37)+$T$17*(Z37)^2)))</f>
        <v>66.381878145607445</v>
      </c>
      <c r="AK37" s="66">
        <f t="shared" ref="AK37:AK70" si="46">AF37*TAN(RADIANS(($R$18+$S$18*(Z37)+$T$18*(Z37)^2+$U$18*(Z37)^3)))</f>
        <v>255.74457804302097</v>
      </c>
      <c r="AL37" s="170"/>
      <c r="AM37" s="165">
        <f t="shared" ref="AM37:AM70" si="47">LOG(AH37/101)</f>
        <v>-1.0713085131588098</v>
      </c>
      <c r="AN37" s="165">
        <f t="shared" ref="AN37:AN46" si="48">LOG(AI37/101)</f>
        <v>-0.47604728855872741</v>
      </c>
      <c r="AO37" s="165">
        <f t="shared" si="41"/>
        <v>-0.18227183802198055</v>
      </c>
      <c r="AP37" s="165">
        <f t="shared" si="42"/>
        <v>0.40348506136418344</v>
      </c>
      <c r="AQ37" s="165"/>
      <c r="AR37" s="165">
        <f t="shared" ref="AR37:AR70" si="49">LOG(AC37/101)</f>
        <v>-0.92514012773501775</v>
      </c>
      <c r="AS37" s="165">
        <f t="shared" ref="AS37:AS46" si="50">LOG(AD37/101)</f>
        <v>-0.30535136944662378</v>
      </c>
      <c r="AT37" s="165">
        <f t="shared" ref="AT37:AT46" si="51">LOG(AE37/101)</f>
        <v>-4.3213737826425782E-3</v>
      </c>
      <c r="AU37" s="165">
        <f t="shared" ref="AU37:AU46" si="52">LOG(AF37/101)</f>
        <v>0.59773861754531976</v>
      </c>
      <c r="AV37" s="165"/>
      <c r="AW37" s="135">
        <f t="shared" ref="AW37:AW70" si="53">AVERAGE(AR37:AU37)</f>
        <v>-0.15926856335474107</v>
      </c>
      <c r="AX37" s="135">
        <f t="shared" ref="AX37:AX70" si="54">AVERAGE(AM37:AP37)</f>
        <v>-0.33153564459383361</v>
      </c>
      <c r="AY37" s="135">
        <f t="shared" ref="AY37:AY70" si="55">((AR37-AW37)*(AM37-AX37)+(AS37-AW37)*(AN37-AX37)+(AT37-AW37)*(AO37-AX37)+(AU37-AW37)*(AP37-AX37))/((AR37-AW37)^2+(AS37-AW37)^2+(AT37-AW37)^2+(AU37-AW37)^2)</f>
        <v>0.96867774564002629</v>
      </c>
      <c r="AZ37" s="135">
        <f t="shared" ref="AZ37:AZ70" si="56">10^(AX37-(AY37*AW37))</f>
        <v>0.66488152942225021</v>
      </c>
    </row>
    <row r="38" spans="1:52" hidden="1" x14ac:dyDescent="0.3">
      <c r="A38" s="2"/>
      <c r="K38" s="83">
        <v>400</v>
      </c>
      <c r="L38" s="93">
        <v>8.3173999999999992</v>
      </c>
      <c r="M38" s="87">
        <v>-1.14E-2</v>
      </c>
      <c r="P38" s="2"/>
      <c r="Y38" s="2"/>
      <c r="Z38" s="3">
        <v>40</v>
      </c>
      <c r="AA38" s="3" t="s">
        <v>94</v>
      </c>
      <c r="AB38" s="169">
        <v>0</v>
      </c>
      <c r="AC38" s="169">
        <v>12</v>
      </c>
      <c r="AD38" s="169">
        <v>50</v>
      </c>
      <c r="AE38" s="169">
        <v>100</v>
      </c>
      <c r="AF38" s="169">
        <v>400</v>
      </c>
      <c r="AG38" s="169"/>
      <c r="AH38" s="66">
        <f t="shared" si="43"/>
        <v>8.5281022526468959</v>
      </c>
      <c r="AI38" s="66">
        <f t="shared" si="44"/>
        <v>33.572624858758907</v>
      </c>
      <c r="AJ38" s="66">
        <f t="shared" si="45"/>
        <v>65.965176008198512</v>
      </c>
      <c r="AK38" s="66">
        <f t="shared" si="46"/>
        <v>253.71407938769676</v>
      </c>
      <c r="AL38" s="170"/>
      <c r="AM38" s="165">
        <f t="shared" si="47"/>
        <v>-1.0734689748423971</v>
      </c>
      <c r="AN38" s="165">
        <f t="shared" si="48"/>
        <v>-0.47833607611193296</v>
      </c>
      <c r="AO38" s="165">
        <f t="shared" si="41"/>
        <v>-0.18500664822307031</v>
      </c>
      <c r="AP38" s="165">
        <f t="shared" si="42"/>
        <v>0.40002319446677037</v>
      </c>
      <c r="AQ38" s="165"/>
      <c r="AR38" s="165">
        <f t="shared" si="49"/>
        <v>-0.92514012773501775</v>
      </c>
      <c r="AS38" s="165">
        <f t="shared" si="50"/>
        <v>-0.30535136944662378</v>
      </c>
      <c r="AT38" s="165">
        <f t="shared" si="51"/>
        <v>-4.3213737826425782E-3</v>
      </c>
      <c r="AU38" s="165">
        <f t="shared" si="52"/>
        <v>0.59773861754531976</v>
      </c>
      <c r="AV38" s="165"/>
      <c r="AW38" s="135">
        <f t="shared" si="53"/>
        <v>-0.15926856335474107</v>
      </c>
      <c r="AX38" s="135">
        <f t="shared" si="54"/>
        <v>-0.33419712617765751</v>
      </c>
      <c r="AY38" s="135">
        <f t="shared" si="55"/>
        <v>0.96780185463904034</v>
      </c>
      <c r="AZ38" s="135">
        <f t="shared" si="56"/>
        <v>0.66060717267840063</v>
      </c>
    </row>
    <row r="39" spans="1:52" hidden="1" x14ac:dyDescent="0.3">
      <c r="A39" s="2"/>
      <c r="K39" s="83">
        <v>700</v>
      </c>
      <c r="L39" s="93">
        <v>5.9702000000000002</v>
      </c>
      <c r="M39" s="87">
        <v>-5.4999999999999997E-3</v>
      </c>
      <c r="P39" s="2"/>
      <c r="Y39" s="2"/>
      <c r="Z39" s="3">
        <v>42.5</v>
      </c>
      <c r="AA39" s="3" t="s">
        <v>94</v>
      </c>
      <c r="AB39" s="169">
        <v>0</v>
      </c>
      <c r="AC39" s="169">
        <v>12</v>
      </c>
      <c r="AD39" s="169">
        <v>50</v>
      </c>
      <c r="AE39" s="169">
        <v>100</v>
      </c>
      <c r="AF39" s="169">
        <v>400</v>
      </c>
      <c r="AG39" s="169"/>
      <c r="AH39" s="66">
        <f t="shared" si="43"/>
        <v>8.4866317210531239</v>
      </c>
      <c r="AI39" s="66">
        <f t="shared" si="44"/>
        <v>33.39914203439178</v>
      </c>
      <c r="AJ39" s="66">
        <f t="shared" si="45"/>
        <v>65.558616547182353</v>
      </c>
      <c r="AK39" s="66">
        <f t="shared" si="46"/>
        <v>251.71204622070661</v>
      </c>
      <c r="AL39" s="170"/>
      <c r="AM39" s="165">
        <f t="shared" si="47"/>
        <v>-1.0755860174861265</v>
      </c>
      <c r="AN39" s="165">
        <f t="shared" si="48"/>
        <v>-0.4805860630942852</v>
      </c>
      <c r="AO39" s="165">
        <f t="shared" si="41"/>
        <v>-0.18769159350077824</v>
      </c>
      <c r="AP39" s="165">
        <f t="shared" si="42"/>
        <v>0.39658262635846458</v>
      </c>
      <c r="AQ39" s="165"/>
      <c r="AR39" s="165">
        <f t="shared" si="49"/>
        <v>-0.92514012773501775</v>
      </c>
      <c r="AS39" s="165">
        <f t="shared" si="50"/>
        <v>-0.30535136944662378</v>
      </c>
      <c r="AT39" s="165">
        <f t="shared" si="51"/>
        <v>-4.3213737826425782E-3</v>
      </c>
      <c r="AU39" s="165">
        <f t="shared" si="52"/>
        <v>0.59773861754531976</v>
      </c>
      <c r="AV39" s="165"/>
      <c r="AW39" s="135">
        <f t="shared" si="53"/>
        <v>-0.15926856335474107</v>
      </c>
      <c r="AX39" s="135">
        <f t="shared" si="54"/>
        <v>-0.33682026193068137</v>
      </c>
      <c r="AY39" s="135">
        <f t="shared" si="55"/>
        <v>0.96691345563873188</v>
      </c>
      <c r="AZ39" s="135">
        <f t="shared" si="56"/>
        <v>0.65641523927344048</v>
      </c>
    </row>
    <row r="40" spans="1:52" hidden="1" x14ac:dyDescent="0.3">
      <c r="A40" s="2"/>
      <c r="K40" s="133"/>
      <c r="L40" s="93"/>
      <c r="M40" s="87"/>
      <c r="P40" s="2"/>
      <c r="Y40" s="2"/>
      <c r="Z40" s="3">
        <v>45</v>
      </c>
      <c r="AA40" s="3" t="s">
        <v>94</v>
      </c>
      <c r="AB40" s="169">
        <v>0</v>
      </c>
      <c r="AC40" s="169">
        <v>12</v>
      </c>
      <c r="AD40" s="169">
        <v>50</v>
      </c>
      <c r="AE40" s="169">
        <v>100</v>
      </c>
      <c r="AF40" s="169">
        <v>400</v>
      </c>
      <c r="AG40" s="169"/>
      <c r="AH40" s="66">
        <f t="shared" si="43"/>
        <v>8.4462105599959685</v>
      </c>
      <c r="AI40" s="66">
        <f t="shared" si="44"/>
        <v>33.229538636098226</v>
      </c>
      <c r="AJ40" s="66">
        <f t="shared" si="45"/>
        <v>65.162088741862988</v>
      </c>
      <c r="AK40" s="66">
        <f t="shared" si="46"/>
        <v>249.73810518502174</v>
      </c>
      <c r="AL40" s="170"/>
      <c r="AM40" s="165">
        <f t="shared" si="47"/>
        <v>-1.0776594698047519</v>
      </c>
      <c r="AN40" s="165">
        <f t="shared" si="48"/>
        <v>-0.4827970622718416</v>
      </c>
      <c r="AO40" s="165">
        <f t="shared" si="41"/>
        <v>-0.19032637680598893</v>
      </c>
      <c r="AP40" s="165">
        <f t="shared" si="42"/>
        <v>0.39316343852867475</v>
      </c>
      <c r="AQ40" s="165"/>
      <c r="AR40" s="165">
        <f t="shared" si="49"/>
        <v>-0.92514012773501775</v>
      </c>
      <c r="AS40" s="165">
        <f t="shared" si="50"/>
        <v>-0.30535136944662378</v>
      </c>
      <c r="AT40" s="165">
        <f t="shared" si="51"/>
        <v>-4.3213737826425782E-3</v>
      </c>
      <c r="AU40" s="165">
        <f t="shared" si="52"/>
        <v>0.59773861754531976</v>
      </c>
      <c r="AV40" s="165"/>
      <c r="AW40" s="135">
        <f t="shared" si="53"/>
        <v>-0.15926856335474107</v>
      </c>
      <c r="AX40" s="135">
        <f t="shared" si="54"/>
        <v>-0.33940486758847688</v>
      </c>
      <c r="AY40" s="135">
        <f t="shared" si="55"/>
        <v>0.96601250646439707</v>
      </c>
      <c r="AZ40" s="135">
        <f t="shared" si="56"/>
        <v>0.65230477326245839</v>
      </c>
    </row>
    <row r="41" spans="1:52" hidden="1" x14ac:dyDescent="0.3">
      <c r="A41" s="2"/>
      <c r="B41" s="310" t="s">
        <v>68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Y41" s="2"/>
      <c r="Z41" s="3">
        <v>47.5</v>
      </c>
      <c r="AA41" s="3" t="s">
        <v>94</v>
      </c>
      <c r="AB41" s="169">
        <v>0</v>
      </c>
      <c r="AC41" s="169">
        <v>12</v>
      </c>
      <c r="AD41" s="169">
        <v>50</v>
      </c>
      <c r="AE41" s="169">
        <v>100</v>
      </c>
      <c r="AF41" s="169">
        <v>400</v>
      </c>
      <c r="AG41" s="169"/>
      <c r="AH41" s="66">
        <f t="shared" si="43"/>
        <v>8.4068290268372294</v>
      </c>
      <c r="AI41" s="66">
        <f t="shared" si="44"/>
        <v>33.06377901787355</v>
      </c>
      <c r="AJ41" s="66">
        <f t="shared" si="45"/>
        <v>64.775485591488234</v>
      </c>
      <c r="AK41" s="66">
        <f t="shared" si="46"/>
        <v>247.79189323751706</v>
      </c>
      <c r="AL41" s="170"/>
      <c r="AM41" s="165">
        <f t="shared" si="47"/>
        <v>-1.0796891587023649</v>
      </c>
      <c r="AN41" s="165">
        <f t="shared" si="48"/>
        <v>-0.48496888411118133</v>
      </c>
      <c r="AO41" s="165">
        <f t="shared" si="41"/>
        <v>-0.19291069641017844</v>
      </c>
      <c r="AP41" s="165">
        <f t="shared" si="42"/>
        <v>0.3897657201064586</v>
      </c>
      <c r="AQ41" s="165"/>
      <c r="AR41" s="165">
        <f t="shared" si="49"/>
        <v>-0.92514012773501775</v>
      </c>
      <c r="AS41" s="165">
        <f t="shared" si="50"/>
        <v>-0.30535136944662378</v>
      </c>
      <c r="AT41" s="165">
        <f t="shared" si="51"/>
        <v>-4.3213737826425782E-3</v>
      </c>
      <c r="AU41" s="165">
        <f t="shared" si="52"/>
        <v>0.59773861754531976</v>
      </c>
      <c r="AV41" s="165"/>
      <c r="AW41" s="135">
        <f t="shared" si="53"/>
        <v>-0.15926856335474107</v>
      </c>
      <c r="AX41" s="135">
        <f t="shared" si="54"/>
        <v>-0.34195075477931647</v>
      </c>
      <c r="AY41" s="135">
        <f t="shared" si="55"/>
        <v>0.96509896891295743</v>
      </c>
      <c r="AZ41" s="135">
        <f t="shared" si="56"/>
        <v>0.64827484722058715</v>
      </c>
    </row>
    <row r="42" spans="1:52" ht="21" hidden="1" x14ac:dyDescent="0.4">
      <c r="A42" s="2"/>
      <c r="P42" s="2"/>
      <c r="Q42" s="4"/>
      <c r="Y42" s="2"/>
      <c r="Z42" s="3">
        <v>50</v>
      </c>
      <c r="AA42" s="3" t="s">
        <v>94</v>
      </c>
      <c r="AB42" s="169">
        <v>0</v>
      </c>
      <c r="AC42" s="169">
        <v>12</v>
      </c>
      <c r="AD42" s="169">
        <v>50</v>
      </c>
      <c r="AE42" s="169">
        <v>100</v>
      </c>
      <c r="AF42" s="169">
        <v>400</v>
      </c>
      <c r="AG42" s="169"/>
      <c r="AH42" s="66">
        <f t="shared" si="43"/>
        <v>8.3684777194422484</v>
      </c>
      <c r="AI42" s="66">
        <f t="shared" si="44"/>
        <v>32.901828684903009</v>
      </c>
      <c r="AJ42" s="66">
        <f t="shared" si="45"/>
        <v>64.398703984553094</v>
      </c>
      <c r="AK42" s="66">
        <f t="shared" si="46"/>
        <v>245.87305733551008</v>
      </c>
      <c r="AL42" s="170"/>
      <c r="AM42" s="165">
        <f t="shared" si="47"/>
        <v>-1.081674909597427</v>
      </c>
      <c r="AN42" s="165">
        <f t="shared" si="48"/>
        <v>-0.48710133705784719</v>
      </c>
      <c r="AO42" s="165">
        <f t="shared" si="41"/>
        <v>-0.19544424645420749</v>
      </c>
      <c r="AP42" s="165">
        <f t="shared" si="42"/>
        <v>0.38638956775969235</v>
      </c>
      <c r="AQ42" s="165"/>
      <c r="AR42" s="165">
        <f t="shared" si="49"/>
        <v>-0.92514012773501775</v>
      </c>
      <c r="AS42" s="165">
        <f t="shared" si="50"/>
        <v>-0.30535136944662378</v>
      </c>
      <c r="AT42" s="165">
        <f t="shared" si="51"/>
        <v>-4.3213737826425782E-3</v>
      </c>
      <c r="AU42" s="165">
        <f t="shared" si="52"/>
        <v>0.59773861754531976</v>
      </c>
      <c r="AV42" s="165"/>
      <c r="AW42" s="135">
        <f t="shared" si="53"/>
        <v>-0.15926856335474107</v>
      </c>
      <c r="AX42" s="135">
        <f t="shared" si="54"/>
        <v>-0.34445773133744728</v>
      </c>
      <c r="AY42" s="135">
        <f t="shared" si="55"/>
        <v>0.96417280885939061</v>
      </c>
      <c r="AZ42" s="135">
        <f t="shared" si="56"/>
        <v>0.64432456133738558</v>
      </c>
    </row>
    <row r="43" spans="1:52" ht="18" hidden="1" x14ac:dyDescent="0.35">
      <c r="A43" s="2"/>
      <c r="B43" s="315" t="s">
        <v>16</v>
      </c>
      <c r="C43" s="316"/>
      <c r="D43" s="316"/>
      <c r="E43" s="316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Y43" s="2"/>
      <c r="Z43" s="3">
        <v>52.5</v>
      </c>
      <c r="AA43" s="3" t="s">
        <v>94</v>
      </c>
      <c r="AB43" s="169">
        <v>0</v>
      </c>
      <c r="AC43" s="169">
        <v>12</v>
      </c>
      <c r="AD43" s="169">
        <v>50</v>
      </c>
      <c r="AE43" s="169">
        <v>100</v>
      </c>
      <c r="AF43" s="169">
        <v>400</v>
      </c>
      <c r="AG43" s="169"/>
      <c r="AH43" s="66">
        <f t="shared" si="43"/>
        <v>8.3311475665744332</v>
      </c>
      <c r="AI43" s="66">
        <f t="shared" si="44"/>
        <v>32.743654261451596</v>
      </c>
      <c r="AJ43" s="66">
        <f t="shared" si="45"/>
        <v>64.031644573822888</v>
      </c>
      <c r="AK43" s="66">
        <f t="shared" si="46"/>
        <v>243.98125413467108</v>
      </c>
      <c r="AL43" s="170"/>
      <c r="AM43" s="165">
        <f t="shared" si="47"/>
        <v>-1.0836165467450345</v>
      </c>
      <c r="AN43" s="165">
        <f t="shared" si="48"/>
        <v>-0.48919422781414662</v>
      </c>
      <c r="AO43" s="165">
        <f t="shared" si="41"/>
        <v>-0.19792671749706264</v>
      </c>
      <c r="AP43" s="165">
        <f t="shared" si="42"/>
        <v>0.38303508559452476</v>
      </c>
      <c r="AQ43" s="165"/>
      <c r="AR43" s="165">
        <f t="shared" si="49"/>
        <v>-0.92514012773501775</v>
      </c>
      <c r="AS43" s="165">
        <f t="shared" si="50"/>
        <v>-0.30535136944662378</v>
      </c>
      <c r="AT43" s="165">
        <f t="shared" si="51"/>
        <v>-4.3213737826425782E-3</v>
      </c>
      <c r="AU43" s="165">
        <f t="shared" si="52"/>
        <v>0.59773861754531976</v>
      </c>
      <c r="AV43" s="165"/>
      <c r="AW43" s="135">
        <f t="shared" si="53"/>
        <v>-0.15926856335474107</v>
      </c>
      <c r="AX43" s="135">
        <f t="shared" si="54"/>
        <v>-0.34692560161542974</v>
      </c>
      <c r="AY43" s="135">
        <f t="shared" si="55"/>
        <v>0.96323399636150908</v>
      </c>
      <c r="AZ43" s="135">
        <f t="shared" si="56"/>
        <v>0.64045304254767332</v>
      </c>
    </row>
    <row r="44" spans="1:52" hidden="1" x14ac:dyDescent="0.3">
      <c r="A44" s="2"/>
      <c r="B44" s="314"/>
      <c r="C44" s="321" t="s">
        <v>71</v>
      </c>
      <c r="D44" s="322"/>
      <c r="E44" s="322"/>
      <c r="F44" s="323"/>
      <c r="G44" s="324" t="s">
        <v>72</v>
      </c>
      <c r="H44" s="325"/>
      <c r="I44" s="325"/>
      <c r="J44" s="326"/>
      <c r="K44" s="327"/>
      <c r="L44" s="328"/>
      <c r="M44" s="328"/>
      <c r="N44" s="329"/>
      <c r="O44" s="330"/>
      <c r="P44" s="331"/>
      <c r="Q44" s="331"/>
      <c r="R44" s="332"/>
      <c r="S44" s="138" t="s">
        <v>69</v>
      </c>
      <c r="T44" s="138" t="s">
        <v>70</v>
      </c>
      <c r="U44" s="138" t="s">
        <v>33</v>
      </c>
      <c r="V44" s="138" t="s">
        <v>32</v>
      </c>
      <c r="Y44" s="2"/>
      <c r="Z44" s="3">
        <v>55</v>
      </c>
      <c r="AA44" s="3" t="s">
        <v>94</v>
      </c>
      <c r="AB44" s="169">
        <v>0</v>
      </c>
      <c r="AC44" s="169">
        <v>12</v>
      </c>
      <c r="AD44" s="169">
        <v>50</v>
      </c>
      <c r="AE44" s="169">
        <v>100</v>
      </c>
      <c r="AF44" s="169">
        <v>400</v>
      </c>
      <c r="AG44" s="169"/>
      <c r="AH44" s="66">
        <f t="shared" si="43"/>
        <v>8.2948298186906708</v>
      </c>
      <c r="AI44" s="66">
        <f t="shared" si="44"/>
        <v>32.589223459998948</v>
      </c>
      <c r="AJ44" s="66">
        <f t="shared" si="45"/>
        <v>63.674211656819637</v>
      </c>
      <c r="AK44" s="66">
        <f t="shared" si="46"/>
        <v>242.11614969782914</v>
      </c>
      <c r="AL44" s="170"/>
      <c r="AM44" s="165">
        <f t="shared" si="47"/>
        <v>-1.085513893556288</v>
      </c>
      <c r="AN44" s="165">
        <f t="shared" si="48"/>
        <v>-0.49124736161622146</v>
      </c>
      <c r="AO44" s="165">
        <f t="shared" si="41"/>
        <v>-0.20035779706434373</v>
      </c>
      <c r="AP44" s="165">
        <f t="shared" si="42"/>
        <v>0.37970238505492143</v>
      </c>
      <c r="AQ44" s="165"/>
      <c r="AR44" s="165">
        <f t="shared" si="49"/>
        <v>-0.92514012773501775</v>
      </c>
      <c r="AS44" s="165">
        <f t="shared" si="50"/>
        <v>-0.30535136944662378</v>
      </c>
      <c r="AT44" s="165">
        <f t="shared" si="51"/>
        <v>-4.3213737826425782E-3</v>
      </c>
      <c r="AU44" s="165">
        <f t="shared" si="52"/>
        <v>0.59773861754531976</v>
      </c>
      <c r="AV44" s="165"/>
      <c r="AW44" s="135">
        <f t="shared" si="53"/>
        <v>-0.15926856335474107</v>
      </c>
      <c r="AX44" s="135">
        <f t="shared" si="54"/>
        <v>-0.34935416679548292</v>
      </c>
      <c r="AY44" s="135">
        <f t="shared" si="55"/>
        <v>0.96228250576289986</v>
      </c>
      <c r="AZ44" s="135">
        <f t="shared" si="56"/>
        <v>0.6366594436973414</v>
      </c>
    </row>
    <row r="45" spans="1:52" hidden="1" x14ac:dyDescent="0.3">
      <c r="A45" s="2"/>
      <c r="B45" s="314"/>
      <c r="C45" s="136">
        <v>50</v>
      </c>
      <c r="D45" s="136">
        <v>100</v>
      </c>
      <c r="E45" s="136">
        <v>400</v>
      </c>
      <c r="F45" s="137">
        <v>700</v>
      </c>
      <c r="G45" s="145">
        <f>L5</f>
        <v>26.28872354487935</v>
      </c>
      <c r="H45" s="145">
        <f>M5</f>
        <v>48.367119150018013</v>
      </c>
      <c r="I45" s="145">
        <f>N5</f>
        <v>178.32313470736909</v>
      </c>
      <c r="J45" s="145">
        <f>O5</f>
        <v>266.45610823694011</v>
      </c>
      <c r="K45" s="134">
        <f t="shared" ref="K45:N46" si="57">LOG(G45/101)</f>
        <v>-0.58455187443449796</v>
      </c>
      <c r="L45" s="134">
        <f t="shared" si="57"/>
        <v>-0.31977115314030774</v>
      </c>
      <c r="M45" s="134">
        <f t="shared" si="57"/>
        <v>0.24688631613405951</v>
      </c>
      <c r="N45" s="134">
        <f t="shared" si="57"/>
        <v>0.42130430667040342</v>
      </c>
      <c r="O45" s="146">
        <f t="shared" ref="O45:R46" si="58">LOG(C45/101)</f>
        <v>-0.30535136944662378</v>
      </c>
      <c r="P45" s="146">
        <f t="shared" si="58"/>
        <v>-4.3213737826425782E-3</v>
      </c>
      <c r="Q45" s="146">
        <f t="shared" si="58"/>
        <v>0.59773861754531976</v>
      </c>
      <c r="R45" s="146">
        <f t="shared" si="58"/>
        <v>0.84077666623161429</v>
      </c>
      <c r="S45" s="135">
        <f>AVERAGE(O45:R45)</f>
        <v>0.28221063513691691</v>
      </c>
      <c r="T45" s="135">
        <f>AVERAGE(K45:N45)</f>
        <v>-5.9033101192585702E-2</v>
      </c>
      <c r="U45" s="135">
        <f>((O45-S45)*(K45-T45)+(P45-S45)*(L45-T45)+(Q45-S45)*(M45-T45)+(R45-S45)*(N45-T45))/((O45-S45)^2+(P45-S45)^2+(Q45-S45)^2+(R45-S45)^2)</f>
        <v>0.89203190971541346</v>
      </c>
      <c r="V45" s="135">
        <f>10^(T45-(U45*S45))</f>
        <v>0.48890672038503852</v>
      </c>
      <c r="Y45" s="2"/>
      <c r="AB45" s="169"/>
      <c r="AC45" s="169"/>
      <c r="AD45" s="169"/>
      <c r="AE45" s="169"/>
      <c r="AF45" s="169"/>
      <c r="AG45" s="169"/>
      <c r="AH45" s="66"/>
      <c r="AI45" s="66"/>
      <c r="AJ45" s="66"/>
      <c r="AK45" s="66"/>
      <c r="AL45" s="170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35"/>
      <c r="AX45" s="135"/>
      <c r="AY45" s="135"/>
      <c r="AZ45" s="135"/>
    </row>
    <row r="46" spans="1:52" hidden="1" x14ac:dyDescent="0.3">
      <c r="A46" s="2"/>
      <c r="B46" s="314"/>
      <c r="C46" s="136">
        <v>50</v>
      </c>
      <c r="D46" s="136">
        <v>100</v>
      </c>
      <c r="E46" s="136">
        <v>400</v>
      </c>
      <c r="F46" s="137">
        <v>700</v>
      </c>
      <c r="G46" s="145">
        <f>L6</f>
        <v>25.184838270459181</v>
      </c>
      <c r="H46" s="145">
        <f>M6</f>
        <v>46.231304313372007</v>
      </c>
      <c r="I46" s="145">
        <f>N6</f>
        <v>165.91192863300225</v>
      </c>
      <c r="J46" s="145">
        <f>O6</f>
        <v>251.17957924853658</v>
      </c>
      <c r="K46" s="134">
        <f t="shared" si="57"/>
        <v>-0.60318220748995133</v>
      </c>
      <c r="L46" s="134">
        <f t="shared" si="57"/>
        <v>-0.33938522751935185</v>
      </c>
      <c r="M46" s="134">
        <f t="shared" si="57"/>
        <v>0.21555623799971363</v>
      </c>
      <c r="N46" s="134">
        <f t="shared" si="57"/>
        <v>0.39566295483277913</v>
      </c>
      <c r="O46" s="146">
        <f t="shared" si="58"/>
        <v>-0.30535136944662378</v>
      </c>
      <c r="P46" s="146">
        <f t="shared" si="58"/>
        <v>-4.3213737826425782E-3</v>
      </c>
      <c r="Q46" s="146">
        <f t="shared" si="58"/>
        <v>0.59773861754531976</v>
      </c>
      <c r="R46" s="146">
        <f t="shared" si="58"/>
        <v>0.84077666623161429</v>
      </c>
      <c r="S46" s="135">
        <f>AVERAGE(O46:R46)</f>
        <v>0.28221063513691691</v>
      </c>
      <c r="T46" s="135">
        <f>AVERAGE(K46:N46)</f>
        <v>-8.2837060544202618E-2</v>
      </c>
      <c r="U46" s="135">
        <f>((O46-S46)*(K46-T46)+(P46-S46)*(L46-T46)+(Q46-S46)*(M46-T46)+(R46-S46)*(N46-T46))/((O46-S46)^2+(P46-S46)^2+(Q46-S46)^2+(R46-S46)^2)</f>
        <v>0.88292293641356401</v>
      </c>
      <c r="V46" s="135">
        <f>10^(T46-(U46*S46))</f>
        <v>0.46557826417466619</v>
      </c>
      <c r="Y46" s="2"/>
      <c r="Z46" s="3">
        <v>57.5</v>
      </c>
      <c r="AA46" s="3" t="s">
        <v>94</v>
      </c>
      <c r="AB46" s="169">
        <v>0</v>
      </c>
      <c r="AC46" s="169">
        <v>12</v>
      </c>
      <c r="AD46" s="169">
        <v>50</v>
      </c>
      <c r="AE46" s="169">
        <v>100</v>
      </c>
      <c r="AF46" s="169">
        <v>400</v>
      </c>
      <c r="AG46" s="169"/>
      <c r="AH46" s="66">
        <f t="shared" si="43"/>
        <v>8.2595160391217952</v>
      </c>
      <c r="AI46" s="66">
        <f t="shared" si="44"/>
        <v>32.438505051571084</v>
      </c>
      <c r="AJ46" s="66">
        <f t="shared" si="45"/>
        <v>63.326313061529518</v>
      </c>
      <c r="AK46" s="66">
        <f t="shared" si="46"/>
        <v>240.27741921421236</v>
      </c>
      <c r="AL46" s="170"/>
      <c r="AM46" s="165">
        <f t="shared" si="47"/>
        <v>-1.087366772914617</v>
      </c>
      <c r="AN46" s="165">
        <f t="shared" si="48"/>
        <v>-0.4932605425102834</v>
      </c>
      <c r="AO46" s="165">
        <f t="shared" si="41"/>
        <v>-0.20273717019625834</v>
      </c>
      <c r="AP46" s="165">
        <f t="shared" si="42"/>
        <v>0.37639158482209983</v>
      </c>
      <c r="AQ46" s="165"/>
      <c r="AR46" s="165">
        <f t="shared" si="49"/>
        <v>-0.92514012773501775</v>
      </c>
      <c r="AS46" s="165">
        <f t="shared" si="50"/>
        <v>-0.30535136944662378</v>
      </c>
      <c r="AT46" s="165">
        <f t="shared" si="51"/>
        <v>-4.3213737826425782E-3</v>
      </c>
      <c r="AU46" s="165">
        <f t="shared" si="52"/>
        <v>0.59773861754531976</v>
      </c>
      <c r="AV46" s="165"/>
      <c r="AW46" s="135">
        <f t="shared" si="53"/>
        <v>-0.15926856335474107</v>
      </c>
      <c r="AX46" s="135">
        <f t="shared" si="54"/>
        <v>-0.35174322519976475</v>
      </c>
      <c r="AY46" s="135">
        <f t="shared" si="55"/>
        <v>0.96131831579382188</v>
      </c>
      <c r="AZ46" s="135">
        <f t="shared" si="56"/>
        <v>0.632942942742725</v>
      </c>
    </row>
    <row r="47" spans="1:52" ht="18" hidden="1" x14ac:dyDescent="0.3">
      <c r="A47" s="2"/>
      <c r="B47" s="173"/>
      <c r="C47" s="136">
        <v>50</v>
      </c>
      <c r="D47" s="136">
        <v>100</v>
      </c>
      <c r="E47" s="136">
        <v>400</v>
      </c>
      <c r="F47" s="137">
        <v>700</v>
      </c>
      <c r="G47" s="145">
        <f>L7</f>
        <v>24.100194672636004</v>
      </c>
      <c r="H47" s="145">
        <f>M7</f>
        <v>44.129684322289258</v>
      </c>
      <c r="I47" s="145">
        <f>N7</f>
        <v>153.76743167210293</v>
      </c>
      <c r="J47" s="145">
        <f>O7</f>
        <v>236.11211578641539</v>
      </c>
      <c r="K47" s="134">
        <f t="shared" ref="K47" si="59">LOG(G47/101)</f>
        <v>-0.62230082312021695</v>
      </c>
      <c r="L47" s="134">
        <f t="shared" ref="L47" si="60">LOG(H47/101)</f>
        <v>-0.3595905530106866</v>
      </c>
      <c r="M47" s="134">
        <f t="shared" ref="M47" si="61">LOG(I47/101)</f>
        <v>0.18254298676158581</v>
      </c>
      <c r="N47" s="134">
        <f t="shared" ref="N47" si="62">LOG(J47/101)</f>
        <v>0.36879689912488622</v>
      </c>
      <c r="O47" s="146">
        <f t="shared" ref="O47" si="63">LOG(C47/101)</f>
        <v>-0.30535136944662378</v>
      </c>
      <c r="P47" s="146">
        <f t="shared" ref="P47" si="64">LOG(D47/101)</f>
        <v>-4.3213737826425782E-3</v>
      </c>
      <c r="Q47" s="146">
        <f t="shared" ref="Q47" si="65">LOG(E47/101)</f>
        <v>0.59773861754531976</v>
      </c>
      <c r="R47" s="146">
        <f t="shared" ref="R47" si="66">LOG(F47/101)</f>
        <v>0.84077666623161429</v>
      </c>
      <c r="S47" s="135">
        <f t="shared" ref="S47" si="67">AVERAGE(O47:R47)</f>
        <v>0.28221063513691691</v>
      </c>
      <c r="T47" s="135">
        <f t="shared" ref="T47" si="68">AVERAGE(K47:N47)</f>
        <v>-0.10763787256110791</v>
      </c>
      <c r="U47" s="135">
        <f t="shared" ref="U47" si="69">((O47-S47)*(K47-T47)+(P47-S47)*(L47-T47)+(Q47-S47)*(M47-T47)+(R47-S47)*(N47-T47))/((O47-S47)^2+(P47-S47)^2+(Q47-S47)^2+(R47-S47)^2)</f>
        <v>0.87290935904280409</v>
      </c>
      <c r="V47" s="135">
        <f t="shared" ref="V47" si="70">10^(T47-(U47*S47))</f>
        <v>0.44260653591084975</v>
      </c>
      <c r="Y47" s="2"/>
      <c r="AB47" s="169"/>
      <c r="AC47" s="169"/>
      <c r="AD47" s="169"/>
      <c r="AE47" s="169"/>
      <c r="AF47" s="169"/>
      <c r="AG47" s="169"/>
      <c r="AH47" s="66"/>
      <c r="AI47" s="66"/>
      <c r="AJ47" s="66"/>
      <c r="AK47" s="66"/>
      <c r="AL47" s="170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35"/>
      <c r="AX47" s="135"/>
      <c r="AY47" s="135"/>
      <c r="AZ47" s="135"/>
    </row>
    <row r="48" spans="1:52" s="139" customFormat="1" ht="18" hidden="1" x14ac:dyDescent="0.35">
      <c r="B48" s="140"/>
      <c r="C48" s="140"/>
      <c r="D48" s="140"/>
      <c r="E48" s="140"/>
      <c r="F48" s="140"/>
      <c r="J48" s="141"/>
      <c r="K48" s="142"/>
      <c r="O48" s="143"/>
      <c r="P48" s="144"/>
      <c r="Y48" s="2"/>
      <c r="Z48" s="3">
        <v>60</v>
      </c>
      <c r="AA48" s="3" t="s">
        <v>94</v>
      </c>
      <c r="AB48" s="169">
        <v>0</v>
      </c>
      <c r="AC48" s="169">
        <v>12</v>
      </c>
      <c r="AD48" s="169">
        <v>50</v>
      </c>
      <c r="AE48" s="169">
        <v>100</v>
      </c>
      <c r="AF48" s="169">
        <v>400</v>
      </c>
      <c r="AG48" s="169"/>
      <c r="AH48" s="66">
        <f t="shared" si="43"/>
        <v>8.2251980956229858</v>
      </c>
      <c r="AI48" s="66">
        <f t="shared" si="44"/>
        <v>32.29146883722315</v>
      </c>
      <c r="AJ48" s="66">
        <f t="shared" si="45"/>
        <v>62.987860037102564</v>
      </c>
      <c r="AK48" s="66">
        <f t="shared" si="46"/>
        <v>238.4647467286901</v>
      </c>
      <c r="AL48" s="170"/>
      <c r="AM48" s="165">
        <f t="shared" si="47"/>
        <v>-1.0891750074889044</v>
      </c>
      <c r="AN48" s="165">
        <f t="shared" ref="AN48:AP52" si="71">LOG(AI48/101)</f>
        <v>-0.49523357362790282</v>
      </c>
      <c r="AO48" s="165">
        <f t="shared" si="71"/>
        <v>-0.20506451999484376</v>
      </c>
      <c r="AP48" s="165">
        <f t="shared" si="71"/>
        <v>0.37310281071367013</v>
      </c>
      <c r="AQ48" s="165"/>
      <c r="AR48" s="165">
        <f t="shared" si="49"/>
        <v>-0.92514012773501775</v>
      </c>
      <c r="AS48" s="165">
        <f t="shared" ref="AS48:AU52" si="72">LOG(AD48/101)</f>
        <v>-0.30535136944662378</v>
      </c>
      <c r="AT48" s="165">
        <f t="shared" si="72"/>
        <v>-4.3213737826425782E-3</v>
      </c>
      <c r="AU48" s="165">
        <f t="shared" si="72"/>
        <v>0.59773861754531976</v>
      </c>
      <c r="AV48" s="165"/>
      <c r="AW48" s="135">
        <f t="shared" si="53"/>
        <v>-0.15926856335474107</v>
      </c>
      <c r="AX48" s="135">
        <f t="shared" si="54"/>
        <v>-0.35409257259949523</v>
      </c>
      <c r="AY48" s="135">
        <f t="shared" si="55"/>
        <v>0.96034140966987125</v>
      </c>
      <c r="AZ48" s="135">
        <f t="shared" si="56"/>
        <v>0.62930274198221059</v>
      </c>
    </row>
    <row r="49" spans="1:52" ht="18" hidden="1" x14ac:dyDescent="0.35">
      <c r="A49" s="2"/>
      <c r="B49" s="318" t="s">
        <v>17</v>
      </c>
      <c r="C49" s="319"/>
      <c r="D49" s="319"/>
      <c r="E49" s="319"/>
      <c r="F49" s="320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Y49" s="2"/>
      <c r="Z49" s="3">
        <v>62.5</v>
      </c>
      <c r="AA49" s="3" t="s">
        <v>94</v>
      </c>
      <c r="AB49" s="169">
        <v>0</v>
      </c>
      <c r="AC49" s="169">
        <v>12</v>
      </c>
      <c r="AD49" s="169">
        <v>50</v>
      </c>
      <c r="AE49" s="169">
        <v>100</v>
      </c>
      <c r="AF49" s="169">
        <v>400</v>
      </c>
      <c r="AG49" s="169"/>
      <c r="AH49" s="66">
        <f t="shared" si="43"/>
        <v>8.1918681522798771</v>
      </c>
      <c r="AI49" s="66">
        <f t="shared" si="44"/>
        <v>32.148085620629729</v>
      </c>
      <c r="AJ49" s="66">
        <f t="shared" si="45"/>
        <v>62.658767149329499</v>
      </c>
      <c r="AK49" s="66">
        <f t="shared" si="46"/>
        <v>236.67782488060203</v>
      </c>
      <c r="AL49" s="170"/>
      <c r="AM49" s="165">
        <f t="shared" si="47"/>
        <v>-1.0909384200432335</v>
      </c>
      <c r="AN49" s="165">
        <f t="shared" si="71"/>
        <v>-0.49716625746021964</v>
      </c>
      <c r="AO49" s="165">
        <f t="shared" si="71"/>
        <v>-0.20733952817009602</v>
      </c>
      <c r="AP49" s="165">
        <f t="shared" si="71"/>
        <v>0.36983619558229142</v>
      </c>
      <c r="AQ49" s="165"/>
      <c r="AR49" s="165">
        <f t="shared" si="49"/>
        <v>-0.92514012773501775</v>
      </c>
      <c r="AS49" s="165">
        <f t="shared" si="72"/>
        <v>-0.30535136944662378</v>
      </c>
      <c r="AT49" s="165">
        <f t="shared" si="72"/>
        <v>-4.3213737826425782E-3</v>
      </c>
      <c r="AU49" s="165">
        <f t="shared" si="72"/>
        <v>0.59773861754531976</v>
      </c>
      <c r="AV49" s="165"/>
      <c r="AW49" s="135">
        <f t="shared" si="53"/>
        <v>-0.15926856335474107</v>
      </c>
      <c r="AX49" s="135">
        <f t="shared" si="54"/>
        <v>-0.3564020025228144</v>
      </c>
      <c r="AY49" s="135">
        <f t="shared" si="55"/>
        <v>0.95935177518820081</v>
      </c>
      <c r="AZ49" s="135">
        <f t="shared" si="56"/>
        <v>0.6257380673188121</v>
      </c>
    </row>
    <row r="50" spans="1:52" hidden="1" x14ac:dyDescent="0.3">
      <c r="A50" s="2"/>
      <c r="B50" s="314"/>
      <c r="C50" s="321" t="s">
        <v>71</v>
      </c>
      <c r="D50" s="322"/>
      <c r="E50" s="322"/>
      <c r="F50" s="323"/>
      <c r="G50" s="324" t="s">
        <v>73</v>
      </c>
      <c r="H50" s="325"/>
      <c r="I50" s="325"/>
      <c r="J50" s="326"/>
      <c r="K50" s="327"/>
      <c r="L50" s="328"/>
      <c r="M50" s="328"/>
      <c r="N50" s="329"/>
      <c r="O50" s="330"/>
      <c r="P50" s="331"/>
      <c r="Q50" s="331"/>
      <c r="R50" s="332"/>
      <c r="S50" s="138" t="s">
        <v>69</v>
      </c>
      <c r="T50" s="138" t="s">
        <v>70</v>
      </c>
      <c r="U50" s="138" t="s">
        <v>33</v>
      </c>
      <c r="V50" s="138" t="s">
        <v>32</v>
      </c>
      <c r="Y50" s="2"/>
      <c r="Z50" s="3">
        <v>65</v>
      </c>
      <c r="AA50" s="3" t="s">
        <v>94</v>
      </c>
      <c r="AB50" s="169">
        <v>0</v>
      </c>
      <c r="AC50" s="169">
        <v>12</v>
      </c>
      <c r="AD50" s="169">
        <v>50</v>
      </c>
      <c r="AE50" s="169">
        <v>100</v>
      </c>
      <c r="AF50" s="169">
        <v>400</v>
      </c>
      <c r="AG50" s="169"/>
      <c r="AH50" s="66">
        <f t="shared" si="43"/>
        <v>8.1595186617568203</v>
      </c>
      <c r="AI50" s="66">
        <f t="shared" si="44"/>
        <v>32.008327181741194</v>
      </c>
      <c r="AJ50" s="66">
        <f t="shared" si="45"/>
        <v>62.338952180691955</v>
      </c>
      <c r="AK50" s="66">
        <f t="shared" si="46"/>
        <v>234.91635465177882</v>
      </c>
      <c r="AL50" s="170"/>
      <c r="AM50" s="165">
        <f t="shared" si="47"/>
        <v>-1.0926568337430751</v>
      </c>
      <c r="AN50" s="165">
        <f t="shared" si="71"/>
        <v>-0.49905839613094216</v>
      </c>
      <c r="AO50" s="165">
        <f t="shared" si="71"/>
        <v>-0.20956187558465011</v>
      </c>
      <c r="AP50" s="165">
        <f t="shared" si="71"/>
        <v>0.36659187921366249</v>
      </c>
      <c r="AQ50" s="165"/>
      <c r="AR50" s="165">
        <f t="shared" si="49"/>
        <v>-0.92514012773501775</v>
      </c>
      <c r="AS50" s="165">
        <f t="shared" si="72"/>
        <v>-0.30535136944662378</v>
      </c>
      <c r="AT50" s="165">
        <f t="shared" si="72"/>
        <v>-4.3213737826425782E-3</v>
      </c>
      <c r="AU50" s="165">
        <f t="shared" si="72"/>
        <v>0.59773861754531976</v>
      </c>
      <c r="AV50" s="165"/>
      <c r="AW50" s="135">
        <f t="shared" si="53"/>
        <v>-0.15926856335474107</v>
      </c>
      <c r="AX50" s="135">
        <f t="shared" si="54"/>
        <v>-0.35867130656125124</v>
      </c>
      <c r="AY50" s="135">
        <f t="shared" si="55"/>
        <v>0.95834940482110376</v>
      </c>
      <c r="AZ50" s="135">
        <f t="shared" si="56"/>
        <v>0.62224816755252255</v>
      </c>
    </row>
    <row r="51" spans="1:52" hidden="1" x14ac:dyDescent="0.3">
      <c r="A51" s="2"/>
      <c r="B51" s="314"/>
      <c r="C51" s="136">
        <v>12</v>
      </c>
      <c r="D51" s="136">
        <v>50</v>
      </c>
      <c r="E51" s="136">
        <v>100</v>
      </c>
      <c r="F51" s="137">
        <v>400</v>
      </c>
      <c r="G51" s="145">
        <f>K8</f>
        <v>8.7986507492482637</v>
      </c>
      <c r="H51" s="145">
        <f>L8</f>
        <v>34.202274356932271</v>
      </c>
      <c r="I51" s="145">
        <f>M8</f>
        <v>63.624067800965257</v>
      </c>
      <c r="J51" s="145">
        <f>N8</f>
        <v>235.27633539676773</v>
      </c>
      <c r="K51" s="134">
        <f t="shared" ref="K51:N52" si="73">LOG(G51/101)</f>
        <v>-1.0599052944827645</v>
      </c>
      <c r="L51" s="134">
        <f t="shared" si="73"/>
        <v>-0.4702663873807818</v>
      </c>
      <c r="M51" s="134">
        <f t="shared" si="73"/>
        <v>-0.20069994153193615</v>
      </c>
      <c r="N51" s="134">
        <f t="shared" si="73"/>
        <v>0.36725687331074047</v>
      </c>
      <c r="O51" s="146">
        <f t="shared" ref="O51:R52" si="74">LOG(C51/101)</f>
        <v>-0.92514012773501775</v>
      </c>
      <c r="P51" s="146">
        <f t="shared" si="74"/>
        <v>-0.30535136944662378</v>
      </c>
      <c r="Q51" s="146">
        <f t="shared" si="74"/>
        <v>-4.3213737826425782E-3</v>
      </c>
      <c r="R51" s="146">
        <f t="shared" si="74"/>
        <v>0.59773861754531976</v>
      </c>
      <c r="S51" s="135">
        <f>AVERAGE(O51:R51)</f>
        <v>-0.15926856335474107</v>
      </c>
      <c r="T51" s="135">
        <f>AVERAGE(K51:N51)</f>
        <v>-0.34090368752118549</v>
      </c>
      <c r="U51" s="135">
        <f>((O51-S51)*(K51-T51)+(P51-S51)*(L51-T51)+(Q51-S51)*(M51-T51)+(R51-S51)*(N51-T51))/((O51-S51)^2+(P51-S51)^2+(Q51-S51)^2+(R51-S51)^2)</f>
        <v>0.93559946103992597</v>
      </c>
      <c r="V51" s="135">
        <f>10^(T51-(U51*S51))</f>
        <v>0.64284740411062236</v>
      </c>
      <c r="Y51" s="2"/>
      <c r="AB51" s="169"/>
      <c r="AC51" s="169"/>
      <c r="AD51" s="169"/>
      <c r="AE51" s="169"/>
      <c r="AF51" s="169"/>
      <c r="AG51" s="169"/>
      <c r="AH51" s="66"/>
      <c r="AI51" s="66"/>
      <c r="AJ51" s="66"/>
      <c r="AK51" s="66"/>
      <c r="AL51" s="170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35"/>
      <c r="AX51" s="135"/>
      <c r="AY51" s="135"/>
      <c r="AZ51" s="135"/>
    </row>
    <row r="52" spans="1:52" hidden="1" x14ac:dyDescent="0.3">
      <c r="A52" s="2"/>
      <c r="B52" s="314"/>
      <c r="C52" s="136">
        <v>12</v>
      </c>
      <c r="D52" s="136">
        <v>50</v>
      </c>
      <c r="E52" s="136">
        <v>100</v>
      </c>
      <c r="F52" s="137">
        <v>400</v>
      </c>
      <c r="G52" s="145">
        <f>K9</f>
        <v>8.4806510501538419</v>
      </c>
      <c r="H52" s="145">
        <f>L9</f>
        <v>32.562148073934758</v>
      </c>
      <c r="I52" s="145">
        <f>M9</f>
        <v>61.198909333185803</v>
      </c>
      <c r="J52" s="145">
        <f>N9</f>
        <v>225.97425227861089</v>
      </c>
      <c r="K52" s="134">
        <f t="shared" si="73"/>
        <v>-1.0758921799415098</v>
      </c>
      <c r="L52" s="134">
        <f t="shared" si="73"/>
        <v>-0.49160832689333389</v>
      </c>
      <c r="M52" s="134">
        <f t="shared" si="73"/>
        <v>-0.21757769142139147</v>
      </c>
      <c r="N52" s="134">
        <f t="shared" si="73"/>
        <v>0.34973758425703327</v>
      </c>
      <c r="O52" s="146">
        <f t="shared" si="74"/>
        <v>-0.92514012773501775</v>
      </c>
      <c r="P52" s="146">
        <f t="shared" si="74"/>
        <v>-0.30535136944662378</v>
      </c>
      <c r="Q52" s="146">
        <f t="shared" si="74"/>
        <v>-4.3213737826425782E-3</v>
      </c>
      <c r="R52" s="146">
        <f t="shared" si="74"/>
        <v>0.59773861754531976</v>
      </c>
      <c r="S52" s="135">
        <f>AVERAGE(O52:R52)</f>
        <v>-0.15926856335474107</v>
      </c>
      <c r="T52" s="135">
        <f>AVERAGE(K52:N52)</f>
        <v>-0.35883515349980044</v>
      </c>
      <c r="U52" s="135">
        <f>((O52-S52)*(K52-T52)+(P52-S52)*(L52-T52)+(Q52-S52)*(M52-T52)+(R52-S52)*(N52-T52))/((O52-S52)^2+(P52-S52)^2+(Q52-S52)^2+(R52-S52)^2)</f>
        <v>0.935171403060992</v>
      </c>
      <c r="V52" s="135">
        <f>10^(T52-(U52*S52))</f>
        <v>0.61674871364925843</v>
      </c>
      <c r="Y52" s="2"/>
      <c r="Z52" s="3">
        <v>67.5</v>
      </c>
      <c r="AA52" s="3" t="s">
        <v>94</v>
      </c>
      <c r="AB52" s="169">
        <v>0</v>
      </c>
      <c r="AC52" s="169">
        <v>12</v>
      </c>
      <c r="AD52" s="169">
        <v>50</v>
      </c>
      <c r="AE52" s="169">
        <v>100</v>
      </c>
      <c r="AF52" s="169">
        <v>400</v>
      </c>
      <c r="AG52" s="169"/>
      <c r="AH52" s="66">
        <f t="shared" si="43"/>
        <v>8.1281423578745091</v>
      </c>
      <c r="AI52" s="66">
        <f t="shared" si="44"/>
        <v>31.872166251466911</v>
      </c>
      <c r="AJ52" s="66">
        <f t="shared" si="45"/>
        <v>62.028336034793561</v>
      </c>
      <c r="AK52" s="66">
        <f t="shared" si="46"/>
        <v>233.18004512337987</v>
      </c>
      <c r="AL52" s="170"/>
      <c r="AM52" s="165">
        <f t="shared" si="47"/>
        <v>-1.094330072457717</v>
      </c>
      <c r="AN52" s="165">
        <f t="shared" si="71"/>
        <v>-0.50090979166797933</v>
      </c>
      <c r="AO52" s="165">
        <f t="shared" si="71"/>
        <v>-0.2117312427966222</v>
      </c>
      <c r="AP52" s="165">
        <f t="shared" si="71"/>
        <v>0.3633700082236701</v>
      </c>
      <c r="AQ52" s="165"/>
      <c r="AR52" s="165">
        <f t="shared" si="49"/>
        <v>-0.92514012773501775</v>
      </c>
      <c r="AS52" s="165">
        <f t="shared" si="72"/>
        <v>-0.30535136944662378</v>
      </c>
      <c r="AT52" s="165">
        <f t="shared" si="72"/>
        <v>-4.3213737826425782E-3</v>
      </c>
      <c r="AU52" s="165">
        <f t="shared" si="72"/>
        <v>0.59773861754531976</v>
      </c>
      <c r="AV52" s="165"/>
      <c r="AW52" s="135">
        <f t="shared" si="53"/>
        <v>-0.15926856335474107</v>
      </c>
      <c r="AX52" s="135">
        <f t="shared" si="54"/>
        <v>-0.36090027467466207</v>
      </c>
      <c r="AY52" s="135">
        <f t="shared" si="55"/>
        <v>0.95733429580674556</v>
      </c>
      <c r="AZ52" s="135">
        <f t="shared" si="56"/>
        <v>0.61883231370130398</v>
      </c>
    </row>
    <row r="53" spans="1:52" ht="18" hidden="1" x14ac:dyDescent="0.3">
      <c r="A53" s="2"/>
      <c r="B53" s="173"/>
      <c r="C53" s="136">
        <v>12</v>
      </c>
      <c r="D53" s="136">
        <v>50</v>
      </c>
      <c r="E53" s="136">
        <v>100</v>
      </c>
      <c r="F53" s="137">
        <v>400</v>
      </c>
      <c r="G53" s="145">
        <f>K10</f>
        <v>8.1704013474483652</v>
      </c>
      <c r="H53" s="145">
        <f>L10</f>
        <v>30.969793877193347</v>
      </c>
      <c r="I53" s="145">
        <f>M10</f>
        <v>58.825015823264295</v>
      </c>
      <c r="J53" s="145">
        <f>N10</f>
        <v>216.8538332352997</v>
      </c>
      <c r="K53" s="134">
        <f t="shared" ref="K53" si="75">LOG(G53/101)</f>
        <v>-1.0920779832598948</v>
      </c>
      <c r="L53" s="134">
        <f t="shared" ref="L53" si="76">LOG(H53/101)</f>
        <v>-0.51338305891004765</v>
      </c>
      <c r="M53" s="134">
        <f t="shared" ref="M53" si="77">LOG(I53/101)</f>
        <v>-0.23475932111426162</v>
      </c>
      <c r="N53" s="134">
        <f t="shared" ref="N53" si="78">LOG(J53/101)</f>
        <v>0.33184572961348163</v>
      </c>
      <c r="O53" s="146">
        <f t="shared" ref="O53" si="79">LOG(C53/101)</f>
        <v>-0.92514012773501775</v>
      </c>
      <c r="P53" s="146">
        <f>LOG(D53/101)</f>
        <v>-0.30535136944662378</v>
      </c>
      <c r="Q53" s="146">
        <f t="shared" ref="Q53" si="80">LOG(E53/101)</f>
        <v>-4.3213737826425782E-3</v>
      </c>
      <c r="R53" s="146">
        <f t="shared" ref="R53" si="81">LOG(F53/101)</f>
        <v>0.59773861754531976</v>
      </c>
      <c r="S53" s="135">
        <f>AVERAGE(O53:R53)</f>
        <v>-0.15926856335474107</v>
      </c>
      <c r="T53" s="135">
        <f>AVERAGE(K53:N53)</f>
        <v>-0.37709365841768061</v>
      </c>
      <c r="U53" s="135">
        <f>((O53-S53)*(K53-T53)+(P53-S53)*(L53-T53)+(Q53-S53)*(M53-T53)+(R53-S53)*(N53-T53))/((O53-S53)^2+(P53-S53)^2+(Q53-S53)^2+(R53-S53)^2)</f>
        <v>0.93464910931982059</v>
      </c>
      <c r="V53" s="135">
        <f t="shared" ref="V53" si="82">10^(T53-(U53*S53))</f>
        <v>0.59124374944677549</v>
      </c>
      <c r="Y53" s="2"/>
      <c r="AB53" s="169"/>
      <c r="AC53" s="169"/>
      <c r="AD53" s="169"/>
      <c r="AE53" s="169"/>
      <c r="AF53" s="169"/>
      <c r="AG53" s="169"/>
      <c r="AH53" s="66"/>
      <c r="AI53" s="66"/>
      <c r="AJ53" s="66"/>
      <c r="AK53" s="66"/>
      <c r="AL53" s="170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35"/>
      <c r="AX53" s="135"/>
      <c r="AY53" s="135"/>
      <c r="AZ53" s="135"/>
    </row>
    <row r="54" spans="1:52" hidden="1" x14ac:dyDescent="0.3">
      <c r="A54" s="2"/>
      <c r="Y54" s="2"/>
      <c r="Z54" s="3">
        <v>70</v>
      </c>
      <c r="AA54" s="3" t="s">
        <v>94</v>
      </c>
      <c r="AB54" s="169">
        <v>0</v>
      </c>
      <c r="AC54" s="169">
        <v>12</v>
      </c>
      <c r="AD54" s="169">
        <v>50</v>
      </c>
      <c r="AE54" s="169">
        <v>100</v>
      </c>
      <c r="AF54" s="169">
        <v>400</v>
      </c>
      <c r="AG54" s="169"/>
      <c r="AH54" s="66">
        <f t="shared" si="43"/>
        <v>8.09773224850486</v>
      </c>
      <c r="AI54" s="66">
        <f t="shared" si="44"/>
        <v>31.739576487347804</v>
      </c>
      <c r="AJ54" s="66">
        <f t="shared" si="45"/>
        <v>61.726842644991486</v>
      </c>
      <c r="AK54" s="66">
        <f t="shared" si="46"/>
        <v>231.46861324118854</v>
      </c>
      <c r="AL54" s="170"/>
      <c r="AM54" s="165">
        <f t="shared" si="47"/>
        <v>-1.09595796105873</v>
      </c>
      <c r="AN54" s="165">
        <f t="shared" ref="AN54:AN70" si="83">LOG(AI54/101)</f>
        <v>-0.50272024627354772</v>
      </c>
      <c r="AO54" s="165">
        <f t="shared" ref="AO54:AO70" si="84">LOG(AJ54/101)</f>
        <v>-0.21384731060018086</v>
      </c>
      <c r="AP54" s="165">
        <f t="shared" ref="AP54:AP70" si="85">LOG(AK54/101)</f>
        <v>0.36017073595451787</v>
      </c>
      <c r="AQ54" s="165"/>
      <c r="AR54" s="165">
        <f t="shared" si="49"/>
        <v>-0.92514012773501775</v>
      </c>
      <c r="AS54" s="165">
        <f t="shared" ref="AS54:AS70" si="86">LOG(AD54/101)</f>
        <v>-0.30535136944662378</v>
      </c>
      <c r="AT54" s="165">
        <f t="shared" ref="AT54:AT70" si="87">LOG(AE54/101)</f>
        <v>-4.3213737826425782E-3</v>
      </c>
      <c r="AU54" s="165">
        <f t="shared" ref="AU54:AU70" si="88">LOG(AF54/101)</f>
        <v>0.59773861754531976</v>
      </c>
      <c r="AV54" s="165"/>
      <c r="AW54" s="135">
        <f t="shared" si="53"/>
        <v>-0.15926856335474107</v>
      </c>
      <c r="AX54" s="135">
        <f t="shared" si="54"/>
        <v>-0.36308869549448514</v>
      </c>
      <c r="AY54" s="135">
        <f t="shared" si="55"/>
        <v>0.95630645023684779</v>
      </c>
      <c r="AZ54" s="135">
        <f t="shared" si="56"/>
        <v>0.61548979834964257</v>
      </c>
    </row>
    <row r="55" spans="1:52" ht="18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08"/>
      <c r="L55" s="309"/>
      <c r="M55" s="309"/>
      <c r="N55" s="309"/>
      <c r="O55" s="309"/>
      <c r="P55" s="2"/>
      <c r="Q55" s="2"/>
      <c r="R55" s="2"/>
      <c r="S55" s="2"/>
      <c r="T55" s="2"/>
      <c r="U55" s="2"/>
      <c r="V55" s="2"/>
      <c r="W55" s="2"/>
      <c r="X55" s="2"/>
      <c r="Y55" s="2"/>
      <c r="Z55" s="3">
        <v>72.5</v>
      </c>
      <c r="AA55" s="3" t="s">
        <v>94</v>
      </c>
      <c r="AB55" s="169">
        <v>0</v>
      </c>
      <c r="AC55" s="169">
        <v>12</v>
      </c>
      <c r="AD55" s="169">
        <v>50</v>
      </c>
      <c r="AE55" s="169">
        <v>100</v>
      </c>
      <c r="AF55" s="169">
        <v>400</v>
      </c>
      <c r="AG55" s="169"/>
      <c r="AH55" s="66">
        <f t="shared" si="43"/>
        <v>8.0682816087716134</v>
      </c>
      <c r="AI55" s="66">
        <f t="shared" si="44"/>
        <v>31.610532450182976</v>
      </c>
      <c r="AJ55" s="66">
        <f t="shared" si="45"/>
        <v>61.434398887056162</v>
      </c>
      <c r="AK55" s="66">
        <f t="shared" si="46"/>
        <v>229.78178358902497</v>
      </c>
      <c r="AL55" s="170"/>
      <c r="AM55" s="165">
        <f t="shared" si="47"/>
        <v>-1.0975403257142509</v>
      </c>
      <c r="AN55" s="165">
        <f t="shared" si="83"/>
        <v>-0.50448956259257793</v>
      </c>
      <c r="AO55" s="165">
        <f t="shared" si="84"/>
        <v>-0.21590976056339264</v>
      </c>
      <c r="AP55" s="165">
        <f t="shared" si="85"/>
        <v>0.35699422236966816</v>
      </c>
      <c r="AQ55" s="165"/>
      <c r="AR55" s="165">
        <f t="shared" si="49"/>
        <v>-0.92514012773501775</v>
      </c>
      <c r="AS55" s="165">
        <f t="shared" si="86"/>
        <v>-0.30535136944662378</v>
      </c>
      <c r="AT55" s="165">
        <f t="shared" si="87"/>
        <v>-4.3213737826425782E-3</v>
      </c>
      <c r="AU55" s="165">
        <f t="shared" si="88"/>
        <v>0.59773861754531976</v>
      </c>
      <c r="AV55" s="165"/>
      <c r="AW55" s="135">
        <f t="shared" si="53"/>
        <v>-0.15926856335474107</v>
      </c>
      <c r="AX55" s="135">
        <f t="shared" si="54"/>
        <v>-0.36523635662513831</v>
      </c>
      <c r="AY55" s="135">
        <f t="shared" si="55"/>
        <v>0.95526587514110672</v>
      </c>
      <c r="AZ55" s="135">
        <f t="shared" si="56"/>
        <v>0.6122199350236478</v>
      </c>
    </row>
    <row r="56" spans="1:52" ht="18.899999999999999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43" t="s">
        <v>102</v>
      </c>
      <c r="L56" s="344"/>
      <c r="M56" s="344"/>
      <c r="N56" s="345"/>
      <c r="O56" s="2"/>
      <c r="P56" s="363" t="s">
        <v>89</v>
      </c>
      <c r="Q56" s="364"/>
      <c r="R56" s="364"/>
      <c r="S56" s="365"/>
      <c r="T56" s="205"/>
      <c r="U56" s="357" t="s">
        <v>97</v>
      </c>
      <c r="V56" s="358"/>
      <c r="W56" s="358"/>
      <c r="X56" s="359"/>
      <c r="Y56" s="205"/>
      <c r="Z56" s="3">
        <v>75</v>
      </c>
      <c r="AA56" s="3" t="s">
        <v>94</v>
      </c>
      <c r="AB56" s="169">
        <v>0</v>
      </c>
      <c r="AC56" s="169">
        <v>12</v>
      </c>
      <c r="AD56" s="169">
        <v>50</v>
      </c>
      <c r="AE56" s="169">
        <v>100</v>
      </c>
      <c r="AF56" s="169">
        <v>400</v>
      </c>
      <c r="AG56" s="169"/>
      <c r="AH56" s="66">
        <f t="shared" si="43"/>
        <v>8.0397839745458413</v>
      </c>
      <c r="AI56" s="66">
        <f t="shared" si="44"/>
        <v>31.48500958157631</v>
      </c>
      <c r="AJ56" s="66">
        <f t="shared" si="45"/>
        <v>61.150934495698358</v>
      </c>
      <c r="AK56" s="66">
        <f t="shared" si="46"/>
        <v>228.11928816995021</v>
      </c>
      <c r="AL56" s="170"/>
      <c r="AM56" s="165">
        <f t="shared" si="47"/>
        <v>-1.0990769941788572</v>
      </c>
      <c r="AN56" s="165">
        <f t="shared" si="83"/>
        <v>-0.50621754397924135</v>
      </c>
      <c r="AO56" s="165">
        <f t="shared" si="84"/>
        <v>-0.21791827556284665</v>
      </c>
      <c r="AP56" s="165">
        <f t="shared" si="85"/>
        <v>0.35384063394742954</v>
      </c>
      <c r="AQ56" s="165"/>
      <c r="AR56" s="165">
        <f t="shared" si="49"/>
        <v>-0.92514012773501775</v>
      </c>
      <c r="AS56" s="165">
        <f t="shared" si="86"/>
        <v>-0.30535136944662378</v>
      </c>
      <c r="AT56" s="165">
        <f t="shared" si="87"/>
        <v>-4.3213737826425782E-3</v>
      </c>
      <c r="AU56" s="165">
        <f t="shared" si="88"/>
        <v>0.59773861754531976</v>
      </c>
      <c r="AV56" s="165"/>
      <c r="AW56" s="135">
        <f t="shared" si="53"/>
        <v>-0.15926856335474107</v>
      </c>
      <c r="AX56" s="135">
        <f t="shared" si="54"/>
        <v>-0.36734304494337888</v>
      </c>
      <c r="AY56" s="135">
        <f t="shared" si="55"/>
        <v>0.95421258256815089</v>
      </c>
      <c r="AZ56" s="135">
        <f t="shared" si="56"/>
        <v>0.60902205759172967</v>
      </c>
    </row>
    <row r="57" spans="1:52" ht="18.899999999999999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46"/>
      <c r="L57" s="347"/>
      <c r="M57" s="347"/>
      <c r="N57" s="348"/>
      <c r="O57" s="2"/>
      <c r="P57" s="364"/>
      <c r="Q57" s="364"/>
      <c r="R57" s="364"/>
      <c r="S57" s="365"/>
      <c r="T57" s="205"/>
      <c r="U57" s="360"/>
      <c r="V57" s="361"/>
      <c r="W57" s="361"/>
      <c r="X57" s="362"/>
      <c r="Y57" s="205"/>
      <c r="Z57" s="3">
        <v>77.5</v>
      </c>
      <c r="AA57" s="3" t="s">
        <v>94</v>
      </c>
      <c r="AB57" s="169">
        <v>0</v>
      </c>
      <c r="AC57" s="169">
        <v>12</v>
      </c>
      <c r="AD57" s="169">
        <v>50</v>
      </c>
      <c r="AE57" s="169">
        <v>100</v>
      </c>
      <c r="AF57" s="169">
        <v>400</v>
      </c>
      <c r="AG57" s="169"/>
      <c r="AH57" s="66">
        <f t="shared" si="43"/>
        <v>8.0122331362259711</v>
      </c>
      <c r="AI57" s="66">
        <f t="shared" si="44"/>
        <v>31.362984182371196</v>
      </c>
      <c r="AJ57" s="66">
        <f t="shared" si="45"/>
        <v>60.876381984810465</v>
      </c>
      <c r="AK57" s="66">
        <f t="shared" si="46"/>
        <v>226.48086619495155</v>
      </c>
      <c r="AL57" s="170"/>
      <c r="AM57" s="165">
        <f t="shared" si="47"/>
        <v>-1.1005677960788027</v>
      </c>
      <c r="AN57" s="165">
        <f t="shared" si="83"/>
        <v>-0.50790399476140557</v>
      </c>
      <c r="AO57" s="165">
        <f t="shared" si="84"/>
        <v>-0.21987254031453715</v>
      </c>
      <c r="AP57" s="165">
        <f t="shared" si="85"/>
        <v>0.35071014357302788</v>
      </c>
      <c r="AQ57" s="165"/>
      <c r="AR57" s="165">
        <f t="shared" si="49"/>
        <v>-0.92514012773501775</v>
      </c>
      <c r="AS57" s="165">
        <f t="shared" si="86"/>
        <v>-0.30535136944662378</v>
      </c>
      <c r="AT57" s="165">
        <f t="shared" si="87"/>
        <v>-4.3213737826425782E-3</v>
      </c>
      <c r="AU57" s="165">
        <f t="shared" si="88"/>
        <v>0.59773861754531976</v>
      </c>
      <c r="AV57" s="165"/>
      <c r="AW57" s="135">
        <f t="shared" si="53"/>
        <v>-0.15926856335474107</v>
      </c>
      <c r="AX57" s="135">
        <f t="shared" si="54"/>
        <v>-0.36940854689542935</v>
      </c>
      <c r="AY57" s="135">
        <f t="shared" si="55"/>
        <v>0.95314658966282317</v>
      </c>
      <c r="AZ57" s="135">
        <f t="shared" si="56"/>
        <v>0.60589551968993016</v>
      </c>
    </row>
    <row r="58" spans="1:52" ht="18.899999999999999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41" t="s">
        <v>31</v>
      </c>
      <c r="L58" s="342"/>
      <c r="M58" s="174"/>
      <c r="N58" s="164"/>
      <c r="O58" s="2"/>
      <c r="P58" s="341" t="s">
        <v>31</v>
      </c>
      <c r="Q58" s="342"/>
      <c r="R58" s="174"/>
      <c r="S58" s="164"/>
      <c r="T58" s="2"/>
      <c r="U58" s="341" t="s">
        <v>31</v>
      </c>
      <c r="V58" s="342"/>
      <c r="W58" s="174"/>
      <c r="X58" s="164"/>
      <c r="Y58" s="2"/>
      <c r="Z58" s="3">
        <v>80</v>
      </c>
      <c r="AA58" s="3" t="s">
        <v>94</v>
      </c>
      <c r="AB58" s="169">
        <v>0</v>
      </c>
      <c r="AC58" s="169">
        <v>12</v>
      </c>
      <c r="AD58" s="169">
        <v>50</v>
      </c>
      <c r="AE58" s="169">
        <v>100</v>
      </c>
      <c r="AF58" s="169">
        <v>400</v>
      </c>
      <c r="AG58" s="169"/>
      <c r="AH58" s="66">
        <f t="shared" si="43"/>
        <v>7.9856231327926501</v>
      </c>
      <c r="AI58" s="66">
        <f t="shared" si="44"/>
        <v>31.244433391942845</v>
      </c>
      <c r="AJ58" s="66">
        <f t="shared" si="45"/>
        <v>60.610676571278212</v>
      </c>
      <c r="AK58" s="66">
        <f t="shared" si="46"/>
        <v>224.86626387881296</v>
      </c>
      <c r="AL58" s="170"/>
      <c r="AM58" s="165">
        <f t="shared" si="47"/>
        <v>-1.1020125631923665</v>
      </c>
      <c r="AN58" s="165">
        <f t="shared" si="83"/>
        <v>-0.50954872050281463</v>
      </c>
      <c r="AO58" s="165">
        <f t="shared" si="84"/>
        <v>-0.22177224190045336</v>
      </c>
      <c r="AP58" s="165">
        <f t="shared" si="85"/>
        <v>0.34760293042900281</v>
      </c>
      <c r="AQ58" s="165"/>
      <c r="AR58" s="165">
        <f t="shared" si="49"/>
        <v>-0.92514012773501775</v>
      </c>
      <c r="AS58" s="165">
        <f t="shared" si="86"/>
        <v>-0.30535136944662378</v>
      </c>
      <c r="AT58" s="165">
        <f t="shared" si="87"/>
        <v>-4.3213737826425782E-3</v>
      </c>
      <c r="AU58" s="165">
        <f t="shared" si="88"/>
        <v>0.59773861754531976</v>
      </c>
      <c r="AV58" s="165"/>
      <c r="AW58" s="135">
        <f t="shared" si="53"/>
        <v>-0.15926856335474107</v>
      </c>
      <c r="AX58" s="135">
        <f t="shared" si="54"/>
        <v>-0.37143264879165794</v>
      </c>
      <c r="AY58" s="135">
        <f t="shared" si="55"/>
        <v>0.95206791873958374</v>
      </c>
      <c r="AZ58" s="135">
        <f t="shared" si="56"/>
        <v>0.60283969417104222</v>
      </c>
    </row>
    <row r="59" spans="1:52" ht="18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94" t="s">
        <v>32</v>
      </c>
      <c r="L59" s="94" t="s">
        <v>33</v>
      </c>
      <c r="M59" s="163"/>
      <c r="N59" s="164"/>
      <c r="O59" s="2"/>
      <c r="P59" s="94" t="s">
        <v>32</v>
      </c>
      <c r="Q59" s="94" t="s">
        <v>33</v>
      </c>
      <c r="R59" s="163"/>
      <c r="S59" s="164"/>
      <c r="T59" s="2"/>
      <c r="U59" s="94" t="s">
        <v>32</v>
      </c>
      <c r="V59" s="94" t="s">
        <v>33</v>
      </c>
      <c r="W59" s="163"/>
      <c r="X59" s="164"/>
      <c r="Y59" s="2"/>
      <c r="Z59" s="3">
        <v>82.5</v>
      </c>
      <c r="AA59" s="3" t="s">
        <v>94</v>
      </c>
      <c r="AB59" s="169">
        <v>0</v>
      </c>
      <c r="AC59" s="169">
        <v>12</v>
      </c>
      <c r="AD59" s="169">
        <v>50</v>
      </c>
      <c r="AE59" s="169">
        <v>100</v>
      </c>
      <c r="AF59" s="169">
        <v>400</v>
      </c>
      <c r="AG59" s="169"/>
      <c r="AH59" s="66">
        <f t="shared" si="43"/>
        <v>7.9599482461291942</v>
      </c>
      <c r="AI59" s="66">
        <f t="shared" si="44"/>
        <v>31.129335168319017</v>
      </c>
      <c r="AJ59" s="66">
        <f t="shared" si="45"/>
        <v>60.353756102226441</v>
      </c>
      <c r="AK59" s="66">
        <f t="shared" si="46"/>
        <v>223.27523424288862</v>
      </c>
      <c r="AL59" s="170"/>
      <c r="AM59" s="165">
        <f t="shared" si="47"/>
        <v>-1.103411129725071</v>
      </c>
      <c r="AN59" s="165">
        <f t="shared" si="83"/>
        <v>-0.5111515282627892</v>
      </c>
      <c r="AO59" s="165">
        <f t="shared" si="84"/>
        <v>-0.22361707029030226</v>
      </c>
      <c r="AP59" s="165">
        <f t="shared" si="85"/>
        <v>0.34451917988377723</v>
      </c>
      <c r="AQ59" s="165"/>
      <c r="AR59" s="165">
        <f t="shared" si="49"/>
        <v>-0.92514012773501775</v>
      </c>
      <c r="AS59" s="165">
        <f t="shared" si="86"/>
        <v>-0.30535136944662378</v>
      </c>
      <c r="AT59" s="165">
        <f t="shared" si="87"/>
        <v>-4.3213737826425782E-3</v>
      </c>
      <c r="AU59" s="165">
        <f t="shared" si="88"/>
        <v>0.59773861754531976</v>
      </c>
      <c r="AV59" s="165"/>
      <c r="AW59" s="135">
        <f t="shared" si="53"/>
        <v>-0.15926856335474107</v>
      </c>
      <c r="AX59" s="135">
        <f t="shared" si="54"/>
        <v>-0.37341513709859631</v>
      </c>
      <c r="AY59" s="135">
        <f t="shared" si="55"/>
        <v>0.95097659735182816</v>
      </c>
      <c r="AZ59" s="135">
        <f t="shared" si="56"/>
        <v>0.59985397257668516</v>
      </c>
    </row>
    <row r="60" spans="1:52" ht="20.100000000000001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82">
        <f>V51</f>
        <v>0.64284740411062236</v>
      </c>
      <c r="L60" s="282">
        <f>U51</f>
        <v>0.93559946103992597</v>
      </c>
      <c r="M60" s="163"/>
      <c r="N60" s="175"/>
      <c r="O60" s="2"/>
      <c r="P60" s="282">
        <f>V52</f>
        <v>0.61674871364925843</v>
      </c>
      <c r="Q60" s="282">
        <f>U52</f>
        <v>0.935171403060992</v>
      </c>
      <c r="R60" s="163"/>
      <c r="S60" s="175"/>
      <c r="T60" s="2"/>
      <c r="U60" s="282">
        <f>V53</f>
        <v>0.59124374944677549</v>
      </c>
      <c r="V60" s="282">
        <f>U53</f>
        <v>0.93464910931982059</v>
      </c>
      <c r="W60" s="163"/>
      <c r="X60" s="175"/>
      <c r="Y60" s="2"/>
      <c r="Z60" s="3">
        <v>85</v>
      </c>
      <c r="AA60" s="3" t="s">
        <v>94</v>
      </c>
      <c r="AB60" s="169">
        <v>0</v>
      </c>
      <c r="AC60" s="169">
        <v>12</v>
      </c>
      <c r="AD60" s="169">
        <v>50</v>
      </c>
      <c r="AE60" s="169">
        <v>100</v>
      </c>
      <c r="AF60" s="169">
        <v>400</v>
      </c>
      <c r="AG60" s="169"/>
      <c r="AH60" s="66">
        <f t="shared" si="43"/>
        <v>7.935202995598833</v>
      </c>
      <c r="AI60" s="66">
        <f t="shared" si="44"/>
        <v>31.017668269101911</v>
      </c>
      <c r="AJ60" s="66">
        <f t="shared" si="45"/>
        <v>60.10556098557096</v>
      </c>
      <c r="AK60" s="66">
        <f t="shared" si="46"/>
        <v>221.70753692451029</v>
      </c>
      <c r="AL60" s="170"/>
      <c r="AM60" s="165">
        <f t="shared" si="47"/>
        <v>-1.1047633325795163</v>
      </c>
      <c r="AN60" s="165">
        <f t="shared" si="83"/>
        <v>-0.51271222685322804</v>
      </c>
      <c r="AO60" s="165">
        <f t="shared" si="84"/>
        <v>-0.22540671885775984</v>
      </c>
      <c r="AP60" s="165">
        <f t="shared" si="85"/>
        <v>0.34145908337825021</v>
      </c>
      <c r="AQ60" s="165"/>
      <c r="AR60" s="165">
        <f t="shared" si="49"/>
        <v>-0.92514012773501775</v>
      </c>
      <c r="AS60" s="165">
        <f t="shared" si="86"/>
        <v>-0.30535136944662378</v>
      </c>
      <c r="AT60" s="165">
        <f t="shared" si="87"/>
        <v>-4.3213737826425782E-3</v>
      </c>
      <c r="AU60" s="165">
        <f t="shared" si="88"/>
        <v>0.59773861754531976</v>
      </c>
      <c r="AV60" s="165"/>
      <c r="AW60" s="135">
        <f t="shared" si="53"/>
        <v>-0.15926856335474107</v>
      </c>
      <c r="AX60" s="135">
        <f t="shared" si="54"/>
        <v>-0.37535579872806346</v>
      </c>
      <c r="AY60" s="135">
        <f t="shared" si="55"/>
        <v>0.9498726583569177</v>
      </c>
      <c r="AZ60" s="135">
        <f t="shared" si="56"/>
        <v>0.5969377646315458</v>
      </c>
    </row>
    <row r="61" spans="1:52" ht="18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176" t="s">
        <v>34</v>
      </c>
      <c r="L61" s="96" t="s">
        <v>35</v>
      </c>
      <c r="M61" s="177" t="s">
        <v>36</v>
      </c>
      <c r="N61" s="96" t="s">
        <v>79</v>
      </c>
      <c r="O61" s="2"/>
      <c r="P61" s="176" t="s">
        <v>34</v>
      </c>
      <c r="Q61" s="96" t="s">
        <v>35</v>
      </c>
      <c r="R61" s="177" t="s">
        <v>36</v>
      </c>
      <c r="S61" s="96" t="s">
        <v>79</v>
      </c>
      <c r="T61" s="2"/>
      <c r="U61" s="176" t="s">
        <v>34</v>
      </c>
      <c r="V61" s="96" t="s">
        <v>35</v>
      </c>
      <c r="W61" s="177" t="s">
        <v>36</v>
      </c>
      <c r="X61" s="96" t="s">
        <v>79</v>
      </c>
      <c r="Y61" s="2"/>
      <c r="Z61" s="3">
        <v>87.5</v>
      </c>
      <c r="AA61" s="3" t="s">
        <v>94</v>
      </c>
      <c r="AB61" s="169">
        <v>0</v>
      </c>
      <c r="AC61" s="169">
        <v>12</v>
      </c>
      <c r="AD61" s="169">
        <v>50</v>
      </c>
      <c r="AE61" s="169">
        <v>100</v>
      </c>
      <c r="AF61" s="169">
        <v>400</v>
      </c>
      <c r="AG61" s="169"/>
      <c r="AH61" s="66">
        <f t="shared" si="43"/>
        <v>7.9113821328705711</v>
      </c>
      <c r="AI61" s="66">
        <f t="shared" si="44"/>
        <v>30.909412233164662</v>
      </c>
      <c r="AJ61" s="66">
        <f t="shared" si="45"/>
        <v>59.86603412375473</v>
      </c>
      <c r="AK61" s="66">
        <f t="shared" si="46"/>
        <v>220.16293799277005</v>
      </c>
      <c r="AL61" s="170"/>
      <c r="AM61" s="165">
        <f t="shared" si="47"/>
        <v>-1.1060690116195711</v>
      </c>
      <c r="AN61" s="165">
        <f t="shared" si="83"/>
        <v>-0.51423062709268741</v>
      </c>
      <c r="AO61" s="165">
        <f t="shared" si="84"/>
        <v>-0.22714088489063258</v>
      </c>
      <c r="AP61" s="165">
        <f t="shared" si="85"/>
        <v>0.33842283831026693</v>
      </c>
      <c r="AQ61" s="165"/>
      <c r="AR61" s="165">
        <f t="shared" si="49"/>
        <v>-0.92514012773501775</v>
      </c>
      <c r="AS61" s="165">
        <f t="shared" si="86"/>
        <v>-0.30535136944662378</v>
      </c>
      <c r="AT61" s="165">
        <f t="shared" si="87"/>
        <v>-4.3213737826425782E-3</v>
      </c>
      <c r="AU61" s="165">
        <f t="shared" si="88"/>
        <v>0.59773861754531976</v>
      </c>
      <c r="AV61" s="165"/>
      <c r="AW61" s="135">
        <f t="shared" si="53"/>
        <v>-0.15926856335474107</v>
      </c>
      <c r="AX61" s="135">
        <f t="shared" si="54"/>
        <v>-0.37725442132315601</v>
      </c>
      <c r="AY61" s="135">
        <f t="shared" si="55"/>
        <v>0.94875613997671926</v>
      </c>
      <c r="AZ61" s="135">
        <f t="shared" si="56"/>
        <v>0.59409049775904021</v>
      </c>
    </row>
    <row r="62" spans="1:52" ht="22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67">
        <v>0</v>
      </c>
      <c r="L62" s="268">
        <v>0</v>
      </c>
      <c r="M62" s="268">
        <v>0</v>
      </c>
      <c r="N62" s="268">
        <f>L62*20.89</f>
        <v>0</v>
      </c>
      <c r="O62" s="2"/>
      <c r="P62" s="203">
        <v>0</v>
      </c>
      <c r="Q62" s="204">
        <v>0</v>
      </c>
      <c r="R62" s="204">
        <v>0</v>
      </c>
      <c r="S62" s="204">
        <f>Q62*20.89</f>
        <v>0</v>
      </c>
      <c r="T62" s="205"/>
      <c r="U62" s="206">
        <v>0</v>
      </c>
      <c r="V62" s="207">
        <v>0</v>
      </c>
      <c r="W62" s="207">
        <v>0</v>
      </c>
      <c r="X62" s="207">
        <f>V62*20.89</f>
        <v>0</v>
      </c>
      <c r="Y62" s="205"/>
      <c r="Z62" s="3">
        <v>90</v>
      </c>
      <c r="AA62" s="3" t="s">
        <v>94</v>
      </c>
      <c r="AB62" s="169">
        <v>0</v>
      </c>
      <c r="AC62" s="169">
        <v>12</v>
      </c>
      <c r="AD62" s="169">
        <v>50</v>
      </c>
      <c r="AE62" s="169">
        <v>100</v>
      </c>
      <c r="AF62" s="169">
        <v>400</v>
      </c>
      <c r="AG62" s="169"/>
      <c r="AH62" s="66">
        <f t="shared" si="43"/>
        <v>7.8884806369857809</v>
      </c>
      <c r="AI62" s="66">
        <f t="shared" si="44"/>
        <v>30.804547363097978</v>
      </c>
      <c r="AJ62" s="66">
        <f t="shared" si="45"/>
        <v>59.635120850554571</v>
      </c>
      <c r="AK62" s="66">
        <f t="shared" si="46"/>
        <v>218.64120977043453</v>
      </c>
      <c r="AL62" s="170"/>
      <c r="AM62" s="165">
        <f t="shared" si="47"/>
        <v>-1.1073280099286589</v>
      </c>
      <c r="AN62" s="165">
        <f t="shared" si="83"/>
        <v>-0.51570654205730726</v>
      </c>
      <c r="AO62" s="165">
        <f t="shared" si="84"/>
        <v>-0.22881927009428235</v>
      </c>
      <c r="AP62" s="165">
        <f t="shared" si="85"/>
        <v>0.33541064791682873</v>
      </c>
      <c r="AQ62" s="165"/>
      <c r="AR62" s="165">
        <f t="shared" si="49"/>
        <v>-0.92514012773501775</v>
      </c>
      <c r="AS62" s="165">
        <f t="shared" si="86"/>
        <v>-0.30535136944662378</v>
      </c>
      <c r="AT62" s="165">
        <f t="shared" si="87"/>
        <v>-4.3213737826425782E-3</v>
      </c>
      <c r="AU62" s="165">
        <f t="shared" si="88"/>
        <v>0.59773861754531976</v>
      </c>
      <c r="AV62" s="165"/>
      <c r="AW62" s="135">
        <f t="shared" si="53"/>
        <v>-0.15926856335474107</v>
      </c>
      <c r="AX62" s="135">
        <f t="shared" si="54"/>
        <v>-0.37911079354085497</v>
      </c>
      <c r="AY62" s="135">
        <f t="shared" si="55"/>
        <v>0.94762708585345568</v>
      </c>
      <c r="AZ62" s="135">
        <f t="shared" si="56"/>
        <v>0.59131161661768339</v>
      </c>
    </row>
    <row r="63" spans="1:52" ht="20.100000000000001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67">
        <v>5</v>
      </c>
      <c r="L63" s="268">
        <f t="shared" ref="L63:L70" si="89">K$60*101*(K63/101)^L$60</f>
        <v>3.9007061098139846</v>
      </c>
      <c r="M63" s="268">
        <f>DEGREES(ATAN(L63/K63))</f>
        <v>37.959261258314292</v>
      </c>
      <c r="N63" s="268">
        <f t="shared" ref="N63:N70" si="90">L63*20.89</f>
        <v>81.485750634014138</v>
      </c>
      <c r="O63" s="2"/>
      <c r="P63" s="203">
        <v>5</v>
      </c>
      <c r="Q63" s="204">
        <f t="shared" ref="Q63:Q70" si="91">P$60*101*(P63/101)^Q$60</f>
        <v>3.7471610099624426</v>
      </c>
      <c r="R63" s="204">
        <f>DEGREES(ATAN(Q63/P63))</f>
        <v>36.849071215816714</v>
      </c>
      <c r="S63" s="204">
        <f t="shared" ref="S63:S70" si="92">Q63*20.89</f>
        <v>78.278193498115428</v>
      </c>
      <c r="T63" s="205"/>
      <c r="U63" s="206">
        <v>5</v>
      </c>
      <c r="V63" s="207">
        <f t="shared" ref="V63:V70" si="93">U$60*101*(U63/101)^V$60</f>
        <v>3.5978449339081426</v>
      </c>
      <c r="W63" s="207">
        <f>DEGREES(ATAN(V63/U63))</f>
        <v>35.737619942865074</v>
      </c>
      <c r="X63" s="207">
        <f t="shared" ref="X63:X70" si="94">V63*20.89</f>
        <v>75.158980669341105</v>
      </c>
      <c r="Y63" s="205"/>
      <c r="Z63" s="3">
        <v>92.5</v>
      </c>
      <c r="AA63" s="3" t="s">
        <v>94</v>
      </c>
      <c r="AB63" s="169">
        <v>0</v>
      </c>
      <c r="AC63" s="169">
        <v>12</v>
      </c>
      <c r="AD63" s="169">
        <v>50</v>
      </c>
      <c r="AE63" s="169">
        <v>100</v>
      </c>
      <c r="AF63" s="169">
        <v>400</v>
      </c>
      <c r="AG63" s="169"/>
      <c r="AH63" s="66">
        <f t="shared" si="43"/>
        <v>7.8664937096581848</v>
      </c>
      <c r="AI63" s="66">
        <f t="shared" si="44"/>
        <v>30.703054708382911</v>
      </c>
      <c r="AJ63" s="66">
        <f t="shared" si="45"/>
        <v>59.412768870850009</v>
      </c>
      <c r="AK63" s="66">
        <f t="shared" si="46"/>
        <v>217.14213066175515</v>
      </c>
      <c r="AL63" s="170"/>
      <c r="AM63" s="165">
        <f t="shared" si="47"/>
        <v>-1.1085401740618768</v>
      </c>
      <c r="AN63" s="165">
        <f t="shared" si="83"/>
        <v>-0.5171397873283502</v>
      </c>
      <c r="AO63" s="165">
        <f t="shared" si="84"/>
        <v>-0.23044158108765792</v>
      </c>
      <c r="AP63" s="165">
        <f t="shared" si="85"/>
        <v>0.33242272115390531</v>
      </c>
      <c r="AQ63" s="165"/>
      <c r="AR63" s="165">
        <f t="shared" si="49"/>
        <v>-0.92514012773501775</v>
      </c>
      <c r="AS63" s="165">
        <f t="shared" si="86"/>
        <v>-0.30535136944662378</v>
      </c>
      <c r="AT63" s="165">
        <f t="shared" si="87"/>
        <v>-4.3213737826425782E-3</v>
      </c>
      <c r="AU63" s="165">
        <f t="shared" si="88"/>
        <v>0.59773861754531976</v>
      </c>
      <c r="AV63" s="165"/>
      <c r="AW63" s="135">
        <f t="shared" si="53"/>
        <v>-0.15926856335474107</v>
      </c>
      <c r="AX63" s="135">
        <f t="shared" si="54"/>
        <v>-0.38092470533099487</v>
      </c>
      <c r="AY63" s="135">
        <f t="shared" si="55"/>
        <v>0.94648554510066985</v>
      </c>
      <c r="AZ63" s="135">
        <f t="shared" si="56"/>
        <v>0.58860058265748572</v>
      </c>
    </row>
    <row r="64" spans="1:52" ht="20.100000000000001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67">
        <v>10</v>
      </c>
      <c r="L64" s="268">
        <f t="shared" si="89"/>
        <v>7.4608229198150458</v>
      </c>
      <c r="M64" s="268">
        <f t="shared" ref="M64:M70" si="95">DEGREES(ATAN(L64/K64))</f>
        <v>36.725967681463686</v>
      </c>
      <c r="N64" s="268">
        <f t="shared" si="90"/>
        <v>155.85659079493632</v>
      </c>
      <c r="O64" s="2"/>
      <c r="P64" s="203">
        <v>10</v>
      </c>
      <c r="Q64" s="204">
        <f t="shared" si="91"/>
        <v>7.1650132505799826</v>
      </c>
      <c r="R64" s="204">
        <f t="shared" ref="R64:R70" si="96">DEGREES(ATAN(Q64/P64))</f>
        <v>35.621648009931903</v>
      </c>
      <c r="S64" s="204">
        <f t="shared" si="92"/>
        <v>149.67712680461585</v>
      </c>
      <c r="T64" s="205"/>
      <c r="U64" s="206">
        <v>10</v>
      </c>
      <c r="V64" s="207">
        <f t="shared" si="93"/>
        <v>6.8770132130826029</v>
      </c>
      <c r="W64" s="207">
        <f t="shared" ref="W64:W70" si="97">DEGREES(ATAN(V64/U64))</f>
        <v>34.516354942484199</v>
      </c>
      <c r="X64" s="207">
        <f t="shared" si="94"/>
        <v>143.66080602129557</v>
      </c>
      <c r="Y64" s="205"/>
      <c r="Z64" s="3">
        <v>95</v>
      </c>
      <c r="AA64" s="3" t="s">
        <v>94</v>
      </c>
      <c r="AB64" s="169">
        <v>0</v>
      </c>
      <c r="AC64" s="169">
        <v>12</v>
      </c>
      <c r="AD64" s="169">
        <v>50</v>
      </c>
      <c r="AE64" s="169">
        <v>100</v>
      </c>
      <c r="AF64" s="169">
        <v>400</v>
      </c>
      <c r="AG64" s="169"/>
      <c r="AH64" s="66">
        <f t="shared" si="43"/>
        <v>7.8454167708002158</v>
      </c>
      <c r="AI64" s="66">
        <f t="shared" si="44"/>
        <v>30.604916049267477</v>
      </c>
      <c r="AJ64" s="66">
        <f t="shared" si="45"/>
        <v>59.198928203252812</v>
      </c>
      <c r="AK64" s="66">
        <f t="shared" si="46"/>
        <v>215.66548498595012</v>
      </c>
      <c r="AL64" s="170"/>
      <c r="AM64" s="165">
        <f t="shared" si="47"/>
        <v>-1.1097053542916799</v>
      </c>
      <c r="AN64" s="165">
        <f t="shared" si="83"/>
        <v>-0.51853018123611117</v>
      </c>
      <c r="AO64" s="165">
        <f t="shared" si="84"/>
        <v>-0.23200752989125514</v>
      </c>
      <c r="AP64" s="165">
        <f t="shared" si="85"/>
        <v>0.32945927257371899</v>
      </c>
      <c r="AQ64" s="165"/>
      <c r="AR64" s="165">
        <f t="shared" si="49"/>
        <v>-0.92514012773501775</v>
      </c>
      <c r="AS64" s="165">
        <f t="shared" si="86"/>
        <v>-0.30535136944662378</v>
      </c>
      <c r="AT64" s="165">
        <f t="shared" si="87"/>
        <v>-4.3213737826425782E-3</v>
      </c>
      <c r="AU64" s="165">
        <f t="shared" si="88"/>
        <v>0.59773861754531976</v>
      </c>
      <c r="AV64" s="165"/>
      <c r="AW64" s="135">
        <f t="shared" si="53"/>
        <v>-0.15926856335474107</v>
      </c>
      <c r="AX64" s="135">
        <f t="shared" si="54"/>
        <v>-0.38269594821133179</v>
      </c>
      <c r="AY64" s="135">
        <f t="shared" si="55"/>
        <v>0.94533157234910792</v>
      </c>
      <c r="AZ64" s="135">
        <f t="shared" si="56"/>
        <v>0.58595687369573179</v>
      </c>
    </row>
    <row r="65" spans="1:52" ht="20.10000000000000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67">
        <v>25</v>
      </c>
      <c r="L65" s="268">
        <f t="shared" si="89"/>
        <v>17.583251576444329</v>
      </c>
      <c r="M65" s="268">
        <f t="shared" si="95"/>
        <v>35.119872689992967</v>
      </c>
      <c r="N65" s="268">
        <f t="shared" si="90"/>
        <v>367.31412543192204</v>
      </c>
      <c r="O65" s="2"/>
      <c r="P65" s="203">
        <v>25</v>
      </c>
      <c r="Q65" s="204">
        <f t="shared" si="91"/>
        <v>16.879481974208534</v>
      </c>
      <c r="R65" s="204">
        <f t="shared" si="96"/>
        <v>34.026406116441692</v>
      </c>
      <c r="S65" s="204">
        <f t="shared" si="92"/>
        <v>352.61237844121632</v>
      </c>
      <c r="T65" s="205"/>
      <c r="U65" s="206">
        <v>25</v>
      </c>
      <c r="V65" s="207">
        <f t="shared" si="93"/>
        <v>16.193254199914747</v>
      </c>
      <c r="W65" s="207">
        <f t="shared" si="97"/>
        <v>32.932347899802402</v>
      </c>
      <c r="X65" s="207">
        <f t="shared" si="94"/>
        <v>338.27708023621909</v>
      </c>
      <c r="Y65" s="205"/>
      <c r="Z65" s="3">
        <v>97.5</v>
      </c>
      <c r="AA65" s="3" t="s">
        <v>94</v>
      </c>
      <c r="AB65" s="169">
        <v>0</v>
      </c>
      <c r="AC65" s="169">
        <v>12</v>
      </c>
      <c r="AD65" s="169">
        <v>50</v>
      </c>
      <c r="AE65" s="169">
        <v>100</v>
      </c>
      <c r="AF65" s="169">
        <v>400</v>
      </c>
      <c r="AG65" s="169"/>
      <c r="AH65" s="66">
        <f t="shared" si="43"/>
        <v>7.8252454542691927</v>
      </c>
      <c r="AI65" s="66">
        <f t="shared" si="44"/>
        <v>30.510113881325935</v>
      </c>
      <c r="AJ65" s="66">
        <f t="shared" si="45"/>
        <v>58.993551125501043</v>
      </c>
      <c r="AK65" s="66">
        <f t="shared" si="46"/>
        <v>214.21106281614564</v>
      </c>
      <c r="AL65" s="170"/>
      <c r="AM65" s="165">
        <f t="shared" si="47"/>
        <v>-1.1108234048468655</v>
      </c>
      <c r="AN65" s="165">
        <f t="shared" si="83"/>
        <v>-0.51987754509994899</v>
      </c>
      <c r="AO65" s="165">
        <f t="shared" si="84"/>
        <v>-0.23351683440632071</v>
      </c>
      <c r="AP65" s="165">
        <f t="shared" si="85"/>
        <v>0.32652052219937905</v>
      </c>
      <c r="AQ65" s="165"/>
      <c r="AR65" s="165">
        <f t="shared" si="49"/>
        <v>-0.92514012773501775</v>
      </c>
      <c r="AS65" s="165">
        <f t="shared" si="86"/>
        <v>-0.30535136944662378</v>
      </c>
      <c r="AT65" s="165">
        <f t="shared" si="87"/>
        <v>-4.3213737826425782E-3</v>
      </c>
      <c r="AU65" s="165">
        <f t="shared" si="88"/>
        <v>0.59773861754531976</v>
      </c>
      <c r="AV65" s="165"/>
      <c r="AW65" s="135">
        <f t="shared" si="53"/>
        <v>-0.15926856335474107</v>
      </c>
      <c r="AX65" s="135">
        <f t="shared" si="54"/>
        <v>-0.38442431553843909</v>
      </c>
      <c r="AY65" s="135">
        <f t="shared" si="55"/>
        <v>0.9441652277873378</v>
      </c>
      <c r="AZ65" s="135">
        <f t="shared" si="56"/>
        <v>0.58337998351152953</v>
      </c>
    </row>
    <row r="66" spans="1:52" ht="20.10000000000000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67">
        <v>50</v>
      </c>
      <c r="L66" s="268">
        <f t="shared" si="89"/>
        <v>33.631225391821644</v>
      </c>
      <c r="M66" s="268">
        <f t="shared" si="95"/>
        <v>33.925743705366287</v>
      </c>
      <c r="N66" s="268">
        <f t="shared" si="90"/>
        <v>702.55629843515419</v>
      </c>
      <c r="O66" s="2"/>
      <c r="P66" s="203">
        <v>50</v>
      </c>
      <c r="Q66" s="204">
        <f t="shared" si="91"/>
        <v>32.275557865431111</v>
      </c>
      <c r="R66" s="204">
        <f t="shared" si="96"/>
        <v>32.842693915798669</v>
      </c>
      <c r="S66" s="204">
        <f t="shared" si="92"/>
        <v>674.23640380885593</v>
      </c>
      <c r="T66" s="205"/>
      <c r="U66" s="206">
        <v>50</v>
      </c>
      <c r="V66" s="207">
        <f t="shared" si="93"/>
        <v>30.952201982383219</v>
      </c>
      <c r="W66" s="207">
        <f t="shared" si="97"/>
        <v>31.759331818560252</v>
      </c>
      <c r="X66" s="207">
        <f t="shared" si="94"/>
        <v>646.59149941198541</v>
      </c>
      <c r="Y66" s="205"/>
      <c r="Z66" s="3">
        <v>100</v>
      </c>
      <c r="AA66" s="3" t="s">
        <v>94</v>
      </c>
      <c r="AB66" s="169">
        <v>0</v>
      </c>
      <c r="AC66" s="169">
        <v>12</v>
      </c>
      <c r="AD66" s="169">
        <v>50</v>
      </c>
      <c r="AE66" s="169">
        <v>100</v>
      </c>
      <c r="AF66" s="169">
        <v>400</v>
      </c>
      <c r="AG66" s="169"/>
      <c r="AH66" s="66">
        <f t="shared" si="43"/>
        <v>7.8059756038271093</v>
      </c>
      <c r="AI66" s="66">
        <f t="shared" si="44"/>
        <v>30.418631400680251</v>
      </c>
      <c r="AJ66" s="66">
        <f t="shared" si="45"/>
        <v>58.796592122527571</v>
      </c>
      <c r="AK66" s="66">
        <f t="shared" si="46"/>
        <v>212.77865982357019</v>
      </c>
      <c r="AL66" s="170"/>
      <c r="AM66" s="165">
        <f t="shared" si="47"/>
        <v>-1.1118941841445895</v>
      </c>
      <c r="AN66" s="165">
        <f t="shared" si="83"/>
        <v>-0.52118170346419712</v>
      </c>
      <c r="AO66" s="165">
        <f t="shared" si="84"/>
        <v>-0.23496921888459657</v>
      </c>
      <c r="AP66" s="165">
        <f t="shared" si="85"/>
        <v>0.32360669539674097</v>
      </c>
      <c r="AQ66" s="165"/>
      <c r="AR66" s="165">
        <f t="shared" si="49"/>
        <v>-0.92514012773501775</v>
      </c>
      <c r="AS66" s="165">
        <f t="shared" si="86"/>
        <v>-0.30535136944662378</v>
      </c>
      <c r="AT66" s="165">
        <f t="shared" si="87"/>
        <v>-4.3213737826425782E-3</v>
      </c>
      <c r="AU66" s="165">
        <f t="shared" si="88"/>
        <v>0.59773861754531976</v>
      </c>
      <c r="AV66" s="165"/>
      <c r="AW66" s="135">
        <f t="shared" si="53"/>
        <v>-0.15926856335474107</v>
      </c>
      <c r="AX66" s="135">
        <f t="shared" si="54"/>
        <v>-0.38610960277416062</v>
      </c>
      <c r="AY66" s="135">
        <f t="shared" si="55"/>
        <v>0.94298657719690815</v>
      </c>
      <c r="AZ66" s="135">
        <f t="shared" si="56"/>
        <v>0.58086942145853926</v>
      </c>
    </row>
    <row r="67" spans="1:52" ht="20.10000000000000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67">
        <v>100</v>
      </c>
      <c r="L67" s="268">
        <f t="shared" si="89"/>
        <v>64.325947703026074</v>
      </c>
      <c r="M67" s="268">
        <f t="shared" si="95"/>
        <v>32.75153448496728</v>
      </c>
      <c r="N67" s="268">
        <f t="shared" si="90"/>
        <v>1343.7690475162146</v>
      </c>
      <c r="O67" s="2"/>
      <c r="P67" s="203">
        <v>100</v>
      </c>
      <c r="Q67" s="204">
        <f t="shared" si="91"/>
        <v>61.714668561304407</v>
      </c>
      <c r="R67" s="204">
        <f t="shared" si="96"/>
        <v>31.680672566112104</v>
      </c>
      <c r="S67" s="204">
        <f t="shared" si="92"/>
        <v>1289.2194262456492</v>
      </c>
      <c r="T67" s="205"/>
      <c r="U67" s="206">
        <v>100</v>
      </c>
      <c r="V67" s="207">
        <f t="shared" si="93"/>
        <v>59.162833839988231</v>
      </c>
      <c r="W67" s="207">
        <f t="shared" si="97"/>
        <v>30.609761761053463</v>
      </c>
      <c r="X67" s="207">
        <f t="shared" si="94"/>
        <v>1235.9115989173542</v>
      </c>
      <c r="Y67" s="205"/>
      <c r="Z67" s="3">
        <v>102.5</v>
      </c>
      <c r="AA67" s="3" t="s">
        <v>94</v>
      </c>
      <c r="AB67" s="169">
        <v>0</v>
      </c>
      <c r="AC67" s="169">
        <v>12</v>
      </c>
      <c r="AD67" s="169">
        <v>50</v>
      </c>
      <c r="AE67" s="169">
        <v>100</v>
      </c>
      <c r="AF67" s="169">
        <v>400</v>
      </c>
      <c r="AG67" s="169"/>
      <c r="AH67" s="66">
        <f t="shared" si="43"/>
        <v>7.7876032693081356</v>
      </c>
      <c r="AI67" s="66">
        <f t="shared" si="44"/>
        <v>30.33045248986468</v>
      </c>
      <c r="AJ67" s="66">
        <f t="shared" si="45"/>
        <v>58.608007837117505</v>
      </c>
      <c r="AK67" s="66">
        <f t="shared" si="46"/>
        <v>211.36807712680761</v>
      </c>
      <c r="AL67" s="170"/>
      <c r="AM67" s="165">
        <f t="shared" si="47"/>
        <v>-1.1129175550151527</v>
      </c>
      <c r="AN67" s="165">
        <f t="shared" si="83"/>
        <v>-0.52244248432969487</v>
      </c>
      <c r="AO67" s="165">
        <f t="shared" si="84"/>
        <v>-0.23636441438790554</v>
      </c>
      <c r="AP67" s="165">
        <f t="shared" si="85"/>
        <v>0.32071802274338079</v>
      </c>
      <c r="AQ67" s="165"/>
      <c r="AR67" s="165">
        <f t="shared" si="49"/>
        <v>-0.92514012773501775</v>
      </c>
      <c r="AS67" s="165">
        <f t="shared" si="86"/>
        <v>-0.30535136944662378</v>
      </c>
      <c r="AT67" s="165">
        <f t="shared" si="87"/>
        <v>-4.3213737826425782E-3</v>
      </c>
      <c r="AU67" s="165">
        <f t="shared" si="88"/>
        <v>0.59773861754531976</v>
      </c>
      <c r="AV67" s="165"/>
      <c r="AW67" s="135">
        <f t="shared" si="53"/>
        <v>-0.15926856335474107</v>
      </c>
      <c r="AX67" s="135">
        <f t="shared" si="54"/>
        <v>-0.38775160774734307</v>
      </c>
      <c r="AY67" s="135">
        <f t="shared" si="55"/>
        <v>0.94179569198187985</v>
      </c>
      <c r="AZ67" s="135">
        <f t="shared" si="56"/>
        <v>0.57842471209532398</v>
      </c>
    </row>
    <row r="68" spans="1:52" ht="20.100000000000001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67">
        <v>200</v>
      </c>
      <c r="L68" s="268">
        <f t="shared" si="89"/>
        <v>123.03528936827476</v>
      </c>
      <c r="M68" s="268">
        <f t="shared" si="95"/>
        <v>31.598850398452672</v>
      </c>
      <c r="N68" s="268">
        <f t="shared" si="90"/>
        <v>2570.2071949032597</v>
      </c>
      <c r="O68" s="2"/>
      <c r="P68" s="203">
        <v>200</v>
      </c>
      <c r="Q68" s="204">
        <f t="shared" si="91"/>
        <v>118.0057160130757</v>
      </c>
      <c r="R68" s="204">
        <f t="shared" si="96"/>
        <v>30.541819519692698</v>
      </c>
      <c r="S68" s="204">
        <f t="shared" si="92"/>
        <v>2465.1394075131516</v>
      </c>
      <c r="T68" s="205"/>
      <c r="U68" s="206">
        <v>200</v>
      </c>
      <c r="V68" s="207">
        <f t="shared" si="93"/>
        <v>113.08536012947499</v>
      </c>
      <c r="W68" s="207">
        <f t="shared" si="97"/>
        <v>29.484981433455875</v>
      </c>
      <c r="X68" s="207">
        <f t="shared" si="94"/>
        <v>2362.3531731047328</v>
      </c>
      <c r="Y68" s="205"/>
      <c r="Z68" s="3">
        <v>105</v>
      </c>
      <c r="AA68" s="3" t="s">
        <v>94</v>
      </c>
      <c r="AB68" s="169">
        <v>0</v>
      </c>
      <c r="AC68" s="169">
        <v>12</v>
      </c>
      <c r="AD68" s="169">
        <v>50</v>
      </c>
      <c r="AE68" s="169">
        <v>100</v>
      </c>
      <c r="AF68" s="169">
        <v>400</v>
      </c>
      <c r="AG68" s="169"/>
      <c r="AH68" s="66">
        <f t="shared" si="43"/>
        <v>7.7701247029883973</v>
      </c>
      <c r="AI68" s="66">
        <f t="shared" si="44"/>
        <v>30.245561704315314</v>
      </c>
      <c r="AJ68" s="66">
        <f t="shared" si="45"/>
        <v>58.427757023074719</v>
      </c>
      <c r="AK68" s="66">
        <f t="shared" si="46"/>
        <v>209.9791211459214</v>
      </c>
      <c r="AL68" s="170"/>
      <c r="AM68" s="165">
        <f t="shared" si="47"/>
        <v>-1.11389338491929</v>
      </c>
      <c r="AN68" s="165">
        <f t="shared" si="83"/>
        <v>-0.52365971938068878</v>
      </c>
      <c r="AO68" s="165">
        <f t="shared" si="84"/>
        <v>-0.23770215923686247</v>
      </c>
      <c r="AP68" s="165">
        <f t="shared" si="85"/>
        <v>0.31785473989457308</v>
      </c>
      <c r="AQ68" s="165"/>
      <c r="AR68" s="165">
        <f t="shared" si="49"/>
        <v>-0.92514012773501775</v>
      </c>
      <c r="AS68" s="165">
        <f t="shared" si="86"/>
        <v>-0.30535136944662378</v>
      </c>
      <c r="AT68" s="165">
        <f t="shared" si="87"/>
        <v>-4.3213737826425782E-3</v>
      </c>
      <c r="AU68" s="165">
        <f t="shared" si="88"/>
        <v>0.59773861754531976</v>
      </c>
      <c r="AV68" s="165"/>
      <c r="AW68" s="135">
        <f t="shared" si="53"/>
        <v>-0.15926856335474107</v>
      </c>
      <c r="AX68" s="135">
        <f t="shared" si="54"/>
        <v>-0.38935013091056708</v>
      </c>
      <c r="AY68" s="135">
        <f t="shared" si="55"/>
        <v>0.9405926491925416</v>
      </c>
      <c r="AZ68" s="135">
        <f t="shared" si="56"/>
        <v>0.57604539483278905</v>
      </c>
    </row>
    <row r="69" spans="1:52" ht="20.10000000000000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67">
        <v>300</v>
      </c>
      <c r="L69" s="268">
        <f t="shared" si="89"/>
        <v>179.79623039497426</v>
      </c>
      <c r="M69" s="268">
        <f t="shared" si="95"/>
        <v>30.935132421720812</v>
      </c>
      <c r="N69" s="268">
        <f t="shared" si="90"/>
        <v>3755.9432529510123</v>
      </c>
      <c r="O69" s="2"/>
      <c r="P69" s="203">
        <v>300</v>
      </c>
      <c r="Q69" s="204">
        <f t="shared" si="91"/>
        <v>172.41639255291454</v>
      </c>
      <c r="R69" s="204">
        <f t="shared" si="96"/>
        <v>29.886900133257644</v>
      </c>
      <c r="S69" s="204">
        <f t="shared" si="92"/>
        <v>3601.7784404303848</v>
      </c>
      <c r="T69" s="205"/>
      <c r="U69" s="206">
        <v>300</v>
      </c>
      <c r="V69" s="207">
        <f t="shared" si="93"/>
        <v>165.19234711948843</v>
      </c>
      <c r="W69" s="207">
        <f t="shared" si="97"/>
        <v>28.838990017698077</v>
      </c>
      <c r="X69" s="207">
        <f t="shared" si="94"/>
        <v>3450.8681313261136</v>
      </c>
      <c r="Y69" s="205"/>
      <c r="Z69" s="3">
        <v>107.5</v>
      </c>
      <c r="AA69" s="3" t="s">
        <v>94</v>
      </c>
      <c r="AB69" s="169">
        <v>0</v>
      </c>
      <c r="AC69" s="169">
        <v>12</v>
      </c>
      <c r="AD69" s="169">
        <v>50</v>
      </c>
      <c r="AE69" s="169">
        <v>100</v>
      </c>
      <c r="AF69" s="169">
        <v>400</v>
      </c>
      <c r="AG69" s="169"/>
      <c r="AH69" s="66">
        <f t="shared" si="43"/>
        <v>7.7535363561527539</v>
      </c>
      <c r="AI69" s="66">
        <f t="shared" si="44"/>
        <v>30.163944259467247</v>
      </c>
      <c r="AJ69" s="66">
        <f t="shared" si="45"/>
        <v>58.255800500821998</v>
      </c>
      <c r="AK69" s="66">
        <f t="shared" si="46"/>
        <v>208.61160346127286</v>
      </c>
      <c r="AL69" s="170"/>
      <c r="AM69" s="165">
        <f t="shared" si="47"/>
        <v>-1.1148215461577089</v>
      </c>
      <c r="AN69" s="165">
        <f t="shared" si="83"/>
        <v>-0.52483324420684507</v>
      </c>
      <c r="AO69" s="165">
        <f t="shared" si="84"/>
        <v>-0.23898219944800103</v>
      </c>
      <c r="AP69" s="165">
        <f t="shared" si="85"/>
        <v>0.31501708744617185</v>
      </c>
      <c r="AQ69" s="165"/>
      <c r="AR69" s="165">
        <f t="shared" si="49"/>
        <v>-0.92514012773501775</v>
      </c>
      <c r="AS69" s="165">
        <f t="shared" si="86"/>
        <v>-0.30535136944662378</v>
      </c>
      <c r="AT69" s="165">
        <f t="shared" si="87"/>
        <v>-4.3213737826425782E-3</v>
      </c>
      <c r="AU69" s="165">
        <f t="shared" si="88"/>
        <v>0.59773861754531976</v>
      </c>
      <c r="AV69" s="165"/>
      <c r="AW69" s="135">
        <f t="shared" si="53"/>
        <v>-0.15926856335474107</v>
      </c>
      <c r="AX69" s="135">
        <f t="shared" si="54"/>
        <v>-0.39090497559159576</v>
      </c>
      <c r="AY69" s="135">
        <f t="shared" si="55"/>
        <v>0.93937753154315484</v>
      </c>
      <c r="AZ69" s="135">
        <f t="shared" si="56"/>
        <v>0.57373102359820116</v>
      </c>
    </row>
    <row r="70" spans="1:52" ht="20.10000000000000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67">
        <v>400</v>
      </c>
      <c r="L70" s="268">
        <f t="shared" si="89"/>
        <v>235.32777938727497</v>
      </c>
      <c r="M70" s="268">
        <f t="shared" si="95"/>
        <v>30.469126968062394</v>
      </c>
      <c r="N70" s="268">
        <f t="shared" si="90"/>
        <v>4915.9973114001741</v>
      </c>
      <c r="O70" s="2"/>
      <c r="P70" s="203">
        <v>400</v>
      </c>
      <c r="Q70" s="204">
        <f t="shared" si="91"/>
        <v>225.64082958536659</v>
      </c>
      <c r="R70" s="204">
        <f t="shared" si="96"/>
        <v>29.427435099395844</v>
      </c>
      <c r="S70" s="204">
        <f t="shared" si="92"/>
        <v>4713.6369300383085</v>
      </c>
      <c r="T70" s="205"/>
      <c r="U70" s="206">
        <v>400</v>
      </c>
      <c r="V70" s="207">
        <f t="shared" si="93"/>
        <v>216.15426181579267</v>
      </c>
      <c r="W70" s="207">
        <f t="shared" si="97"/>
        <v>28.38615129067032</v>
      </c>
      <c r="X70" s="207">
        <f t="shared" si="94"/>
        <v>4515.4625293319086</v>
      </c>
      <c r="Y70" s="205"/>
      <c r="Z70" s="3">
        <v>110</v>
      </c>
      <c r="AA70" s="3" t="s">
        <v>94</v>
      </c>
      <c r="AB70" s="169">
        <v>0</v>
      </c>
      <c r="AC70" s="169">
        <v>12</v>
      </c>
      <c r="AD70" s="169">
        <v>50</v>
      </c>
      <c r="AE70" s="169">
        <v>100</v>
      </c>
      <c r="AF70" s="169">
        <v>400</v>
      </c>
      <c r="AG70" s="169"/>
      <c r="AH70" s="66">
        <f t="shared" si="43"/>
        <v>7.737834875853804</v>
      </c>
      <c r="AI70" s="66">
        <f t="shared" si="44"/>
        <v>30.085586018443074</v>
      </c>
      <c r="AJ70" s="66">
        <f t="shared" si="45"/>
        <v>58.092101115364102</v>
      </c>
      <c r="AK70" s="66">
        <f t="shared" si="46"/>
        <v>207.26534067686035</v>
      </c>
      <c r="AL70" s="170"/>
      <c r="AM70" s="165">
        <f t="shared" si="47"/>
        <v>-1.1157019160726145</v>
      </c>
      <c r="AN70" s="165">
        <f t="shared" si="83"/>
        <v>-0.52596289852011879</v>
      </c>
      <c r="AO70" s="165">
        <f t="shared" si="84"/>
        <v>-0.24020428915860428</v>
      </c>
      <c r="AP70" s="165">
        <f t="shared" si="85"/>
        <v>0.31220531079429537</v>
      </c>
      <c r="AQ70" s="165"/>
      <c r="AR70" s="165">
        <f t="shared" si="49"/>
        <v>-0.92514012773501775</v>
      </c>
      <c r="AS70" s="165">
        <f t="shared" si="86"/>
        <v>-0.30535136944662378</v>
      </c>
      <c r="AT70" s="165">
        <f t="shared" si="87"/>
        <v>-4.3213737826425782E-3</v>
      </c>
      <c r="AU70" s="165">
        <f t="shared" si="88"/>
        <v>0.59773861754531976</v>
      </c>
      <c r="AV70" s="165"/>
      <c r="AW70" s="135">
        <f t="shared" si="53"/>
        <v>-0.15926856335474107</v>
      </c>
      <c r="AX70" s="135">
        <f t="shared" si="54"/>
        <v>-0.39241594823926051</v>
      </c>
      <c r="AY70" s="135">
        <f t="shared" si="55"/>
        <v>0.93815042742355381</v>
      </c>
      <c r="AZ70" s="135">
        <f t="shared" si="56"/>
        <v>0.57148116651529746</v>
      </c>
    </row>
    <row r="71" spans="1:52" ht="21" customHeight="1" thickBo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>
        <v>112.5</v>
      </c>
      <c r="AA71" s="3" t="s">
        <v>94</v>
      </c>
      <c r="AB71" s="169">
        <v>0</v>
      </c>
      <c r="AC71" s="169">
        <v>12</v>
      </c>
      <c r="AD71" s="169">
        <v>50</v>
      </c>
      <c r="AE71" s="169">
        <v>100</v>
      </c>
      <c r="AF71" s="169">
        <v>400</v>
      </c>
      <c r="AG71" s="169"/>
      <c r="AH71" s="66">
        <f t="shared" ref="AH71:AH92" si="98">AC71*TAN(RADIANS(($R$15+$S$15*(Z71)+$T$15*(Z71)^2)))</f>
        <v>7.7230171018584972</v>
      </c>
      <c r="AI71" s="66">
        <f t="shared" ref="AI71:AI92" si="99">AD71*TAN(RADIANS(($R$16+$S$16*(Z71)+$T$16*(Z71)^2)))</f>
        <v>30.010473480317174</v>
      </c>
      <c r="AJ71" s="66">
        <f t="shared" ref="AJ71:AJ92" si="100">AE71*TAN(RADIANS(($R$17+$S$17*(Z71)+$T$17*(Z71)^2)))</f>
        <v>57.936623696547073</v>
      </c>
      <c r="AK71" s="66">
        <f t="shared" ref="AK71:AK92" si="101">AF71*TAN(RADIANS(($R$18+$S$18*(Z71)+$T$18*(Z71)^2+$U$18*(Z71)^3)))</f>
        <v>205.94015428801833</v>
      </c>
      <c r="AL71" s="170"/>
      <c r="AM71" s="165">
        <f t="shared" ref="AM71:AM92" si="102">LOG(AH71/101)</f>
        <v>-1.1165343772409755</v>
      </c>
      <c r="AN71" s="165">
        <f t="shared" ref="AN71:AN92" si="103">LOG(AI71/101)</f>
        <v>-0.52704852636622379</v>
      </c>
      <c r="AO71" s="165">
        <f t="shared" ref="AO71:AO92" si="104">LOG(AJ71/101)</f>
        <v>-0.24136819103853097</v>
      </c>
      <c r="AP71" s="165">
        <f t="shared" ref="AP71:AP92" si="105">LOG(AK71/101)</f>
        <v>0.30941965999172749</v>
      </c>
      <c r="AQ71" s="165"/>
      <c r="AR71" s="165">
        <f t="shared" ref="AR71:AR92" si="106">LOG(AC71/101)</f>
        <v>-0.92514012773501775</v>
      </c>
      <c r="AS71" s="165">
        <f t="shared" ref="AS71:AS92" si="107">LOG(AD71/101)</f>
        <v>-0.30535136944662378</v>
      </c>
      <c r="AT71" s="165">
        <f t="shared" ref="AT71:AT92" si="108">LOG(AE71/101)</f>
        <v>-4.3213737826425782E-3</v>
      </c>
      <c r="AU71" s="165">
        <f t="shared" ref="AU71:AU92" si="109">LOG(AF71/101)</f>
        <v>0.59773861754531976</v>
      </c>
      <c r="AV71" s="165"/>
      <c r="AW71" s="135">
        <f t="shared" ref="AW71:AW92" si="110">AVERAGE(AR71:AU71)</f>
        <v>-0.15926856335474107</v>
      </c>
      <c r="AX71" s="135">
        <f t="shared" ref="AX71:AX92" si="111">AVERAGE(AM71:AP71)</f>
        <v>-0.3938828586635007</v>
      </c>
      <c r="AY71" s="135">
        <f t="shared" ref="AY71:AY92" si="112">((AR71-AW71)*(AM71-AX71)+(AS71-AW71)*(AN71-AX71)+(AT71-AW71)*(AO71-AX71)+(AU71-AW71)*(AP71-AX71))/((AR71-AW71)^2+(AS71-AW71)^2+(AT71-AW71)^2+(AU71-AW71)^2)</f>
        <v>0.93691143090444895</v>
      </c>
      <c r="AZ71" s="135">
        <f t="shared" ref="AZ71:AZ92" si="113">10^(AX71-(AY71*AW71))</f>
        <v>0.56929540560002012</v>
      </c>
    </row>
    <row r="72" spans="1:52" ht="20.10000000000000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349" t="s">
        <v>103</v>
      </c>
      <c r="L72" s="350"/>
      <c r="M72" s="350"/>
      <c r="N72" s="351"/>
      <c r="O72" s="2"/>
      <c r="P72" s="366" t="s">
        <v>90</v>
      </c>
      <c r="Q72" s="367"/>
      <c r="R72" s="367"/>
      <c r="S72" s="368"/>
      <c r="T72" s="131"/>
      <c r="U72" s="372" t="s">
        <v>98</v>
      </c>
      <c r="V72" s="373"/>
      <c r="W72" s="373"/>
      <c r="X72" s="374"/>
      <c r="Y72" s="131"/>
      <c r="Z72" s="3">
        <v>115</v>
      </c>
      <c r="AA72" s="3" t="s">
        <v>94</v>
      </c>
      <c r="AB72" s="169">
        <v>0</v>
      </c>
      <c r="AC72" s="169">
        <v>12</v>
      </c>
      <c r="AD72" s="169">
        <v>50</v>
      </c>
      <c r="AE72" s="169">
        <v>100</v>
      </c>
      <c r="AF72" s="169">
        <v>400</v>
      </c>
      <c r="AG72" s="169"/>
      <c r="AH72" s="66">
        <f t="shared" si="98"/>
        <v>7.7090800637780852</v>
      </c>
      <c r="AI72" s="66">
        <f t="shared" si="99"/>
        <v>29.938593768941267</v>
      </c>
      <c r="AJ72" s="66">
        <f t="shared" si="100"/>
        <v>57.789335021551835</v>
      </c>
      <c r="AK72" s="66">
        <f t="shared" si="101"/>
        <v>204.63587055331817</v>
      </c>
      <c r="AL72" s="170"/>
      <c r="AM72" s="165">
        <f t="shared" si="102"/>
        <v>-1.1173188176592845</v>
      </c>
      <c r="AN72" s="165">
        <f t="shared" si="103"/>
        <v>-0.52808997633044341</v>
      </c>
      <c r="AO72" s="165">
        <f t="shared" si="104"/>
        <v>-0.24247367668833422</v>
      </c>
      <c r="AP72" s="165">
        <f t="shared" si="105"/>
        <v>0.30666038960094893</v>
      </c>
      <c r="AQ72" s="165"/>
      <c r="AR72" s="165">
        <f t="shared" si="106"/>
        <v>-0.92514012773501775</v>
      </c>
      <c r="AS72" s="165">
        <f t="shared" si="107"/>
        <v>-0.30535136944662378</v>
      </c>
      <c r="AT72" s="165">
        <f t="shared" si="108"/>
        <v>-4.3213737826425782E-3</v>
      </c>
      <c r="AU72" s="165">
        <f t="shared" si="109"/>
        <v>0.59773861754531976</v>
      </c>
      <c r="AV72" s="165"/>
      <c r="AW72" s="135">
        <f t="shared" si="110"/>
        <v>-0.15926856335474107</v>
      </c>
      <c r="AX72" s="135">
        <f t="shared" si="111"/>
        <v>-0.39530552026927829</v>
      </c>
      <c r="AY72" s="135">
        <f t="shared" si="112"/>
        <v>0.93566064173628671</v>
      </c>
      <c r="AZ72" s="135">
        <f t="shared" si="113"/>
        <v>0.56717333647143386</v>
      </c>
    </row>
    <row r="73" spans="1:52" ht="22.5" customHeight="1" thickBot="1" x14ac:dyDescent="0.4">
      <c r="A73" s="2"/>
      <c r="B73" s="2"/>
      <c r="C73" s="2"/>
      <c r="D73" s="178"/>
      <c r="E73" s="178"/>
      <c r="F73" s="178"/>
      <c r="G73" s="2"/>
      <c r="H73" s="2"/>
      <c r="I73" s="100"/>
      <c r="J73" s="2"/>
      <c r="K73" s="352"/>
      <c r="L73" s="353"/>
      <c r="M73" s="353"/>
      <c r="N73" s="354"/>
      <c r="O73" s="2"/>
      <c r="P73" s="369"/>
      <c r="Q73" s="370"/>
      <c r="R73" s="370"/>
      <c r="S73" s="371"/>
      <c r="T73" s="131"/>
      <c r="U73" s="375"/>
      <c r="V73" s="376"/>
      <c r="W73" s="376"/>
      <c r="X73" s="377"/>
      <c r="Y73" s="131"/>
      <c r="Z73" s="3">
        <v>117.5</v>
      </c>
      <c r="AA73" s="3" t="s">
        <v>94</v>
      </c>
      <c r="AB73" s="169">
        <v>0</v>
      </c>
      <c r="AC73" s="169">
        <v>12</v>
      </c>
      <c r="AD73" s="169">
        <v>50</v>
      </c>
      <c r="AE73" s="169">
        <v>100</v>
      </c>
      <c r="AF73" s="169">
        <v>400</v>
      </c>
      <c r="AG73" s="169"/>
      <c r="AH73" s="66">
        <f t="shared" si="98"/>
        <v>7.6960209783774429</v>
      </c>
      <c r="AI73" s="66">
        <f t="shared" si="99"/>
        <v>29.869934622317253</v>
      </c>
      <c r="AJ73" s="66">
        <f t="shared" si="100"/>
        <v>57.650203779563384</v>
      </c>
      <c r="AK73" s="66">
        <f t="shared" si="101"/>
        <v>203.35232037052299</v>
      </c>
      <c r="AL73" s="170"/>
      <c r="AM73" s="165">
        <f t="shared" si="102"/>
        <v>-1.1180551309195772</v>
      </c>
      <c r="AN73" s="165">
        <f t="shared" si="103"/>
        <v>-0.52908710173753437</v>
      </c>
      <c r="AO73" s="165">
        <f t="shared" si="104"/>
        <v>-0.24352052702298305</v>
      </c>
      <c r="AP73" s="165">
        <f t="shared" si="105"/>
        <v>0.30392775854372589</v>
      </c>
      <c r="AQ73" s="165"/>
      <c r="AR73" s="165">
        <f t="shared" si="106"/>
        <v>-0.92514012773501775</v>
      </c>
      <c r="AS73" s="165">
        <f t="shared" si="107"/>
        <v>-0.30535136944662378</v>
      </c>
      <c r="AT73" s="165">
        <f t="shared" si="108"/>
        <v>-4.3213737826425782E-3</v>
      </c>
      <c r="AU73" s="165">
        <f t="shared" si="109"/>
        <v>0.59773861754531976</v>
      </c>
      <c r="AV73" s="165"/>
      <c r="AW73" s="135">
        <f t="shared" si="110"/>
        <v>-0.15926856335474107</v>
      </c>
      <c r="AX73" s="135">
        <f t="shared" si="111"/>
        <v>-0.39668375028409214</v>
      </c>
      <c r="AY73" s="135">
        <f t="shared" si="112"/>
        <v>0.93439816534152376</v>
      </c>
      <c r="AZ73" s="135">
        <f t="shared" si="113"/>
        <v>0.56511456807739258</v>
      </c>
    </row>
    <row r="74" spans="1:52" ht="19.350000000000001" customHeight="1" x14ac:dyDescent="0.3">
      <c r="A74" s="2"/>
      <c r="B74" s="2"/>
      <c r="C74" s="422" t="s">
        <v>88</v>
      </c>
      <c r="D74" s="423"/>
      <c r="E74" s="423"/>
      <c r="F74" s="423"/>
      <c r="G74" s="423"/>
      <c r="H74" s="423"/>
      <c r="I74" s="423"/>
      <c r="J74" s="2"/>
      <c r="K74" s="355" t="s">
        <v>31</v>
      </c>
      <c r="L74" s="356"/>
      <c r="M74" s="147"/>
      <c r="N74" s="148"/>
      <c r="O74" s="2"/>
      <c r="P74" s="355" t="s">
        <v>31</v>
      </c>
      <c r="Q74" s="356"/>
      <c r="R74" s="147"/>
      <c r="S74" s="148"/>
      <c r="T74" s="131"/>
      <c r="U74" s="341" t="s">
        <v>31</v>
      </c>
      <c r="V74" s="342"/>
      <c r="W74" s="147"/>
      <c r="X74" s="148"/>
      <c r="Y74" s="2"/>
      <c r="Z74" s="3">
        <v>120</v>
      </c>
      <c r="AA74" s="3" t="s">
        <v>94</v>
      </c>
      <c r="AB74" s="169">
        <v>0</v>
      </c>
      <c r="AC74" s="169">
        <v>12</v>
      </c>
      <c r="AD74" s="169">
        <v>50</v>
      </c>
      <c r="AE74" s="169">
        <v>100</v>
      </c>
      <c r="AF74" s="169">
        <v>400</v>
      </c>
      <c r="AG74" s="169"/>
      <c r="AH74" s="66">
        <f t="shared" si="98"/>
        <v>7.683837247060028</v>
      </c>
      <c r="AI74" s="66">
        <f t="shared" si="99"/>
        <v>29.804484382504409</v>
      </c>
      <c r="AJ74" s="66">
        <f t="shared" si="100"/>
        <v>57.519200538561385</v>
      </c>
      <c r="AK74" s="66">
        <f t="shared" si="101"/>
        <v>202.08933915645102</v>
      </c>
      <c r="AL74" s="170"/>
      <c r="AM74" s="165">
        <f t="shared" si="102"/>
        <v>-1.118743216376473</v>
      </c>
      <c r="AN74" s="165">
        <f t="shared" si="103"/>
        <v>-0.53003976084546656</v>
      </c>
      <c r="AO74" s="165">
        <f t="shared" si="104"/>
        <v>-0.24450853264050337</v>
      </c>
      <c r="AP74" s="165">
        <f t="shared" si="105"/>
        <v>0.30122202994718072</v>
      </c>
      <c r="AQ74" s="165"/>
      <c r="AR74" s="165">
        <f t="shared" si="106"/>
        <v>-0.92514012773501775</v>
      </c>
      <c r="AS74" s="165">
        <f t="shared" si="107"/>
        <v>-0.30535136944662378</v>
      </c>
      <c r="AT74" s="165">
        <f t="shared" si="108"/>
        <v>-4.3213737826425782E-3</v>
      </c>
      <c r="AU74" s="165">
        <f t="shared" si="109"/>
        <v>0.59773861754531976</v>
      </c>
      <c r="AV74" s="165"/>
      <c r="AW74" s="135">
        <f t="shared" si="110"/>
        <v>-0.15926856335474107</v>
      </c>
      <c r="AX74" s="135">
        <f t="shared" si="111"/>
        <v>-0.39801736997881554</v>
      </c>
      <c r="AY74" s="135">
        <f t="shared" si="112"/>
        <v>0.93312411280017782</v>
      </c>
      <c r="AZ74" s="135">
        <f t="shared" si="113"/>
        <v>0.56311872243455441</v>
      </c>
    </row>
    <row r="75" spans="1:52" ht="19.350000000000001" customHeight="1" x14ac:dyDescent="0.3">
      <c r="A75" s="2"/>
      <c r="B75" s="2"/>
      <c r="C75" s="423"/>
      <c r="D75" s="423"/>
      <c r="E75" s="423"/>
      <c r="F75" s="423"/>
      <c r="G75" s="423"/>
      <c r="H75" s="423"/>
      <c r="I75" s="423"/>
      <c r="J75" s="2"/>
      <c r="K75" s="149" t="s">
        <v>32</v>
      </c>
      <c r="L75" s="94" t="s">
        <v>33</v>
      </c>
      <c r="M75" s="131"/>
      <c r="N75" s="148"/>
      <c r="O75" s="2"/>
      <c r="P75" s="149" t="s">
        <v>32</v>
      </c>
      <c r="Q75" s="94" t="s">
        <v>33</v>
      </c>
      <c r="R75" s="131"/>
      <c r="S75" s="148"/>
      <c r="T75" s="131"/>
      <c r="U75" s="149" t="s">
        <v>32</v>
      </c>
      <c r="V75" s="94" t="s">
        <v>33</v>
      </c>
      <c r="W75" s="131"/>
      <c r="X75" s="148"/>
      <c r="Y75" s="2"/>
      <c r="Z75" s="3">
        <v>122.5</v>
      </c>
      <c r="AA75" s="3" t="s">
        <v>94</v>
      </c>
      <c r="AB75" s="169">
        <v>0</v>
      </c>
      <c r="AC75" s="169">
        <v>12</v>
      </c>
      <c r="AD75" s="169">
        <v>50</v>
      </c>
      <c r="AE75" s="169">
        <v>100</v>
      </c>
      <c r="AF75" s="169">
        <v>400</v>
      </c>
      <c r="AG75" s="169"/>
      <c r="AH75" s="66">
        <f t="shared" si="98"/>
        <v>7.6725264535250073</v>
      </c>
      <c r="AI75" s="66">
        <f t="shared" si="99"/>
        <v>29.742231986048523</v>
      </c>
      <c r="AJ75" s="66">
        <f t="shared" si="100"/>
        <v>57.396297714180896</v>
      </c>
      <c r="AK75" s="66">
        <f t="shared" si="101"/>
        <v>200.84676673061321</v>
      </c>
      <c r="AL75" s="170"/>
      <c r="AM75" s="165">
        <f t="shared" si="102"/>
        <v>-1.1193829793050278</v>
      </c>
      <c r="AN75" s="165">
        <f t="shared" si="103"/>
        <v>-0.53094781703275495</v>
      </c>
      <c r="AO75" s="165">
        <f t="shared" si="104"/>
        <v>-0.24543749417487642</v>
      </c>
      <c r="AP75" s="165">
        <f t="shared" si="105"/>
        <v>0.29854347098628936</v>
      </c>
      <c r="AQ75" s="165"/>
      <c r="AR75" s="165">
        <f t="shared" si="106"/>
        <v>-0.92514012773501775</v>
      </c>
      <c r="AS75" s="165">
        <f t="shared" si="107"/>
        <v>-0.30535136944662378</v>
      </c>
      <c r="AT75" s="165">
        <f t="shared" si="108"/>
        <v>-4.3213737826425782E-3</v>
      </c>
      <c r="AU75" s="165">
        <f t="shared" si="109"/>
        <v>0.59773861754531976</v>
      </c>
      <c r="AV75" s="165"/>
      <c r="AW75" s="135">
        <f t="shared" si="110"/>
        <v>-0.15926856335474107</v>
      </c>
      <c r="AX75" s="135">
        <f t="shared" si="111"/>
        <v>-0.39930620488159246</v>
      </c>
      <c r="AY75" s="135">
        <f t="shared" si="112"/>
        <v>0.9318386008285392</v>
      </c>
      <c r="AZ75" s="135">
        <f t="shared" si="113"/>
        <v>0.56118543438234603</v>
      </c>
    </row>
    <row r="76" spans="1:52" ht="19.350000000000001" customHeight="1" x14ac:dyDescent="0.3">
      <c r="A76" s="2"/>
      <c r="B76" s="2"/>
      <c r="C76" s="423"/>
      <c r="D76" s="423"/>
      <c r="E76" s="423"/>
      <c r="F76" s="423"/>
      <c r="G76" s="423"/>
      <c r="H76" s="423"/>
      <c r="I76" s="423"/>
      <c r="J76" s="2"/>
      <c r="K76" s="283">
        <f>V45</f>
        <v>0.48890672038503852</v>
      </c>
      <c r="L76" s="282">
        <f>U45</f>
        <v>0.89203190971541346</v>
      </c>
      <c r="M76" s="131"/>
      <c r="N76" s="152"/>
      <c r="O76" s="2"/>
      <c r="P76" s="283">
        <f>V46</f>
        <v>0.46557826417466619</v>
      </c>
      <c r="Q76" s="282">
        <f>U46</f>
        <v>0.88292293641356401</v>
      </c>
      <c r="R76" s="131"/>
      <c r="S76" s="152"/>
      <c r="T76" s="131"/>
      <c r="U76" s="283">
        <f>V47</f>
        <v>0.44260653591084975</v>
      </c>
      <c r="V76" s="282">
        <f>U47</f>
        <v>0.87290935904280409</v>
      </c>
      <c r="W76" s="131"/>
      <c r="X76" s="152"/>
      <c r="Y76" s="2"/>
      <c r="Z76" s="3">
        <v>125</v>
      </c>
      <c r="AA76" s="3" t="s">
        <v>94</v>
      </c>
      <c r="AB76" s="169">
        <v>0</v>
      </c>
      <c r="AC76" s="169">
        <v>12</v>
      </c>
      <c r="AD76" s="169">
        <v>50</v>
      </c>
      <c r="AE76" s="169">
        <v>100</v>
      </c>
      <c r="AF76" s="169">
        <v>400</v>
      </c>
      <c r="AG76" s="169"/>
      <c r="AH76" s="66">
        <f t="shared" si="98"/>
        <v>7.6620863615933787</v>
      </c>
      <c r="AI76" s="66">
        <f t="shared" si="99"/>
        <v>29.683166954921386</v>
      </c>
      <c r="AJ76" s="66">
        <f t="shared" si="100"/>
        <v>57.281469540596319</v>
      </c>
      <c r="AK76" s="66">
        <f t="shared" si="101"/>
        <v>199.62444720249172</v>
      </c>
      <c r="AL76" s="170"/>
      <c r="AM76" s="165">
        <f t="shared" si="102"/>
        <v>-1.1199743310491728</v>
      </c>
      <c r="AN76" s="165">
        <f t="shared" si="103"/>
        <v>-0.53181113897913657</v>
      </c>
      <c r="AO76" s="165">
        <f t="shared" si="104"/>
        <v>-0.24630722263254229</v>
      </c>
      <c r="AP76" s="165">
        <f t="shared" si="105"/>
        <v>0.29589235272274533</v>
      </c>
      <c r="AQ76" s="165"/>
      <c r="AR76" s="165">
        <f t="shared" si="106"/>
        <v>-0.92514012773501775</v>
      </c>
      <c r="AS76" s="165">
        <f t="shared" si="107"/>
        <v>-0.30535136944662378</v>
      </c>
      <c r="AT76" s="165">
        <f t="shared" si="108"/>
        <v>-4.3213737826425782E-3</v>
      </c>
      <c r="AU76" s="165">
        <f t="shared" si="109"/>
        <v>0.59773861754531976</v>
      </c>
      <c r="AV76" s="165"/>
      <c r="AW76" s="135">
        <f t="shared" si="110"/>
        <v>-0.15926856335474107</v>
      </c>
      <c r="AX76" s="135">
        <f t="shared" si="111"/>
        <v>-0.4005500849845266</v>
      </c>
      <c r="AY76" s="135">
        <f t="shared" si="112"/>
        <v>0.93054175175092024</v>
      </c>
      <c r="AZ76" s="135">
        <f t="shared" si="113"/>
        <v>0.55931435135050611</v>
      </c>
    </row>
    <row r="77" spans="1:52" ht="21.9" customHeight="1" x14ac:dyDescent="0.3">
      <c r="A77" s="2"/>
      <c r="B77" s="2"/>
      <c r="C77" s="423"/>
      <c r="D77" s="423"/>
      <c r="E77" s="423"/>
      <c r="F77" s="423"/>
      <c r="G77" s="423"/>
      <c r="H77" s="423"/>
      <c r="I77" s="423"/>
      <c r="J77" s="2"/>
      <c r="K77" s="150" t="s">
        <v>34</v>
      </c>
      <c r="L77" s="96" t="s">
        <v>35</v>
      </c>
      <c r="M77" s="97" t="s">
        <v>36</v>
      </c>
      <c r="N77" s="151" t="s">
        <v>79</v>
      </c>
      <c r="O77" s="2"/>
      <c r="P77" s="150" t="s">
        <v>34</v>
      </c>
      <c r="Q77" s="96" t="s">
        <v>35</v>
      </c>
      <c r="R77" s="97" t="s">
        <v>36</v>
      </c>
      <c r="S77" s="151" t="s">
        <v>79</v>
      </c>
      <c r="T77" s="131"/>
      <c r="U77" s="150" t="s">
        <v>34</v>
      </c>
      <c r="V77" s="96" t="s">
        <v>35</v>
      </c>
      <c r="W77" s="97" t="s">
        <v>36</v>
      </c>
      <c r="X77" s="151" t="s">
        <v>79</v>
      </c>
      <c r="Y77" s="2"/>
      <c r="Z77" s="3">
        <v>127.5</v>
      </c>
      <c r="AA77" s="3" t="s">
        <v>94</v>
      </c>
      <c r="AB77" s="169">
        <v>0</v>
      </c>
      <c r="AC77" s="169">
        <v>12</v>
      </c>
      <c r="AD77" s="169">
        <v>50</v>
      </c>
      <c r="AE77" s="169">
        <v>100</v>
      </c>
      <c r="AF77" s="169">
        <v>400</v>
      </c>
      <c r="AG77" s="169"/>
      <c r="AH77" s="66">
        <f t="shared" si="98"/>
        <v>7.6525149132001058</v>
      </c>
      <c r="AI77" s="66">
        <f t="shared" si="99"/>
        <v>29.627279387959771</v>
      </c>
      <c r="AJ77" s="66">
        <f t="shared" si="100"/>
        <v>57.174692043384198</v>
      </c>
      <c r="AK77" s="66">
        <f t="shared" si="101"/>
        <v>198.4222288623352</v>
      </c>
      <c r="AL77" s="170"/>
      <c r="AM77" s="165">
        <f t="shared" si="102"/>
        <v>-1.1205171891605488</v>
      </c>
      <c r="AN77" s="165">
        <f t="shared" si="103"/>
        <v>-0.5326296008393554</v>
      </c>
      <c r="AO77" s="165">
        <f t="shared" si="104"/>
        <v>-0.24711753971188616</v>
      </c>
      <c r="AP77" s="165">
        <f t="shared" si="105"/>
        <v>0.29326894994014713</v>
      </c>
      <c r="AQ77" s="165"/>
      <c r="AR77" s="165">
        <f t="shared" si="106"/>
        <v>-0.92514012773501775</v>
      </c>
      <c r="AS77" s="165">
        <f t="shared" si="107"/>
        <v>-0.30535136944662378</v>
      </c>
      <c r="AT77" s="165">
        <f t="shared" si="108"/>
        <v>-4.3213737826425782E-3</v>
      </c>
      <c r="AU77" s="165">
        <f t="shared" si="109"/>
        <v>0.59773861754531976</v>
      </c>
      <c r="AV77" s="165"/>
      <c r="AW77" s="135">
        <f t="shared" si="110"/>
        <v>-0.15926856335474107</v>
      </c>
      <c r="AX77" s="135">
        <f t="shared" si="111"/>
        <v>-0.4017488449429108</v>
      </c>
      <c r="AY77" s="135">
        <f t="shared" si="112"/>
        <v>0.9292336934643407</v>
      </c>
      <c r="AZ77" s="135">
        <f t="shared" si="113"/>
        <v>0.55750513313984207</v>
      </c>
    </row>
    <row r="78" spans="1:52" ht="21.9" customHeight="1" x14ac:dyDescent="0.3">
      <c r="A78" s="2"/>
      <c r="B78" s="2"/>
      <c r="C78" s="423"/>
      <c r="D78" s="423"/>
      <c r="E78" s="423"/>
      <c r="F78" s="423"/>
      <c r="G78" s="423"/>
      <c r="H78" s="423"/>
      <c r="I78" s="423"/>
      <c r="J78" s="2"/>
      <c r="K78" s="269">
        <v>0</v>
      </c>
      <c r="L78" s="270">
        <v>0</v>
      </c>
      <c r="M78" s="270">
        <v>0</v>
      </c>
      <c r="N78" s="271">
        <f>L78*20.89</f>
        <v>0</v>
      </c>
      <c r="O78" s="2"/>
      <c r="P78" s="191">
        <v>0</v>
      </c>
      <c r="Q78" s="192">
        <v>0</v>
      </c>
      <c r="R78" s="192">
        <v>0</v>
      </c>
      <c r="S78" s="193">
        <f>Q78*20.89</f>
        <v>0</v>
      </c>
      <c r="T78" s="131"/>
      <c r="U78" s="194">
        <v>0</v>
      </c>
      <c r="V78" s="195">
        <v>0</v>
      </c>
      <c r="W78" s="195">
        <v>0</v>
      </c>
      <c r="X78" s="196">
        <f>V78*20.89</f>
        <v>0</v>
      </c>
      <c r="Y78" s="2"/>
      <c r="AB78" s="169"/>
      <c r="AC78" s="169"/>
      <c r="AD78" s="169"/>
      <c r="AE78" s="169"/>
      <c r="AF78" s="169"/>
      <c r="AG78" s="169"/>
      <c r="AH78" s="66"/>
      <c r="AI78" s="66"/>
      <c r="AJ78" s="66"/>
      <c r="AK78" s="66"/>
      <c r="AL78" s="170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35"/>
      <c r="AX78" s="135"/>
      <c r="AY78" s="135"/>
      <c r="AZ78" s="135"/>
    </row>
    <row r="79" spans="1:52" ht="21.9" customHeight="1" x14ac:dyDescent="0.3">
      <c r="A79" s="2"/>
      <c r="B79" s="2"/>
      <c r="C79" s="423"/>
      <c r="D79" s="423"/>
      <c r="E79" s="423"/>
      <c r="F79" s="423"/>
      <c r="G79" s="423"/>
      <c r="H79" s="423"/>
      <c r="I79" s="423"/>
      <c r="J79" s="2"/>
      <c r="K79" s="269">
        <v>5</v>
      </c>
      <c r="L79" s="270">
        <f t="shared" ref="L79:L87" si="114">K$76*101*(K79/101)^L$76</f>
        <v>3.3816784181869961</v>
      </c>
      <c r="M79" s="270">
        <f t="shared" ref="M79:M87" si="115">DEGREES(ATAN(L79/K79))</f>
        <v>34.071892122903165</v>
      </c>
      <c r="N79" s="271">
        <f t="shared" ref="N79:N87" si="116">L79*20.89</f>
        <v>70.643262155926351</v>
      </c>
      <c r="O79" s="2"/>
      <c r="P79" s="191">
        <v>5</v>
      </c>
      <c r="Q79" s="192">
        <f t="shared" ref="Q79:Q87" si="117">P$76*101*(P79/101)^Q$76</f>
        <v>3.3097059172931966</v>
      </c>
      <c r="R79" s="192">
        <f t="shared" ref="R79:R87" si="118">DEGREES(ATAN(Q79/P79))</f>
        <v>33.502216018327687</v>
      </c>
      <c r="S79" s="193">
        <f t="shared" ref="S79:S87" si="119">Q79*20.89</f>
        <v>69.139756612254885</v>
      </c>
      <c r="T79" s="131"/>
      <c r="U79" s="194">
        <v>5</v>
      </c>
      <c r="V79" s="195">
        <f t="shared" ref="V79:V87" si="120">U$76*101*(U79/101)^V$76</f>
        <v>3.2425431889032881</v>
      </c>
      <c r="W79" s="195">
        <f t="shared" ref="W79:W87" si="121">DEGREES(ATAN(V79/U79))</f>
        <v>32.963757186967094</v>
      </c>
      <c r="X79" s="196">
        <f t="shared" ref="X79:X87" si="122">V79*20.89</f>
        <v>67.736727216189692</v>
      </c>
      <c r="Y79" s="2"/>
      <c r="AB79" s="169"/>
      <c r="AC79" s="169"/>
      <c r="AD79" s="169"/>
      <c r="AE79" s="169"/>
      <c r="AF79" s="169"/>
      <c r="AG79" s="169"/>
      <c r="AH79" s="66"/>
      <c r="AI79" s="66"/>
      <c r="AJ79" s="66"/>
      <c r="AK79" s="66"/>
      <c r="AL79" s="170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35"/>
      <c r="AX79" s="135"/>
      <c r="AY79" s="135"/>
      <c r="AZ79" s="135"/>
    </row>
    <row r="80" spans="1:52" ht="21.9" customHeight="1" x14ac:dyDescent="0.3">
      <c r="A80" s="2"/>
      <c r="B80" s="2"/>
      <c r="C80" s="423"/>
      <c r="D80" s="423"/>
      <c r="E80" s="423"/>
      <c r="F80" s="423"/>
      <c r="G80" s="423"/>
      <c r="H80" s="423"/>
      <c r="I80" s="423"/>
      <c r="J80" s="2"/>
      <c r="K80" s="269">
        <v>10</v>
      </c>
      <c r="L80" s="270">
        <f t="shared" si="114"/>
        <v>6.2756782251093464</v>
      </c>
      <c r="M80" s="270">
        <f t="shared" si="115"/>
        <v>32.11105916486374</v>
      </c>
      <c r="N80" s="271">
        <f t="shared" si="116"/>
        <v>131.09891812253426</v>
      </c>
      <c r="O80" s="2"/>
      <c r="P80" s="191">
        <v>10</v>
      </c>
      <c r="Q80" s="192">
        <f t="shared" si="117"/>
        <v>6.1034542581113991</v>
      </c>
      <c r="R80" s="192">
        <f t="shared" si="118"/>
        <v>31.397613038607425</v>
      </c>
      <c r="S80" s="193">
        <f t="shared" si="119"/>
        <v>127.50115945194713</v>
      </c>
      <c r="T80" s="131"/>
      <c r="U80" s="194">
        <v>10</v>
      </c>
      <c r="V80" s="195">
        <f t="shared" si="120"/>
        <v>5.9382389589182907</v>
      </c>
      <c r="W80" s="195">
        <f t="shared" si="121"/>
        <v>30.702852800798663</v>
      </c>
      <c r="X80" s="196">
        <f t="shared" si="122"/>
        <v>124.0498118518031</v>
      </c>
      <c r="Y80" s="2"/>
      <c r="AB80" s="169"/>
      <c r="AC80" s="169"/>
      <c r="AD80" s="169"/>
      <c r="AE80" s="169"/>
      <c r="AF80" s="169"/>
      <c r="AG80" s="169"/>
      <c r="AH80" s="66"/>
      <c r="AI80" s="66"/>
      <c r="AJ80" s="66"/>
      <c r="AK80" s="66"/>
      <c r="AL80" s="170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35"/>
      <c r="AX80" s="135"/>
      <c r="AY80" s="135"/>
      <c r="AZ80" s="135"/>
    </row>
    <row r="81" spans="1:52" ht="21.9" customHeight="1" x14ac:dyDescent="0.35">
      <c r="A81" s="2"/>
      <c r="B81" s="2"/>
      <c r="C81" s="2"/>
      <c r="D81" s="178"/>
      <c r="E81" s="178"/>
      <c r="F81" s="178"/>
      <c r="G81" s="2"/>
      <c r="H81" s="2"/>
      <c r="I81" s="99"/>
      <c r="J81" s="2"/>
      <c r="K81" s="269">
        <v>25</v>
      </c>
      <c r="L81" s="270">
        <f t="shared" si="114"/>
        <v>14.211366956326684</v>
      </c>
      <c r="M81" s="270">
        <f t="shared" si="115"/>
        <v>29.61626775301476</v>
      </c>
      <c r="N81" s="271">
        <f t="shared" si="116"/>
        <v>296.87545571766441</v>
      </c>
      <c r="O81" s="2"/>
      <c r="P81" s="191">
        <v>25</v>
      </c>
      <c r="Q81" s="192">
        <f t="shared" si="117"/>
        <v>13.706483736596132</v>
      </c>
      <c r="R81" s="192">
        <f t="shared" si="118"/>
        <v>28.734167847949976</v>
      </c>
      <c r="S81" s="193">
        <f t="shared" si="119"/>
        <v>286.32844525749323</v>
      </c>
      <c r="T81" s="131"/>
      <c r="U81" s="194">
        <v>25</v>
      </c>
      <c r="V81" s="195">
        <f t="shared" si="120"/>
        <v>13.213663043398542</v>
      </c>
      <c r="W81" s="195">
        <f t="shared" si="121"/>
        <v>27.858535262307043</v>
      </c>
      <c r="X81" s="196">
        <f t="shared" si="122"/>
        <v>276.03342097659555</v>
      </c>
      <c r="Y81" s="2"/>
      <c r="AB81" s="169"/>
      <c r="AC81" s="169"/>
      <c r="AD81" s="169"/>
      <c r="AE81" s="169"/>
      <c r="AF81" s="169"/>
      <c r="AG81" s="169"/>
      <c r="AH81" s="66"/>
      <c r="AI81" s="66"/>
      <c r="AJ81" s="66"/>
      <c r="AK81" s="66"/>
      <c r="AL81" s="170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35"/>
      <c r="AX81" s="135"/>
      <c r="AY81" s="135"/>
      <c r="AZ81" s="135"/>
    </row>
    <row r="82" spans="1:52" ht="21.9" customHeight="1" x14ac:dyDescent="0.35">
      <c r="A82" s="2"/>
      <c r="B82" s="2"/>
      <c r="C82" s="2"/>
      <c r="D82" s="178"/>
      <c r="E82" s="178"/>
      <c r="F82" s="178"/>
      <c r="G82" s="2"/>
      <c r="H82" s="2"/>
      <c r="I82" s="99"/>
      <c r="J82" s="2"/>
      <c r="K82" s="269">
        <v>50</v>
      </c>
      <c r="L82" s="270">
        <f t="shared" si="114"/>
        <v>26.373284247611188</v>
      </c>
      <c r="M82" s="270">
        <f t="shared" si="115"/>
        <v>27.81010873106397</v>
      </c>
      <c r="N82" s="271">
        <f t="shared" si="116"/>
        <v>550.9379079325978</v>
      </c>
      <c r="O82" s="2"/>
      <c r="P82" s="191">
        <v>50</v>
      </c>
      <c r="Q82" s="192">
        <f t="shared" si="117"/>
        <v>25.276232576663514</v>
      </c>
      <c r="R82" s="192">
        <f t="shared" si="118"/>
        <v>26.817722539908807</v>
      </c>
      <c r="S82" s="193">
        <f t="shared" si="119"/>
        <v>528.02049852650077</v>
      </c>
      <c r="T82" s="131"/>
      <c r="U82" s="194">
        <v>50</v>
      </c>
      <c r="V82" s="195">
        <f t="shared" si="120"/>
        <v>24.198872336644875</v>
      </c>
      <c r="W82" s="195">
        <f t="shared" si="121"/>
        <v>25.825935162173163</v>
      </c>
      <c r="X82" s="196">
        <f t="shared" si="122"/>
        <v>505.51444311251146</v>
      </c>
      <c r="Y82" s="2"/>
      <c r="AB82" s="169"/>
      <c r="AC82" s="169"/>
      <c r="AD82" s="169"/>
      <c r="AE82" s="169"/>
      <c r="AF82" s="169"/>
      <c r="AG82" s="169"/>
      <c r="AH82" s="66"/>
      <c r="AI82" s="66"/>
      <c r="AJ82" s="66"/>
      <c r="AK82" s="66"/>
      <c r="AL82" s="170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35"/>
      <c r="AX82" s="135"/>
      <c r="AY82" s="135"/>
      <c r="AZ82" s="135"/>
    </row>
    <row r="83" spans="1:52" ht="21.9" customHeight="1" x14ac:dyDescent="0.3">
      <c r="A83" s="2"/>
      <c r="B83" s="2"/>
      <c r="C83" s="2"/>
      <c r="D83" s="99"/>
      <c r="E83" s="99"/>
      <c r="F83" s="335" t="s">
        <v>37</v>
      </c>
      <c r="G83" s="336"/>
      <c r="H83" s="2"/>
      <c r="I83" s="99"/>
      <c r="J83" s="2"/>
      <c r="K83" s="269">
        <v>100</v>
      </c>
      <c r="L83" s="270">
        <f t="shared" si="114"/>
        <v>48.943224402185187</v>
      </c>
      <c r="M83" s="270">
        <f t="shared" si="115"/>
        <v>26.078616352140376</v>
      </c>
      <c r="N83" s="271">
        <f t="shared" si="116"/>
        <v>1022.4239577616486</v>
      </c>
      <c r="O83" s="2"/>
      <c r="P83" s="191">
        <v>100</v>
      </c>
      <c r="Q83" s="192">
        <f t="shared" si="117"/>
        <v>46.612095818839634</v>
      </c>
      <c r="R83" s="192">
        <f t="shared" si="118"/>
        <v>24.991212823498326</v>
      </c>
      <c r="S83" s="193">
        <f t="shared" si="119"/>
        <v>973.72668165556001</v>
      </c>
      <c r="T83" s="131"/>
      <c r="U83" s="194">
        <v>100</v>
      </c>
      <c r="V83" s="195">
        <f t="shared" si="120"/>
        <v>44.316660750463988</v>
      </c>
      <c r="W83" s="195">
        <f t="shared" si="121"/>
        <v>23.901321971407381</v>
      </c>
      <c r="X83" s="196">
        <f t="shared" si="122"/>
        <v>925.77504307719278</v>
      </c>
      <c r="Y83" s="2"/>
      <c r="AB83" s="169"/>
      <c r="AC83" s="169"/>
      <c r="AD83" s="169"/>
      <c r="AE83" s="169"/>
      <c r="AF83" s="169"/>
      <c r="AG83" s="169"/>
      <c r="AH83" s="66"/>
      <c r="AI83" s="66"/>
      <c r="AJ83" s="66"/>
      <c r="AK83" s="66"/>
      <c r="AL83" s="170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35"/>
      <c r="AX83" s="135"/>
      <c r="AY83" s="135"/>
      <c r="AZ83" s="135"/>
    </row>
    <row r="84" spans="1:52" ht="21.9" customHeight="1" x14ac:dyDescent="0.3">
      <c r="A84" s="2"/>
      <c r="B84" s="2"/>
      <c r="C84" s="2"/>
      <c r="D84" s="337" t="s">
        <v>38</v>
      </c>
      <c r="E84" s="338"/>
      <c r="F84" s="101" t="s">
        <v>39</v>
      </c>
      <c r="G84" s="102" t="s">
        <v>40</v>
      </c>
      <c r="H84" s="2"/>
      <c r="I84" s="99"/>
      <c r="J84" s="2"/>
      <c r="K84" s="269">
        <v>200</v>
      </c>
      <c r="L84" s="270">
        <f t="shared" si="114"/>
        <v>90.828248480263781</v>
      </c>
      <c r="M84" s="270">
        <f t="shared" si="115"/>
        <v>24.4247579015803</v>
      </c>
      <c r="N84" s="271">
        <f t="shared" si="116"/>
        <v>1897.4021107527105</v>
      </c>
      <c r="O84" s="2"/>
      <c r="P84" s="191">
        <v>200</v>
      </c>
      <c r="Q84" s="192">
        <f t="shared" si="117"/>
        <v>85.957726098415407</v>
      </c>
      <c r="R84" s="192">
        <f t="shared" si="118"/>
        <v>23.257483264257139</v>
      </c>
      <c r="S84" s="193">
        <f t="shared" si="119"/>
        <v>1795.6568981958978</v>
      </c>
      <c r="T84" s="131"/>
      <c r="U84" s="194">
        <v>200</v>
      </c>
      <c r="V84" s="195">
        <f t="shared" si="120"/>
        <v>81.159419032003328</v>
      </c>
      <c r="W84" s="195">
        <f t="shared" si="121"/>
        <v>22.087171293829474</v>
      </c>
      <c r="X84" s="196">
        <f t="shared" si="122"/>
        <v>1695.4202635785496</v>
      </c>
      <c r="Y84" s="2"/>
      <c r="AB84" s="169"/>
      <c r="AC84" s="169"/>
      <c r="AD84" s="169"/>
      <c r="AE84" s="169"/>
      <c r="AF84" s="169"/>
      <c r="AG84" s="169"/>
      <c r="AH84" s="66"/>
      <c r="AI84" s="66"/>
      <c r="AJ84" s="66"/>
      <c r="AK84" s="66"/>
      <c r="AL84" s="170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35"/>
      <c r="AX84" s="135"/>
      <c r="AY84" s="135"/>
      <c r="AZ84" s="135"/>
    </row>
    <row r="85" spans="1:52" ht="21.9" customHeight="1" x14ac:dyDescent="0.3">
      <c r="A85" s="2"/>
      <c r="B85" s="2"/>
      <c r="C85" s="2"/>
      <c r="D85" s="337" t="s">
        <v>41</v>
      </c>
      <c r="E85" s="338"/>
      <c r="F85" s="103">
        <v>25</v>
      </c>
      <c r="G85" s="104">
        <v>80</v>
      </c>
      <c r="H85" s="2"/>
      <c r="I85" s="99"/>
      <c r="J85" s="2"/>
      <c r="K85" s="269">
        <v>300</v>
      </c>
      <c r="L85" s="270">
        <f t="shared" si="114"/>
        <v>130.40671695318807</v>
      </c>
      <c r="M85" s="270">
        <f t="shared" si="115"/>
        <v>23.494057545754472</v>
      </c>
      <c r="N85" s="271">
        <f t="shared" si="116"/>
        <v>2724.1963171520988</v>
      </c>
      <c r="O85" s="2"/>
      <c r="P85" s="191">
        <v>300</v>
      </c>
      <c r="Q85" s="192">
        <f t="shared" si="117"/>
        <v>122.95888882021706</v>
      </c>
      <c r="R85" s="192">
        <f t="shared" si="118"/>
        <v>22.286907102833222</v>
      </c>
      <c r="S85" s="193">
        <f t="shared" si="119"/>
        <v>2568.6111874543344</v>
      </c>
      <c r="T85" s="131"/>
      <c r="U85" s="194">
        <v>300</v>
      </c>
      <c r="V85" s="195">
        <f t="shared" si="120"/>
        <v>115.62470497483852</v>
      </c>
      <c r="W85" s="195">
        <f t="shared" si="121"/>
        <v>21.077445058722116</v>
      </c>
      <c r="X85" s="196">
        <f t="shared" si="122"/>
        <v>2415.4000869243769</v>
      </c>
      <c r="Y85" s="2"/>
      <c r="AB85" s="169"/>
      <c r="AC85" s="169"/>
      <c r="AD85" s="169"/>
      <c r="AE85" s="169"/>
      <c r="AF85" s="169"/>
      <c r="AG85" s="169"/>
      <c r="AH85" s="66"/>
      <c r="AI85" s="66"/>
      <c r="AJ85" s="66"/>
      <c r="AK85" s="66"/>
      <c r="AL85" s="170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35"/>
      <c r="AX85" s="135"/>
      <c r="AY85" s="135"/>
      <c r="AZ85" s="135"/>
    </row>
    <row r="86" spans="1:52" ht="21.9" customHeight="1" x14ac:dyDescent="0.3">
      <c r="A86" s="2"/>
      <c r="B86" s="2"/>
      <c r="C86" s="2"/>
      <c r="D86" s="337" t="s">
        <v>42</v>
      </c>
      <c r="E86" s="338"/>
      <c r="F86" s="103">
        <v>35</v>
      </c>
      <c r="G86" s="104">
        <v>130</v>
      </c>
      <c r="H86" s="2"/>
      <c r="I86" s="99"/>
      <c r="J86" s="2"/>
      <c r="K86" s="269">
        <v>400</v>
      </c>
      <c r="L86" s="270">
        <f t="shared" si="114"/>
        <v>168.55797350417745</v>
      </c>
      <c r="M86" s="270">
        <f t="shared" si="115"/>
        <v>22.85031120126224</v>
      </c>
      <c r="N86" s="271">
        <f t="shared" si="116"/>
        <v>3521.1760665022671</v>
      </c>
      <c r="O86" s="2"/>
      <c r="P86" s="191">
        <v>400</v>
      </c>
      <c r="Q86" s="192">
        <f t="shared" si="117"/>
        <v>158.5153069436503</v>
      </c>
      <c r="R86" s="192">
        <f t="shared" si="118"/>
        <v>21.617841875225803</v>
      </c>
      <c r="S86" s="193">
        <f t="shared" si="119"/>
        <v>3311.384762052855</v>
      </c>
      <c r="T86" s="131"/>
      <c r="U86" s="194">
        <v>400</v>
      </c>
      <c r="V86" s="195">
        <f t="shared" si="120"/>
        <v>148.63148951364394</v>
      </c>
      <c r="W86" s="195">
        <f t="shared" si="121"/>
        <v>20.383994952987436</v>
      </c>
      <c r="X86" s="196">
        <f t="shared" si="122"/>
        <v>3104.9118159400218</v>
      </c>
      <c r="Y86" s="2"/>
      <c r="AB86" s="169"/>
      <c r="AC86" s="169"/>
      <c r="AD86" s="169"/>
      <c r="AE86" s="169"/>
      <c r="AF86" s="169"/>
      <c r="AG86" s="169"/>
      <c r="AH86" s="66"/>
      <c r="AI86" s="66"/>
      <c r="AJ86" s="66"/>
      <c r="AK86" s="66"/>
      <c r="AL86" s="170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35"/>
      <c r="AX86" s="135"/>
      <c r="AY86" s="135"/>
      <c r="AZ86" s="135"/>
    </row>
    <row r="87" spans="1:52" ht="21.9" customHeight="1" thickBot="1" x14ac:dyDescent="0.35">
      <c r="A87" s="2"/>
      <c r="B87" s="2"/>
      <c r="C87" s="2"/>
      <c r="D87" s="337" t="s">
        <v>43</v>
      </c>
      <c r="E87" s="338"/>
      <c r="F87" s="103">
        <v>45</v>
      </c>
      <c r="G87" s="104">
        <v>300</v>
      </c>
      <c r="H87" s="2"/>
      <c r="I87" s="99"/>
      <c r="J87" s="2"/>
      <c r="K87" s="272">
        <v>700</v>
      </c>
      <c r="L87" s="273">
        <f t="shared" si="114"/>
        <v>277.68153154509753</v>
      </c>
      <c r="M87" s="273">
        <f t="shared" si="115"/>
        <v>21.637628718118219</v>
      </c>
      <c r="N87" s="274">
        <f t="shared" si="116"/>
        <v>5800.7671939770871</v>
      </c>
      <c r="O87" s="2"/>
      <c r="P87" s="197">
        <v>700</v>
      </c>
      <c r="Q87" s="198">
        <f t="shared" si="117"/>
        <v>259.8095278050879</v>
      </c>
      <c r="R87" s="198">
        <f t="shared" si="118"/>
        <v>20.362733715614233</v>
      </c>
      <c r="S87" s="199">
        <f t="shared" si="119"/>
        <v>5427.421035848286</v>
      </c>
      <c r="T87" s="131"/>
      <c r="U87" s="200">
        <v>700</v>
      </c>
      <c r="V87" s="201">
        <f t="shared" si="120"/>
        <v>242.24845583521048</v>
      </c>
      <c r="W87" s="201">
        <f t="shared" si="121"/>
        <v>19.089162119520747</v>
      </c>
      <c r="X87" s="202">
        <f t="shared" si="122"/>
        <v>5060.5702423975472</v>
      </c>
      <c r="Y87" s="2"/>
      <c r="AB87" s="169"/>
      <c r="AC87" s="169"/>
      <c r="AD87" s="169"/>
      <c r="AE87" s="169"/>
      <c r="AF87" s="169"/>
      <c r="AG87" s="169"/>
      <c r="AH87" s="66"/>
      <c r="AI87" s="66"/>
      <c r="AJ87" s="66"/>
      <c r="AK87" s="66"/>
      <c r="AL87" s="170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35"/>
      <c r="AX87" s="135"/>
      <c r="AY87" s="135"/>
      <c r="AZ87" s="135"/>
    </row>
    <row r="88" spans="1:52" ht="21.9" customHeight="1" x14ac:dyDescent="0.35">
      <c r="A88" s="2"/>
      <c r="B88" s="2"/>
      <c r="C88" s="2"/>
      <c r="D88" s="178"/>
      <c r="E88" s="178"/>
      <c r="F88" s="178"/>
      <c r="G88" s="2"/>
      <c r="H88" s="2"/>
      <c r="I88" s="2"/>
      <c r="J88" s="2"/>
      <c r="K88" s="2"/>
      <c r="L88" s="2"/>
      <c r="M88" s="2"/>
      <c r="N88" s="2"/>
      <c r="O88" s="2"/>
      <c r="P88" s="131"/>
      <c r="Q88" s="131"/>
      <c r="R88" s="131"/>
      <c r="S88" s="131"/>
      <c r="T88" s="2"/>
      <c r="U88" s="2"/>
      <c r="V88" s="2"/>
      <c r="W88" s="2"/>
      <c r="X88" s="2"/>
      <c r="Y88" s="2"/>
      <c r="AB88" s="169"/>
      <c r="AC88" s="169"/>
      <c r="AD88" s="169"/>
      <c r="AE88" s="169"/>
      <c r="AF88" s="169"/>
      <c r="AG88" s="169"/>
      <c r="AH88" s="66"/>
      <c r="AI88" s="66"/>
      <c r="AJ88" s="66"/>
      <c r="AK88" s="66"/>
      <c r="AL88" s="170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35"/>
      <c r="AX88" s="135"/>
      <c r="AY88" s="135"/>
      <c r="AZ88" s="135"/>
    </row>
    <row r="89" spans="1:52" ht="21.9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31"/>
      <c r="Q89" s="131"/>
      <c r="R89" s="131"/>
      <c r="S89" s="131"/>
      <c r="T89" s="2"/>
      <c r="U89" s="2"/>
      <c r="V89" s="2"/>
      <c r="W89" s="2"/>
      <c r="X89" s="2"/>
      <c r="Y89" s="2"/>
      <c r="AB89" s="169"/>
      <c r="AC89" s="169"/>
      <c r="AD89" s="169"/>
      <c r="AE89" s="169"/>
      <c r="AF89" s="169"/>
      <c r="AG89" s="169"/>
      <c r="AH89" s="66"/>
      <c r="AI89" s="66"/>
      <c r="AJ89" s="66"/>
      <c r="AK89" s="66"/>
      <c r="AL89" s="170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35"/>
      <c r="AX89" s="135"/>
      <c r="AY89" s="135"/>
      <c r="AZ89" s="135"/>
    </row>
    <row r="90" spans="1:52" hidden="1" x14ac:dyDescent="0.3">
      <c r="Y90" s="3"/>
      <c r="Z90" s="3">
        <v>130</v>
      </c>
      <c r="AA90" s="3" t="s">
        <v>94</v>
      </c>
      <c r="AB90" s="169">
        <v>0</v>
      </c>
      <c r="AC90" s="169">
        <v>12</v>
      </c>
      <c r="AD90" s="169">
        <v>50</v>
      </c>
      <c r="AE90" s="169">
        <v>100</v>
      </c>
      <c r="AF90" s="169">
        <v>400</v>
      </c>
      <c r="AG90" s="169"/>
      <c r="AH90" s="66">
        <f t="shared" si="98"/>
        <v>7.6438102265495314</v>
      </c>
      <c r="AI90" s="66">
        <f t="shared" si="99"/>
        <v>29.574559952793567</v>
      </c>
      <c r="AJ90" s="66">
        <f t="shared" si="100"/>
        <v>57.07594301432426</v>
      </c>
      <c r="AK90" s="66">
        <f t="shared" si="101"/>
        <v>197.23996407534943</v>
      </c>
      <c r="AL90" s="170"/>
      <c r="AM90" s="165">
        <f t="shared" si="102"/>
        <v>-1.1210114775275368</v>
      </c>
      <c r="AN90" s="165">
        <f t="shared" si="103"/>
        <v>-0.53340308240981948</v>
      </c>
      <c r="AO90" s="165">
        <f t="shared" si="104"/>
        <v>-0.24786827810509884</v>
      </c>
      <c r="AP90" s="165">
        <f t="shared" si="105"/>
        <v>0.29067354097546927</v>
      </c>
      <c r="AQ90" s="165"/>
      <c r="AR90" s="165">
        <f t="shared" si="106"/>
        <v>-0.92514012773501775</v>
      </c>
      <c r="AS90" s="165">
        <f t="shared" si="107"/>
        <v>-0.30535136944662378</v>
      </c>
      <c r="AT90" s="165">
        <f t="shared" si="108"/>
        <v>-4.3213737826425782E-3</v>
      </c>
      <c r="AU90" s="165">
        <f t="shared" si="109"/>
        <v>0.59773861754531976</v>
      </c>
      <c r="AV90" s="165"/>
      <c r="AW90" s="135">
        <f t="shared" si="110"/>
        <v>-0.15926856335474107</v>
      </c>
      <c r="AX90" s="135">
        <f t="shared" si="111"/>
        <v>-0.40290232426674649</v>
      </c>
      <c r="AY90" s="135">
        <f t="shared" si="112"/>
        <v>0.92791455939605261</v>
      </c>
      <c r="AZ90" s="135">
        <f t="shared" si="113"/>
        <v>0.55575745171585644</v>
      </c>
    </row>
    <row r="91" spans="1:52" ht="18" hidden="1" x14ac:dyDescent="0.35">
      <c r="B91" s="285" t="s">
        <v>45</v>
      </c>
      <c r="C91" s="286"/>
      <c r="D91" s="286"/>
      <c r="E91" s="286"/>
      <c r="F91" s="286"/>
      <c r="G91" s="286"/>
      <c r="H91" s="287"/>
      <c r="Y91" s="3"/>
      <c r="Z91" s="3">
        <v>132.5</v>
      </c>
      <c r="AA91" s="3" t="s">
        <v>94</v>
      </c>
      <c r="AB91" s="169">
        <v>0</v>
      </c>
      <c r="AC91" s="169">
        <v>12</v>
      </c>
      <c r="AD91" s="169">
        <v>50</v>
      </c>
      <c r="AE91" s="169">
        <v>100</v>
      </c>
      <c r="AF91" s="169">
        <v>400</v>
      </c>
      <c r="AG91" s="169"/>
      <c r="AH91" s="66">
        <f t="shared" si="98"/>
        <v>7.6359705944316447</v>
      </c>
      <c r="AI91" s="66">
        <f t="shared" si="99"/>
        <v>29.52499987825351</v>
      </c>
      <c r="AJ91" s="66">
        <f t="shared" si="100"/>
        <v>56.985201988101089</v>
      </c>
      <c r="AK91" s="66">
        <f t="shared" si="101"/>
        <v>196.07750917916945</v>
      </c>
      <c r="AL91" s="170"/>
      <c r="AM91" s="165">
        <f t="shared" si="102"/>
        <v>-1.1214571264943114</v>
      </c>
      <c r="AN91" s="165">
        <f t="shared" si="103"/>
        <v>-0.53413146928790567</v>
      </c>
      <c r="AO91" s="165">
        <f t="shared" si="104"/>
        <v>-0.2485592817818357</v>
      </c>
      <c r="AP91" s="165">
        <f t="shared" si="105"/>
        <v>0.28810640754678818</v>
      </c>
      <c r="AQ91" s="165"/>
      <c r="AR91" s="165">
        <f t="shared" si="106"/>
        <v>-0.92514012773501775</v>
      </c>
      <c r="AS91" s="165">
        <f t="shared" si="107"/>
        <v>-0.30535136944662378</v>
      </c>
      <c r="AT91" s="165">
        <f t="shared" si="108"/>
        <v>-4.3213737826425782E-3</v>
      </c>
      <c r="AU91" s="165">
        <f t="shared" si="109"/>
        <v>0.59773861754531976</v>
      </c>
      <c r="AV91" s="165"/>
      <c r="AW91" s="135">
        <f t="shared" si="110"/>
        <v>-0.15926856335474107</v>
      </c>
      <c r="AX91" s="135">
        <f t="shared" si="111"/>
        <v>-0.40401036750431618</v>
      </c>
      <c r="AY91" s="135">
        <f t="shared" si="112"/>
        <v>0.92658448845381591</v>
      </c>
      <c r="AZ91" s="135">
        <f t="shared" si="113"/>
        <v>0.55407099101490775</v>
      </c>
    </row>
    <row r="92" spans="1:52" hidden="1" x14ac:dyDescent="0.3">
      <c r="B92" s="3" t="s">
        <v>32</v>
      </c>
      <c r="C92" s="3">
        <f>IF(AND(B5&gt;=30,B5&lt;=80),-0.0014*(B5)+0.6656,0)</f>
        <v>0.61380000000000001</v>
      </c>
      <c r="D92" s="3">
        <f>IF(AND(B5&gt;=30,B5&lt;=130),-0.0015*B5+0.6149,0)</f>
        <v>0.55940000000000001</v>
      </c>
      <c r="F92" s="3">
        <f>IF(AND(B5&gt;=30,B5&lt;=300),-0.0016*B5+0.5546,0)</f>
        <v>0.49539999999999995</v>
      </c>
      <c r="Y92" s="3"/>
      <c r="Z92" s="3">
        <v>135</v>
      </c>
      <c r="AA92" s="3" t="s">
        <v>94</v>
      </c>
      <c r="AB92" s="169">
        <v>0</v>
      </c>
      <c r="AC92" s="169">
        <v>12</v>
      </c>
      <c r="AD92" s="169">
        <v>50</v>
      </c>
      <c r="AE92" s="169">
        <v>100</v>
      </c>
      <c r="AF92" s="169">
        <v>400</v>
      </c>
      <c r="AG92" s="169"/>
      <c r="AH92" s="66">
        <f t="shared" si="98"/>
        <v>7.6289944826968394</v>
      </c>
      <c r="AI92" s="66">
        <f t="shared" si="99"/>
        <v>29.478590947249423</v>
      </c>
      <c r="AJ92" s="66">
        <f t="shared" si="100"/>
        <v>56.902450220871813</v>
      </c>
      <c r="AK92" s="66">
        <f t="shared" si="101"/>
        <v>194.93472438450198</v>
      </c>
      <c r="AL92" s="170"/>
      <c r="AM92" s="165">
        <f t="shared" si="102"/>
        <v>-1.1218540729697439</v>
      </c>
      <c r="AN92" s="165">
        <f t="shared" si="103"/>
        <v>-0.53481465302369058</v>
      </c>
      <c r="AO92" s="165">
        <f t="shared" si="104"/>
        <v>-0.24919040625412181</v>
      </c>
      <c r="AP92" s="165">
        <f t="shared" si="105"/>
        <v>0.28556783457724116</v>
      </c>
      <c r="AQ92" s="165"/>
      <c r="AR92" s="165">
        <f t="shared" si="106"/>
        <v>-0.92514012773501775</v>
      </c>
      <c r="AS92" s="165">
        <f t="shared" si="107"/>
        <v>-0.30535136944662378</v>
      </c>
      <c r="AT92" s="165">
        <f t="shared" si="108"/>
        <v>-4.3213737826425782E-3</v>
      </c>
      <c r="AU92" s="165">
        <f t="shared" si="109"/>
        <v>0.59773861754531976</v>
      </c>
      <c r="AV92" s="165"/>
      <c r="AW92" s="135">
        <f t="shared" si="110"/>
        <v>-0.15926856335474107</v>
      </c>
      <c r="AX92" s="135">
        <f t="shared" si="111"/>
        <v>-0.4050728244175788</v>
      </c>
      <c r="AY92" s="135">
        <f t="shared" si="112"/>
        <v>0.9252436249688526</v>
      </c>
      <c r="AZ92" s="135">
        <f t="shared" si="113"/>
        <v>0.55244544676258667</v>
      </c>
    </row>
    <row r="93" spans="1:52" hidden="1" x14ac:dyDescent="0.3">
      <c r="B93" s="3" t="s">
        <v>33</v>
      </c>
      <c r="C93" s="3">
        <v>0.96</v>
      </c>
      <c r="D93" s="3">
        <v>0.90500000000000003</v>
      </c>
      <c r="F93" s="3">
        <v>0.85199999999999998</v>
      </c>
      <c r="Y93" s="3"/>
    </row>
    <row r="94" spans="1:52" hidden="1" x14ac:dyDescent="0.3">
      <c r="Y94" s="3"/>
    </row>
    <row r="95" spans="1:52" hidden="1" x14ac:dyDescent="0.3">
      <c r="B95" s="105" t="s">
        <v>4</v>
      </c>
      <c r="C95" s="105" t="s">
        <v>46</v>
      </c>
      <c r="D95" s="105" t="s">
        <v>47</v>
      </c>
      <c r="E95" s="105"/>
      <c r="F95" s="105" t="s">
        <v>48</v>
      </c>
      <c r="Y95" s="3"/>
    </row>
    <row r="96" spans="1:52" hidden="1" x14ac:dyDescent="0.3">
      <c r="B96" s="106">
        <v>40</v>
      </c>
      <c r="C96" s="107">
        <v>0.61209999999999998</v>
      </c>
      <c r="D96" s="107">
        <v>0.56240000000000001</v>
      </c>
      <c r="F96" s="107">
        <v>0.49959999999999999</v>
      </c>
      <c r="Y96" s="3"/>
    </row>
    <row r="97" spans="2:25" hidden="1" x14ac:dyDescent="0.3">
      <c r="B97" s="106">
        <v>50</v>
      </c>
      <c r="C97" s="107">
        <v>0.59660000000000002</v>
      </c>
      <c r="D97" s="107">
        <v>0.5413</v>
      </c>
      <c r="F97" s="107">
        <v>0.4773</v>
      </c>
      <c r="Y97" s="3"/>
    </row>
    <row r="98" spans="2:25" hidden="1" x14ac:dyDescent="0.3">
      <c r="B98" s="106">
        <v>60</v>
      </c>
      <c r="C98" s="107">
        <v>0.58169999999999999</v>
      </c>
      <c r="D98" s="107">
        <v>0.52239999999999998</v>
      </c>
      <c r="F98" s="107">
        <v>0.45729999999999998</v>
      </c>
      <c r="Y98" s="3"/>
    </row>
    <row r="99" spans="2:25" hidden="1" x14ac:dyDescent="0.3">
      <c r="B99" s="106">
        <v>70</v>
      </c>
      <c r="C99" s="107">
        <v>0.56940000000000002</v>
      </c>
      <c r="D99" s="107">
        <v>0.50360000000000005</v>
      </c>
      <c r="F99" s="107">
        <v>0.43890000000000001</v>
      </c>
      <c r="Y99" s="3"/>
    </row>
    <row r="100" spans="2:25" hidden="1" x14ac:dyDescent="0.3">
      <c r="B100" s="106">
        <v>75</v>
      </c>
      <c r="C100" s="107">
        <v>0.5645</v>
      </c>
      <c r="D100" s="107">
        <v>0.49509999999999998</v>
      </c>
      <c r="F100" s="107">
        <v>0.43020000000000003</v>
      </c>
      <c r="Y100" s="3"/>
    </row>
    <row r="101" spans="2:25" hidden="1" x14ac:dyDescent="0.3">
      <c r="B101" s="106">
        <v>80</v>
      </c>
      <c r="D101" s="107">
        <v>0.48720000000000002</v>
      </c>
      <c r="F101" s="107">
        <v>0.4219</v>
      </c>
      <c r="Y101" s="3"/>
    </row>
    <row r="102" spans="2:25" hidden="1" x14ac:dyDescent="0.3">
      <c r="B102" s="106">
        <v>90</v>
      </c>
      <c r="D102" s="107">
        <v>0.47220000000000001</v>
      </c>
      <c r="F102" s="107">
        <v>0.40539999999999998</v>
      </c>
      <c r="Y102" s="3"/>
    </row>
    <row r="103" spans="2:25" hidden="1" x14ac:dyDescent="0.3">
      <c r="B103" s="106">
        <v>100</v>
      </c>
      <c r="D103" s="107">
        <v>0.45810000000000001</v>
      </c>
      <c r="F103" s="107">
        <v>0.3906</v>
      </c>
      <c r="Y103" s="3"/>
    </row>
    <row r="104" spans="2:25" hidden="1" x14ac:dyDescent="0.3">
      <c r="B104" s="106">
        <v>110</v>
      </c>
      <c r="D104" s="107">
        <v>0.4451</v>
      </c>
      <c r="F104" s="107">
        <v>0.37819999999999998</v>
      </c>
      <c r="Y104" s="3"/>
    </row>
    <row r="105" spans="2:25" hidden="1" x14ac:dyDescent="0.3">
      <c r="B105" s="106">
        <v>120</v>
      </c>
      <c r="D105" s="107">
        <v>0.43340000000000001</v>
      </c>
      <c r="F105" s="107">
        <v>0.36559999999999998</v>
      </c>
      <c r="Y105" s="3"/>
    </row>
    <row r="106" spans="2:25" hidden="1" x14ac:dyDescent="0.3">
      <c r="B106" s="106">
        <v>130</v>
      </c>
      <c r="D106" s="107">
        <v>0.42370000000000002</v>
      </c>
      <c r="F106" s="107">
        <v>0.35370000000000001</v>
      </c>
      <c r="Y106" s="3"/>
    </row>
    <row r="107" spans="2:25" hidden="1" x14ac:dyDescent="0.3">
      <c r="Y107" s="3"/>
    </row>
    <row r="108" spans="2:25" hidden="1" x14ac:dyDescent="0.3">
      <c r="Y108" s="3"/>
    </row>
    <row r="109" spans="2:25" hidden="1" x14ac:dyDescent="0.3">
      <c r="B109" s="108" t="s">
        <v>32</v>
      </c>
      <c r="C109" s="108">
        <f>IF(C5&lt;=20,C92,IF(AND(C5&gt;20,C5&lt;=45),D92,F92))</f>
        <v>0.55940000000000001</v>
      </c>
      <c r="D109" s="109" t="s">
        <v>49</v>
      </c>
      <c r="E109" s="110">
        <v>101.325</v>
      </c>
      <c r="F109" s="109" t="s">
        <v>50</v>
      </c>
      <c r="Y109" s="3"/>
    </row>
    <row r="110" spans="2:25" hidden="1" x14ac:dyDescent="0.3">
      <c r="B110" s="111" t="s">
        <v>33</v>
      </c>
      <c r="C110" s="111">
        <f>IF(C5&lt;=20,C93,IF(AND(C5&gt;20,C5&lt;=45),D93,F93))</f>
        <v>0.90500000000000003</v>
      </c>
      <c r="E110" s="3">
        <v>2115.6999999999998</v>
      </c>
      <c r="F110" s="3" t="s">
        <v>51</v>
      </c>
      <c r="Y110" s="3"/>
    </row>
    <row r="111" spans="2:25" hidden="1" x14ac:dyDescent="0.3">
      <c r="Y111" s="3"/>
    </row>
    <row r="112" spans="2:25" ht="18" hidden="1" x14ac:dyDescent="0.35">
      <c r="B112" s="285" t="s">
        <v>52</v>
      </c>
      <c r="C112" s="286"/>
      <c r="D112" s="286"/>
      <c r="E112" s="286"/>
      <c r="F112" s="286"/>
      <c r="G112" s="286"/>
      <c r="H112" s="287"/>
      <c r="Y112" s="3"/>
    </row>
    <row r="113" spans="2:25" hidden="1" x14ac:dyDescent="0.3">
      <c r="B113" s="112" t="s">
        <v>53</v>
      </c>
      <c r="C113" s="113" t="s">
        <v>54</v>
      </c>
      <c r="D113" s="113" t="s">
        <v>55</v>
      </c>
      <c r="Y113" s="3"/>
    </row>
    <row r="114" spans="2:25" hidden="1" x14ac:dyDescent="0.3">
      <c r="B114" s="114">
        <v>0</v>
      </c>
      <c r="C114" s="115">
        <f t="shared" ref="C114:C124" si="123">$C$109*$E$109*(B114/$E$109)^$C$110</f>
        <v>0</v>
      </c>
      <c r="D114" s="3">
        <f t="shared" ref="D114:D124" si="124">C114*20.885434273</f>
        <v>0</v>
      </c>
      <c r="Y114" s="3"/>
    </row>
    <row r="115" spans="2:25" hidden="1" x14ac:dyDescent="0.3">
      <c r="B115" s="114">
        <v>15</v>
      </c>
      <c r="C115" s="115">
        <f t="shared" si="123"/>
        <v>10.060698394476141</v>
      </c>
      <c r="D115" s="3">
        <f t="shared" si="124"/>
        <v>210.12205505830809</v>
      </c>
      <c r="Y115" s="3"/>
    </row>
    <row r="116" spans="2:25" hidden="1" x14ac:dyDescent="0.3">
      <c r="B116" s="114">
        <v>25</v>
      </c>
      <c r="C116" s="115">
        <f t="shared" si="123"/>
        <v>15.973542737777764</v>
      </c>
      <c r="D116" s="3">
        <f t="shared" si="124"/>
        <v>333.614376956814</v>
      </c>
      <c r="M116" s="85">
        <f>0.5*(0.0023+0.004)</f>
        <v>3.15E-3</v>
      </c>
      <c r="Y116" s="3"/>
    </row>
    <row r="117" spans="2:25" hidden="1" x14ac:dyDescent="0.3">
      <c r="B117" s="114">
        <v>75</v>
      </c>
      <c r="C117" s="115">
        <f t="shared" si="123"/>
        <v>43.171385190278713</v>
      </c>
      <c r="D117" s="3">
        <f t="shared" si="124"/>
        <v>901.65312786593176</v>
      </c>
      <c r="Y117" s="3"/>
    </row>
    <row r="118" spans="2:25" hidden="1" x14ac:dyDescent="0.3">
      <c r="B118" s="114">
        <v>150</v>
      </c>
      <c r="C118" s="115">
        <f t="shared" si="123"/>
        <v>80.840339673924817</v>
      </c>
      <c r="D118" s="3">
        <f t="shared" si="124"/>
        <v>1688.385600866751</v>
      </c>
      <c r="Y118" s="3"/>
    </row>
    <row r="119" spans="2:25" hidden="1" x14ac:dyDescent="0.3">
      <c r="B119" s="114">
        <v>200</v>
      </c>
      <c r="C119" s="115">
        <f t="shared" si="123"/>
        <v>104.88120932005582</v>
      </c>
      <c r="D119" s="3">
        <f t="shared" si="124"/>
        <v>2190.4896037267808</v>
      </c>
      <c r="Y119" s="3"/>
    </row>
    <row r="120" spans="2:25" hidden="1" x14ac:dyDescent="0.3">
      <c r="B120" s="114">
        <v>300</v>
      </c>
      <c r="C120" s="115">
        <f t="shared" si="123"/>
        <v>151.37713301974665</v>
      </c>
      <c r="D120" s="3">
        <f t="shared" si="124"/>
        <v>3161.577162119097</v>
      </c>
      <c r="Y120" s="3"/>
    </row>
    <row r="121" spans="2:25" hidden="1" x14ac:dyDescent="0.3">
      <c r="B121" s="114">
        <v>400</v>
      </c>
      <c r="C121" s="115">
        <f t="shared" si="123"/>
        <v>196.39473112747214</v>
      </c>
      <c r="D121" s="3">
        <f t="shared" si="124"/>
        <v>4101.7892485263264</v>
      </c>
      <c r="Y121" s="3"/>
    </row>
    <row r="122" spans="2:25" hidden="1" x14ac:dyDescent="0.3">
      <c r="B122" s="114">
        <v>500</v>
      </c>
      <c r="C122" s="115">
        <f t="shared" si="123"/>
        <v>240.3440605217645</v>
      </c>
      <c r="D122" s="3">
        <f t="shared" si="124"/>
        <v>5019.6900789332467</v>
      </c>
      <c r="Y122" s="3"/>
    </row>
    <row r="123" spans="2:25" hidden="1" x14ac:dyDescent="0.3">
      <c r="B123" s="114">
        <v>600</v>
      </c>
      <c r="C123" s="115">
        <f t="shared" si="123"/>
        <v>283.46041708517663</v>
      </c>
      <c r="D123" s="3">
        <f t="shared" si="124"/>
        <v>5920.1939100296231</v>
      </c>
      <c r="Y123" s="3"/>
    </row>
    <row r="124" spans="2:25" hidden="1" x14ac:dyDescent="0.3">
      <c r="B124" s="114">
        <v>700</v>
      </c>
      <c r="C124" s="115">
        <f t="shared" si="123"/>
        <v>325.89617739314923</v>
      </c>
      <c r="D124" s="3">
        <f t="shared" si="124"/>
        <v>6806.4831927665673</v>
      </c>
      <c r="Y124" s="3"/>
    </row>
    <row r="125" spans="2:25" hidden="1" x14ac:dyDescent="0.3">
      <c r="Y125" s="3"/>
    </row>
    <row r="126" spans="2:25" ht="15.6" hidden="1" customHeight="1" x14ac:dyDescent="0.3">
      <c r="B126" s="85"/>
      <c r="J126" s="85"/>
      <c r="Y126" s="3"/>
    </row>
    <row r="127" spans="2:25" hidden="1" x14ac:dyDescent="0.3">
      <c r="B127" s="85"/>
      <c r="J127" s="85"/>
      <c r="Y127" s="3"/>
    </row>
    <row r="128" spans="2:25" hidden="1" x14ac:dyDescent="0.3">
      <c r="B128" s="85"/>
      <c r="J128" s="85"/>
      <c r="Y128" s="3"/>
    </row>
    <row r="129" spans="2:25" ht="18" hidden="1" x14ac:dyDescent="0.35">
      <c r="B129" s="285" t="s">
        <v>56</v>
      </c>
      <c r="C129" s="286"/>
      <c r="D129" s="286"/>
      <c r="E129" s="286"/>
      <c r="F129" s="286"/>
      <c r="G129" s="286"/>
      <c r="H129" s="287"/>
      <c r="J129" s="85"/>
      <c r="Y129" s="3"/>
    </row>
    <row r="130" spans="2:25" hidden="1" x14ac:dyDescent="0.3">
      <c r="B130" s="108" t="s">
        <v>32</v>
      </c>
      <c r="C130" s="3">
        <f>IF(AND(B5&gt;=30,B5&lt;=80),3*10^-5*(B5)^2-0.008*B5+0.8047,0)</f>
        <v>0.54976999999999998</v>
      </c>
      <c r="D130" s="3">
        <f>IF(AND(B5&gt;=30,B5&lt;=130),3*10^-5*(B5)^2-0.0076*B5+0.7448,0)</f>
        <v>0.50466999999999995</v>
      </c>
      <c r="G130" s="3">
        <f>IF(AND(B5&gt;=30,B5&lt;=300),3*10^-5*(B5)^2-0.0077*B5+0.6352,0)</f>
        <v>0.39137</v>
      </c>
      <c r="J130" s="85"/>
      <c r="Y130" s="3"/>
    </row>
    <row r="131" spans="2:25" hidden="1" x14ac:dyDescent="0.3">
      <c r="B131" s="116" t="s">
        <v>33</v>
      </c>
      <c r="C131" s="3">
        <f>IF(AND(B5&gt;=30,B5&lt;=80),2*10^-5*(B5)^2-0.0023*B5+1.0261,0)</f>
        <v>0.96838000000000002</v>
      </c>
      <c r="D131" s="3">
        <f>IF(AND(B5&gt;=30,B5&lt;=130),2*10^-5*(B5)^2-0.005*B5+0.997,0)</f>
        <v>0.83938000000000001</v>
      </c>
      <c r="G131" s="3">
        <f>IF(AND(B5&gt;=30,B5&lt;300),3*10^-5*(B5)^2-0.0059*B5+1.0792,0)</f>
        <v>0.90196999999999994</v>
      </c>
      <c r="J131" s="85"/>
      <c r="Y131" s="3"/>
    </row>
    <row r="132" spans="2:25" hidden="1" x14ac:dyDescent="0.3">
      <c r="B132" s="85"/>
      <c r="J132" s="85"/>
      <c r="Y132" s="3"/>
    </row>
    <row r="133" spans="2:25" hidden="1" x14ac:dyDescent="0.3">
      <c r="B133" s="85"/>
      <c r="J133" s="85"/>
      <c r="Y133" s="3"/>
    </row>
    <row r="134" spans="2:25" hidden="1" x14ac:dyDescent="0.3">
      <c r="B134" s="333" t="s">
        <v>57</v>
      </c>
      <c r="C134" s="334"/>
      <c r="D134" s="334" t="s">
        <v>58</v>
      </c>
      <c r="E134" s="334"/>
      <c r="F134" s="117"/>
      <c r="G134" s="334" t="s">
        <v>59</v>
      </c>
      <c r="H134" s="334"/>
      <c r="J134" s="85"/>
      <c r="Y134" s="3"/>
    </row>
    <row r="135" spans="2:25" hidden="1" x14ac:dyDescent="0.3">
      <c r="B135" s="118" t="s">
        <v>32</v>
      </c>
      <c r="C135" s="119" t="s">
        <v>33</v>
      </c>
      <c r="D135" s="119" t="s">
        <v>32</v>
      </c>
      <c r="E135" s="119" t="s">
        <v>33</v>
      </c>
      <c r="F135" s="119"/>
      <c r="G135" s="119" t="s">
        <v>32</v>
      </c>
      <c r="H135" s="119" t="s">
        <v>33</v>
      </c>
      <c r="J135" s="85"/>
      <c r="Y135" s="3"/>
    </row>
    <row r="136" spans="2:25" hidden="1" x14ac:dyDescent="0.3">
      <c r="B136" s="3">
        <v>0.54369999999999996</v>
      </c>
      <c r="C136" s="85">
        <v>0.95940000000000003</v>
      </c>
      <c r="D136" s="3">
        <v>0.4657</v>
      </c>
      <c r="E136" s="85">
        <v>0.87060000000000004</v>
      </c>
      <c r="F136" s="120"/>
      <c r="G136" s="3">
        <v>0.37519999999999998</v>
      </c>
      <c r="H136" s="85">
        <v>0.87890000000000001</v>
      </c>
      <c r="J136" s="85"/>
      <c r="Y136" s="3"/>
    </row>
    <row r="137" spans="2:25" hidden="1" x14ac:dyDescent="0.3">
      <c r="B137" s="3">
        <v>0.49070000000000003</v>
      </c>
      <c r="C137" s="85">
        <v>0.95189999999999997</v>
      </c>
      <c r="D137" s="3">
        <v>0.4199</v>
      </c>
      <c r="E137" s="85">
        <v>0.85899999999999999</v>
      </c>
      <c r="F137" s="120"/>
      <c r="G137" s="3">
        <v>0.32700000000000001</v>
      </c>
      <c r="H137" s="85">
        <v>0.8609</v>
      </c>
      <c r="J137" s="85"/>
      <c r="Y137" s="3"/>
    </row>
    <row r="138" spans="2:25" hidden="1" x14ac:dyDescent="0.3">
      <c r="B138" s="3">
        <v>0.44409999999999999</v>
      </c>
      <c r="C138" s="85">
        <v>0.94640000000000002</v>
      </c>
      <c r="D138" s="3">
        <v>0.374</v>
      </c>
      <c r="E138" s="85">
        <v>0.84770000000000001</v>
      </c>
      <c r="F138" s="120"/>
      <c r="G138" s="3">
        <v>0.28349999999999997</v>
      </c>
      <c r="H138" s="85">
        <v>0.84040000000000004</v>
      </c>
      <c r="J138" s="85"/>
      <c r="Y138" s="3"/>
    </row>
    <row r="139" spans="2:25" hidden="1" x14ac:dyDescent="0.3">
      <c r="B139" s="3">
        <v>0.40229999999999999</v>
      </c>
      <c r="C139" s="85">
        <v>0.9446</v>
      </c>
      <c r="D139" s="3">
        <v>0.32829999999999998</v>
      </c>
      <c r="E139" s="85">
        <v>0.83950000000000002</v>
      </c>
      <c r="F139" s="120"/>
      <c r="G139" s="3">
        <v>0.2455</v>
      </c>
      <c r="H139" s="85">
        <v>0.81669999999999998</v>
      </c>
      <c r="J139" s="85"/>
      <c r="Y139" s="3"/>
    </row>
    <row r="140" spans="2:25" hidden="1" x14ac:dyDescent="0.3">
      <c r="B140" s="3">
        <v>0.38250000000000001</v>
      </c>
      <c r="C140" s="85">
        <v>0.94599999999999995</v>
      </c>
      <c r="D140" s="3">
        <v>0.30620000000000003</v>
      </c>
      <c r="E140" s="85">
        <v>0.83730000000000004</v>
      </c>
      <c r="F140" s="120"/>
      <c r="G140" s="3">
        <v>0.22819999999999999</v>
      </c>
      <c r="H140" s="85">
        <v>0.80569999999999997</v>
      </c>
      <c r="J140" s="85"/>
      <c r="Y140" s="3"/>
    </row>
    <row r="141" spans="2:25" hidden="1" x14ac:dyDescent="0.3">
      <c r="B141" s="121" t="s">
        <v>60</v>
      </c>
      <c r="C141" s="121" t="s">
        <v>60</v>
      </c>
      <c r="D141" s="3">
        <v>0.28549999999999998</v>
      </c>
      <c r="E141" s="85">
        <v>0.83499999999999996</v>
      </c>
      <c r="F141" s="120"/>
      <c r="G141" s="3">
        <v>0.2132</v>
      </c>
      <c r="H141" s="85">
        <v>0.79210000000000003</v>
      </c>
      <c r="J141" s="85"/>
      <c r="Y141" s="3"/>
    </row>
    <row r="142" spans="2:25" hidden="1" x14ac:dyDescent="0.3">
      <c r="B142" s="121" t="s">
        <v>60</v>
      </c>
      <c r="C142" s="121" t="s">
        <v>60</v>
      </c>
      <c r="D142" s="3">
        <v>0.24779999999999999</v>
      </c>
      <c r="E142" s="85">
        <v>0.83189999999999997</v>
      </c>
      <c r="F142" s="120"/>
      <c r="G142" s="3">
        <v>0.18659999999999999</v>
      </c>
      <c r="H142" s="85">
        <v>0.77249999999999996</v>
      </c>
      <c r="J142" s="85"/>
      <c r="Y142" s="3"/>
    </row>
    <row r="143" spans="2:25" hidden="1" x14ac:dyDescent="0.3">
      <c r="B143" s="121" t="s">
        <v>60</v>
      </c>
      <c r="C143" s="121" t="s">
        <v>60</v>
      </c>
      <c r="D143" s="3">
        <v>0.2155</v>
      </c>
      <c r="E143" s="85">
        <v>0.83760000000000001</v>
      </c>
      <c r="F143" s="120"/>
      <c r="G143" s="3">
        <v>0.16619999999999999</v>
      </c>
      <c r="H143" s="85">
        <v>0.76500000000000001</v>
      </c>
      <c r="J143" s="85"/>
      <c r="Y143" s="3"/>
    </row>
    <row r="144" spans="2:25" hidden="1" x14ac:dyDescent="0.3">
      <c r="B144" s="121" t="s">
        <v>60</v>
      </c>
      <c r="C144" s="121" t="s">
        <v>60</v>
      </c>
      <c r="D144" s="3">
        <v>0.1913</v>
      </c>
      <c r="E144" s="85">
        <v>0.84970000000000001</v>
      </c>
      <c r="F144" s="120"/>
      <c r="G144" s="3">
        <v>0.15390000000000001</v>
      </c>
      <c r="H144" s="85">
        <v>0.77300000000000002</v>
      </c>
      <c r="J144" s="85"/>
      <c r="Y144" s="3"/>
    </row>
    <row r="145" spans="2:25" hidden="1" x14ac:dyDescent="0.3">
      <c r="B145" s="121" t="s">
        <v>60</v>
      </c>
      <c r="C145" s="121" t="s">
        <v>60</v>
      </c>
      <c r="D145" s="3">
        <v>0.1769</v>
      </c>
      <c r="E145" s="85">
        <v>0.87019999999999997</v>
      </c>
      <c r="F145" s="120"/>
      <c r="G145" s="3">
        <v>0.14699999999999999</v>
      </c>
      <c r="H145" s="85">
        <v>0.79559999999999997</v>
      </c>
      <c r="J145" s="85"/>
      <c r="Y145" s="3"/>
    </row>
    <row r="146" spans="2:25" hidden="1" x14ac:dyDescent="0.3">
      <c r="B146" s="122" t="s">
        <v>60</v>
      </c>
      <c r="C146" s="122" t="s">
        <v>60</v>
      </c>
      <c r="D146" s="3">
        <v>0.1734</v>
      </c>
      <c r="E146" s="85">
        <v>0.89670000000000005</v>
      </c>
      <c r="F146" s="119"/>
      <c r="G146" s="3">
        <v>0.14399999999999999</v>
      </c>
      <c r="H146" s="85">
        <v>0.80059999999999998</v>
      </c>
      <c r="J146" s="85"/>
      <c r="Y146" s="3"/>
    </row>
    <row r="147" spans="2:25" hidden="1" x14ac:dyDescent="0.3">
      <c r="B147" s="85"/>
      <c r="J147" s="85"/>
      <c r="Y147" s="3"/>
    </row>
    <row r="148" spans="2:25" hidden="1" x14ac:dyDescent="0.3">
      <c r="B148" s="85">
        <f>AVERAGE(B136:B146)</f>
        <v>0.45265999999999995</v>
      </c>
      <c r="C148" s="85">
        <f t="shared" ref="C148:H148" si="125">AVERAGE(C136:C146)</f>
        <v>0.94965999999999995</v>
      </c>
      <c r="D148" s="85">
        <f t="shared" si="125"/>
        <v>0.28949999999999992</v>
      </c>
      <c r="E148" s="85">
        <f t="shared" si="125"/>
        <v>0.8522909090909091</v>
      </c>
      <c r="F148" s="85"/>
      <c r="G148" s="85">
        <f t="shared" si="125"/>
        <v>0.22457272727272726</v>
      </c>
      <c r="H148" s="85">
        <f t="shared" si="125"/>
        <v>0.80921818181818173</v>
      </c>
      <c r="J148" s="85"/>
      <c r="Y148" s="3"/>
    </row>
    <row r="149" spans="2:25" hidden="1" x14ac:dyDescent="0.3">
      <c r="B149" s="85"/>
      <c r="J149" s="85"/>
      <c r="Y149" s="3"/>
    </row>
    <row r="150" spans="2:25" hidden="1" x14ac:dyDescent="0.3">
      <c r="B150" s="85"/>
      <c r="J150" s="85"/>
      <c r="Y150" s="3"/>
    </row>
    <row r="151" spans="2:25" hidden="1" x14ac:dyDescent="0.3">
      <c r="B151" s="85"/>
      <c r="D151" s="3">
        <f>AVERAGE(D144:D146)</f>
        <v>0.18053333333333332</v>
      </c>
      <c r="G151" s="3">
        <f>AVERAGE(G144:G146)</f>
        <v>0.14829999999999999</v>
      </c>
      <c r="J151" s="85"/>
      <c r="Y151" s="3"/>
    </row>
    <row r="152" spans="2:25" hidden="1" x14ac:dyDescent="0.3">
      <c r="J152" s="85"/>
      <c r="Y152" s="3"/>
    </row>
    <row r="153" spans="2:25" hidden="1" x14ac:dyDescent="0.3">
      <c r="J153" s="85"/>
      <c r="Y153" s="3"/>
    </row>
    <row r="154" spans="2:25" hidden="1" x14ac:dyDescent="0.3">
      <c r="J154" s="85"/>
      <c r="Y154" s="3"/>
    </row>
    <row r="155" spans="2:25" hidden="1" x14ac:dyDescent="0.3">
      <c r="J155" s="85"/>
      <c r="Y155" s="3"/>
    </row>
    <row r="156" spans="2:25" hidden="1" x14ac:dyDescent="0.3">
      <c r="J156" s="85"/>
      <c r="Y156" s="3"/>
    </row>
    <row r="157" spans="2:25" hidden="1" x14ac:dyDescent="0.3">
      <c r="J157" s="85"/>
      <c r="Y157" s="3"/>
    </row>
    <row r="158" spans="2:25" hidden="1" x14ac:dyDescent="0.3">
      <c r="J158" s="85"/>
      <c r="Y158" s="3"/>
    </row>
    <row r="159" spans="2:25" hidden="1" x14ac:dyDescent="0.3">
      <c r="J159" s="85"/>
      <c r="Y159" s="3"/>
    </row>
    <row r="160" spans="2:25" hidden="1" x14ac:dyDescent="0.3">
      <c r="J160" s="85"/>
      <c r="Y160" s="3"/>
    </row>
    <row r="161" spans="2:25" hidden="1" x14ac:dyDescent="0.3">
      <c r="Y161" s="3"/>
    </row>
    <row r="162" spans="2:25" hidden="1" x14ac:dyDescent="0.3">
      <c r="B162" s="108" t="s">
        <v>32</v>
      </c>
      <c r="C162" s="108">
        <f>IF(C5&lt;=20,C130,IF(AND(C5&gt;20,C5&lt;=45),D130,G130))</f>
        <v>0.50466999999999995</v>
      </c>
      <c r="D162" s="109" t="s">
        <v>49</v>
      </c>
      <c r="E162" s="110">
        <v>101.325</v>
      </c>
      <c r="F162" s="109" t="s">
        <v>50</v>
      </c>
      <c r="Y162" s="3"/>
    </row>
    <row r="163" spans="2:25" hidden="1" x14ac:dyDescent="0.3">
      <c r="B163" s="111" t="s">
        <v>33</v>
      </c>
      <c r="C163" s="111">
        <f>IF(C5&lt;=20,C131,IF(AND(C5&gt;20,C5&lt;=45),D131,G131))</f>
        <v>0.83938000000000001</v>
      </c>
      <c r="E163" s="3">
        <v>2116.8000000000002</v>
      </c>
      <c r="F163" s="3" t="s">
        <v>51</v>
      </c>
      <c r="Y163" s="3"/>
    </row>
    <row r="164" spans="2:25" hidden="1" x14ac:dyDescent="0.3">
      <c r="Y164" s="3"/>
    </row>
    <row r="165" spans="2:25" ht="18" hidden="1" x14ac:dyDescent="0.35">
      <c r="B165" s="285" t="s">
        <v>61</v>
      </c>
      <c r="C165" s="286"/>
      <c r="D165" s="286"/>
      <c r="E165" s="286"/>
      <c r="F165" s="286"/>
      <c r="G165" s="286"/>
      <c r="H165" s="287"/>
      <c r="Y165" s="3"/>
    </row>
    <row r="166" spans="2:25" hidden="1" x14ac:dyDescent="0.3">
      <c r="B166" s="112" t="s">
        <v>53</v>
      </c>
      <c r="C166" s="113" t="s">
        <v>54</v>
      </c>
      <c r="D166" s="113" t="s">
        <v>55</v>
      </c>
      <c r="Y166" s="3"/>
    </row>
    <row r="167" spans="2:25" hidden="1" x14ac:dyDescent="0.3">
      <c r="B167" s="114">
        <v>0</v>
      </c>
      <c r="C167" s="115">
        <f t="shared" ref="C167:C176" si="126">$C$162*$E$162*(B167/$E$109)^$C$163</f>
        <v>0</v>
      </c>
      <c r="D167" s="3">
        <f t="shared" ref="D167:D177" si="127">C167*20.885434273</f>
        <v>0</v>
      </c>
      <c r="Y167" s="3"/>
    </row>
    <row r="168" spans="2:25" hidden="1" x14ac:dyDescent="0.3">
      <c r="B168" s="114">
        <v>15</v>
      </c>
      <c r="C168" s="115">
        <f t="shared" si="126"/>
        <v>10.288526304541078</v>
      </c>
      <c r="D168" s="3">
        <f t="shared" si="127"/>
        <v>214.88033989952427</v>
      </c>
      <c r="Y168" s="3"/>
    </row>
    <row r="169" spans="2:25" hidden="1" x14ac:dyDescent="0.3">
      <c r="B169" s="114">
        <v>25</v>
      </c>
      <c r="C169" s="115">
        <f t="shared" si="126"/>
        <v>15.796780214792568</v>
      </c>
      <c r="D169" s="3">
        <f t="shared" si="127"/>
        <v>329.922614901077</v>
      </c>
      <c r="Y169" s="3"/>
    </row>
    <row r="170" spans="2:25" hidden="1" x14ac:dyDescent="0.3">
      <c r="B170" s="114">
        <v>75</v>
      </c>
      <c r="C170" s="115">
        <f t="shared" si="126"/>
        <v>39.724150125756935</v>
      </c>
      <c r="D170" s="3">
        <f t="shared" si="127"/>
        <v>829.65612650228127</v>
      </c>
      <c r="Y170" s="3"/>
    </row>
    <row r="171" spans="2:25" hidden="1" x14ac:dyDescent="0.3">
      <c r="B171" s="114">
        <v>150</v>
      </c>
      <c r="C171" s="115">
        <f t="shared" si="126"/>
        <v>71.07766828631614</v>
      </c>
      <c r="D171" s="3">
        <f t="shared" si="127"/>
        <v>1484.4879692719524</v>
      </c>
      <c r="Y171" s="3"/>
    </row>
    <row r="172" spans="2:25" hidden="1" x14ac:dyDescent="0.3">
      <c r="B172" s="114">
        <v>200</v>
      </c>
      <c r="C172" s="115">
        <f t="shared" si="126"/>
        <v>90.4907627691653</v>
      </c>
      <c r="D172" s="3">
        <f t="shared" si="127"/>
        <v>1889.9388781290374</v>
      </c>
      <c r="Y172" s="3"/>
    </row>
    <row r="173" spans="2:25" hidden="1" x14ac:dyDescent="0.3">
      <c r="B173" s="114">
        <v>300</v>
      </c>
      <c r="C173" s="115">
        <f t="shared" si="126"/>
        <v>127.17792358114865</v>
      </c>
      <c r="D173" s="3">
        <f t="shared" si="127"/>
        <v>2656.1661639306972</v>
      </c>
      <c r="Y173" s="3"/>
    </row>
    <row r="174" spans="2:25" hidden="1" x14ac:dyDescent="0.3">
      <c r="B174" s="114">
        <v>400</v>
      </c>
      <c r="C174" s="115">
        <f t="shared" si="126"/>
        <v>161.91340528924408</v>
      </c>
      <c r="D174" s="3">
        <f t="shared" si="127"/>
        <v>3381.6317840861179</v>
      </c>
      <c r="Y174" s="3"/>
    </row>
    <row r="175" spans="2:25" hidden="1" x14ac:dyDescent="0.3">
      <c r="B175" s="114">
        <v>500</v>
      </c>
      <c r="C175" s="115">
        <f t="shared" si="126"/>
        <v>195.26622642723584</v>
      </c>
      <c r="D175" s="3">
        <f t="shared" si="127"/>
        <v>4078.2199377827701</v>
      </c>
      <c r="Y175" s="3"/>
    </row>
    <row r="176" spans="2:25" hidden="1" x14ac:dyDescent="0.3">
      <c r="B176" s="114">
        <v>600</v>
      </c>
      <c r="C176" s="115">
        <f t="shared" si="126"/>
        <v>227.55704620555687</v>
      </c>
      <c r="D176" s="3">
        <f t="shared" si="127"/>
        <v>4752.6277318841821</v>
      </c>
      <c r="Y176" s="3"/>
    </row>
    <row r="177" spans="2:25" hidden="1" x14ac:dyDescent="0.3">
      <c r="B177" s="114">
        <v>700</v>
      </c>
      <c r="C177" s="115">
        <f>$C$162*$E$162*(B177/$E$162)^$C$163</f>
        <v>258.99064908869946</v>
      </c>
      <c r="D177" s="3">
        <f t="shared" si="127"/>
        <v>5409.1321788636405</v>
      </c>
      <c r="Y177" s="3"/>
    </row>
    <row r="178" spans="2:25" hidden="1" x14ac:dyDescent="0.3">
      <c r="Y178" s="3"/>
    </row>
    <row r="179" spans="2:25" hidden="1" x14ac:dyDescent="0.3"/>
    <row r="180" spans="2:25" hidden="1" x14ac:dyDescent="0.3"/>
    <row r="181" spans="2:25" hidden="1" x14ac:dyDescent="0.3"/>
    <row r="182" spans="2:25" hidden="1" x14ac:dyDescent="0.3"/>
    <row r="183" spans="2:25" hidden="1" x14ac:dyDescent="0.3"/>
  </sheetData>
  <sheetProtection algorithmName="SHA-512" hashValue="c3mSHvkFBP1ieTwvp4iz70BVtOq7OzuGGD8vMEW40RuouEU8v6JkQZ5Vznz86Neljct6hsOKJA1tgXnuHcwCow==" saltValue="tRSV3KLkh6vJoK/uIXIE5w==" spinCount="100000" sheet="1" objects="1" scenarios="1" selectLockedCells="1"/>
  <mergeCells count="57">
    <mergeCell ref="C74:I80"/>
    <mergeCell ref="U74:V74"/>
    <mergeCell ref="U72:X73"/>
    <mergeCell ref="U58:V58"/>
    <mergeCell ref="K56:N57"/>
    <mergeCell ref="K58:L58"/>
    <mergeCell ref="K72:N73"/>
    <mergeCell ref="K74:L74"/>
    <mergeCell ref="U56:X57"/>
    <mergeCell ref="P74:Q74"/>
    <mergeCell ref="P56:S57"/>
    <mergeCell ref="P72:S73"/>
    <mergeCell ref="B165:H165"/>
    <mergeCell ref="B91:H91"/>
    <mergeCell ref="B112:H112"/>
    <mergeCell ref="B129:H129"/>
    <mergeCell ref="B134:C134"/>
    <mergeCell ref="D134:E134"/>
    <mergeCell ref="G134:H134"/>
    <mergeCell ref="F83:G83"/>
    <mergeCell ref="D84:E84"/>
    <mergeCell ref="D85:E85"/>
    <mergeCell ref="D86:E86"/>
    <mergeCell ref="D87:E87"/>
    <mergeCell ref="W7:Y7"/>
    <mergeCell ref="P58:Q58"/>
    <mergeCell ref="B12:H12"/>
    <mergeCell ref="K55:O55"/>
    <mergeCell ref="B41:W41"/>
    <mergeCell ref="C30:E30"/>
    <mergeCell ref="G30:I30"/>
    <mergeCell ref="B50:B52"/>
    <mergeCell ref="B43:V43"/>
    <mergeCell ref="B49:V49"/>
    <mergeCell ref="C44:F44"/>
    <mergeCell ref="G44:J44"/>
    <mergeCell ref="K44:N44"/>
    <mergeCell ref="O44:R44"/>
    <mergeCell ref="C50:F50"/>
    <mergeCell ref="G50:J50"/>
    <mergeCell ref="K50:N50"/>
    <mergeCell ref="O50:R50"/>
    <mergeCell ref="B44:B46"/>
    <mergeCell ref="B2:U2"/>
    <mergeCell ref="B21:H21"/>
    <mergeCell ref="B22:B23"/>
    <mergeCell ref="B24:B25"/>
    <mergeCell ref="B26:B27"/>
    <mergeCell ref="K12:O12"/>
    <mergeCell ref="Q12:T12"/>
    <mergeCell ref="B13:B14"/>
    <mergeCell ref="B15:B16"/>
    <mergeCell ref="B17:B19"/>
    <mergeCell ref="B3:C3"/>
    <mergeCell ref="E3:I3"/>
    <mergeCell ref="J3:O3"/>
    <mergeCell ref="P3:U3"/>
  </mergeCells>
  <phoneticPr fontId="28" type="noConversion"/>
  <hyperlinks>
    <hyperlink ref="W7" r:id="rId1" xr:uid="{00000000-0004-0000-0000-000000000000}"/>
  </hyperlinks>
  <pageMargins left="0.7" right="0.7" top="0.75" bottom="0.75" header="0.3" footer="0.3"/>
  <pageSetup orientation="portrait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3083-70C7-4F08-A1E3-D6FB18E3C760}">
  <sheetPr codeName="Sheet3"/>
  <dimension ref="A1:Y134"/>
  <sheetViews>
    <sheetView zoomScale="70" zoomScaleNormal="70" workbookViewId="0">
      <selection activeCell="B5" sqref="B5"/>
    </sheetView>
  </sheetViews>
  <sheetFormatPr defaultColWidth="8.88671875" defaultRowHeight="14.4" x14ac:dyDescent="0.3"/>
  <cols>
    <col min="1" max="1" width="1.88671875" style="3" customWidth="1"/>
    <col min="2" max="2" width="10.109375" style="3" customWidth="1"/>
    <col min="3" max="3" width="23.88671875" style="3" customWidth="1"/>
    <col min="4" max="25" width="11.6640625" style="3" customWidth="1"/>
    <col min="26" max="16384" width="8.88671875" style="3"/>
  </cols>
  <sheetData>
    <row r="1" spans="1:25" ht="30" customHeight="1" x14ac:dyDescent="0.3">
      <c r="A1" s="2"/>
      <c r="B1" s="123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54"/>
      <c r="M1" s="123"/>
      <c r="N1" s="124"/>
      <c r="O1" s="124"/>
      <c r="P1" s="153" t="s">
        <v>87</v>
      </c>
      <c r="Q1" s="124"/>
      <c r="R1" s="2"/>
      <c r="S1" s="2"/>
      <c r="T1" s="2"/>
      <c r="U1" s="2"/>
      <c r="V1" s="2"/>
      <c r="W1" s="153"/>
      <c r="X1" s="2"/>
      <c r="Y1" s="2"/>
    </row>
    <row r="2" spans="1:25" ht="19.5" customHeight="1" x14ac:dyDescent="0.4">
      <c r="A2" s="2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17"/>
      <c r="S2" s="317"/>
      <c r="T2" s="317"/>
      <c r="U2" s="2"/>
      <c r="V2" s="2"/>
      <c r="W2" s="2"/>
      <c r="X2" s="2"/>
      <c r="Y2" s="2"/>
    </row>
    <row r="3" spans="1:25" ht="18.75" customHeight="1" x14ac:dyDescent="0.4">
      <c r="A3" s="2"/>
      <c r="B3" s="161" t="s">
        <v>0</v>
      </c>
      <c r="C3" s="125"/>
      <c r="D3" s="302" t="s">
        <v>1</v>
      </c>
      <c r="E3" s="303"/>
      <c r="F3" s="303"/>
      <c r="G3" s="303"/>
      <c r="H3" s="304"/>
      <c r="I3" s="305" t="s">
        <v>2</v>
      </c>
      <c r="J3" s="306"/>
      <c r="K3" s="306"/>
      <c r="L3" s="306"/>
      <c r="M3" s="306"/>
      <c r="N3" s="307"/>
      <c r="O3" s="305" t="s">
        <v>3</v>
      </c>
      <c r="P3" s="306"/>
      <c r="Q3" s="306"/>
      <c r="R3" s="306"/>
      <c r="S3" s="306"/>
      <c r="T3" s="307"/>
      <c r="U3" s="2"/>
      <c r="V3" s="2"/>
      <c r="W3" s="2"/>
      <c r="X3" s="2"/>
      <c r="Y3" s="2"/>
    </row>
    <row r="4" spans="1:25" ht="17.25" customHeight="1" x14ac:dyDescent="0.3">
      <c r="A4" s="2"/>
      <c r="B4" s="126" t="s">
        <v>6</v>
      </c>
      <c r="C4" s="127" t="s">
        <v>7</v>
      </c>
      <c r="D4" s="128" t="s">
        <v>8</v>
      </c>
      <c r="E4" s="129" t="s">
        <v>9</v>
      </c>
      <c r="F4" s="128" t="s">
        <v>10</v>
      </c>
      <c r="G4" s="129" t="s">
        <v>11</v>
      </c>
      <c r="H4" s="129" t="s">
        <v>12</v>
      </c>
      <c r="I4" s="130">
        <v>0</v>
      </c>
      <c r="J4" s="130">
        <v>12</v>
      </c>
      <c r="K4" s="130">
        <v>50</v>
      </c>
      <c r="L4" s="130">
        <v>100</v>
      </c>
      <c r="M4" s="130">
        <v>400</v>
      </c>
      <c r="N4" s="130">
        <v>700</v>
      </c>
      <c r="O4" s="130">
        <v>0</v>
      </c>
      <c r="P4" s="130">
        <f>J4*20.89</f>
        <v>250.68</v>
      </c>
      <c r="Q4" s="130">
        <f t="shared" ref="Q4:T9" si="0">K4*20.89</f>
        <v>1044.5</v>
      </c>
      <c r="R4" s="130">
        <f t="shared" si="0"/>
        <v>2089</v>
      </c>
      <c r="S4" s="130">
        <f t="shared" si="0"/>
        <v>8356</v>
      </c>
      <c r="T4" s="130">
        <f t="shared" si="0"/>
        <v>14623</v>
      </c>
      <c r="U4" s="2"/>
      <c r="V4" s="2"/>
      <c r="W4" s="2"/>
      <c r="X4" s="2"/>
      <c r="Y4" s="2"/>
    </row>
    <row r="5" spans="1:25" ht="21" customHeight="1" x14ac:dyDescent="0.35">
      <c r="A5" s="2"/>
      <c r="B5" s="1">
        <v>20</v>
      </c>
      <c r="C5" s="257" t="s">
        <v>104</v>
      </c>
      <c r="D5" s="258" t="s">
        <v>14</v>
      </c>
      <c r="E5" s="259">
        <f>M38</f>
        <v>23.583059681822888</v>
      </c>
      <c r="F5" s="259">
        <f>M39</f>
        <v>23.414775891590953</v>
      </c>
      <c r="G5" s="259">
        <f>M42</f>
        <v>23.080975693835381</v>
      </c>
      <c r="H5" s="259">
        <f>M43</f>
        <v>22.947274288307966</v>
      </c>
      <c r="I5" s="259">
        <v>0</v>
      </c>
      <c r="J5" s="260" t="s">
        <v>14</v>
      </c>
      <c r="K5" s="259">
        <f>IF(E5="NA", "NA", $K$4*TAN(RADIANS(E5)))</f>
        <v>21.826860228513606</v>
      </c>
      <c r="L5" s="259">
        <f>IF(F5="NA", "NA", $L$4*TAN(RADIANS(F5)))</f>
        <v>43.30448571891214</v>
      </c>
      <c r="M5" s="259">
        <f t="shared" ref="M5" si="1">IF(G5="NA", "NA", $M$4*TAN(RADIANS(G5)))</f>
        <v>170.45750257650184</v>
      </c>
      <c r="N5" s="259">
        <f t="shared" ref="N5" si="2">IF(H5="NA", "NA", $N$4*TAN(RADIANS(H5)))</f>
        <v>296.37243676966801</v>
      </c>
      <c r="O5" s="278">
        <v>0</v>
      </c>
      <c r="P5" s="261" t="s">
        <v>14</v>
      </c>
      <c r="Q5" s="261">
        <f>K5*20.89</f>
        <v>455.96311017364923</v>
      </c>
      <c r="R5" s="261">
        <f t="shared" si="0"/>
        <v>904.63070666807459</v>
      </c>
      <c r="S5" s="261">
        <f t="shared" si="0"/>
        <v>3560.8572288231235</v>
      </c>
      <c r="T5" s="261">
        <f t="shared" si="0"/>
        <v>6191.2202041183646</v>
      </c>
      <c r="U5" s="2"/>
      <c r="V5" s="2"/>
      <c r="W5" s="2"/>
      <c r="X5" s="2"/>
      <c r="Y5" s="2"/>
    </row>
    <row r="6" spans="1:25" ht="21" customHeight="1" x14ac:dyDescent="0.3">
      <c r="A6" s="2"/>
      <c r="B6" s="131"/>
      <c r="C6" s="214" t="s">
        <v>13</v>
      </c>
      <c r="D6" s="180" t="s">
        <v>14</v>
      </c>
      <c r="E6" s="181">
        <f>R38</f>
        <v>23.378027405362683</v>
      </c>
      <c r="F6" s="181">
        <f>R39</f>
        <v>22.453438601321924</v>
      </c>
      <c r="G6" s="181">
        <f>R42</f>
        <v>20.691188078290562</v>
      </c>
      <c r="H6" s="181">
        <f>R43</f>
        <v>20.012486828452708</v>
      </c>
      <c r="I6" s="183">
        <v>0</v>
      </c>
      <c r="J6" s="182" t="s">
        <v>14</v>
      </c>
      <c r="K6" s="183">
        <f>IF(E6="NA", "NA", $K$4*TAN(RADIANS(E6)))</f>
        <v>21.614170474674346</v>
      </c>
      <c r="L6" s="183">
        <f>IF(F6="NA", "NA", $L$4*TAN(RADIANS(F6)))</f>
        <v>41.326180417661192</v>
      </c>
      <c r="M6" s="183">
        <f>IF(G6="NA", "NA", $M$4*TAN(RADIANS(G6)))</f>
        <v>151.07710603558326</v>
      </c>
      <c r="N6" s="183">
        <f>IF(H6="NA", "NA", $N$4*TAN(RADIANS(H6)))</f>
        <v>254.95194275616103</v>
      </c>
      <c r="O6" s="279">
        <v>0</v>
      </c>
      <c r="P6" s="184" t="s">
        <v>14</v>
      </c>
      <c r="Q6" s="184">
        <f>K6*20.89</f>
        <v>451.52002121594711</v>
      </c>
      <c r="R6" s="184">
        <f>L6*20.89</f>
        <v>863.30390892494233</v>
      </c>
      <c r="S6" s="184">
        <f>M6*20.89</f>
        <v>3156.0007450833341</v>
      </c>
      <c r="T6" s="184">
        <f>N6*20.89</f>
        <v>5325.9460841762038</v>
      </c>
      <c r="U6" s="2"/>
      <c r="V6" s="2"/>
      <c r="W6" s="2"/>
      <c r="X6" s="2"/>
      <c r="Y6" s="2"/>
    </row>
    <row r="7" spans="1:25" ht="21" customHeight="1" x14ac:dyDescent="0.55000000000000004">
      <c r="A7" s="2"/>
      <c r="B7" s="131"/>
      <c r="C7" s="185" t="s">
        <v>95</v>
      </c>
      <c r="D7" s="186" t="s">
        <v>14</v>
      </c>
      <c r="E7" s="187">
        <f>W38</f>
        <v>23.125737368774356</v>
      </c>
      <c r="F7" s="187">
        <f>W39</f>
        <v>21.477535382207193</v>
      </c>
      <c r="G7" s="187">
        <f>W42</f>
        <v>18.467537713655425</v>
      </c>
      <c r="H7" s="187">
        <f>W43</f>
        <v>17.358197846520508</v>
      </c>
      <c r="I7" s="189">
        <v>0</v>
      </c>
      <c r="J7" s="188" t="s">
        <v>14</v>
      </c>
      <c r="K7" s="189">
        <f t="shared" ref="K7" si="3">IF(E7="NA", "NA", $K$4*TAN(RADIANS(E7)))</f>
        <v>21.353358720987359</v>
      </c>
      <c r="L7" s="189">
        <f t="shared" ref="L7:L8" si="4">IF(F7="NA", "NA", $L$4*TAN(RADIANS(F7)))</f>
        <v>39.345762647185779</v>
      </c>
      <c r="M7" s="189">
        <f t="shared" ref="M7" si="5">IF(G7="NA", "NA", $M$4*TAN(RADIANS(G7)))</f>
        <v>133.58617393905851</v>
      </c>
      <c r="N7" s="189">
        <f t="shared" ref="N7" si="6">IF(H7="NA", "NA", $N$4*TAN(RADIANS(H7)))</f>
        <v>218.80596569670328</v>
      </c>
      <c r="O7" s="280">
        <v>0</v>
      </c>
      <c r="P7" s="190" t="s">
        <v>14</v>
      </c>
      <c r="Q7" s="190">
        <f t="shared" ref="Q7:Q8" si="7">K7*20.89</f>
        <v>446.07166368142595</v>
      </c>
      <c r="R7" s="190">
        <f t="shared" ref="R7" si="8">L7*20.89</f>
        <v>821.93298169971092</v>
      </c>
      <c r="S7" s="190">
        <f t="shared" ref="S7:S8" si="9">M7*20.89</f>
        <v>2790.6151735869325</v>
      </c>
      <c r="T7" s="190">
        <f t="shared" ref="T7" si="10">N7*20.89</f>
        <v>4570.8566234041318</v>
      </c>
      <c r="U7" s="2"/>
      <c r="V7" s="339" t="s">
        <v>44</v>
      </c>
      <c r="W7" s="340"/>
      <c r="X7" s="340"/>
      <c r="Y7" s="2"/>
    </row>
    <row r="8" spans="1:25" ht="21" customHeight="1" x14ac:dyDescent="0.3">
      <c r="A8" s="2"/>
      <c r="B8" s="131"/>
      <c r="C8" s="275" t="s">
        <v>101</v>
      </c>
      <c r="D8" s="276">
        <f>DEGREES(ATAN(((K16*101*(12/101)^L16)/12)))</f>
        <v>33.342264128801638</v>
      </c>
      <c r="E8" s="276">
        <f>M22</f>
        <v>31.391010725421399</v>
      </c>
      <c r="F8" s="276">
        <f>M23</f>
        <v>30.466729421149736</v>
      </c>
      <c r="G8" s="276">
        <f>M26</f>
        <v>28.667620807614195</v>
      </c>
      <c r="H8" s="277" t="s">
        <v>14</v>
      </c>
      <c r="I8" s="276">
        <v>0</v>
      </c>
      <c r="J8" s="276">
        <f>IF(D8="NA", "NA", $J$4*TAN(RADIANS(D8)))</f>
        <v>7.8952040256812719</v>
      </c>
      <c r="K8" s="276">
        <f t="shared" ref="K8" si="11">IF(E8="NA", "NA", $K$4*TAN(RADIANS(E8)))</f>
        <v>30.509363919468285</v>
      </c>
      <c r="L8" s="276">
        <f t="shared" si="4"/>
        <v>58.826312135499535</v>
      </c>
      <c r="M8" s="276">
        <f>IF(G8="NA","NA",$M$4*TAN(RADIANS(G8)))</f>
        <v>218.6998889341302</v>
      </c>
      <c r="N8" s="276" t="s">
        <v>14</v>
      </c>
      <c r="O8" s="276">
        <f t="shared" ref="O8" si="12">I8*20.89</f>
        <v>0</v>
      </c>
      <c r="P8" s="276">
        <f t="shared" ref="P8" si="13">J8*20.89</f>
        <v>164.93081209648179</v>
      </c>
      <c r="Q8" s="276">
        <f t="shared" si="7"/>
        <v>637.34061227769246</v>
      </c>
      <c r="R8" s="276">
        <f>L8*20.89</f>
        <v>1228.8816605105853</v>
      </c>
      <c r="S8" s="276">
        <f t="shared" si="9"/>
        <v>4568.6406798339804</v>
      </c>
      <c r="T8" s="276" t="s">
        <v>14</v>
      </c>
      <c r="U8" s="2"/>
      <c r="V8" s="2"/>
      <c r="W8" s="2"/>
      <c r="X8" s="2"/>
      <c r="Y8" s="2"/>
    </row>
    <row r="9" spans="1:25" ht="21" customHeight="1" x14ac:dyDescent="0.3">
      <c r="A9" s="2"/>
      <c r="B9" s="131"/>
      <c r="C9" s="208" t="s">
        <v>15</v>
      </c>
      <c r="D9" s="209">
        <f>DEGREES(ATAN(((P16*101*(12/101)^Q16)/12)))</f>
        <v>32.92894821489768</v>
      </c>
      <c r="E9" s="209">
        <f>R22</f>
        <v>30.274017300815228</v>
      </c>
      <c r="F9" s="209">
        <f>R23</f>
        <v>29.031271177656077</v>
      </c>
      <c r="G9" s="209">
        <f>R26</f>
        <v>26.64516424757598</v>
      </c>
      <c r="H9" s="210" t="s">
        <v>14</v>
      </c>
      <c r="I9" s="209">
        <v>0</v>
      </c>
      <c r="J9" s="209">
        <f>IF(D9="NA", "NA", $J$4*TAN(RADIANS(D9)))</f>
        <v>7.771751291859581</v>
      </c>
      <c r="K9" s="209">
        <f>IF(E9="NA", "NA", $K$4*TAN(RADIANS(E9)))</f>
        <v>29.187232305462356</v>
      </c>
      <c r="L9" s="209">
        <f>IF(F9="NA", "NA", $L$4*TAN(RADIANS(F9)))</f>
        <v>55.502274954955297</v>
      </c>
      <c r="M9" s="209">
        <f>IF(G9="NA","NA",$M$4*TAN(RADIANS(G9)))</f>
        <v>200.69960799180163</v>
      </c>
      <c r="N9" s="209" t="s">
        <v>14</v>
      </c>
      <c r="O9" s="209">
        <f>I9*20.89</f>
        <v>0</v>
      </c>
      <c r="P9" s="209">
        <f>J9*20.89</f>
        <v>162.35188448694666</v>
      </c>
      <c r="Q9" s="209">
        <f t="shared" si="0"/>
        <v>609.72128286110865</v>
      </c>
      <c r="R9" s="209">
        <f t="shared" si="0"/>
        <v>1159.4425238090162</v>
      </c>
      <c r="S9" s="209">
        <f t="shared" si="0"/>
        <v>4192.6148109487358</v>
      </c>
      <c r="T9" s="209" t="s">
        <v>14</v>
      </c>
      <c r="U9" s="2"/>
      <c r="V9" s="2"/>
      <c r="W9" s="2"/>
      <c r="X9" s="2"/>
      <c r="Y9" s="2"/>
    </row>
    <row r="10" spans="1:25" ht="21" customHeight="1" x14ac:dyDescent="0.3">
      <c r="A10" s="2"/>
      <c r="B10" s="131"/>
      <c r="C10" s="211" t="s">
        <v>96</v>
      </c>
      <c r="D10" s="212">
        <f>DEGREES(ATAN(((U16*101*(12/101)^V16)/12)))</f>
        <v>32.424377111731602</v>
      </c>
      <c r="E10" s="212">
        <f>W22</f>
        <v>29.09290696285877</v>
      </c>
      <c r="F10" s="212">
        <f>W23</f>
        <v>27.554162316735098</v>
      </c>
      <c r="G10" s="212">
        <f>W26</f>
        <v>24.64513284532298</v>
      </c>
      <c r="H10" s="213" t="s">
        <v>14</v>
      </c>
      <c r="I10" s="212">
        <v>0</v>
      </c>
      <c r="J10" s="212">
        <f>IF(D10="NA", "NA", $J$4*TAN(RADIANS(D10)))</f>
        <v>7.622595245265444</v>
      </c>
      <c r="K10" s="212">
        <f t="shared" ref="K10" si="14">IF(E10="NA", "NA", $K$4*TAN(RADIANS(E10)))</f>
        <v>27.821536119328265</v>
      </c>
      <c r="L10" s="212">
        <f t="shared" ref="L10" si="15">IF(F10="NA", "NA", $L$4*TAN(RADIANS(F10)))</f>
        <v>52.176912301770408</v>
      </c>
      <c r="M10" s="212">
        <f t="shared" ref="M10" si="16">IF(G10="NA","NA",$M$4*TAN(RADIANS(G10)))</f>
        <v>183.51556912442112</v>
      </c>
      <c r="N10" s="212" t="s">
        <v>14</v>
      </c>
      <c r="O10" s="212">
        <f t="shared" ref="O10" si="17">I10*20.89</f>
        <v>0</v>
      </c>
      <c r="P10" s="212">
        <f t="shared" ref="P10" si="18">J10*20.89</f>
        <v>159.23601467359512</v>
      </c>
      <c r="Q10" s="212">
        <f t="shared" ref="Q10" si="19">K10*20.89</f>
        <v>581.1918895327675</v>
      </c>
      <c r="R10" s="212">
        <f t="shared" ref="R10" si="20">L10*20.89</f>
        <v>1089.9756979839838</v>
      </c>
      <c r="S10" s="212">
        <f t="shared" ref="S10" si="21">M10*20.89</f>
        <v>3833.6402390091571</v>
      </c>
      <c r="T10" s="212" t="s">
        <v>14</v>
      </c>
      <c r="U10" s="2"/>
      <c r="V10" s="2"/>
      <c r="W10" s="2"/>
      <c r="X10" s="2"/>
      <c r="Y10" s="2"/>
    </row>
    <row r="11" spans="1:25" ht="18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308"/>
      <c r="K11" s="309"/>
      <c r="L11" s="309"/>
      <c r="M11" s="309"/>
      <c r="N11" s="30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.899999999999999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396" t="s">
        <v>102</v>
      </c>
      <c r="L12" s="397"/>
      <c r="M12" s="397"/>
      <c r="N12" s="398"/>
      <c r="O12" s="2"/>
      <c r="P12" s="363" t="s">
        <v>91</v>
      </c>
      <c r="Q12" s="364"/>
      <c r="R12" s="364"/>
      <c r="S12" s="365"/>
      <c r="T12" s="131"/>
      <c r="U12" s="378" t="s">
        <v>97</v>
      </c>
      <c r="V12" s="379"/>
      <c r="W12" s="379"/>
      <c r="X12" s="380"/>
      <c r="Y12" s="205"/>
    </row>
    <row r="13" spans="1:25" ht="18.899999999999999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397"/>
      <c r="L13" s="397"/>
      <c r="M13" s="397"/>
      <c r="N13" s="398"/>
      <c r="O13" s="2"/>
      <c r="P13" s="364"/>
      <c r="Q13" s="364"/>
      <c r="R13" s="364"/>
      <c r="S13" s="365"/>
      <c r="T13" s="131"/>
      <c r="U13" s="379"/>
      <c r="V13" s="379"/>
      <c r="W13" s="379"/>
      <c r="X13" s="380"/>
      <c r="Y13" s="205"/>
    </row>
    <row r="14" spans="1:25" ht="18.899999999999999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341" t="s">
        <v>31</v>
      </c>
      <c r="L14" s="342"/>
      <c r="M14" s="174"/>
      <c r="N14" s="164"/>
      <c r="O14" s="2"/>
      <c r="P14" s="341" t="s">
        <v>31</v>
      </c>
      <c r="Q14" s="342"/>
      <c r="R14" s="174"/>
      <c r="S14" s="164"/>
      <c r="T14" s="131"/>
      <c r="U14" s="341" t="s">
        <v>31</v>
      </c>
      <c r="V14" s="342"/>
      <c r="W14" s="174"/>
      <c r="X14" s="164"/>
      <c r="Y14" s="2"/>
    </row>
    <row r="15" spans="1:25" ht="18.7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94" t="s">
        <v>32</v>
      </c>
      <c r="L15" s="94" t="s">
        <v>33</v>
      </c>
      <c r="M15" s="163"/>
      <c r="N15" s="164"/>
      <c r="O15" s="2"/>
      <c r="P15" s="94" t="s">
        <v>32</v>
      </c>
      <c r="Q15" s="94" t="s">
        <v>33</v>
      </c>
      <c r="R15" s="163"/>
      <c r="S15" s="164"/>
      <c r="T15" s="131"/>
      <c r="U15" s="94" t="s">
        <v>32</v>
      </c>
      <c r="V15" s="94" t="s">
        <v>33</v>
      </c>
      <c r="W15" s="163"/>
      <c r="X15" s="164"/>
      <c r="Y15" s="2"/>
    </row>
    <row r="16" spans="1:25" ht="20.100000000000001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82">
        <f>IF($B$5&lt;15,"NA",IF($B$5&lt;=250,(-0.1155919163 * LN($B$5) + 0.9009033321+0.0333333),"NA"))</f>
        <v>0.58795419787813841</v>
      </c>
      <c r="L16" s="282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7+0.02),"NA"))</f>
        <v>0.94720949356350792</v>
      </c>
      <c r="M16" s="163"/>
      <c r="N16" s="175"/>
      <c r="O16" s="2"/>
      <c r="P16" s="282">
        <f>IF($B$5&lt;15,"NA",IF($B$5&lt;=250,(-0.1155919163 * LN($B$5) + 0.9009033321),"NA"))</f>
        <v>0.5546208978781384</v>
      </c>
      <c r="Q16" s="282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7),"NA"))</f>
        <v>0.9272094935635079</v>
      </c>
      <c r="R16" s="163"/>
      <c r="S16" s="175"/>
      <c r="T16" s="131"/>
      <c r="U16" s="282">
        <f>IF($B$5&lt;15,"NA",IF($B$5&lt;=250,(-0.1155919163 * LN($B$5) + 0.9009033321-0.0333333),"NA"))</f>
        <v>0.52128759787813839</v>
      </c>
      <c r="V16" s="282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7-0.02),"NA"))</f>
        <v>0.90720949356350788</v>
      </c>
      <c r="W16" s="163"/>
      <c r="X16" s="175"/>
      <c r="Y16" s="2"/>
    </row>
    <row r="17" spans="1:25" ht="18.7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176" t="s">
        <v>34</v>
      </c>
      <c r="L17" s="96" t="s">
        <v>35</v>
      </c>
      <c r="M17" s="177" t="s">
        <v>36</v>
      </c>
      <c r="N17" s="96" t="s">
        <v>79</v>
      </c>
      <c r="O17" s="2"/>
      <c r="P17" s="176" t="s">
        <v>34</v>
      </c>
      <c r="Q17" s="96" t="s">
        <v>35</v>
      </c>
      <c r="R17" s="177" t="s">
        <v>36</v>
      </c>
      <c r="S17" s="96" t="s">
        <v>79</v>
      </c>
      <c r="T17" s="131"/>
      <c r="U17" s="176" t="s">
        <v>34</v>
      </c>
      <c r="V17" s="96" t="s">
        <v>35</v>
      </c>
      <c r="W17" s="177" t="s">
        <v>36</v>
      </c>
      <c r="X17" s="96" t="s">
        <v>79</v>
      </c>
      <c r="Y17" s="2"/>
    </row>
    <row r="18" spans="1:25" ht="22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67">
        <v>0</v>
      </c>
      <c r="L18" s="268">
        <v>0</v>
      </c>
      <c r="M18" s="268">
        <v>0</v>
      </c>
      <c r="N18" s="268">
        <f>L18*20.89</f>
        <v>0</v>
      </c>
      <c r="O18" s="2"/>
      <c r="P18" s="203">
        <v>0</v>
      </c>
      <c r="Q18" s="204">
        <v>0</v>
      </c>
      <c r="R18" s="204">
        <v>0</v>
      </c>
      <c r="S18" s="204">
        <f>Q18*20.89</f>
        <v>0</v>
      </c>
      <c r="T18" s="232"/>
      <c r="U18" s="206">
        <v>0</v>
      </c>
      <c r="V18" s="207">
        <v>0</v>
      </c>
      <c r="W18" s="207">
        <v>0</v>
      </c>
      <c r="X18" s="207">
        <f>V18*20.89</f>
        <v>0</v>
      </c>
      <c r="Y18" s="205"/>
    </row>
    <row r="19" spans="1:25" ht="20.100000000000001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67">
        <v>5</v>
      </c>
      <c r="L19" s="268">
        <f t="shared" ref="L19:L26" si="22">K$16*101*(K19/101)^L$16</f>
        <v>3.4452731509604075</v>
      </c>
      <c r="M19" s="268">
        <f t="shared" ref="M19:M25" si="23">DEGREES(ATAN(L19/K19))</f>
        <v>34.568964190842692</v>
      </c>
      <c r="N19" s="268">
        <f t="shared" ref="N19:N26" si="24">L19*20.89</f>
        <v>71.971756123562912</v>
      </c>
      <c r="O19" s="2"/>
      <c r="P19" s="203">
        <v>5</v>
      </c>
      <c r="Q19" s="204">
        <f t="shared" ref="Q19:Q26" si="25">P$16*101*(P19/101)^Q$16</f>
        <v>3.4513056401743762</v>
      </c>
      <c r="R19" s="204">
        <f t="shared" ref="R19:R25" si="26">DEGREES(ATAN(Q19/P19))</f>
        <v>34.615810168613265</v>
      </c>
      <c r="S19" s="204">
        <f t="shared" ref="S19:S26" si="27">Q19*20.89</f>
        <v>72.097774823242716</v>
      </c>
      <c r="T19" s="232"/>
      <c r="U19" s="206">
        <v>5</v>
      </c>
      <c r="V19" s="207">
        <f t="shared" ref="V19:V26" si="28">U$16*101*(U19/101)^V$16</f>
        <v>3.4448602762870264</v>
      </c>
      <c r="W19" s="207">
        <f t="shared" ref="W19:W25" si="29">DEGREES(ATAN(V19/U19))</f>
        <v>34.5657560340019</v>
      </c>
      <c r="X19" s="207">
        <f t="shared" ref="X19:X26" si="30">V19*20.89</f>
        <v>71.963131171635979</v>
      </c>
      <c r="Y19" s="205"/>
    </row>
    <row r="20" spans="1:25" ht="20.100000000000001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67">
        <v>10</v>
      </c>
      <c r="L20" s="268">
        <f t="shared" si="22"/>
        <v>6.6429675264755614</v>
      </c>
      <c r="M20" s="268">
        <f t="shared" si="23"/>
        <v>33.595958932394659</v>
      </c>
      <c r="N20" s="268">
        <f t="shared" si="24"/>
        <v>138.77159162807448</v>
      </c>
      <c r="O20" s="2"/>
      <c r="P20" s="203">
        <v>10</v>
      </c>
      <c r="Q20" s="204">
        <f t="shared" si="25"/>
        <v>6.5629831766781468</v>
      </c>
      <c r="R20" s="204">
        <f t="shared" si="26"/>
        <v>33.276822986319388</v>
      </c>
      <c r="S20" s="204">
        <f t="shared" si="27"/>
        <v>137.10071856080648</v>
      </c>
      <c r="T20" s="232"/>
      <c r="U20" s="206">
        <v>10</v>
      </c>
      <c r="V20" s="207">
        <f t="shared" si="28"/>
        <v>6.4605409189757053</v>
      </c>
      <c r="W20" s="207">
        <f t="shared" si="29"/>
        <v>32.86464669483523</v>
      </c>
      <c r="X20" s="207">
        <f t="shared" si="30"/>
        <v>134.9606997974025</v>
      </c>
      <c r="Y20" s="205"/>
    </row>
    <row r="21" spans="1:25" ht="20.100000000000001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67">
        <v>25</v>
      </c>
      <c r="L21" s="268">
        <f t="shared" si="22"/>
        <v>15.823213337367045</v>
      </c>
      <c r="M21" s="268">
        <f t="shared" si="23"/>
        <v>32.330886949337597</v>
      </c>
      <c r="N21" s="268">
        <f t="shared" si="24"/>
        <v>330.54692661759759</v>
      </c>
      <c r="O21" s="2"/>
      <c r="P21" s="203">
        <v>25</v>
      </c>
      <c r="Q21" s="204">
        <f t="shared" si="25"/>
        <v>15.34882183377904</v>
      </c>
      <c r="R21" s="204">
        <f t="shared" si="26"/>
        <v>31.547964051232764</v>
      </c>
      <c r="S21" s="204">
        <f t="shared" si="27"/>
        <v>320.63688810764415</v>
      </c>
      <c r="T21" s="232"/>
      <c r="U21" s="206">
        <v>25</v>
      </c>
      <c r="V21" s="207">
        <f t="shared" si="28"/>
        <v>14.834873086440254</v>
      </c>
      <c r="W21" s="207">
        <f t="shared" si="29"/>
        <v>30.684678579774769</v>
      </c>
      <c r="X21" s="207">
        <f t="shared" si="30"/>
        <v>309.90049877573693</v>
      </c>
      <c r="Y21" s="205"/>
    </row>
    <row r="22" spans="1:25" ht="20.100000000000001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67">
        <v>50</v>
      </c>
      <c r="L22" s="268">
        <f t="shared" si="22"/>
        <v>30.509363919468285</v>
      </c>
      <c r="M22" s="268">
        <f t="shared" si="23"/>
        <v>31.391010725421399</v>
      </c>
      <c r="N22" s="268">
        <f t="shared" si="24"/>
        <v>637.34061227769246</v>
      </c>
      <c r="O22" s="2"/>
      <c r="P22" s="203">
        <v>50</v>
      </c>
      <c r="Q22" s="204">
        <f t="shared" si="25"/>
        <v>29.187232305462359</v>
      </c>
      <c r="R22" s="204">
        <f t="shared" si="26"/>
        <v>30.274017300815228</v>
      </c>
      <c r="S22" s="204">
        <f t="shared" si="27"/>
        <v>609.72128286110865</v>
      </c>
      <c r="T22" s="232"/>
      <c r="U22" s="206">
        <v>50</v>
      </c>
      <c r="V22" s="207">
        <f t="shared" si="28"/>
        <v>27.821536119328268</v>
      </c>
      <c r="W22" s="207">
        <f t="shared" si="29"/>
        <v>29.09290696285877</v>
      </c>
      <c r="X22" s="207">
        <f t="shared" si="30"/>
        <v>581.1918895327675</v>
      </c>
      <c r="Y22" s="205"/>
    </row>
    <row r="23" spans="1:25" ht="20.100000000000001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67">
        <v>100</v>
      </c>
      <c r="L23" s="268">
        <f t="shared" si="22"/>
        <v>58.826312135499535</v>
      </c>
      <c r="M23" s="268">
        <f t="shared" si="23"/>
        <v>30.466729421149736</v>
      </c>
      <c r="N23" s="268">
        <f t="shared" si="24"/>
        <v>1228.8816605105853</v>
      </c>
      <c r="O23" s="2"/>
      <c r="P23" s="203">
        <v>100</v>
      </c>
      <c r="Q23" s="204">
        <f t="shared" si="25"/>
        <v>55.502274954955304</v>
      </c>
      <c r="R23" s="204">
        <f t="shared" si="26"/>
        <v>29.031271177656077</v>
      </c>
      <c r="S23" s="204">
        <f t="shared" si="27"/>
        <v>1159.4425238090164</v>
      </c>
      <c r="T23" s="232"/>
      <c r="U23" s="206">
        <v>100</v>
      </c>
      <c r="V23" s="207">
        <f t="shared" si="28"/>
        <v>52.176912301770408</v>
      </c>
      <c r="W23" s="207">
        <f t="shared" si="29"/>
        <v>27.554162316735098</v>
      </c>
      <c r="X23" s="207">
        <f t="shared" si="30"/>
        <v>1089.9756979839838</v>
      </c>
      <c r="Y23" s="205"/>
    </row>
    <row r="24" spans="1:25" ht="20.100000000000001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67">
        <v>200</v>
      </c>
      <c r="L24" s="268">
        <f t="shared" si="22"/>
        <v>113.42534077726292</v>
      </c>
      <c r="M24" s="268">
        <f t="shared" si="23"/>
        <v>29.5587298549755</v>
      </c>
      <c r="N24" s="268">
        <f t="shared" si="24"/>
        <v>2369.4553688370224</v>
      </c>
      <c r="O24" s="2"/>
      <c r="P24" s="203">
        <v>200</v>
      </c>
      <c r="Q24" s="204">
        <f t="shared" si="25"/>
        <v>105.54281039517906</v>
      </c>
      <c r="R24" s="204">
        <f t="shared" si="26"/>
        <v>27.821240557493269</v>
      </c>
      <c r="S24" s="204">
        <f t="shared" si="27"/>
        <v>2204.7893091552905</v>
      </c>
      <c r="T24" s="232"/>
      <c r="U24" s="206">
        <v>200</v>
      </c>
      <c r="V24" s="207">
        <f t="shared" si="28"/>
        <v>97.853337992193218</v>
      </c>
      <c r="W24" s="207">
        <f t="shared" si="29"/>
        <v>26.070963401043922</v>
      </c>
      <c r="X24" s="207">
        <f t="shared" si="30"/>
        <v>2044.1562306569165</v>
      </c>
      <c r="Y24" s="205"/>
    </row>
    <row r="25" spans="1:25" ht="20.100000000000001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67">
        <v>300</v>
      </c>
      <c r="L25" s="268">
        <f t="shared" si="22"/>
        <v>166.53495539241274</v>
      </c>
      <c r="M25" s="268">
        <f t="shared" si="23"/>
        <v>29.03537829910961</v>
      </c>
      <c r="N25" s="268">
        <f t="shared" si="24"/>
        <v>3478.9152181475024</v>
      </c>
      <c r="O25" s="2"/>
      <c r="P25" s="203">
        <v>300</v>
      </c>
      <c r="Q25" s="204">
        <f t="shared" si="25"/>
        <v>153.71000670997239</v>
      </c>
      <c r="R25" s="204">
        <f t="shared" si="26"/>
        <v>27.129090019067434</v>
      </c>
      <c r="S25" s="204">
        <f t="shared" si="27"/>
        <v>3211.0020401713232</v>
      </c>
      <c r="T25" s="232"/>
      <c r="U25" s="206">
        <v>300</v>
      </c>
      <c r="V25" s="207">
        <f t="shared" si="28"/>
        <v>141.36025077179258</v>
      </c>
      <c r="W25" s="207">
        <f t="shared" si="29"/>
        <v>25.229852656185319</v>
      </c>
      <c r="X25" s="207">
        <f t="shared" si="30"/>
        <v>2953.0156386227472</v>
      </c>
      <c r="Y25" s="205"/>
    </row>
    <row r="26" spans="1:25" ht="20.100000000000001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67">
        <v>400</v>
      </c>
      <c r="L26" s="268">
        <f t="shared" si="22"/>
        <v>218.69988893413017</v>
      </c>
      <c r="M26" s="268">
        <f>DEGREES(ATAN(L26/K26))</f>
        <v>28.667620807614195</v>
      </c>
      <c r="N26" s="268">
        <f t="shared" si="24"/>
        <v>4568.6406798339794</v>
      </c>
      <c r="O26" s="2"/>
      <c r="P26" s="203">
        <v>400</v>
      </c>
      <c r="Q26" s="204">
        <f t="shared" si="25"/>
        <v>200.6996079918016</v>
      </c>
      <c r="R26" s="204">
        <f>DEGREES(ATAN(Q26/P26))</f>
        <v>26.64516424757598</v>
      </c>
      <c r="S26" s="204">
        <f t="shared" si="27"/>
        <v>4192.6148109487358</v>
      </c>
      <c r="T26" s="232"/>
      <c r="U26" s="206">
        <v>400</v>
      </c>
      <c r="V26" s="207">
        <f t="shared" si="28"/>
        <v>183.51556912442109</v>
      </c>
      <c r="W26" s="207">
        <f>DEGREES(ATAN(V26/U26))</f>
        <v>24.64513284532298</v>
      </c>
      <c r="X26" s="207">
        <f t="shared" si="30"/>
        <v>3833.6402390091566</v>
      </c>
      <c r="Y26" s="205"/>
    </row>
    <row r="27" spans="1:25" ht="21" customHeight="1" thickBo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31"/>
      <c r="U27" s="2"/>
      <c r="V27" s="2"/>
      <c r="W27" s="2"/>
      <c r="X27" s="2"/>
      <c r="Y27" s="2"/>
    </row>
    <row r="28" spans="1:25" ht="20.100000000000001" customHeight="1" x14ac:dyDescent="0.3">
      <c r="A28" s="2"/>
      <c r="B28" s="131"/>
      <c r="C28" s="2"/>
      <c r="D28" s="2"/>
      <c r="E28" s="2"/>
      <c r="F28" s="2"/>
      <c r="G28" s="2"/>
      <c r="H28" s="2"/>
      <c r="I28" s="2"/>
      <c r="J28" s="2"/>
      <c r="K28" s="399" t="s">
        <v>103</v>
      </c>
      <c r="L28" s="400"/>
      <c r="M28" s="400"/>
      <c r="N28" s="401"/>
      <c r="O28" s="2"/>
      <c r="P28" s="388" t="s">
        <v>92</v>
      </c>
      <c r="Q28" s="389"/>
      <c r="R28" s="389"/>
      <c r="S28" s="390"/>
      <c r="T28" s="131"/>
      <c r="U28" s="381" t="s">
        <v>98</v>
      </c>
      <c r="V28" s="382"/>
      <c r="W28" s="382"/>
      <c r="X28" s="383"/>
      <c r="Y28" s="131"/>
    </row>
    <row r="29" spans="1:25" ht="22.5" customHeight="1" thickBot="1" x14ac:dyDescent="0.35">
      <c r="A29" s="2"/>
      <c r="B29" s="131"/>
      <c r="C29" s="425" t="s">
        <v>99</v>
      </c>
      <c r="D29" s="423"/>
      <c r="E29" s="423"/>
      <c r="F29" s="423"/>
      <c r="G29" s="423"/>
      <c r="H29" s="423"/>
      <c r="I29" s="423"/>
      <c r="J29" s="2"/>
      <c r="K29" s="402"/>
      <c r="L29" s="403"/>
      <c r="M29" s="403"/>
      <c r="N29" s="404"/>
      <c r="O29" s="2"/>
      <c r="P29" s="391"/>
      <c r="Q29" s="392"/>
      <c r="R29" s="392"/>
      <c r="S29" s="393"/>
      <c r="T29" s="131"/>
      <c r="U29" s="384"/>
      <c r="V29" s="385"/>
      <c r="W29" s="385"/>
      <c r="X29" s="386"/>
      <c r="Y29" s="131"/>
    </row>
    <row r="30" spans="1:25" ht="19.350000000000001" customHeight="1" x14ac:dyDescent="0.3">
      <c r="A30" s="2"/>
      <c r="B30" s="131"/>
      <c r="C30" s="423"/>
      <c r="D30" s="423"/>
      <c r="E30" s="423"/>
      <c r="F30" s="423"/>
      <c r="G30" s="423"/>
      <c r="H30" s="423"/>
      <c r="I30" s="423"/>
      <c r="J30" s="2"/>
      <c r="K30" s="355" t="s">
        <v>31</v>
      </c>
      <c r="L30" s="356"/>
      <c r="M30" s="147"/>
      <c r="N30" s="148"/>
      <c r="O30" s="2"/>
      <c r="P30" s="355" t="s">
        <v>31</v>
      </c>
      <c r="Q30" s="356"/>
      <c r="R30" s="147"/>
      <c r="S30" s="148"/>
      <c r="T30" s="131"/>
      <c r="U30" s="355" t="s">
        <v>31</v>
      </c>
      <c r="V30" s="356"/>
      <c r="W30" s="147"/>
      <c r="X30" s="148"/>
      <c r="Y30" s="2"/>
    </row>
    <row r="31" spans="1:25" ht="19.350000000000001" customHeight="1" x14ac:dyDescent="0.3">
      <c r="A31" s="2"/>
      <c r="B31" s="131"/>
      <c r="C31" s="423"/>
      <c r="D31" s="423"/>
      <c r="E31" s="423"/>
      <c r="F31" s="423"/>
      <c r="G31" s="423"/>
      <c r="H31" s="423"/>
      <c r="I31" s="423"/>
      <c r="J31" s="2"/>
      <c r="K31" s="149" t="s">
        <v>32</v>
      </c>
      <c r="L31" s="94" t="s">
        <v>33</v>
      </c>
      <c r="M31" s="131"/>
      <c r="N31" s="148"/>
      <c r="O31" s="2"/>
      <c r="P31" s="149" t="s">
        <v>32</v>
      </c>
      <c r="Q31" s="94" t="s">
        <v>33</v>
      </c>
      <c r="R31" s="131"/>
      <c r="S31" s="148"/>
      <c r="T31" s="131"/>
      <c r="U31" s="149" t="s">
        <v>32</v>
      </c>
      <c r="V31" s="94" t="s">
        <v>33</v>
      </c>
      <c r="W31" s="131"/>
      <c r="X31" s="148"/>
      <c r="Y31" s="2"/>
    </row>
    <row r="32" spans="1:25" ht="19.350000000000001" customHeight="1" x14ac:dyDescent="0.3">
      <c r="A32" s="2"/>
      <c r="B32" s="131"/>
      <c r="C32" s="423"/>
      <c r="D32" s="423"/>
      <c r="E32" s="423"/>
      <c r="F32" s="423"/>
      <c r="G32" s="423"/>
      <c r="H32" s="423"/>
      <c r="I32" s="423"/>
      <c r="J32" s="2"/>
      <c r="K32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+0.02)))</f>
        <v>0.43299492747239571</v>
      </c>
      <c r="L32" s="282">
        <f>IF($B$5&lt;15,"NA",IF($B$5&lt;=250,(1.07-0.0083*$B$5+0.0000836*($B$5)^2-0.0000003027*($B$5)^3+0.000000000376*$B$5^4+0.0533333),"NA"))</f>
        <v>0.98841186000000003</v>
      </c>
      <c r="M32" s="131"/>
      <c r="N32" s="152"/>
      <c r="O32" s="2"/>
      <c r="P32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)))</f>
        <v>0.41299492747239569</v>
      </c>
      <c r="Q32" s="282">
        <f>IF($B$5&lt;15,"NA",IF($B$5&lt;=250,(1.07-0.0083*$B$5+0.0000836*($B$5)^2-0.0000003027*($B$5)^3+0.000000000376*$B$5^4),"NA"))</f>
        <v>0.93507856</v>
      </c>
      <c r="R32" s="131"/>
      <c r="S32" s="152"/>
      <c r="T32" s="131"/>
      <c r="U32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-0.02)))</f>
        <v>0.39299492747239567</v>
      </c>
      <c r="V32" s="282">
        <f>IF($B$5&lt;15,"NA",IF($B$5&lt;=250,(1.07-0.0083*$B$5+0.0000836*($B$5)^2-0.0000003027*($B$5)^3+0.000000000376*$B$5^4-0.0533333),"NA"))</f>
        <v>0.88174525999999998</v>
      </c>
      <c r="W32" s="131"/>
      <c r="X32" s="152"/>
      <c r="Y32" s="2"/>
    </row>
    <row r="33" spans="1:25" ht="21.9" customHeight="1" x14ac:dyDescent="0.55000000000000004">
      <c r="A33" s="2"/>
      <c r="B33" s="131"/>
      <c r="C33" s="423"/>
      <c r="D33" s="423"/>
      <c r="E33" s="423"/>
      <c r="F33" s="423"/>
      <c r="G33" s="423"/>
      <c r="H33" s="423"/>
      <c r="I33" s="423"/>
      <c r="J33" s="167"/>
      <c r="K33" s="150" t="s">
        <v>34</v>
      </c>
      <c r="L33" s="96" t="s">
        <v>35</v>
      </c>
      <c r="M33" s="97" t="s">
        <v>36</v>
      </c>
      <c r="N33" s="151" t="s">
        <v>79</v>
      </c>
      <c r="O33" s="2"/>
      <c r="P33" s="150" t="s">
        <v>34</v>
      </c>
      <c r="Q33" s="96" t="s">
        <v>35</v>
      </c>
      <c r="R33" s="97" t="s">
        <v>36</v>
      </c>
      <c r="S33" s="151" t="s">
        <v>79</v>
      </c>
      <c r="T33" s="131"/>
      <c r="U33" s="150" t="s">
        <v>34</v>
      </c>
      <c r="V33" s="96" t="s">
        <v>35</v>
      </c>
      <c r="W33" s="97" t="s">
        <v>36</v>
      </c>
      <c r="X33" s="151" t="s">
        <v>79</v>
      </c>
      <c r="Y33" s="2"/>
    </row>
    <row r="34" spans="1:25" ht="21.9" customHeight="1" x14ac:dyDescent="0.55000000000000004">
      <c r="A34" s="2"/>
      <c r="B34" s="131"/>
      <c r="C34" s="423"/>
      <c r="D34" s="423"/>
      <c r="E34" s="423"/>
      <c r="F34" s="423"/>
      <c r="G34" s="423"/>
      <c r="H34" s="423"/>
      <c r="I34" s="423"/>
      <c r="J34" s="167"/>
      <c r="K34" s="269">
        <v>0</v>
      </c>
      <c r="L34" s="270">
        <v>0</v>
      </c>
      <c r="M34" s="270">
        <v>0</v>
      </c>
      <c r="N34" s="271">
        <f>L34*20.89</f>
        <v>0</v>
      </c>
      <c r="O34" s="2"/>
      <c r="P34" s="218">
        <v>0</v>
      </c>
      <c r="Q34" s="219">
        <v>0</v>
      </c>
      <c r="R34" s="219">
        <v>0</v>
      </c>
      <c r="S34" s="220">
        <f>Q34*20.89</f>
        <v>0</v>
      </c>
      <c r="T34" s="221"/>
      <c r="U34" s="222">
        <v>0</v>
      </c>
      <c r="V34" s="223">
        <v>0</v>
      </c>
      <c r="W34" s="223">
        <v>0</v>
      </c>
      <c r="X34" s="224">
        <f>V34*20.89</f>
        <v>0</v>
      </c>
      <c r="Y34" s="225"/>
    </row>
    <row r="35" spans="1:25" ht="21.9" customHeight="1" x14ac:dyDescent="0.55000000000000004">
      <c r="A35" s="2"/>
      <c r="B35" s="131"/>
      <c r="C35" s="423"/>
      <c r="D35" s="423"/>
      <c r="E35" s="423"/>
      <c r="F35" s="423"/>
      <c r="G35" s="423"/>
      <c r="H35" s="423"/>
      <c r="I35" s="423"/>
      <c r="J35" s="167"/>
      <c r="K35" s="269">
        <v>5</v>
      </c>
      <c r="L35" s="270">
        <f t="shared" ref="L35:L43" si="31">K$32*101*(K35/101)^L$32</f>
        <v>2.2417098876207131</v>
      </c>
      <c r="M35" s="270">
        <f t="shared" ref="M35:M37" si="32">DEGREES(ATAN(L35/K35))</f>
        <v>24.148696162608438</v>
      </c>
      <c r="N35" s="271">
        <f t="shared" ref="N35:N43" si="33">L35*20.89</f>
        <v>46.829319552396697</v>
      </c>
      <c r="O35" s="2"/>
      <c r="P35" s="218">
        <v>5</v>
      </c>
      <c r="Q35" s="219">
        <f t="shared" ref="Q35:Q43" si="34">P$32*101*(P35/101)^Q$32</f>
        <v>2.5099207703539927</v>
      </c>
      <c r="R35" s="219">
        <f t="shared" ref="R35:R43" si="35">DEGREES(ATAN(Q35/P35))</f>
        <v>26.655925900363574</v>
      </c>
      <c r="S35" s="220">
        <f t="shared" ref="S35:S43" si="36">Q35*20.89</f>
        <v>52.432244892694911</v>
      </c>
      <c r="T35" s="221"/>
      <c r="U35" s="222">
        <v>5</v>
      </c>
      <c r="V35" s="223">
        <f t="shared" ref="V35:V43" si="37">U$32*101*(U35/101)^V$32</f>
        <v>2.8036315331234878</v>
      </c>
      <c r="W35" s="223">
        <f t="shared" ref="W35:W43" si="38">DEGREES(ATAN(V35/U35))</f>
        <v>29.280496113409807</v>
      </c>
      <c r="X35" s="224">
        <f t="shared" ref="X35:X43" si="39">V35*20.89</f>
        <v>58.567862726949663</v>
      </c>
      <c r="Y35" s="225"/>
    </row>
    <row r="36" spans="1:25" ht="21.9" customHeight="1" x14ac:dyDescent="0.55000000000000004">
      <c r="A36" s="2"/>
      <c r="B36" s="131"/>
      <c r="C36" s="423"/>
      <c r="D36" s="423"/>
      <c r="E36" s="423"/>
      <c r="F36" s="423"/>
      <c r="G36" s="423"/>
      <c r="H36" s="423"/>
      <c r="I36" s="423"/>
      <c r="J36" s="167"/>
      <c r="K36" s="269">
        <v>10</v>
      </c>
      <c r="L36" s="270">
        <f t="shared" si="31"/>
        <v>4.4475519061417517</v>
      </c>
      <c r="M36" s="270">
        <f t="shared" si="32"/>
        <v>23.977354888297473</v>
      </c>
      <c r="N36" s="271">
        <f t="shared" si="33"/>
        <v>92.909359319301188</v>
      </c>
      <c r="O36" s="2"/>
      <c r="P36" s="218">
        <v>10</v>
      </c>
      <c r="Q36" s="219">
        <f t="shared" si="34"/>
        <v>4.7989553293854597</v>
      </c>
      <c r="R36" s="219">
        <f t="shared" si="35"/>
        <v>25.636140930245435</v>
      </c>
      <c r="S36" s="220">
        <f t="shared" si="36"/>
        <v>100.25017683086226</v>
      </c>
      <c r="T36" s="221"/>
      <c r="U36" s="222">
        <v>10</v>
      </c>
      <c r="V36" s="223">
        <f t="shared" si="37"/>
        <v>5.1659798485950619</v>
      </c>
      <c r="W36" s="223">
        <f t="shared" si="38"/>
        <v>27.320785176278665</v>
      </c>
      <c r="X36" s="224">
        <f t="shared" si="39"/>
        <v>107.91731903715085</v>
      </c>
      <c r="Y36" s="225"/>
    </row>
    <row r="37" spans="1:25" ht="21.9" customHeight="1" x14ac:dyDescent="0.55000000000000004">
      <c r="A37" s="2"/>
      <c r="B37" s="131"/>
      <c r="C37" s="423"/>
      <c r="D37" s="423"/>
      <c r="E37" s="423"/>
      <c r="F37" s="423"/>
      <c r="G37" s="423"/>
      <c r="H37" s="423"/>
      <c r="I37" s="423"/>
      <c r="J37" s="167"/>
      <c r="K37" s="269">
        <v>25</v>
      </c>
      <c r="L37" s="270">
        <f t="shared" si="31"/>
        <v>11.001442911190336</v>
      </c>
      <c r="M37" s="270">
        <f t="shared" si="32"/>
        <v>23.752264967479114</v>
      </c>
      <c r="N37" s="271">
        <f t="shared" si="33"/>
        <v>229.82014241476614</v>
      </c>
      <c r="O37" s="2"/>
      <c r="P37" s="218">
        <v>25</v>
      </c>
      <c r="Q37" s="219">
        <f t="shared" si="34"/>
        <v>11.304513521134249</v>
      </c>
      <c r="R37" s="219">
        <f t="shared" si="35"/>
        <v>24.331557198254167</v>
      </c>
      <c r="S37" s="220">
        <f t="shared" si="36"/>
        <v>236.15128745649446</v>
      </c>
      <c r="T37" s="221"/>
      <c r="U37" s="222">
        <v>25</v>
      </c>
      <c r="V37" s="223">
        <f t="shared" si="37"/>
        <v>11.588692097693523</v>
      </c>
      <c r="W37" s="223">
        <f t="shared" si="38"/>
        <v>24.869971758625006</v>
      </c>
      <c r="X37" s="224">
        <f t="shared" si="39"/>
        <v>242.0877779208177</v>
      </c>
      <c r="Y37" s="225"/>
    </row>
    <row r="38" spans="1:25" ht="21.9" customHeight="1" x14ac:dyDescent="0.55000000000000004">
      <c r="A38" s="2"/>
      <c r="B38" s="131"/>
      <c r="C38" s="423"/>
      <c r="D38" s="423"/>
      <c r="E38" s="423"/>
      <c r="F38" s="423"/>
      <c r="G38" s="423"/>
      <c r="H38" s="423"/>
      <c r="I38" s="423"/>
      <c r="J38" s="167"/>
      <c r="K38" s="269">
        <v>50</v>
      </c>
      <c r="L38" s="270">
        <f t="shared" si="31"/>
        <v>21.826860228513606</v>
      </c>
      <c r="M38" s="270">
        <f>DEGREES(ATAN(L38/K38))</f>
        <v>23.583059681822888</v>
      </c>
      <c r="N38" s="271">
        <f t="shared" si="33"/>
        <v>455.96311017364923</v>
      </c>
      <c r="O38" s="2"/>
      <c r="P38" s="218">
        <v>50</v>
      </c>
      <c r="Q38" s="219">
        <f t="shared" si="34"/>
        <v>21.614170474674346</v>
      </c>
      <c r="R38" s="219">
        <f>DEGREES(ATAN(Q38/P38))</f>
        <v>23.378027405362683</v>
      </c>
      <c r="S38" s="220">
        <f t="shared" si="36"/>
        <v>451.52002121594711</v>
      </c>
      <c r="T38" s="221"/>
      <c r="U38" s="222">
        <v>50</v>
      </c>
      <c r="V38" s="223">
        <f t="shared" si="37"/>
        <v>21.353358720987359</v>
      </c>
      <c r="W38" s="223">
        <f t="shared" si="38"/>
        <v>23.125737368774356</v>
      </c>
      <c r="X38" s="224">
        <f t="shared" si="39"/>
        <v>446.07166368142595</v>
      </c>
      <c r="Y38" s="225"/>
    </row>
    <row r="39" spans="1:25" ht="21.9" customHeight="1" x14ac:dyDescent="0.55000000000000004">
      <c r="A39" s="2"/>
      <c r="B39" s="131"/>
      <c r="C39" s="168"/>
      <c r="D39" s="168"/>
      <c r="E39" s="160"/>
      <c r="F39" s="160"/>
      <c r="G39" s="2"/>
      <c r="H39" s="166"/>
      <c r="I39" s="167"/>
      <c r="J39" s="167"/>
      <c r="K39" s="269">
        <v>100</v>
      </c>
      <c r="L39" s="270">
        <f t="shared" si="31"/>
        <v>43.304485718912126</v>
      </c>
      <c r="M39" s="270">
        <f t="shared" ref="M39:M43" si="40">DEGREES(ATAN(L39/K39))</f>
        <v>23.414775891590953</v>
      </c>
      <c r="N39" s="271">
        <f t="shared" si="33"/>
        <v>904.63070666807437</v>
      </c>
      <c r="O39" s="2"/>
      <c r="P39" s="218">
        <v>100</v>
      </c>
      <c r="Q39" s="219">
        <f t="shared" si="34"/>
        <v>41.326180417661192</v>
      </c>
      <c r="R39" s="219">
        <f t="shared" si="35"/>
        <v>22.453438601321924</v>
      </c>
      <c r="S39" s="220">
        <f t="shared" si="36"/>
        <v>863.30390892494233</v>
      </c>
      <c r="T39" s="221"/>
      <c r="U39" s="222">
        <v>100</v>
      </c>
      <c r="V39" s="223">
        <f t="shared" si="37"/>
        <v>39.345762647185779</v>
      </c>
      <c r="W39" s="223">
        <f t="shared" si="38"/>
        <v>21.477535382207193</v>
      </c>
      <c r="X39" s="224">
        <f t="shared" si="39"/>
        <v>821.93298169971092</v>
      </c>
      <c r="Y39" s="225"/>
    </row>
    <row r="40" spans="1:25" ht="21.9" customHeight="1" x14ac:dyDescent="0.55000000000000004">
      <c r="A40" s="2"/>
      <c r="B40" s="131"/>
      <c r="C40" s="168"/>
      <c r="D40" s="168"/>
      <c r="E40" s="160"/>
      <c r="F40" s="160"/>
      <c r="G40" s="2"/>
      <c r="H40" s="166"/>
      <c r="I40" s="167"/>
      <c r="J40" s="167"/>
      <c r="K40" s="269">
        <v>200</v>
      </c>
      <c r="L40" s="270">
        <f t="shared" si="31"/>
        <v>85.916089796996403</v>
      </c>
      <c r="M40" s="270">
        <f t="shared" si="40"/>
        <v>23.247414353490857</v>
      </c>
      <c r="N40" s="271">
        <f t="shared" si="33"/>
        <v>1794.787115859255</v>
      </c>
      <c r="O40" s="2"/>
      <c r="P40" s="218">
        <v>200</v>
      </c>
      <c r="Q40" s="219">
        <f t="shared" si="34"/>
        <v>79.015439889964824</v>
      </c>
      <c r="R40" s="219">
        <f t="shared" si="35"/>
        <v>21.557846036675574</v>
      </c>
      <c r="S40" s="220">
        <f t="shared" si="36"/>
        <v>1650.6325393013651</v>
      </c>
      <c r="T40" s="221"/>
      <c r="U40" s="222">
        <v>200</v>
      </c>
      <c r="V40" s="223">
        <f t="shared" si="37"/>
        <v>72.498619936877901</v>
      </c>
      <c r="W40" s="223">
        <f t="shared" si="38"/>
        <v>19.925231217092001</v>
      </c>
      <c r="X40" s="224">
        <f t="shared" si="39"/>
        <v>1514.4961704813793</v>
      </c>
      <c r="Y40" s="225"/>
    </row>
    <row r="41" spans="1:25" ht="21.9" customHeight="1" x14ac:dyDescent="0.3">
      <c r="A41" s="2"/>
      <c r="B41" s="131"/>
      <c r="C41" s="168"/>
      <c r="D41" s="99"/>
      <c r="E41" s="99"/>
      <c r="F41" s="394" t="s">
        <v>66</v>
      </c>
      <c r="G41" s="395"/>
      <c r="H41" s="131"/>
      <c r="I41" s="131"/>
      <c r="J41" s="131"/>
      <c r="K41" s="269">
        <v>300</v>
      </c>
      <c r="L41" s="270">
        <f t="shared" si="31"/>
        <v>128.2700287673714</v>
      </c>
      <c r="M41" s="270">
        <f t="shared" si="40"/>
        <v>23.149941915251571</v>
      </c>
      <c r="N41" s="271">
        <f t="shared" si="33"/>
        <v>2679.5609009503887</v>
      </c>
      <c r="O41" s="2"/>
      <c r="P41" s="218">
        <v>300</v>
      </c>
      <c r="Q41" s="219">
        <f t="shared" si="34"/>
        <v>115.44393541325321</v>
      </c>
      <c r="R41" s="219">
        <f t="shared" si="35"/>
        <v>21.047379702281578</v>
      </c>
      <c r="S41" s="220">
        <f t="shared" si="36"/>
        <v>2411.6238107828599</v>
      </c>
      <c r="T41" s="221"/>
      <c r="U41" s="222">
        <v>300</v>
      </c>
      <c r="V41" s="223">
        <f t="shared" si="37"/>
        <v>103.65669855768662</v>
      </c>
      <c r="W41" s="223">
        <f t="shared" si="38"/>
        <v>19.06117406063295</v>
      </c>
      <c r="X41" s="224">
        <f t="shared" si="39"/>
        <v>2165.3884328700738</v>
      </c>
      <c r="Y41" s="225"/>
    </row>
    <row r="42" spans="1:25" ht="21.9" customHeight="1" x14ac:dyDescent="0.55000000000000004">
      <c r="A42" s="2"/>
      <c r="B42" s="131"/>
      <c r="C42" s="168"/>
      <c r="D42" s="337" t="s">
        <v>38</v>
      </c>
      <c r="E42" s="338"/>
      <c r="F42" s="101" t="s">
        <v>39</v>
      </c>
      <c r="G42" s="102" t="s">
        <v>40</v>
      </c>
      <c r="H42" s="166"/>
      <c r="I42" s="167"/>
      <c r="J42" s="167"/>
      <c r="K42" s="269">
        <v>400</v>
      </c>
      <c r="L42" s="270">
        <f t="shared" si="31"/>
        <v>170.45750257650184</v>
      </c>
      <c r="M42" s="270">
        <f t="shared" si="40"/>
        <v>23.080975693835381</v>
      </c>
      <c r="N42" s="271">
        <f t="shared" si="33"/>
        <v>3560.8572288231235</v>
      </c>
      <c r="O42" s="2"/>
      <c r="P42" s="218">
        <v>400</v>
      </c>
      <c r="Q42" s="219">
        <f t="shared" si="34"/>
        <v>151.07710603558326</v>
      </c>
      <c r="R42" s="219">
        <f t="shared" si="35"/>
        <v>20.691188078290562</v>
      </c>
      <c r="S42" s="220">
        <f t="shared" si="36"/>
        <v>3156.0007450833341</v>
      </c>
      <c r="T42" s="221"/>
      <c r="U42" s="222">
        <v>400</v>
      </c>
      <c r="V42" s="223">
        <f t="shared" si="37"/>
        <v>133.58617393905851</v>
      </c>
      <c r="W42" s="223">
        <f t="shared" si="38"/>
        <v>18.467537713655425</v>
      </c>
      <c r="X42" s="224">
        <f t="shared" si="39"/>
        <v>2790.6151735869325</v>
      </c>
      <c r="Y42" s="225"/>
    </row>
    <row r="43" spans="1:25" ht="21.9" customHeight="1" thickBot="1" x14ac:dyDescent="0.6">
      <c r="A43" s="2"/>
      <c r="B43" s="131"/>
      <c r="C43" s="168"/>
      <c r="D43" s="337" t="s">
        <v>67</v>
      </c>
      <c r="E43" s="338"/>
      <c r="F43" s="103">
        <v>15</v>
      </c>
      <c r="G43" s="104">
        <v>250</v>
      </c>
      <c r="H43" s="166"/>
      <c r="I43" s="167"/>
      <c r="J43" s="167"/>
      <c r="K43" s="272">
        <v>700</v>
      </c>
      <c r="L43" s="273">
        <f t="shared" si="31"/>
        <v>296.37243676966801</v>
      </c>
      <c r="M43" s="273">
        <f t="shared" si="40"/>
        <v>22.947274288307966</v>
      </c>
      <c r="N43" s="274">
        <f t="shared" si="33"/>
        <v>6191.2202041183646</v>
      </c>
      <c r="O43" s="2"/>
      <c r="P43" s="226">
        <v>700</v>
      </c>
      <c r="Q43" s="227">
        <f t="shared" si="34"/>
        <v>254.95194275616103</v>
      </c>
      <c r="R43" s="227">
        <f t="shared" si="35"/>
        <v>20.012486828452708</v>
      </c>
      <c r="S43" s="228">
        <f t="shared" si="36"/>
        <v>5325.9460841762038</v>
      </c>
      <c r="T43" s="221"/>
      <c r="U43" s="229">
        <v>700</v>
      </c>
      <c r="V43" s="230">
        <f t="shared" si="37"/>
        <v>218.80596569670325</v>
      </c>
      <c r="W43" s="230">
        <f t="shared" si="38"/>
        <v>17.358197846520508</v>
      </c>
      <c r="X43" s="231">
        <f t="shared" si="39"/>
        <v>4570.8566234041309</v>
      </c>
      <c r="Y43" s="225"/>
    </row>
    <row r="44" spans="1:25" ht="21.9" customHeight="1" x14ac:dyDescent="0.55000000000000004">
      <c r="A44" s="2"/>
      <c r="B44" s="131"/>
      <c r="C44" s="168"/>
      <c r="D44" s="168"/>
      <c r="E44" s="160"/>
      <c r="F44" s="160"/>
      <c r="G44" s="2"/>
      <c r="H44" s="166"/>
      <c r="I44" s="167"/>
      <c r="J44" s="167"/>
      <c r="K44" s="132"/>
      <c r="L44" s="131"/>
      <c r="M44" s="131"/>
      <c r="N44" s="131"/>
      <c r="O44" s="131"/>
      <c r="P44" s="131"/>
      <c r="Q44" s="131"/>
      <c r="R44" s="2"/>
      <c r="S44" s="2"/>
      <c r="T44" s="2"/>
      <c r="U44" s="2"/>
      <c r="V44" s="2"/>
      <c r="W44" s="2"/>
      <c r="X44" s="2"/>
      <c r="Y44" s="2"/>
    </row>
    <row r="45" spans="1:25" ht="21.9" customHeight="1" x14ac:dyDescent="0.55000000000000004">
      <c r="A45" s="2"/>
      <c r="B45" s="131"/>
      <c r="C45" s="168"/>
      <c r="D45" s="168"/>
      <c r="E45" s="160"/>
      <c r="F45" s="160"/>
      <c r="G45" s="2"/>
      <c r="H45" s="166"/>
      <c r="I45" s="167"/>
      <c r="J45" s="167"/>
      <c r="K45" s="132"/>
      <c r="L45" s="131"/>
      <c r="M45" s="131"/>
      <c r="N45" s="131"/>
      <c r="O45" s="131"/>
      <c r="P45" s="131"/>
      <c r="Q45" s="131"/>
      <c r="R45" s="2"/>
      <c r="S45" s="2"/>
      <c r="T45" s="2"/>
      <c r="U45" s="2"/>
      <c r="V45" s="2"/>
      <c r="W45" s="2"/>
      <c r="X45" s="2"/>
      <c r="Y45" s="2"/>
    </row>
    <row r="46" spans="1:25" hidden="1" x14ac:dyDescent="0.3"/>
    <row r="47" spans="1:25" ht="18" hidden="1" x14ac:dyDescent="0.35">
      <c r="B47" s="285"/>
      <c r="C47" s="286"/>
      <c r="D47" s="286"/>
      <c r="E47" s="286"/>
      <c r="F47" s="286"/>
      <c r="G47" s="287"/>
    </row>
    <row r="48" spans="1:25" hidden="1" x14ac:dyDescent="0.3"/>
    <row r="49" spans="2:5" hidden="1" x14ac:dyDescent="0.3"/>
    <row r="50" spans="2:5" hidden="1" x14ac:dyDescent="0.3"/>
    <row r="51" spans="2:5" hidden="1" x14ac:dyDescent="0.3">
      <c r="B51" s="105"/>
      <c r="C51" s="105"/>
      <c r="D51" s="105"/>
      <c r="E51" s="105"/>
    </row>
    <row r="52" spans="2:5" hidden="1" x14ac:dyDescent="0.3">
      <c r="B52" s="106"/>
      <c r="C52" s="107"/>
      <c r="E52" s="107"/>
    </row>
    <row r="53" spans="2:5" hidden="1" x14ac:dyDescent="0.3">
      <c r="B53" s="106"/>
      <c r="C53" s="107"/>
      <c r="E53" s="107"/>
    </row>
    <row r="54" spans="2:5" hidden="1" x14ac:dyDescent="0.3">
      <c r="B54" s="106"/>
      <c r="C54" s="107"/>
      <c r="E54" s="107"/>
    </row>
    <row r="55" spans="2:5" hidden="1" x14ac:dyDescent="0.3">
      <c r="B55" s="106"/>
      <c r="C55" s="107"/>
      <c r="E55" s="107"/>
    </row>
    <row r="56" spans="2:5" hidden="1" x14ac:dyDescent="0.3">
      <c r="B56" s="106"/>
      <c r="C56" s="107"/>
      <c r="E56" s="107"/>
    </row>
    <row r="57" spans="2:5" hidden="1" x14ac:dyDescent="0.3">
      <c r="B57" s="106"/>
      <c r="C57" s="107"/>
      <c r="E57" s="107"/>
    </row>
    <row r="58" spans="2:5" hidden="1" x14ac:dyDescent="0.3">
      <c r="B58" s="106"/>
      <c r="C58" s="107"/>
      <c r="E58" s="107"/>
    </row>
    <row r="59" spans="2:5" hidden="1" x14ac:dyDescent="0.3">
      <c r="B59" s="106"/>
      <c r="C59" s="107"/>
      <c r="E59" s="107"/>
    </row>
    <row r="60" spans="2:5" hidden="1" x14ac:dyDescent="0.3">
      <c r="B60" s="106"/>
      <c r="C60" s="107"/>
      <c r="E60" s="107"/>
    </row>
    <row r="61" spans="2:5" hidden="1" x14ac:dyDescent="0.3">
      <c r="B61" s="106"/>
      <c r="C61" s="107"/>
      <c r="E61" s="107"/>
    </row>
    <row r="62" spans="2:5" hidden="1" x14ac:dyDescent="0.3">
      <c r="B62" s="106"/>
      <c r="C62" s="107"/>
      <c r="E62" s="107"/>
    </row>
    <row r="63" spans="2:5" hidden="1" x14ac:dyDescent="0.3"/>
    <row r="64" spans="2:5" hidden="1" x14ac:dyDescent="0.3"/>
    <row r="65" spans="2:12" hidden="1" x14ac:dyDescent="0.3">
      <c r="B65" s="108"/>
      <c r="C65" s="109"/>
      <c r="D65" s="110"/>
      <c r="E65" s="109"/>
    </row>
    <row r="66" spans="2:12" hidden="1" x14ac:dyDescent="0.3">
      <c r="B66" s="111"/>
    </row>
    <row r="67" spans="2:12" hidden="1" x14ac:dyDescent="0.3"/>
    <row r="68" spans="2:12" ht="18" hidden="1" x14ac:dyDescent="0.35">
      <c r="B68" s="285"/>
      <c r="C68" s="286"/>
      <c r="D68" s="286"/>
      <c r="E68" s="286"/>
      <c r="F68" s="286"/>
      <c r="G68" s="287"/>
    </row>
    <row r="69" spans="2:12" hidden="1" x14ac:dyDescent="0.3">
      <c r="B69" s="112"/>
      <c r="C69" s="113"/>
    </row>
    <row r="70" spans="2:12" hidden="1" x14ac:dyDescent="0.3">
      <c r="B70" s="114"/>
    </row>
    <row r="71" spans="2:12" hidden="1" x14ac:dyDescent="0.3">
      <c r="B71" s="114"/>
    </row>
    <row r="72" spans="2:12" hidden="1" x14ac:dyDescent="0.3">
      <c r="B72" s="114"/>
      <c r="L72" s="85">
        <f>0.5*(0.0023+0.004)</f>
        <v>3.15E-3</v>
      </c>
    </row>
    <row r="73" spans="2:12" hidden="1" x14ac:dyDescent="0.3">
      <c r="B73" s="114"/>
    </row>
    <row r="74" spans="2:12" hidden="1" x14ac:dyDescent="0.3">
      <c r="B74" s="114"/>
    </row>
    <row r="75" spans="2:12" hidden="1" x14ac:dyDescent="0.3">
      <c r="B75" s="114"/>
    </row>
    <row r="76" spans="2:12" hidden="1" x14ac:dyDescent="0.3">
      <c r="B76" s="114"/>
    </row>
    <row r="77" spans="2:12" hidden="1" x14ac:dyDescent="0.3">
      <c r="B77" s="114"/>
    </row>
    <row r="78" spans="2:12" hidden="1" x14ac:dyDescent="0.3">
      <c r="B78" s="114"/>
    </row>
    <row r="79" spans="2:12" hidden="1" x14ac:dyDescent="0.3">
      <c r="B79" s="114"/>
    </row>
    <row r="80" spans="2:12" hidden="1" x14ac:dyDescent="0.3">
      <c r="B80" s="114"/>
    </row>
    <row r="81" spans="2:9" hidden="1" x14ac:dyDescent="0.3"/>
    <row r="82" spans="2:9" ht="15.6" hidden="1" customHeight="1" x14ac:dyDescent="0.3">
      <c r="B82" s="85"/>
      <c r="I82" s="85"/>
    </row>
    <row r="83" spans="2:9" hidden="1" x14ac:dyDescent="0.3">
      <c r="B83" s="85"/>
      <c r="I83" s="85"/>
    </row>
    <row r="84" spans="2:9" hidden="1" x14ac:dyDescent="0.3">
      <c r="B84" s="85"/>
      <c r="I84" s="85"/>
    </row>
    <row r="85" spans="2:9" ht="18" hidden="1" x14ac:dyDescent="0.35">
      <c r="B85" s="285"/>
      <c r="C85" s="286"/>
      <c r="D85" s="286"/>
      <c r="E85" s="286"/>
      <c r="F85" s="286"/>
      <c r="G85" s="287"/>
      <c r="I85" s="85"/>
    </row>
    <row r="86" spans="2:9" hidden="1" x14ac:dyDescent="0.3">
      <c r="B86" s="108"/>
      <c r="I86" s="85"/>
    </row>
    <row r="87" spans="2:9" hidden="1" x14ac:dyDescent="0.3">
      <c r="B87" s="116"/>
      <c r="I87" s="85"/>
    </row>
    <row r="88" spans="2:9" hidden="1" x14ac:dyDescent="0.3">
      <c r="B88" s="85"/>
      <c r="I88" s="85"/>
    </row>
    <row r="89" spans="2:9" hidden="1" x14ac:dyDescent="0.3">
      <c r="B89" s="85"/>
      <c r="I89" s="85"/>
    </row>
    <row r="90" spans="2:9" hidden="1" x14ac:dyDescent="0.3">
      <c r="B90" s="159"/>
      <c r="C90" s="334"/>
      <c r="D90" s="334"/>
      <c r="E90" s="117"/>
      <c r="F90" s="334"/>
      <c r="G90" s="334"/>
      <c r="I90" s="85"/>
    </row>
    <row r="91" spans="2:9" hidden="1" x14ac:dyDescent="0.3">
      <c r="B91" s="118"/>
      <c r="C91" s="119"/>
      <c r="D91" s="119"/>
      <c r="E91" s="119"/>
      <c r="F91" s="119"/>
      <c r="G91" s="119"/>
      <c r="I91" s="85"/>
    </row>
    <row r="92" spans="2:9" hidden="1" x14ac:dyDescent="0.3">
      <c r="D92" s="85"/>
      <c r="E92" s="120"/>
      <c r="G92" s="85"/>
      <c r="I92" s="85"/>
    </row>
    <row r="93" spans="2:9" hidden="1" x14ac:dyDescent="0.3">
      <c r="D93" s="85"/>
      <c r="E93" s="120"/>
      <c r="G93" s="85"/>
      <c r="I93" s="85"/>
    </row>
    <row r="94" spans="2:9" hidden="1" x14ac:dyDescent="0.3">
      <c r="D94" s="85"/>
      <c r="E94" s="120"/>
      <c r="G94" s="85"/>
      <c r="I94" s="85"/>
    </row>
    <row r="95" spans="2:9" hidden="1" x14ac:dyDescent="0.3">
      <c r="D95" s="85"/>
      <c r="E95" s="120"/>
      <c r="G95" s="85"/>
      <c r="I95" s="85"/>
    </row>
    <row r="96" spans="2:9" hidden="1" x14ac:dyDescent="0.3">
      <c r="D96" s="85"/>
      <c r="E96" s="120"/>
      <c r="G96" s="85"/>
      <c r="I96" s="85"/>
    </row>
    <row r="97" spans="2:9" hidden="1" x14ac:dyDescent="0.3">
      <c r="B97" s="121"/>
      <c r="D97" s="85"/>
      <c r="E97" s="120"/>
      <c r="G97" s="85"/>
      <c r="I97" s="85"/>
    </row>
    <row r="98" spans="2:9" hidden="1" x14ac:dyDescent="0.3">
      <c r="B98" s="121"/>
      <c r="D98" s="85"/>
      <c r="E98" s="120"/>
      <c r="G98" s="85"/>
      <c r="I98" s="85"/>
    </row>
    <row r="99" spans="2:9" hidden="1" x14ac:dyDescent="0.3">
      <c r="B99" s="121"/>
      <c r="D99" s="85"/>
      <c r="E99" s="120"/>
      <c r="G99" s="85"/>
      <c r="I99" s="85"/>
    </row>
    <row r="100" spans="2:9" hidden="1" x14ac:dyDescent="0.3">
      <c r="B100" s="121"/>
      <c r="D100" s="85"/>
      <c r="E100" s="120"/>
      <c r="G100" s="85"/>
      <c r="I100" s="85"/>
    </row>
    <row r="101" spans="2:9" hidden="1" x14ac:dyDescent="0.3">
      <c r="B101" s="121"/>
      <c r="D101" s="85"/>
      <c r="E101" s="120"/>
      <c r="G101" s="85"/>
      <c r="I101" s="85"/>
    </row>
    <row r="102" spans="2:9" hidden="1" x14ac:dyDescent="0.3">
      <c r="B102" s="122"/>
      <c r="D102" s="85"/>
      <c r="E102" s="119"/>
      <c r="G102" s="85"/>
      <c r="I102" s="85"/>
    </row>
    <row r="103" spans="2:9" hidden="1" x14ac:dyDescent="0.3">
      <c r="B103" s="85"/>
      <c r="I103" s="85"/>
    </row>
    <row r="104" spans="2:9" hidden="1" x14ac:dyDescent="0.3">
      <c r="B104" s="85"/>
      <c r="C104" s="85"/>
      <c r="D104" s="85"/>
      <c r="E104" s="85"/>
      <c r="F104" s="85"/>
      <c r="G104" s="85"/>
      <c r="I104" s="85"/>
    </row>
    <row r="105" spans="2:9" hidden="1" x14ac:dyDescent="0.3">
      <c r="B105" s="85"/>
      <c r="I105" s="85"/>
    </row>
    <row r="106" spans="2:9" hidden="1" x14ac:dyDescent="0.3">
      <c r="B106" s="85"/>
      <c r="I106" s="85"/>
    </row>
    <row r="107" spans="2:9" hidden="1" x14ac:dyDescent="0.3">
      <c r="B107" s="85"/>
      <c r="I107" s="85"/>
    </row>
    <row r="108" spans="2:9" hidden="1" x14ac:dyDescent="0.3">
      <c r="I108" s="85"/>
    </row>
    <row r="109" spans="2:9" hidden="1" x14ac:dyDescent="0.3">
      <c r="I109" s="85"/>
    </row>
    <row r="110" spans="2:9" hidden="1" x14ac:dyDescent="0.3">
      <c r="I110" s="85"/>
    </row>
    <row r="111" spans="2:9" hidden="1" x14ac:dyDescent="0.3">
      <c r="I111" s="85"/>
    </row>
    <row r="112" spans="2:9" hidden="1" x14ac:dyDescent="0.3">
      <c r="I112" s="85"/>
    </row>
    <row r="113" spans="2:9" hidden="1" x14ac:dyDescent="0.3">
      <c r="I113" s="85"/>
    </row>
    <row r="114" spans="2:9" hidden="1" x14ac:dyDescent="0.3">
      <c r="I114" s="85"/>
    </row>
    <row r="115" spans="2:9" hidden="1" x14ac:dyDescent="0.3">
      <c r="I115" s="85"/>
    </row>
    <row r="116" spans="2:9" hidden="1" x14ac:dyDescent="0.3">
      <c r="I116" s="85"/>
    </row>
    <row r="117" spans="2:9" hidden="1" x14ac:dyDescent="0.3"/>
    <row r="118" spans="2:9" hidden="1" x14ac:dyDescent="0.3">
      <c r="B118" s="108"/>
      <c r="C118" s="109"/>
      <c r="D118" s="110"/>
      <c r="E118" s="109"/>
    </row>
    <row r="119" spans="2:9" hidden="1" x14ac:dyDescent="0.3">
      <c r="B119" s="111"/>
    </row>
    <row r="120" spans="2:9" hidden="1" x14ac:dyDescent="0.3"/>
    <row r="121" spans="2:9" ht="18" hidden="1" x14ac:dyDescent="0.35">
      <c r="B121" s="285"/>
      <c r="C121" s="286"/>
      <c r="D121" s="286"/>
      <c r="E121" s="286"/>
      <c r="F121" s="286"/>
      <c r="G121" s="287"/>
    </row>
    <row r="122" spans="2:9" hidden="1" x14ac:dyDescent="0.3">
      <c r="B122" s="112"/>
      <c r="C122" s="113"/>
    </row>
    <row r="123" spans="2:9" hidden="1" x14ac:dyDescent="0.3">
      <c r="B123" s="114"/>
    </row>
    <row r="124" spans="2:9" hidden="1" x14ac:dyDescent="0.3">
      <c r="B124" s="114"/>
    </row>
    <row r="125" spans="2:9" hidden="1" x14ac:dyDescent="0.3">
      <c r="B125" s="114"/>
    </row>
    <row r="126" spans="2:9" hidden="1" x14ac:dyDescent="0.3">
      <c r="B126" s="114"/>
    </row>
    <row r="127" spans="2:9" hidden="1" x14ac:dyDescent="0.3">
      <c r="B127" s="114"/>
    </row>
    <row r="128" spans="2:9" hidden="1" x14ac:dyDescent="0.3">
      <c r="B128" s="114"/>
    </row>
    <row r="129" spans="2:2" hidden="1" x14ac:dyDescent="0.3">
      <c r="B129" s="114"/>
    </row>
    <row r="130" spans="2:2" hidden="1" x14ac:dyDescent="0.3">
      <c r="B130" s="114"/>
    </row>
    <row r="131" spans="2:2" hidden="1" x14ac:dyDescent="0.3">
      <c r="B131" s="114"/>
    </row>
    <row r="132" spans="2:2" hidden="1" x14ac:dyDescent="0.3">
      <c r="B132" s="114"/>
    </row>
    <row r="133" spans="2:2" hidden="1" x14ac:dyDescent="0.3">
      <c r="B133" s="114"/>
    </row>
    <row r="134" spans="2:2" hidden="1" x14ac:dyDescent="0.3"/>
  </sheetData>
  <sheetProtection algorithmName="SHA-512" hashValue="DVdpC88W/vg+EASqeRQDz0jzw1ZtOHGxw5dLbugf0tZvG3wRhQ7OeUHNaAzChZWQ8AaoxVvd/inncCkDzx40NQ==" saltValue="Ybpg/bDECcD0kfYR7ZChdw==" spinCount="100000" sheet="1" objects="1" scenarios="1" selectLockedCells="1"/>
  <mergeCells count="28">
    <mergeCell ref="B121:G121"/>
    <mergeCell ref="B47:G47"/>
    <mergeCell ref="B68:G68"/>
    <mergeCell ref="B85:G85"/>
    <mergeCell ref="C90:D90"/>
    <mergeCell ref="F90:G90"/>
    <mergeCell ref="P12:S13"/>
    <mergeCell ref="P28:S29"/>
    <mergeCell ref="F41:G41"/>
    <mergeCell ref="D42:E42"/>
    <mergeCell ref="D43:E43"/>
    <mergeCell ref="V7:X7"/>
    <mergeCell ref="P14:Q14"/>
    <mergeCell ref="P30:Q30"/>
    <mergeCell ref="K12:N13"/>
    <mergeCell ref="K14:L14"/>
    <mergeCell ref="K28:N29"/>
    <mergeCell ref="K30:L30"/>
    <mergeCell ref="C29:I38"/>
    <mergeCell ref="B2:T2"/>
    <mergeCell ref="J11:N11"/>
    <mergeCell ref="D3:H3"/>
    <mergeCell ref="I3:N3"/>
    <mergeCell ref="O3:T3"/>
    <mergeCell ref="U12:X13"/>
    <mergeCell ref="U14:V14"/>
    <mergeCell ref="U28:X29"/>
    <mergeCell ref="U30:V30"/>
  </mergeCells>
  <phoneticPr fontId="28" type="noConversion"/>
  <hyperlinks>
    <hyperlink ref="V7" r:id="rId1" xr:uid="{2B6650A2-26BB-4A9B-AE1C-568FF9577380}"/>
  </hyperlinks>
  <pageMargins left="0.7" right="0.7" top="0.75" bottom="0.75" header="0.3" footer="0.3"/>
  <pageSetup orientation="portrait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E9A4-DD4E-472E-8F3A-CF0BCA974BE6}">
  <sheetPr codeName="Sheet2"/>
  <dimension ref="A1:Y181"/>
  <sheetViews>
    <sheetView zoomScale="70" zoomScaleNormal="70" workbookViewId="0">
      <selection activeCell="B5" sqref="B5"/>
    </sheetView>
  </sheetViews>
  <sheetFormatPr defaultColWidth="8.88671875" defaultRowHeight="14.4" x14ac:dyDescent="0.3"/>
  <cols>
    <col min="1" max="1" width="1.88671875" style="3" customWidth="1"/>
    <col min="2" max="2" width="10.109375" style="3" customWidth="1"/>
    <col min="3" max="3" width="11.109375" style="3" customWidth="1"/>
    <col min="4" max="4" width="23.88671875" style="3" customWidth="1"/>
    <col min="5" max="25" width="11.6640625" style="3" customWidth="1"/>
    <col min="26" max="16384" width="8.88671875" style="3"/>
  </cols>
  <sheetData>
    <row r="1" spans="1:25" ht="30" customHeight="1" x14ac:dyDescent="0.3">
      <c r="A1" s="2"/>
      <c r="B1" s="123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53" t="s">
        <v>80</v>
      </c>
      <c r="Q1" s="124"/>
      <c r="R1" s="124"/>
      <c r="S1" s="124"/>
      <c r="T1" s="124"/>
      <c r="U1" s="124"/>
      <c r="V1" s="131"/>
      <c r="W1" s="153"/>
      <c r="X1" s="131"/>
      <c r="Y1" s="131"/>
    </row>
    <row r="2" spans="1:25" ht="19.5" customHeight="1" x14ac:dyDescent="0.4">
      <c r="A2" s="2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31"/>
      <c r="W2" s="131"/>
      <c r="X2" s="131"/>
      <c r="Y2" s="131"/>
    </row>
    <row r="3" spans="1:25" ht="18.75" customHeight="1" x14ac:dyDescent="0.4">
      <c r="A3" s="2"/>
      <c r="B3" s="300" t="s">
        <v>0</v>
      </c>
      <c r="C3" s="301"/>
      <c r="D3" s="125"/>
      <c r="E3" s="302" t="s">
        <v>1</v>
      </c>
      <c r="F3" s="303"/>
      <c r="G3" s="303"/>
      <c r="H3" s="303"/>
      <c r="I3" s="304"/>
      <c r="J3" s="305" t="s">
        <v>2</v>
      </c>
      <c r="K3" s="306"/>
      <c r="L3" s="306"/>
      <c r="M3" s="306"/>
      <c r="N3" s="306"/>
      <c r="O3" s="307"/>
      <c r="P3" s="305" t="s">
        <v>3</v>
      </c>
      <c r="Q3" s="306"/>
      <c r="R3" s="306"/>
      <c r="S3" s="306"/>
      <c r="T3" s="306"/>
      <c r="U3" s="307"/>
      <c r="V3" s="131"/>
      <c r="W3" s="131"/>
      <c r="X3" s="131"/>
      <c r="Y3" s="131"/>
    </row>
    <row r="4" spans="1:25" ht="17.25" customHeight="1" x14ac:dyDescent="0.3">
      <c r="A4" s="2"/>
      <c r="B4" s="126" t="s">
        <v>4</v>
      </c>
      <c r="C4" s="126" t="s">
        <v>5</v>
      </c>
      <c r="D4" s="127" t="s">
        <v>7</v>
      </c>
      <c r="E4" s="128" t="s">
        <v>8</v>
      </c>
      <c r="F4" s="129" t="s">
        <v>9</v>
      </c>
      <c r="G4" s="128" t="s">
        <v>10</v>
      </c>
      <c r="H4" s="129" t="s">
        <v>11</v>
      </c>
      <c r="I4" s="129" t="s">
        <v>12</v>
      </c>
      <c r="J4" s="130">
        <v>0</v>
      </c>
      <c r="K4" s="130">
        <v>12</v>
      </c>
      <c r="L4" s="130">
        <v>50</v>
      </c>
      <c r="M4" s="130">
        <v>100</v>
      </c>
      <c r="N4" s="130">
        <v>400</v>
      </c>
      <c r="O4" s="130">
        <v>700</v>
      </c>
      <c r="P4" s="130">
        <v>0</v>
      </c>
      <c r="Q4" s="130">
        <f>K4*20.89</f>
        <v>250.68</v>
      </c>
      <c r="R4" s="130">
        <f t="shared" ref="R4:U10" si="0">L4*20.89</f>
        <v>1044.5</v>
      </c>
      <c r="S4" s="130">
        <f t="shared" si="0"/>
        <v>2089</v>
      </c>
      <c r="T4" s="130">
        <f t="shared" si="0"/>
        <v>8356</v>
      </c>
      <c r="U4" s="130">
        <f t="shared" si="0"/>
        <v>14623</v>
      </c>
      <c r="V4" s="131"/>
      <c r="W4" s="131"/>
      <c r="X4" s="131"/>
      <c r="Y4" s="131"/>
    </row>
    <row r="5" spans="1:25" ht="21" customHeight="1" x14ac:dyDescent="0.35">
      <c r="A5" s="2"/>
      <c r="B5" s="1">
        <v>37</v>
      </c>
      <c r="C5" s="1">
        <v>30</v>
      </c>
      <c r="D5" s="281" t="s">
        <v>104</v>
      </c>
      <c r="E5" s="258" t="s">
        <v>14</v>
      </c>
      <c r="F5" s="259">
        <f>IF(($C$5&lt;=20),(F6+(3.6/3)),IF(($C$5&lt;25),(F6+(3.3/3)),IF(($C$5&lt;45),(F6+(3/3)),IF($C$5=25,(F6+(3/3)),IF($C$5=45,(F6+(3/3)),IF(($C$5&lt;50),(F6+(2.7/3)),IF($C$5=50,F6+(2.4/3),(F6+(2.4/3)))))))))</f>
        <v>27.734247737167539</v>
      </c>
      <c r="G5" s="259">
        <f>IF(($C$5&lt;=20),(G6+(3.6/3)),IF(($C$5&lt;25),(G6+(3.3/3)),IF(($C$5&lt;45),(G6+(3/3)),IF($C$5=25,(G6+(3/3)),IF($C$5=45,(G6+(3/3)),IF(($C$5&lt;50),(G6+(2.1/3)),IF($C$5=50,G6+(2.4/3),(G6+(2.4/3)))))))))</f>
        <v>25.811716434577917</v>
      </c>
      <c r="H5" s="259">
        <f>IF(($C$5&lt;=20),(H6+(4.2/3)),IF(($C$5&lt;25),(H6+(4.35/3)),IF(($C$5&lt;45),(H6+(4.5/3)),IF($C$5=25,(H6+(4.5/3)),IF($C$5=45,(H6+(4.5/3)),IF(($C$5&lt;50),(H6+(3.45/3)),IF($C$5=50,H6+(2.4/3),(H6+(2.4/3)))))))))</f>
        <v>24.027687365281071</v>
      </c>
      <c r="I5" s="259">
        <f>IF(($C$5&lt;=20),(I6+(3.9/3)),IF(($C$5&lt;25),(I6+(3.6/3)),IF(($C$5&lt;45),(I6+(3.3/3)),IF($C$5=25,(I6+(3.3/3)),IF($C$5=45,(I6+(3.3/3)),IF(($C$5&lt;50),(I6+(2.4/3)),IF($C$5=50,I6+(2.4/3),(I6+(2.4/3)))))))))</f>
        <v>20.839406258683951</v>
      </c>
      <c r="J5" s="259">
        <v>0</v>
      </c>
      <c r="K5" s="260" t="s">
        <v>14</v>
      </c>
      <c r="L5" s="259">
        <f t="shared" ref="L5" si="1">IF(F5="NA", "NA", $L$4*TAN(RADIANS(F5)))</f>
        <v>26.28872354487935</v>
      </c>
      <c r="M5" s="259">
        <f t="shared" ref="M5" si="2">IF(G5="NA", "NA", $M$4*TAN(RADIANS(G5)))</f>
        <v>48.367119150018013</v>
      </c>
      <c r="N5" s="259">
        <f t="shared" ref="N5" si="3">IF(H5="NA", "NA", $N$4*TAN(RADIANS(H5)))</f>
        <v>178.32313470736909</v>
      </c>
      <c r="O5" s="259">
        <f t="shared" ref="O5" si="4">IF(I5="NA", "NA", $O$4*TAN(RADIANS(I5)))</f>
        <v>266.45610823694011</v>
      </c>
      <c r="P5" s="278">
        <v>0</v>
      </c>
      <c r="Q5" s="261" t="s">
        <v>14</v>
      </c>
      <c r="R5" s="261">
        <f t="shared" ref="R5" si="5">L5*20.89</f>
        <v>549.17143485252961</v>
      </c>
      <c r="S5" s="261">
        <f t="shared" ref="S5" si="6">M5*20.89</f>
        <v>1010.3891190438763</v>
      </c>
      <c r="T5" s="261">
        <f t="shared" ref="T5" si="7">N5*20.89</f>
        <v>3725.1702840369403</v>
      </c>
      <c r="U5" s="261">
        <f t="shared" ref="U5" si="8">O5*20.89</f>
        <v>5566.2681010696788</v>
      </c>
      <c r="V5" s="131"/>
      <c r="W5" s="131"/>
      <c r="X5" s="131"/>
      <c r="Y5" s="131"/>
    </row>
    <row r="6" spans="1:25" ht="21" customHeight="1" x14ac:dyDescent="0.35">
      <c r="A6" s="2"/>
      <c r="B6" s="162"/>
      <c r="C6" s="162"/>
      <c r="D6" s="214" t="s">
        <v>13</v>
      </c>
      <c r="E6" s="180" t="s">
        <v>14</v>
      </c>
      <c r="F6" s="181">
        <f>IF(C5&lt;21,E14,IF(C5=21,((4*E14+E16)/5),IF(C5=22,((3*E14+2*E16)/5),IF(C5=23,((2*E14+3*E16)/5),IF(C5=24,((E14+4*E16)/5),IF(C5=46,((4*E16+E19)/5),IF(C5=47,((3*E16+2*E19)/5),IF(C5=48,((2*E16+3*E19)/5),IF(C5=49,((E16+4*E19)/5),IF(C5&gt;49,E19,E16))))))))))</f>
        <v>26.734247737167539</v>
      </c>
      <c r="G6" s="181">
        <f>IF(C5&lt;21,F14,IF(C5=21,((4*F14+F16)/5),IF(C5=22,((3*F14+2*F16)/5),IF(C5=23,((2*F14+3*F16)/5),IF(C5=24,((F14+4*F16)/5),IF(C5=46,((4*F16+F19)/5),IF(C5=47,((3*F16+2*F19)/5),IF(C5=48,((2*F16+3*F19)/5),IF(C5=49,((F16+4*F19)/5),IF(C5&gt;49,F19,F16))))))))))</f>
        <v>24.811716434577917</v>
      </c>
      <c r="H6" s="181">
        <f>IF(C5&lt;21,G14,IF(C5=21,((4*G14+G16)/5),IF(C5=22,((3*G14+2*G16)/5),IF(C5=23,((2*G14+3*G16)/5),IF(C5=24,((G14+4*G16)/5),IF(C5=46,((4*G16+G19)/5),IF(C5=47,((3*G16+2*G19)/5),IF(C5=48,((2*G16+3*G19)/5),IF(C5=49,((G16+4*G19)/5),IF(C5&gt;49,G19,G16))))))))))</f>
        <v>22.527687365281071</v>
      </c>
      <c r="I6" s="181">
        <f>IF(C5&lt;21,H14,IF(C5=21,((4*H14+H16)/5),IF(C5=22,((3*H14+2*H16)/5),IF(C5=23,((2*H14+3*H16)/5),IF(C5=24,((H14+4*H16)/5),IF(C5=46,((4*H16+H19)/5),IF(C5=47,((3*H16+2*H19)/5),IF(C5=48,((2*H16+3*H19)/5),IF(C5=49,((H16+4*H19)/5),IF(C5&gt;49,H19,H16))))))))))</f>
        <v>19.73940625868395</v>
      </c>
      <c r="J6" s="183">
        <v>0</v>
      </c>
      <c r="K6" s="182" t="s">
        <v>14</v>
      </c>
      <c r="L6" s="183">
        <f>IF(F6="NA", "NA", L4*TAN(RADIANS(F6)))</f>
        <v>25.184838270459181</v>
      </c>
      <c r="M6" s="183">
        <f>IF(G6="NA", "NA", M4*TAN(RADIANS(G6)))</f>
        <v>46.231304313372007</v>
      </c>
      <c r="N6" s="183">
        <f>IF(H6="NA", "NA", N4*TAN(RADIANS(H6)))</f>
        <v>165.91192863300225</v>
      </c>
      <c r="O6" s="183">
        <f>IF(I6="NA", "NA", O4*TAN(RADIANS(I6)))</f>
        <v>251.17957924853658</v>
      </c>
      <c r="P6" s="279">
        <v>0</v>
      </c>
      <c r="Q6" s="184" t="s">
        <v>14</v>
      </c>
      <c r="R6" s="184">
        <f>L6*20.89</f>
        <v>526.11127146989236</v>
      </c>
      <c r="S6" s="184">
        <f>M6*20.89</f>
        <v>965.77194710634126</v>
      </c>
      <c r="T6" s="184">
        <f>N6*20.89</f>
        <v>3465.9001891434173</v>
      </c>
      <c r="U6" s="184">
        <f>O6*20.89</f>
        <v>5247.1414105019294</v>
      </c>
      <c r="V6" s="131"/>
      <c r="W6" s="131"/>
      <c r="X6" s="131"/>
      <c r="Y6" s="131"/>
    </row>
    <row r="7" spans="1:25" ht="21" customHeight="1" x14ac:dyDescent="0.55000000000000004">
      <c r="A7" s="2"/>
      <c r="B7" s="162"/>
      <c r="C7" s="162"/>
      <c r="D7" s="234" t="s">
        <v>95</v>
      </c>
      <c r="E7" s="186" t="s">
        <v>14</v>
      </c>
      <c r="F7" s="187">
        <f>IF(($C$5&lt;=20),(F6-(3.6/3)),IF(($C$5&lt;25),(F6-(3.3/3)),IF(($C$5&lt;45),(F6-(3/3)),IF($C$5=25,(F6-(3/3)),IF($C$5=45,(F6-(3/3)),IF(($C$5&lt;50),(F6-(2.7/3)),IF($C$5=50,F6-(2.4/3),(F6-(2.4/3)))))))))</f>
        <v>25.734247737167539</v>
      </c>
      <c r="G7" s="187">
        <f>IF(($C$5&lt;=20),(G6-(3.6/3)),IF(($C$5&lt;25),(G6-(3.3/3)),IF(($C$5&lt;45),(G6-(3/3)),IF($C$5=25,(G6-(3/3)),IF($C$5=45,(G6-(3/3)),IF(($C$5&lt;50),(G6-(2.1/3)),IF($C$5=50,G6-(2.4/3),(G6-(2.4/3)))))))))</f>
        <v>23.811716434577917</v>
      </c>
      <c r="H7" s="187">
        <f>IF(($C$5&lt;=20),(H6-(4.2/3)),IF(($C$5&lt;25),(H6-(4.35/3)),IF(($C$5&lt;45),(H6-(4.5/3)),IF($C$5=25,(H6-(4.5/3)),IF($C$5=45,(H6-(4.5/3)),IF(($C$5&lt;50),(H6-(3.45/3)),IF($C$5=50,H6-(2.4/3),(H6-(2.4/3)))))))))</f>
        <v>21.027687365281071</v>
      </c>
      <c r="I7" s="187">
        <f>IF(($C$5&lt;=20),(I6-(3.9/3)),IF(($C$5&lt;25),(I6-(3.6/3)),IF(($C$5&lt;45),(I6-(3.3/3)),IF($C$5=25,(I6-(3.3/3)),IF($C$5=45,(I6-(3.3/3)),IF(($C$5&lt;50),(I6-(2.4/3)),IF($C$5=50,I6-(2.4/3),(I6-(2.4/3)))))))))</f>
        <v>18.639406258683948</v>
      </c>
      <c r="J7" s="189">
        <v>0</v>
      </c>
      <c r="K7" s="188" t="s">
        <v>14</v>
      </c>
      <c r="L7" s="189">
        <f t="shared" ref="L7" si="9">IF(F7="NA", "NA", $L$4*TAN(RADIANS(F7)))</f>
        <v>24.100194672636004</v>
      </c>
      <c r="M7" s="189">
        <f t="shared" ref="M7:M8" si="10">IF(G7="NA", "NA", $M$4*TAN(RADIANS(G7)))</f>
        <v>44.129684322289258</v>
      </c>
      <c r="N7" s="189">
        <f t="shared" ref="N7" si="11">IF(H7="NA", "NA", $N$4*TAN(RADIANS(H7)))</f>
        <v>153.76743167210293</v>
      </c>
      <c r="O7" s="189">
        <f t="shared" ref="O7" si="12">IF(I7="NA", "NA", $O$4*TAN(RADIANS(I7)))</f>
        <v>236.11211578641539</v>
      </c>
      <c r="P7" s="280">
        <v>0</v>
      </c>
      <c r="Q7" s="190" t="s">
        <v>14</v>
      </c>
      <c r="R7" s="190">
        <f t="shared" si="0"/>
        <v>503.45306671136615</v>
      </c>
      <c r="S7" s="190">
        <f t="shared" si="0"/>
        <v>921.86910549262257</v>
      </c>
      <c r="T7" s="190">
        <f t="shared" si="0"/>
        <v>3212.2016476302301</v>
      </c>
      <c r="U7" s="190">
        <f t="shared" si="0"/>
        <v>4932.3820987782174</v>
      </c>
      <c r="V7" s="131"/>
      <c r="W7" s="339" t="s">
        <v>44</v>
      </c>
      <c r="X7" s="340"/>
      <c r="Y7" s="340"/>
    </row>
    <row r="8" spans="1:25" ht="21" customHeight="1" x14ac:dyDescent="0.35">
      <c r="A8" s="2"/>
      <c r="B8" s="162"/>
      <c r="C8" s="162"/>
      <c r="D8" s="275" t="s">
        <v>101</v>
      </c>
      <c r="E8" s="276">
        <f>IF(($C$5&lt;=20),(E9+(1.3/3)),IF(($C$5&lt;25),(E9+(2.15/3)),IF(($C$5&lt;45),(E9+(3/3)),IF($C$5=25,(E9+(3/3)),IF($C$5=45,(E9+(3/3)),IF(($C$5&lt;50),(E9+(4.05/3)),IF($C$5=50,E9+(5.1/3),(E9+(5.1/3)))))))))</f>
        <v>33.7496482223386</v>
      </c>
      <c r="F8" s="276">
        <f>IF(($C$5&lt;=20),(F9+(0.63/3)),IF(($C$5&lt;25),(F9+(2.27/3)),IF(($C$5&lt;45),(F9+(3.9/3)),IF($C$5=25,(F9+(3.9/3)),IF($C$5=45,(F9+(3.9/3)),IF(($C$5&lt;50),(F9+(4.05/3)),IF($C$5=50,F9+(4.2/3),(F9+(4.2/3)))))))))</f>
        <v>31.873903410634203</v>
      </c>
      <c r="G8" s="276">
        <f>IF(($C$5&lt;=20),(G9+(0.63/3)),IF(($C$5&lt;25),(G9+(1.8/3)),IF(($C$5&lt;45),(G9+(3/3)),IF($C$5=25,(G9+(3/3)),IF($C$5=45,(G9+(3/3)),IF(($C$5&lt;50),(G9+(3.6/3)),IF($C$5=50,G9+(4.2/3),(G9+(4.2/3)))))))))</f>
        <v>29.966177632971998</v>
      </c>
      <c r="H8" s="276">
        <f>IF(($C$5&lt;=20),(H9+(1.2/3)),IF(($C$5&lt;25),(H9+(2.1/3)),IF(($C$5&lt;45),(H9+(3/3)),IF($C$5=25,(H9+(3/3)),IF($C$5=45,(H9+(3/3)),IF(($C$5&lt;50),(H9+(3.45/3)),IF($C$5=50,H9+(3.9/3),(H9+(3.9/3)))))))))</f>
        <v>27.963652549528899</v>
      </c>
      <c r="I8" s="277" t="s">
        <v>14</v>
      </c>
      <c r="J8" s="276">
        <v>0</v>
      </c>
      <c r="K8" s="276">
        <f>IF(E8="NA", "NA", $K$4*TAN(RADIANS(E8)))</f>
        <v>8.0180370856793459</v>
      </c>
      <c r="L8" s="276">
        <f>IF(F8="NA", "NA", $L$4*TAN(RADIANS(F8)))</f>
        <v>31.090671024471366</v>
      </c>
      <c r="M8" s="276">
        <f t="shared" si="10"/>
        <v>57.656345503694737</v>
      </c>
      <c r="N8" s="276">
        <f t="shared" ref="N8" si="13">IF(H8="NA","NA",$N$4*TAN(RADIANS(H8)))</f>
        <v>212.35838952087519</v>
      </c>
      <c r="O8" s="276" t="s">
        <v>14</v>
      </c>
      <c r="P8" s="276">
        <f t="shared" ref="P8" si="14">J8*20.89</f>
        <v>0</v>
      </c>
      <c r="Q8" s="276">
        <f t="shared" ref="Q8" si="15">K8*20.89</f>
        <v>167.49679471984155</v>
      </c>
      <c r="R8" s="276">
        <f t="shared" ref="R8" si="16">L8*20.89</f>
        <v>649.48411770120686</v>
      </c>
      <c r="S8" s="276">
        <f t="shared" ref="S8" si="17">M8*20.89</f>
        <v>1204.4410575721831</v>
      </c>
      <c r="T8" s="276">
        <f t="shared" ref="T8" si="18">N8*20.89</f>
        <v>4436.1667570910831</v>
      </c>
      <c r="U8" s="276" t="s">
        <v>14</v>
      </c>
      <c r="V8" s="131"/>
      <c r="W8" s="131"/>
      <c r="X8" s="131"/>
      <c r="Y8" s="131"/>
    </row>
    <row r="9" spans="1:25" ht="21" customHeight="1" x14ac:dyDescent="0.35">
      <c r="A9" s="2"/>
      <c r="B9" s="162"/>
      <c r="C9" s="162"/>
      <c r="D9" s="235" t="s">
        <v>15</v>
      </c>
      <c r="E9" s="209">
        <f>IF(C5&lt;21,D23,IF(C5=21,((4*D23+D25)/5),IF(C5=22,((3*D23+2*D25)/5),IF(C5=23,((2*D23+3*D25)/5),IF(C5=24,((D23+4*D25)/5),IF(C5=46,((4*D25+D27)/5),IF(C5=47,((3*D25+2*D27)/5),IF(C5=48,((2*D25+3*D27)/5),IF(C5=49,((D25+4*D27)/5),IF(C5&gt;49,D27,D25))))))))))</f>
        <v>32.7496482223386</v>
      </c>
      <c r="F9" s="209">
        <f>IF(C5&lt;21,E23,IF(C5=21,((4*E23+E25)/5),IF(C5=22,((3*E23+2*E25)/5),IF(C5=23,((2*E23+3*E25)/5),IF(C5=24,((E23+4*E25)/5),IF(C5=46,((4*E25+E27)/5),IF(C5=47,((3*E25+2*E27)/5),IF(C5=48,((2*E25+3*E27)/5),IF(C5=49,((E25+4*E27)/5),IF(C5&gt;49,E27,E25))))))))))</f>
        <v>30.573903410634202</v>
      </c>
      <c r="G9" s="209">
        <f>IF(C5&lt;21,F23,IF(C5=21,((4*F23+F25)/5),IF(C5=22,((3*F23+2*F25)/5),IF(C5=23,((2*F23+3*F25)/5),IF(C5=24,((F23+4*F25)/5),IF(C5=46,((4*F25+F27)/5),IF(C5=47,((3*F25+2*F27)/5),IF(C5=48,((2*F25+3*F27)/5),IF(C5=49,((F25+4*F27)/5),IF(C5&gt;49,F27,F25))))))))))</f>
        <v>28.966177632971998</v>
      </c>
      <c r="H9" s="209">
        <f>IF(C5&lt;21,G23,IF(C5=21,((4*G23+G25)/5),IF(C5=22,((3*G23+2*G25)/5),IF(C5=23,((2*G23+3*G25)/5),IF(C5=24,((G23+4*G25)/5),IF(C5=46,((4*G25+G27)/5),IF(C5=47,((3*G25+2*G27)/5),IF(C5=48,((2*G25+3*G27)/5),IF(C5=49,((G25+4*G27)/5),IF(C5&gt;49,G27,G25))))))))))</f>
        <v>26.963652549528899</v>
      </c>
      <c r="I9" s="210" t="s">
        <v>14</v>
      </c>
      <c r="J9" s="209">
        <v>0</v>
      </c>
      <c r="K9" s="209">
        <f>IF(E9="NA", "NA", $K$4*TAN(RADIANS(E9)))</f>
        <v>7.7185552101145785</v>
      </c>
      <c r="L9" s="209">
        <f>IF(F9="NA", "NA", $L$4*TAN(RADIANS(F9)))</f>
        <v>29.539187173121679</v>
      </c>
      <c r="M9" s="209">
        <f>IF(G9="NA", "NA", $M$4*TAN(RADIANS(G9)))</f>
        <v>55.353761383240617</v>
      </c>
      <c r="N9" s="209">
        <f>IF(H9="NA","NA",$N$4*TAN(RADIANS(H9)))</f>
        <v>203.49065155845355</v>
      </c>
      <c r="O9" s="209" t="s">
        <v>14</v>
      </c>
      <c r="P9" s="209">
        <f>J9*20.89</f>
        <v>0</v>
      </c>
      <c r="Q9" s="209">
        <f t="shared" ref="Q9:Q10" si="19">K9*20.89</f>
        <v>161.24061833929355</v>
      </c>
      <c r="R9" s="209">
        <f t="shared" si="0"/>
        <v>617.07362004651191</v>
      </c>
      <c r="S9" s="209">
        <f t="shared" si="0"/>
        <v>1156.3400752958964</v>
      </c>
      <c r="T9" s="209">
        <f t="shared" si="0"/>
        <v>4250.9197110560945</v>
      </c>
      <c r="U9" s="209" t="s">
        <v>14</v>
      </c>
      <c r="V9" s="131"/>
      <c r="W9" s="131"/>
      <c r="X9" s="131"/>
      <c r="Y9" s="131"/>
    </row>
    <row r="10" spans="1:25" ht="21" customHeight="1" x14ac:dyDescent="0.35">
      <c r="A10" s="2"/>
      <c r="B10" s="162"/>
      <c r="C10" s="162"/>
      <c r="D10" s="211" t="s">
        <v>96</v>
      </c>
      <c r="E10" s="212">
        <f>IF(($C$5&lt;=20),(E9-(1.3/3)),IF(($C$5&lt;25),(E9-(2.15/3)),IF(($C$5&lt;45),(E9-(3/3)),IF($C$5=25,(E9-(3/3)),IF($C$5=45,(E9-(3/3)),IF(($C$5&lt;50),(E9-(4.05/3)),IF($C$5=50,E9-(5.1/3),(E9-(5.1/3)))))))))</f>
        <v>31.7496482223386</v>
      </c>
      <c r="F10" s="212">
        <f>IF(($C$5&lt;=20),(F9-(0.63/3)),IF(($C$5&lt;25),(F9-(2.27/3)),IF(($C$5&lt;45),(F9-(3.9/3)),IF($C$5=25,(F9-(3.9/3)),IF($C$5=45,(F9-(3.9/3)),IF(($C$5&lt;50),(F9-(4.05/3)),IF($C$5=50,F9-(4.2/3),(F9-(4.2/3)))))))))</f>
        <v>29.273903410634201</v>
      </c>
      <c r="G10" s="212">
        <f>IF(($C$5&lt;=20),(G9-(0.63/3)),IF(($C$5&lt;25),(G9-(1.8/3)),IF(($C$5&lt;45),(G9-(3/3)),IF($C$5=25,(G9-(3/3)),IF($C$5=45,(G9-(3/3)),IF(($C$5&lt;50),(G9-(3.6/3)),IF($C$5=50,G9-(4.2/3),(G9-(4.2/3)))))))))</f>
        <v>27.966177632971998</v>
      </c>
      <c r="H10" s="212">
        <f>IF(($C$5&lt;=20),(H9-(1.2/3)),IF(($C$5&lt;25),(H9-(2.1/3)),IF(($C$5&lt;45),(H9-(3/3)),IF($C$5=25,(H9-(3/3)),IF($C$5=45,(H9-(3/3)),IF(($C$5&lt;50),(H9-(3.45/3)),IF($C$5=50,H9-(3.9/3),(H9-(3.9/3)))))))))</f>
        <v>25.963652549528899</v>
      </c>
      <c r="I10" s="213" t="s">
        <v>14</v>
      </c>
      <c r="J10" s="212">
        <v>0</v>
      </c>
      <c r="K10" s="212">
        <f t="shared" ref="K10" si="20">IF(E10="NA", "NA", $K$4*TAN(RADIANS(E10)))</f>
        <v>7.4257234315749141</v>
      </c>
      <c r="L10" s="212">
        <f>IF(F10="NA", "NA", $L$4*TAN(RADIANS(F10)))</f>
        <v>28.028753708182595</v>
      </c>
      <c r="M10" s="212">
        <f t="shared" ref="M10" si="21">IF(G10="NA", "NA", $M$4*TAN(RADIANS(G10)))</f>
        <v>53.095246758454294</v>
      </c>
      <c r="N10" s="212">
        <f t="shared" ref="N10" si="22">IF(H10="NA","NA",$N$4*TAN(RADIANS(H10)))</f>
        <v>194.77901590822589</v>
      </c>
      <c r="O10" s="212" t="s">
        <v>14</v>
      </c>
      <c r="P10" s="212">
        <f t="shared" ref="P10" si="23">J10*20.89</f>
        <v>0</v>
      </c>
      <c r="Q10" s="212">
        <f t="shared" si="19"/>
        <v>155.12336248559996</v>
      </c>
      <c r="R10" s="212">
        <f t="shared" si="0"/>
        <v>585.52066496393445</v>
      </c>
      <c r="S10" s="212">
        <f t="shared" si="0"/>
        <v>1109.1597047841103</v>
      </c>
      <c r="T10" s="212">
        <f t="shared" si="0"/>
        <v>4068.9336423228388</v>
      </c>
      <c r="U10" s="212" t="s">
        <v>14</v>
      </c>
      <c r="V10" s="131"/>
      <c r="W10" s="131"/>
      <c r="X10" s="131"/>
      <c r="Y10" s="131"/>
    </row>
    <row r="11" spans="1:25" ht="21" hidden="1" x14ac:dyDescent="0.4">
      <c r="A11" s="2"/>
      <c r="E11" s="162"/>
      <c r="F11" s="162"/>
      <c r="G11" s="162"/>
      <c r="H11" s="162"/>
      <c r="I11" s="162"/>
      <c r="P11" s="2"/>
      <c r="Q11" s="4"/>
    </row>
    <row r="12" spans="1:25" ht="18" hidden="1" x14ac:dyDescent="0.35">
      <c r="A12" s="2"/>
      <c r="B12" s="315" t="s">
        <v>16</v>
      </c>
      <c r="C12" s="315"/>
      <c r="D12" s="315"/>
      <c r="E12" s="315"/>
      <c r="F12" s="315"/>
      <c r="G12" s="315"/>
      <c r="H12" s="315"/>
      <c r="K12" s="294" t="s">
        <v>16</v>
      </c>
      <c r="L12" s="294"/>
      <c r="M12" s="294"/>
      <c r="N12" s="294"/>
      <c r="O12" s="294"/>
      <c r="P12" s="2"/>
      <c r="Q12" s="295" t="s">
        <v>17</v>
      </c>
      <c r="R12" s="296"/>
      <c r="S12" s="296"/>
      <c r="T12" s="297"/>
    </row>
    <row r="13" spans="1:25" ht="18" hidden="1" x14ac:dyDescent="0.35">
      <c r="A13" s="2"/>
      <c r="B13" s="298" t="s">
        <v>18</v>
      </c>
      <c r="C13" s="5">
        <f>B5</f>
        <v>37</v>
      </c>
      <c r="D13" s="5" t="s">
        <v>14</v>
      </c>
      <c r="E13" s="6">
        <f>L15+M15*C13+N15*(C13)^2</f>
        <v>29.065705595453498</v>
      </c>
      <c r="F13" s="6">
        <f>L16+M16*C13+N16*(C13)^2</f>
        <v>28.407685476989599</v>
      </c>
      <c r="G13" s="6">
        <f>L17+M17*C13+N17*(C13)^2</f>
        <v>27.709290814608398</v>
      </c>
      <c r="H13" s="7">
        <f>L18+M18*C13+N18*(C13)^2+O18*(C13)^3</f>
        <v>26.781837237651551</v>
      </c>
      <c r="K13" s="8" t="s">
        <v>18</v>
      </c>
      <c r="L13" s="9" t="s">
        <v>19</v>
      </c>
      <c r="M13" s="9" t="s">
        <v>20</v>
      </c>
      <c r="N13" s="9" t="s">
        <v>21</v>
      </c>
      <c r="O13" s="9" t="s">
        <v>21</v>
      </c>
      <c r="P13" s="2"/>
      <c r="Q13" s="8" t="s">
        <v>18</v>
      </c>
      <c r="R13" s="10" t="s">
        <v>19</v>
      </c>
      <c r="S13" s="11" t="s">
        <v>20</v>
      </c>
      <c r="T13" s="11" t="s">
        <v>21</v>
      </c>
      <c r="U13" s="11" t="s">
        <v>27</v>
      </c>
    </row>
    <row r="14" spans="1:25" ht="18" hidden="1" x14ac:dyDescent="0.4">
      <c r="A14" s="2"/>
      <c r="B14" s="289"/>
      <c r="C14" s="12">
        <f>C13</f>
        <v>37</v>
      </c>
      <c r="D14" s="12" t="s">
        <v>14</v>
      </c>
      <c r="E14" s="13">
        <f>IF(C14&lt;25,"NA",IF(C14&lt;81,E13,"NA"))</f>
        <v>29.065705595453498</v>
      </c>
      <c r="F14" s="13">
        <f>IF(C14&lt;25,"NA",IF(C14&lt;81,F13,"NA"))</f>
        <v>28.407685476989599</v>
      </c>
      <c r="G14" s="13">
        <f>IF(C14&lt;25,"NA",IF(C14&lt;81,G13,"NA"))</f>
        <v>27.709290814608398</v>
      </c>
      <c r="H14" s="14">
        <f>IF(C14&lt;25,"NA",IF(C14&lt;81,H13,"NA"))</f>
        <v>26.781837237651551</v>
      </c>
      <c r="K14" s="15" t="s">
        <v>22</v>
      </c>
      <c r="L14" s="16"/>
      <c r="M14" s="16" t="s">
        <v>23</v>
      </c>
      <c r="N14" s="16" t="s">
        <v>24</v>
      </c>
      <c r="O14" s="16" t="s">
        <v>28</v>
      </c>
      <c r="P14" s="2"/>
      <c r="Q14" s="15" t="s">
        <v>22</v>
      </c>
      <c r="R14" s="17"/>
      <c r="S14" s="18" t="s">
        <v>23</v>
      </c>
      <c r="T14" s="18" t="s">
        <v>24</v>
      </c>
      <c r="U14" s="18" t="s">
        <v>28</v>
      </c>
    </row>
    <row r="15" spans="1:25" hidden="1" x14ac:dyDescent="0.3">
      <c r="A15" s="2"/>
      <c r="B15" s="290" t="s">
        <v>25</v>
      </c>
      <c r="C15" s="19">
        <f>B5</f>
        <v>37</v>
      </c>
      <c r="D15" s="19" t="s">
        <v>14</v>
      </c>
      <c r="E15" s="20">
        <f>J22+K22*C15+L22*(C15)^2+M22*(C15)^3</f>
        <v>26.734247737167539</v>
      </c>
      <c r="F15" s="20">
        <f>J23+K23*C15+L23*(C15)^2+M23*(C15)^3+N23*(C15)^4+O23*(C15)^5</f>
        <v>24.811716434577917</v>
      </c>
      <c r="G15" s="20">
        <f>J24+K24*C15+L24*(C15)^2+M24*(C15)^3+N24*(C15)^4+O24*(C15)^5+P24*(C15)^6</f>
        <v>22.527687365281071</v>
      </c>
      <c r="H15" s="21">
        <f>J25+K25*C15+L25*(C15)^2+M25*(C15)^3+N25*(C15)^4+O25*(C15)^5</f>
        <v>19.73940625868395</v>
      </c>
      <c r="K15" s="22">
        <v>50</v>
      </c>
      <c r="L15" s="23">
        <v>38.033086709999999</v>
      </c>
      <c r="M15" s="24">
        <v>-0.2605941973</v>
      </c>
      <c r="N15" s="25">
        <v>4.9277150149999998E-4</v>
      </c>
      <c r="P15" s="2"/>
      <c r="Q15" s="26">
        <v>12</v>
      </c>
      <c r="R15" s="27">
        <v>35.406075280000003</v>
      </c>
      <c r="S15" s="28">
        <v>-7.1986118880000005E-2</v>
      </c>
      <c r="T15" s="29">
        <v>2.3364568279999999E-4</v>
      </c>
      <c r="U15" s="29">
        <v>0</v>
      </c>
      <c r="V15" s="93"/>
    </row>
    <row r="16" spans="1:25" hidden="1" x14ac:dyDescent="0.3">
      <c r="A16" s="2"/>
      <c r="B16" s="291"/>
      <c r="C16" s="30">
        <f>C15</f>
        <v>37</v>
      </c>
      <c r="D16" s="30" t="s">
        <v>14</v>
      </c>
      <c r="E16" s="31">
        <f>IF(C16&lt;35,"NA",IF(C16&lt;=131,E15,"NA"))</f>
        <v>26.734247737167539</v>
      </c>
      <c r="F16" s="31">
        <f>IF(C16&lt;35,"NA",IF(C16&lt;=131,F15,"NA"))</f>
        <v>24.811716434577917</v>
      </c>
      <c r="G16" s="31">
        <f>IF(C16&lt;35,"NA",IF(C16&lt;=131,G15,"NA"))</f>
        <v>22.527687365281071</v>
      </c>
      <c r="H16" s="32">
        <f>IF(C16&lt;35,"NA",IF(C16&lt;=131,H15,"NA"))</f>
        <v>19.73940625868395</v>
      </c>
      <c r="K16" s="33">
        <v>100</v>
      </c>
      <c r="L16" s="34">
        <v>37.803024729999997</v>
      </c>
      <c r="M16" s="35">
        <v>-0.27287084909999998</v>
      </c>
      <c r="N16" s="36">
        <v>5.1196651839999999E-4</v>
      </c>
      <c r="P16" s="2"/>
      <c r="Q16" s="26">
        <v>50</v>
      </c>
      <c r="R16" s="27">
        <v>33.934800000000003</v>
      </c>
      <c r="S16" s="28">
        <v>-7.234071551E-2</v>
      </c>
      <c r="T16" s="29">
        <v>2.1144580809999999E-4</v>
      </c>
      <c r="U16" s="29">
        <v>0</v>
      </c>
    </row>
    <row r="17" spans="1:24" hidden="1" x14ac:dyDescent="0.3">
      <c r="A17" s="2"/>
      <c r="B17" s="292" t="s">
        <v>26</v>
      </c>
      <c r="C17" s="41">
        <f>B5</f>
        <v>37</v>
      </c>
      <c r="D17" s="41" t="s">
        <v>14</v>
      </c>
      <c r="E17" s="42">
        <f>L29+M29*C17+N29*(C17)^2+O29*(C17)^3</f>
        <v>22.726783199999996</v>
      </c>
      <c r="F17" s="42">
        <f>L30+M30*$C17+N30*($C17)^2+O30*($C17)^3</f>
        <v>21.217144708699998</v>
      </c>
      <c r="G17" s="42">
        <f>L31+M31*C17+N31*(C17)^2+O31*(C17)^3</f>
        <v>19.519018670000001</v>
      </c>
      <c r="H17" s="43">
        <f>L32+M32*C17+N32*(C17)^2+O32*(C17)^3</f>
        <v>18.354335599999999</v>
      </c>
      <c r="K17" s="44">
        <v>400</v>
      </c>
      <c r="L17" s="45">
        <v>38.32356411</v>
      </c>
      <c r="M17" s="38">
        <v>-0.31898651680000001</v>
      </c>
      <c r="N17" s="46">
        <v>8.679531236E-4</v>
      </c>
      <c r="P17" s="2"/>
      <c r="Q17" s="37">
        <v>100</v>
      </c>
      <c r="R17" s="38">
        <v>33.978889160000001</v>
      </c>
      <c r="S17" s="39">
        <v>-8.7667032820000004E-2</v>
      </c>
      <c r="T17" s="40">
        <v>2.7418913529999998E-4</v>
      </c>
      <c r="U17" s="29">
        <v>0</v>
      </c>
    </row>
    <row r="18" spans="1:24" ht="13.5" hidden="1" customHeight="1" x14ac:dyDescent="0.3">
      <c r="A18" s="2"/>
      <c r="B18" s="299"/>
      <c r="C18" s="51">
        <f>C17</f>
        <v>37</v>
      </c>
      <c r="D18" s="51" t="s">
        <v>14</v>
      </c>
      <c r="E18" s="52">
        <f>L36+M36*$C18</f>
        <v>11.233499999999999</v>
      </c>
      <c r="F18" s="52">
        <f>L37+M37*$C18</f>
        <v>9.9617000000000004</v>
      </c>
      <c r="G18" s="52">
        <f>L38+M38*$C18</f>
        <v>7.8955999999999991</v>
      </c>
      <c r="H18" s="53">
        <f>L39+M39*$C18</f>
        <v>5.7667000000000002</v>
      </c>
      <c r="K18" s="54">
        <v>700</v>
      </c>
      <c r="L18" s="55">
        <v>39.095295100000001</v>
      </c>
      <c r="M18" s="48">
        <v>-0.43707049380000002</v>
      </c>
      <c r="N18" s="56">
        <v>3.4175760939999999E-3</v>
      </c>
      <c r="O18" s="156">
        <v>-1.6198670650000001E-5</v>
      </c>
      <c r="P18" s="2"/>
      <c r="Q18" s="47">
        <v>400</v>
      </c>
      <c r="R18" s="48">
        <v>33.433427129999998</v>
      </c>
      <c r="S18" s="49">
        <v>-9.4975937659999995E-2</v>
      </c>
      <c r="T18" s="50">
        <v>1.5747615449999999E-4</v>
      </c>
      <c r="U18" s="29">
        <v>0</v>
      </c>
    </row>
    <row r="19" spans="1:24" hidden="1" x14ac:dyDescent="0.3">
      <c r="A19" s="2"/>
      <c r="B19" s="293"/>
      <c r="C19" s="57">
        <f>B5</f>
        <v>37</v>
      </c>
      <c r="D19" s="57" t="s">
        <v>14</v>
      </c>
      <c r="E19" s="58" t="str">
        <f>IF(C19&lt;45,"NA",IF(C19&lt;120,E17,IF(C19&lt;=300,E18,"NA")))</f>
        <v>NA</v>
      </c>
      <c r="F19" s="58" t="str">
        <f>IF(C19&lt;45,"NA",IF(C19&lt;120,F17,IF(C19&lt;=300,F18,"NA")))</f>
        <v>NA</v>
      </c>
      <c r="G19" s="58" t="str">
        <f>IF(C19&lt;45,"NA",IF(C19&lt;120,G17,IF(C19&lt;=300,G18,"NA")))</f>
        <v>NA</v>
      </c>
      <c r="H19" s="59" t="str">
        <f>IF(C19&lt;45,"NA",IF(C19&lt;120,H17,IF(C19&lt;=300,H18,"NA")))</f>
        <v>NA</v>
      </c>
      <c r="P19" s="2"/>
    </row>
    <row r="20" spans="1:24" ht="18" hidden="1" x14ac:dyDescent="0.35">
      <c r="A20" s="2"/>
      <c r="I20" s="60" t="s">
        <v>25</v>
      </c>
      <c r="J20" s="61" t="s">
        <v>19</v>
      </c>
      <c r="K20" s="61" t="s">
        <v>20</v>
      </c>
      <c r="L20" s="61" t="s">
        <v>21</v>
      </c>
      <c r="M20" s="61" t="s">
        <v>27</v>
      </c>
      <c r="N20" s="61" t="s">
        <v>27</v>
      </c>
      <c r="O20" s="61" t="s">
        <v>27</v>
      </c>
      <c r="P20" s="61" t="s">
        <v>27</v>
      </c>
      <c r="Q20" s="60" t="s">
        <v>25</v>
      </c>
      <c r="R20" s="62" t="s">
        <v>19</v>
      </c>
      <c r="S20" s="63" t="s">
        <v>20</v>
      </c>
      <c r="T20" s="63" t="s">
        <v>21</v>
      </c>
      <c r="U20" s="63" t="s">
        <v>27</v>
      </c>
    </row>
    <row r="21" spans="1:24" ht="18.600000000000001" hidden="1" x14ac:dyDescent="0.4">
      <c r="A21" s="2"/>
      <c r="B21" s="285" t="s">
        <v>17</v>
      </c>
      <c r="C21" s="286"/>
      <c r="D21" s="286"/>
      <c r="E21" s="286"/>
      <c r="F21" s="286"/>
      <c r="G21" s="286"/>
      <c r="H21" s="287"/>
      <c r="I21" s="64" t="s">
        <v>22</v>
      </c>
      <c r="J21" s="61"/>
      <c r="K21" s="61" t="s">
        <v>23</v>
      </c>
      <c r="L21" s="61" t="s">
        <v>24</v>
      </c>
      <c r="M21" s="61" t="s">
        <v>28</v>
      </c>
      <c r="N21" s="61" t="s">
        <v>62</v>
      </c>
      <c r="O21" s="61" t="s">
        <v>63</v>
      </c>
      <c r="P21" s="61" t="s">
        <v>82</v>
      </c>
      <c r="Q21" s="64" t="s">
        <v>22</v>
      </c>
      <c r="R21" s="62"/>
      <c r="S21" s="63" t="s">
        <v>23</v>
      </c>
      <c r="T21" s="63" t="s">
        <v>24</v>
      </c>
      <c r="U21" s="63" t="s">
        <v>28</v>
      </c>
    </row>
    <row r="22" spans="1:24" hidden="1" x14ac:dyDescent="0.3">
      <c r="A22" s="2"/>
      <c r="B22" s="288" t="s">
        <v>18</v>
      </c>
      <c r="C22" s="65">
        <f>B5</f>
        <v>37</v>
      </c>
      <c r="D22" s="66">
        <f>R15+S15*(C22)+T15*(C22)^2</f>
        <v>33.062449821193198</v>
      </c>
      <c r="E22" s="66">
        <f>R16+S16*(C22)+T16*(C22)^2</f>
        <v>31.547662837418905</v>
      </c>
      <c r="F22" s="66">
        <f>R17+S17*(C22)+T17*(C22)^2</f>
        <v>31.110573871885702</v>
      </c>
      <c r="G22" s="66">
        <f>R18+S18*(C22)+T18*(C22)^2+U18*(C22)^3</f>
        <v>30.134902292090498</v>
      </c>
      <c r="H22" s="67" t="s">
        <v>14</v>
      </c>
      <c r="I22" s="22">
        <v>50</v>
      </c>
      <c r="J22" s="68">
        <v>32.008962449999999</v>
      </c>
      <c r="K22" s="69">
        <v>-5.1561604470000001E-2</v>
      </c>
      <c r="L22" s="69">
        <v>-3.096033389E-3</v>
      </c>
      <c r="M22" s="69">
        <v>1.7205977180000002E-5</v>
      </c>
      <c r="P22" s="2"/>
      <c r="Q22" s="26">
        <v>12</v>
      </c>
      <c r="R22" s="27">
        <v>35.621955309999997</v>
      </c>
      <c r="S22" s="28">
        <v>-7.6736341390000004E-2</v>
      </c>
      <c r="T22" s="29">
        <v>-7.0530895469999994E-5</v>
      </c>
      <c r="U22" s="155">
        <v>1.2535158759999999E-6</v>
      </c>
      <c r="V22" s="93"/>
    </row>
    <row r="23" spans="1:24" hidden="1" x14ac:dyDescent="0.3">
      <c r="A23" s="2"/>
      <c r="B23" s="289"/>
      <c r="C23" s="12">
        <f>C22</f>
        <v>37</v>
      </c>
      <c r="D23" s="13">
        <f>IF(C23&lt;25,"NA",IF(C23&lt;81,D22,"NA"))</f>
        <v>33.062449821193198</v>
      </c>
      <c r="E23" s="13">
        <f>IF(C23&lt;25,"NA",IF(C23&lt;81,E22,"NA"))</f>
        <v>31.547662837418905</v>
      </c>
      <c r="F23" s="13">
        <f>IF(C23&lt;25,"NA",IF(C23&lt;81,F22,"NA"))</f>
        <v>31.110573871885702</v>
      </c>
      <c r="G23" s="13">
        <f>IF(C23&lt;25,"NA",IF(C23&lt;81,G22,"NA"))</f>
        <v>30.134902292090498</v>
      </c>
      <c r="H23" s="14" t="s">
        <v>14</v>
      </c>
      <c r="I23" s="33">
        <v>100</v>
      </c>
      <c r="J23" s="70">
        <v>42.846793499999997</v>
      </c>
      <c r="K23" s="71">
        <v>-0.95247491269999995</v>
      </c>
      <c r="L23" s="71">
        <v>2.099823411E-2</v>
      </c>
      <c r="M23" s="71">
        <v>-2.9366059069999999E-4</v>
      </c>
      <c r="N23" s="86">
        <v>1.9564796509999998E-6</v>
      </c>
      <c r="O23" s="86">
        <v>-4.7885319059999996E-9</v>
      </c>
      <c r="P23" s="2"/>
      <c r="Q23" s="26">
        <v>50</v>
      </c>
      <c r="R23" s="27">
        <v>33.789955640000002</v>
      </c>
      <c r="S23" s="28">
        <v>-9.4482599269999995E-2</v>
      </c>
      <c r="T23" s="29">
        <v>2.0438564179999999E-4</v>
      </c>
    </row>
    <row r="24" spans="1:24" hidden="1" x14ac:dyDescent="0.3">
      <c r="A24" s="2"/>
      <c r="B24" s="290" t="s">
        <v>25</v>
      </c>
      <c r="C24" s="19">
        <f>B5</f>
        <v>37</v>
      </c>
      <c r="D24" s="20">
        <f>R22+S22*(C24)+T22*(C24)^2+U22*(B5)^3</f>
        <v>32.7496482223386</v>
      </c>
      <c r="E24" s="20">
        <f>R23+S23*(C24)+T23*(C24)^2</f>
        <v>30.573903410634202</v>
      </c>
      <c r="F24" s="20">
        <f>R24+S24*(C24)+T24*(C24)^2</f>
        <v>28.966177632971998</v>
      </c>
      <c r="G24" s="20">
        <f>R25+S25*(C24)+T25*(C24)^2</f>
        <v>26.963652549528899</v>
      </c>
      <c r="H24" s="21" t="s">
        <v>14</v>
      </c>
      <c r="I24" s="44">
        <v>400</v>
      </c>
      <c r="J24" s="157">
        <v>47.345950649999999</v>
      </c>
      <c r="K24" s="158">
        <v>-1.5287339520000001</v>
      </c>
      <c r="L24" s="158">
        <v>4.0686569999999998E-2</v>
      </c>
      <c r="M24" s="158">
        <v>-6.4303825950000001E-4</v>
      </c>
      <c r="N24" s="158">
        <v>5.3513928050000002E-6</v>
      </c>
      <c r="O24" s="158">
        <v>-2.158603094E-8</v>
      </c>
      <c r="P24" s="158">
        <v>3.2850220479999997E-11</v>
      </c>
      <c r="Q24" s="37">
        <v>100</v>
      </c>
      <c r="R24" s="38">
        <v>32.607030330000001</v>
      </c>
      <c r="S24" s="39">
        <v>-0.10782350340000001</v>
      </c>
      <c r="T24" s="72">
        <v>2.5465078799999998E-4</v>
      </c>
    </row>
    <row r="25" spans="1:24" hidden="1" x14ac:dyDescent="0.3">
      <c r="A25" s="2"/>
      <c r="B25" s="291"/>
      <c r="C25" s="30">
        <f>C24</f>
        <v>37</v>
      </c>
      <c r="D25" s="31">
        <f>IF(C25&lt;35,"NA",IF(C25&lt;=131,D24,"NA"))</f>
        <v>32.7496482223386</v>
      </c>
      <c r="E25" s="31">
        <f>IF(C25&lt;35,"NA",IF(C25&lt;=131,E24,"NA"))</f>
        <v>30.573903410634202</v>
      </c>
      <c r="F25" s="31">
        <f>IF(C25&lt;35,"NA",IF(C25&lt;=131,F24,"NA"))</f>
        <v>28.966177632971998</v>
      </c>
      <c r="G25" s="31">
        <f>IF(C25&lt;35,"NA",IF(C25&lt;=131,G24,"NA"))</f>
        <v>26.963652549528899</v>
      </c>
      <c r="H25" s="32" t="s">
        <v>14</v>
      </c>
      <c r="I25" s="54">
        <v>700</v>
      </c>
      <c r="J25" s="74">
        <v>38.358431019999998</v>
      </c>
      <c r="K25" s="75">
        <v>-0.95417449909999996</v>
      </c>
      <c r="L25" s="75">
        <v>1.9693885059999999E-2</v>
      </c>
      <c r="M25" s="75">
        <v>-2.6045865530000001E-4</v>
      </c>
      <c r="N25" s="86">
        <v>1.7128802039999999E-6</v>
      </c>
      <c r="O25" s="86">
        <v>-4.2209583000000002E-9</v>
      </c>
      <c r="P25" s="2"/>
      <c r="Q25" s="47">
        <v>400</v>
      </c>
      <c r="R25" s="48">
        <v>31.80820121</v>
      </c>
      <c r="S25" s="49">
        <v>-0.14648675559999999</v>
      </c>
      <c r="T25" s="73">
        <v>4.203515681E-4</v>
      </c>
    </row>
    <row r="26" spans="1:24" hidden="1" x14ac:dyDescent="0.3">
      <c r="A26" s="2"/>
      <c r="B26" s="292" t="s">
        <v>26</v>
      </c>
      <c r="C26" s="51">
        <f>B5</f>
        <v>37</v>
      </c>
      <c r="D26" s="52">
        <f>R29+S29*(C26)+T29*(C26)^2+U29*(C26)^3+V29*(C26)^4+W29*(C26)^5</f>
        <v>31.709370134776179</v>
      </c>
      <c r="E26" s="52">
        <f>R30+S30*(C26)+T30*(C26)^2+U30*(C26)^3+V30*(C26)^4+W30*(C26)^5</f>
        <v>28.155259817425517</v>
      </c>
      <c r="F26" s="52">
        <f>R31+S31*(C26)+T31*(C26)^2+U31*(C26)^3+V31*(C26)^4+W31*(C26)^5</f>
        <v>25.691098122119737</v>
      </c>
      <c r="G26" s="52">
        <f>R32+S32*(C26)+T32*(C26)^2+U32*(C26)^3+V32*(C26)^4+W32*(C26)^5</f>
        <v>23.603927907847812</v>
      </c>
      <c r="H26" s="53" t="s">
        <v>14</v>
      </c>
      <c r="K26" s="76" t="s">
        <v>29</v>
      </c>
      <c r="L26" s="77"/>
      <c r="M26" s="77"/>
      <c r="N26" s="77"/>
      <c r="O26" s="77"/>
      <c r="P26" s="2"/>
    </row>
    <row r="27" spans="1:24" ht="18" hidden="1" x14ac:dyDescent="0.35">
      <c r="A27" s="2"/>
      <c r="B27" s="293"/>
      <c r="C27" s="57">
        <f>C26</f>
        <v>37</v>
      </c>
      <c r="D27" s="58" t="str">
        <f>IF(C27&lt;45,"NA",IF(C27&lt;=300,D26,"NA"))</f>
        <v>NA</v>
      </c>
      <c r="E27" s="58" t="str">
        <f>IF(C27&lt;45,"NA",IF(C27&lt;=300,E26,"NA"))</f>
        <v>NA</v>
      </c>
      <c r="F27" s="58" t="str">
        <f>IF(C27&lt;45,"NA",IF(C27&lt;=300,F26,"NA"))</f>
        <v>NA</v>
      </c>
      <c r="G27" s="58" t="str">
        <f>IF(C27&lt;45,"NA",IF(C27&lt;=300,G26,"NA"))</f>
        <v>NA</v>
      </c>
      <c r="H27" s="59" t="s">
        <v>14</v>
      </c>
      <c r="K27" s="78" t="s">
        <v>26</v>
      </c>
      <c r="L27" s="79" t="s">
        <v>19</v>
      </c>
      <c r="M27" s="79" t="s">
        <v>20</v>
      </c>
      <c r="N27" s="79" t="s">
        <v>21</v>
      </c>
      <c r="O27" s="79" t="s">
        <v>27</v>
      </c>
      <c r="P27" s="2"/>
      <c r="Q27" s="78" t="s">
        <v>26</v>
      </c>
      <c r="R27" s="80" t="s">
        <v>19</v>
      </c>
      <c r="S27" s="81" t="s">
        <v>20</v>
      </c>
      <c r="T27" s="81" t="s">
        <v>21</v>
      </c>
      <c r="U27" s="81" t="s">
        <v>27</v>
      </c>
      <c r="V27" s="81" t="s">
        <v>64</v>
      </c>
      <c r="W27" s="81" t="s">
        <v>65</v>
      </c>
    </row>
    <row r="28" spans="1:24" ht="18" hidden="1" x14ac:dyDescent="0.4">
      <c r="A28" s="2"/>
      <c r="K28" s="82" t="s">
        <v>22</v>
      </c>
      <c r="L28" s="79"/>
      <c r="M28" s="79" t="s">
        <v>23</v>
      </c>
      <c r="N28" s="79" t="s">
        <v>24</v>
      </c>
      <c r="O28" s="79" t="s">
        <v>28</v>
      </c>
      <c r="P28" s="2"/>
      <c r="Q28" s="82" t="s">
        <v>22</v>
      </c>
      <c r="R28" s="80"/>
      <c r="S28" s="81" t="s">
        <v>23</v>
      </c>
      <c r="T28" s="81" t="s">
        <v>24</v>
      </c>
      <c r="U28" s="81" t="s">
        <v>28</v>
      </c>
      <c r="V28" s="81" t="s">
        <v>62</v>
      </c>
      <c r="W28" s="81" t="s">
        <v>63</v>
      </c>
    </row>
    <row r="29" spans="1:24" ht="17.25" hidden="1" customHeight="1" x14ac:dyDescent="0.3">
      <c r="A29" s="2"/>
      <c r="K29" s="83">
        <v>50</v>
      </c>
      <c r="L29" s="84">
        <v>33.44</v>
      </c>
      <c r="M29" s="85">
        <v>-0.31</v>
      </c>
      <c r="N29" s="86">
        <v>3.8999999999999999E-4</v>
      </c>
      <c r="O29" s="87">
        <v>4.4000000000000002E-6</v>
      </c>
      <c r="P29" s="2"/>
      <c r="Q29" s="88">
        <v>12</v>
      </c>
      <c r="R29" s="89">
        <v>35.642353880000002</v>
      </c>
      <c r="S29" s="28">
        <v>-0.11425207749999999</v>
      </c>
      <c r="T29" s="29">
        <v>2.238184592E-4</v>
      </c>
      <c r="U29" s="90">
        <v>-2.381763838E-7</v>
      </c>
      <c r="V29" s="90">
        <v>0</v>
      </c>
      <c r="W29" s="90">
        <v>0</v>
      </c>
      <c r="X29" s="84"/>
    </row>
    <row r="30" spans="1:24" hidden="1" x14ac:dyDescent="0.3">
      <c r="A30" s="2"/>
      <c r="C30" s="312" t="s">
        <v>78</v>
      </c>
      <c r="D30" s="313"/>
      <c r="E30" s="313"/>
      <c r="G30" s="312" t="s">
        <v>77</v>
      </c>
      <c r="H30" s="313"/>
      <c r="I30" s="313"/>
      <c r="K30" s="83">
        <v>100</v>
      </c>
      <c r="L30" s="84">
        <v>30.65</v>
      </c>
      <c r="M30" s="85">
        <v>-0.25040000000000001</v>
      </c>
      <c r="N30" s="86">
        <v>-4.2053000000000001E-4</v>
      </c>
      <c r="O30" s="87">
        <v>8.0478999999999996E-6</v>
      </c>
      <c r="P30" s="2"/>
      <c r="Q30" s="88">
        <v>50</v>
      </c>
      <c r="R30" s="89">
        <v>34.759863250000002</v>
      </c>
      <c r="S30" s="28">
        <v>-0.24065530630000001</v>
      </c>
      <c r="T30" s="29">
        <v>2.0315981500000002E-3</v>
      </c>
      <c r="U30" s="90">
        <v>-1.0439104369999999E-5</v>
      </c>
      <c r="V30" s="90">
        <v>2.6104614510000001E-8</v>
      </c>
      <c r="W30" s="90">
        <v>-2.5485473889999999E-11</v>
      </c>
    </row>
    <row r="31" spans="1:24" hidden="1" x14ac:dyDescent="0.3">
      <c r="A31" s="2"/>
      <c r="D31" s="3" t="s">
        <v>32</v>
      </c>
      <c r="E31" s="3" t="s">
        <v>33</v>
      </c>
      <c r="H31" s="3" t="s">
        <v>32</v>
      </c>
      <c r="I31" s="3" t="s">
        <v>33</v>
      </c>
      <c r="K31" s="83">
        <v>400</v>
      </c>
      <c r="L31" s="84">
        <v>29.42</v>
      </c>
      <c r="M31" s="85">
        <v>-0.26650000000000001</v>
      </c>
      <c r="N31" s="86">
        <v>-3.4000000000000002E-4</v>
      </c>
      <c r="O31" s="87">
        <v>8.3899999999999993E-6</v>
      </c>
      <c r="P31" s="2"/>
      <c r="Q31" s="88">
        <v>100</v>
      </c>
      <c r="R31" s="45">
        <v>32.96766865</v>
      </c>
      <c r="S31" s="39">
        <v>-0.25454966759999997</v>
      </c>
      <c r="T31" s="72">
        <v>1.7867971039999999E-3</v>
      </c>
      <c r="U31" s="91">
        <v>-6.3067128199999996E-6</v>
      </c>
      <c r="V31" s="91">
        <v>8.0547308450000003E-9</v>
      </c>
      <c r="W31" s="91">
        <v>0</v>
      </c>
    </row>
    <row r="32" spans="1:24" hidden="1" x14ac:dyDescent="0.3">
      <c r="A32" s="2"/>
      <c r="C32" s="3" t="s">
        <v>74</v>
      </c>
      <c r="D32" s="3">
        <f>IF(B5&lt;25,"NA",IF(B5&lt;76,(2.2*B5^(-0.393)),"NA"))</f>
        <v>0.53225457518937525</v>
      </c>
      <c r="E32" s="3">
        <f>IF(B5&lt;25,"NA",IF(B5&lt;76,(1.31*B5^(-0.0842)),"NA"))</f>
        <v>0.96655975986798182</v>
      </c>
      <c r="G32" s="3" t="s">
        <v>74</v>
      </c>
      <c r="H32" s="3">
        <f>IF(B5&lt;25,"NA",IF(B5&lt;76,(0.864343*B5^(-0.10357015)),"NA"))</f>
        <v>0.59465795274845357</v>
      </c>
      <c r="I32" s="3">
        <f>IF(B5&lt;25,"NA",IF(B5&lt;76,(1.0957355*B5^(-0.0338365698)),"NA"))</f>
        <v>0.96971288251335308</v>
      </c>
      <c r="K32" s="83">
        <v>700</v>
      </c>
      <c r="L32" s="84">
        <v>40.49</v>
      </c>
      <c r="M32" s="85">
        <v>-0.8</v>
      </c>
      <c r="N32" s="86">
        <v>6.0000000000000001E-3</v>
      </c>
      <c r="O32" s="87">
        <v>-1.4800000000000001E-5</v>
      </c>
      <c r="P32" s="2"/>
      <c r="Q32" s="88">
        <v>400</v>
      </c>
      <c r="R32" s="55">
        <v>32.01931476</v>
      </c>
      <c r="S32" s="49">
        <v>-0.29080876979999998</v>
      </c>
      <c r="T32" s="73">
        <v>1.9356442050000001E-3</v>
      </c>
      <c r="U32" s="92">
        <v>-6.30856158E-6</v>
      </c>
      <c r="V32" s="92">
        <v>7.5704720750000005E-9</v>
      </c>
      <c r="W32" s="92">
        <v>0</v>
      </c>
    </row>
    <row r="33" spans="1:23" hidden="1" x14ac:dyDescent="0.3">
      <c r="A33" s="2"/>
      <c r="C33" s="3" t="s">
        <v>75</v>
      </c>
      <c r="D33" s="3">
        <f>IF(B5&lt;35,"NA",IF(B5&lt;126,(8.83*B5^(-0.795)),"NA"))</f>
        <v>0.50031132419436786</v>
      </c>
      <c r="E33" s="3">
        <f>IF(B5&lt;35,"NA",IF(B5&lt;126,(1.07*B5^(-0.0452)),"NA"))</f>
        <v>0.90886851686706716</v>
      </c>
      <c r="G33" s="3" t="s">
        <v>75</v>
      </c>
      <c r="H33" s="3">
        <f>IF(B5&lt;35,"NA",IF(B5&lt;126,(-0.075+0.91*B5^(-0.12)),"NA"))</f>
        <v>0.51500702876722315</v>
      </c>
      <c r="I33" s="3">
        <f>IF(B5&lt;35,"NA",IF(B5&lt;126,(1.109514*B5^(-0.04726674)),"NA"))</f>
        <v>0.93542506639883527</v>
      </c>
      <c r="K33" s="76" t="s">
        <v>30</v>
      </c>
      <c r="L33" s="77"/>
      <c r="M33" s="77"/>
      <c r="P33" s="2"/>
      <c r="R33" s="98"/>
    </row>
    <row r="34" spans="1:23" ht="18" hidden="1" x14ac:dyDescent="0.35">
      <c r="A34" s="2"/>
      <c r="C34" s="3" t="s">
        <v>76</v>
      </c>
      <c r="D34" s="3" t="str">
        <f>IF(B5&lt;45,"NA",IF(B5&lt;301,(5.23*B5^(-0.729)),"NA"))</f>
        <v>NA</v>
      </c>
      <c r="E34" s="3" t="str">
        <f>IF(B5&lt;45,"NA",IF(B5&lt;301,(1.257-0.00938*B5+0.0000574*B5^2-0.0000000991*B5^3),"NA"))</f>
        <v>NA</v>
      </c>
      <c r="G34" s="3" t="s">
        <v>76</v>
      </c>
      <c r="H34" s="3" t="str">
        <f>IF(B5&lt;45,"NA",IF(B5&lt;301,(-0.064+2.37*B5^(-0.376)),"NA"))</f>
        <v>NA</v>
      </c>
      <c r="I34" s="3" t="str">
        <f>IF(B5&lt;45,"NA",IF(B5&lt;301,(0.9928997224-0.00184977*B5+0.0000050692391*B5^2),"NA"))</f>
        <v>NA</v>
      </c>
      <c r="K34" s="78" t="s">
        <v>26</v>
      </c>
      <c r="L34" s="79" t="s">
        <v>19</v>
      </c>
      <c r="M34" s="79" t="s">
        <v>20</v>
      </c>
      <c r="P34" s="2"/>
    </row>
    <row r="35" spans="1:23" hidden="1" x14ac:dyDescent="0.3">
      <c r="A35" s="2"/>
      <c r="K35" s="83"/>
      <c r="L35" s="79"/>
      <c r="M35" s="79" t="s">
        <v>23</v>
      </c>
      <c r="P35" s="2"/>
    </row>
    <row r="36" spans="1:23" hidden="1" x14ac:dyDescent="0.3">
      <c r="A36" s="2"/>
      <c r="K36" s="83">
        <v>50</v>
      </c>
      <c r="L36" s="93">
        <v>12.029</v>
      </c>
      <c r="M36" s="87">
        <v>-2.1499999999999998E-2</v>
      </c>
      <c r="P36" s="2"/>
    </row>
    <row r="37" spans="1:23" hidden="1" x14ac:dyDescent="0.3">
      <c r="A37" s="2"/>
      <c r="K37" s="83">
        <v>100</v>
      </c>
      <c r="L37" s="93">
        <v>10.6388</v>
      </c>
      <c r="M37" s="87">
        <v>-1.83E-2</v>
      </c>
      <c r="P37" s="2"/>
    </row>
    <row r="38" spans="1:23" hidden="1" x14ac:dyDescent="0.3">
      <c r="A38" s="2"/>
      <c r="K38" s="83">
        <v>400</v>
      </c>
      <c r="L38" s="93">
        <v>8.3173999999999992</v>
      </c>
      <c r="M38" s="87">
        <v>-1.14E-2</v>
      </c>
      <c r="P38" s="2"/>
    </row>
    <row r="39" spans="1:23" hidden="1" x14ac:dyDescent="0.3">
      <c r="A39" s="2"/>
      <c r="K39" s="83">
        <v>700</v>
      </c>
      <c r="L39" s="93">
        <v>5.9702000000000002</v>
      </c>
      <c r="M39" s="87">
        <v>-5.4999999999999997E-3</v>
      </c>
      <c r="P39" s="2"/>
    </row>
    <row r="40" spans="1:23" hidden="1" x14ac:dyDescent="0.3">
      <c r="A40" s="2"/>
      <c r="K40" s="133"/>
      <c r="L40" s="93"/>
      <c r="M40" s="87"/>
      <c r="P40" s="2"/>
    </row>
    <row r="41" spans="1:23" hidden="1" x14ac:dyDescent="0.3">
      <c r="A41" s="2"/>
      <c r="B41" s="310" t="s">
        <v>68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</row>
    <row r="42" spans="1:23" ht="21" hidden="1" x14ac:dyDescent="0.4">
      <c r="A42" s="2"/>
      <c r="P42" s="2"/>
      <c r="Q42" s="4"/>
    </row>
    <row r="43" spans="1:23" ht="18" hidden="1" x14ac:dyDescent="0.35">
      <c r="A43" s="2"/>
      <c r="B43" s="315" t="s">
        <v>16</v>
      </c>
      <c r="C43" s="316"/>
      <c r="D43" s="316"/>
      <c r="E43" s="316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</row>
    <row r="44" spans="1:23" hidden="1" x14ac:dyDescent="0.3">
      <c r="A44" s="2"/>
      <c r="B44" s="314"/>
      <c r="C44" s="321" t="s">
        <v>71</v>
      </c>
      <c r="D44" s="322"/>
      <c r="E44" s="322"/>
      <c r="F44" s="323"/>
      <c r="G44" s="324" t="s">
        <v>72</v>
      </c>
      <c r="H44" s="325"/>
      <c r="I44" s="325"/>
      <c r="J44" s="326"/>
      <c r="K44" s="327"/>
      <c r="L44" s="328"/>
      <c r="M44" s="328"/>
      <c r="N44" s="329"/>
      <c r="O44" s="330"/>
      <c r="P44" s="331"/>
      <c r="Q44" s="331"/>
      <c r="R44" s="332"/>
      <c r="S44" s="138" t="s">
        <v>69</v>
      </c>
      <c r="T44" s="138" t="s">
        <v>70</v>
      </c>
      <c r="U44" s="138" t="s">
        <v>33</v>
      </c>
      <c r="V44" s="138" t="s">
        <v>32</v>
      </c>
    </row>
    <row r="45" spans="1:23" hidden="1" x14ac:dyDescent="0.3">
      <c r="A45" s="2"/>
      <c r="B45" s="314"/>
      <c r="C45" s="136">
        <v>50</v>
      </c>
      <c r="D45" s="136">
        <v>100</v>
      </c>
      <c r="E45" s="136">
        <v>400</v>
      </c>
      <c r="F45" s="137">
        <v>700</v>
      </c>
      <c r="G45" s="145">
        <f>L5</f>
        <v>26.28872354487935</v>
      </c>
      <c r="H45" s="145">
        <f>M5</f>
        <v>48.367119150018013</v>
      </c>
      <c r="I45" s="145">
        <f>N5</f>
        <v>178.32313470736909</v>
      </c>
      <c r="J45" s="145">
        <f>O5</f>
        <v>266.45610823694011</v>
      </c>
      <c r="K45" s="134">
        <f t="shared" ref="K45:N46" si="24">LOG(G45/101)</f>
        <v>-0.58455187443449796</v>
      </c>
      <c r="L45" s="134">
        <f t="shared" si="24"/>
        <v>-0.31977115314030774</v>
      </c>
      <c r="M45" s="134">
        <f t="shared" si="24"/>
        <v>0.24688631613405951</v>
      </c>
      <c r="N45" s="134">
        <f t="shared" si="24"/>
        <v>0.42130430667040342</v>
      </c>
      <c r="O45" s="146">
        <f t="shared" ref="O45:R46" si="25">LOG(C45/101)</f>
        <v>-0.30535136944662378</v>
      </c>
      <c r="P45" s="146">
        <f t="shared" si="25"/>
        <v>-4.3213737826425782E-3</v>
      </c>
      <c r="Q45" s="146">
        <f t="shared" si="25"/>
        <v>0.59773861754531976</v>
      </c>
      <c r="R45" s="146">
        <f t="shared" si="25"/>
        <v>0.84077666623161429</v>
      </c>
      <c r="S45" s="135">
        <f>AVERAGE(O45:R45)</f>
        <v>0.28221063513691691</v>
      </c>
      <c r="T45" s="135">
        <f>AVERAGE(K45:N45)</f>
        <v>-5.9033101192585702E-2</v>
      </c>
      <c r="U45" s="135">
        <f>((O45-S45)*(K45-T45)+(P45-S45)*(L45-T45)+(Q45-S45)*(M45-T45)+(R45-S45)*(N45-T45))/((O45-S45)^2+(P45-S45)^2+(Q45-S45)^2+(R45-S45)^2)</f>
        <v>0.89203190971541346</v>
      </c>
      <c r="V45" s="135">
        <f>10^(T45-(U45*S45))</f>
        <v>0.48890672038503852</v>
      </c>
    </row>
    <row r="46" spans="1:23" hidden="1" x14ac:dyDescent="0.3">
      <c r="A46" s="2"/>
      <c r="B46" s="314"/>
      <c r="C46" s="136">
        <v>50</v>
      </c>
      <c r="D46" s="136">
        <v>100</v>
      </c>
      <c r="E46" s="136">
        <v>400</v>
      </c>
      <c r="F46" s="137">
        <v>700</v>
      </c>
      <c r="G46" s="145">
        <f>L6</f>
        <v>25.184838270459181</v>
      </c>
      <c r="H46" s="145">
        <f>M6</f>
        <v>46.231304313372007</v>
      </c>
      <c r="I46" s="145">
        <f>N6</f>
        <v>165.91192863300225</v>
      </c>
      <c r="J46" s="145">
        <f>O6</f>
        <v>251.17957924853658</v>
      </c>
      <c r="K46" s="134">
        <f t="shared" si="24"/>
        <v>-0.60318220748995133</v>
      </c>
      <c r="L46" s="134">
        <f t="shared" si="24"/>
        <v>-0.33938522751935185</v>
      </c>
      <c r="M46" s="134">
        <f t="shared" si="24"/>
        <v>0.21555623799971363</v>
      </c>
      <c r="N46" s="134">
        <f t="shared" si="24"/>
        <v>0.39566295483277913</v>
      </c>
      <c r="O46" s="146">
        <f t="shared" si="25"/>
        <v>-0.30535136944662378</v>
      </c>
      <c r="P46" s="146">
        <f t="shared" si="25"/>
        <v>-4.3213737826425782E-3</v>
      </c>
      <c r="Q46" s="146">
        <f t="shared" si="25"/>
        <v>0.59773861754531976</v>
      </c>
      <c r="R46" s="146">
        <f t="shared" si="25"/>
        <v>0.84077666623161429</v>
      </c>
      <c r="S46" s="135">
        <f>AVERAGE(O46:R46)</f>
        <v>0.28221063513691691</v>
      </c>
      <c r="T46" s="135">
        <f>AVERAGE(K46:N46)</f>
        <v>-8.2837060544202618E-2</v>
      </c>
      <c r="U46" s="135">
        <f>((O46-S46)*(K46-T46)+(P46-S46)*(L46-T46)+(Q46-S46)*(M46-T46)+(R46-S46)*(N46-T46))/((O46-S46)^2+(P46-S46)^2+(Q46-S46)^2+(R46-S46)^2)</f>
        <v>0.88292293641356401</v>
      </c>
      <c r="V46" s="135">
        <f>10^(T46-(U46*S46))</f>
        <v>0.46557826417466619</v>
      </c>
    </row>
    <row r="47" spans="1:23" ht="18" hidden="1" x14ac:dyDescent="0.3">
      <c r="A47" s="2"/>
      <c r="B47" s="173"/>
      <c r="C47" s="136">
        <v>50</v>
      </c>
      <c r="D47" s="136">
        <v>100</v>
      </c>
      <c r="E47" s="136">
        <v>400</v>
      </c>
      <c r="F47" s="137">
        <v>700</v>
      </c>
      <c r="G47" s="145">
        <f>L7</f>
        <v>24.100194672636004</v>
      </c>
      <c r="H47" s="145">
        <f>M7</f>
        <v>44.129684322289258</v>
      </c>
      <c r="I47" s="145">
        <f>N7</f>
        <v>153.76743167210293</v>
      </c>
      <c r="J47" s="145">
        <f>O7</f>
        <v>236.11211578641539</v>
      </c>
      <c r="K47" s="134">
        <f t="shared" ref="K47" si="26">LOG(G47/101)</f>
        <v>-0.62230082312021695</v>
      </c>
      <c r="L47" s="134">
        <f t="shared" ref="L47" si="27">LOG(H47/101)</f>
        <v>-0.3595905530106866</v>
      </c>
      <c r="M47" s="134">
        <f t="shared" ref="M47" si="28">LOG(I47/101)</f>
        <v>0.18254298676158581</v>
      </c>
      <c r="N47" s="134">
        <f t="shared" ref="N47" si="29">LOG(J47/101)</f>
        <v>0.36879689912488622</v>
      </c>
      <c r="O47" s="146">
        <f t="shared" ref="O47" si="30">LOG(C47/101)</f>
        <v>-0.30535136944662378</v>
      </c>
      <c r="P47" s="146">
        <f t="shared" ref="P47" si="31">LOG(D47/101)</f>
        <v>-4.3213737826425782E-3</v>
      </c>
      <c r="Q47" s="146">
        <f t="shared" ref="Q47" si="32">LOG(E47/101)</f>
        <v>0.59773861754531976</v>
      </c>
      <c r="R47" s="146">
        <f t="shared" ref="R47" si="33">LOG(F47/101)</f>
        <v>0.84077666623161429</v>
      </c>
      <c r="S47" s="135">
        <f t="shared" ref="S47" si="34">AVERAGE(O47:R47)</f>
        <v>0.28221063513691691</v>
      </c>
      <c r="T47" s="135">
        <f t="shared" ref="T47" si="35">AVERAGE(K47:N47)</f>
        <v>-0.10763787256110791</v>
      </c>
      <c r="U47" s="135">
        <f t="shared" ref="U47" si="36">((O47-S47)*(K47-T47)+(P47-S47)*(L47-T47)+(Q47-S47)*(M47-T47)+(R47-S47)*(N47-T47))/((O47-S47)^2+(P47-S47)^2+(Q47-S47)^2+(R47-S47)^2)</f>
        <v>0.87290935904280409</v>
      </c>
      <c r="V47" s="135">
        <f t="shared" ref="V47" si="37">10^(T47-(U47*S47))</f>
        <v>0.44260653591084975</v>
      </c>
    </row>
    <row r="48" spans="1:23" s="139" customFormat="1" ht="18" hidden="1" x14ac:dyDescent="0.35">
      <c r="B48" s="140"/>
      <c r="C48" s="140"/>
      <c r="D48" s="140"/>
      <c r="E48" s="140"/>
      <c r="F48" s="140"/>
      <c r="J48" s="141"/>
      <c r="K48" s="142"/>
      <c r="O48" s="143"/>
      <c r="P48" s="144"/>
    </row>
    <row r="49" spans="1:25" ht="18" hidden="1" x14ac:dyDescent="0.35">
      <c r="A49" s="2"/>
      <c r="B49" s="318" t="s">
        <v>17</v>
      </c>
      <c r="C49" s="319"/>
      <c r="D49" s="319"/>
      <c r="E49" s="319"/>
      <c r="F49" s="320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</row>
    <row r="50" spans="1:25" hidden="1" x14ac:dyDescent="0.3">
      <c r="A50" s="2"/>
      <c r="B50" s="314"/>
      <c r="C50" s="321" t="s">
        <v>71</v>
      </c>
      <c r="D50" s="322"/>
      <c r="E50" s="322"/>
      <c r="F50" s="323"/>
      <c r="G50" s="324" t="s">
        <v>73</v>
      </c>
      <c r="H50" s="325"/>
      <c r="I50" s="325"/>
      <c r="J50" s="326"/>
      <c r="K50" s="327"/>
      <c r="L50" s="328"/>
      <c r="M50" s="328"/>
      <c r="N50" s="329"/>
      <c r="O50" s="330"/>
      <c r="P50" s="331"/>
      <c r="Q50" s="331"/>
      <c r="R50" s="332"/>
      <c r="S50" s="138" t="s">
        <v>69</v>
      </c>
      <c r="T50" s="138" t="s">
        <v>70</v>
      </c>
      <c r="U50" s="138" t="s">
        <v>33</v>
      </c>
      <c r="V50" s="138" t="s">
        <v>32</v>
      </c>
    </row>
    <row r="51" spans="1:25" hidden="1" x14ac:dyDescent="0.3">
      <c r="A51" s="2"/>
      <c r="B51" s="314"/>
      <c r="C51" s="136">
        <v>12</v>
      </c>
      <c r="D51" s="136">
        <v>50</v>
      </c>
      <c r="E51" s="136">
        <v>100</v>
      </c>
      <c r="F51" s="137">
        <v>400</v>
      </c>
      <c r="G51" s="145">
        <f>K8</f>
        <v>8.0180370856793459</v>
      </c>
      <c r="H51" s="145">
        <f>L8</f>
        <v>31.090671024471366</v>
      </c>
      <c r="I51" s="145">
        <f>M8</f>
        <v>57.656345503694737</v>
      </c>
      <c r="J51" s="145">
        <f>N8</f>
        <v>212.35838952087519</v>
      </c>
      <c r="K51" s="134">
        <f t="shared" ref="K51:N52" si="38">LOG(G51/101)</f>
        <v>-1.1002533131292211</v>
      </c>
      <c r="L51" s="134">
        <f t="shared" si="38"/>
        <v>-0.51169127833706241</v>
      </c>
      <c r="M51" s="134">
        <f t="shared" si="38"/>
        <v>-0.24347426222850746</v>
      </c>
      <c r="N51" s="134">
        <f t="shared" si="38"/>
        <v>0.32274804930553286</v>
      </c>
      <c r="O51" s="146">
        <f t="shared" ref="O51:R52" si="39">LOG(C51/101)</f>
        <v>-0.92514012773501775</v>
      </c>
      <c r="P51" s="146">
        <f t="shared" si="39"/>
        <v>-0.30535136944662378</v>
      </c>
      <c r="Q51" s="146">
        <f t="shared" si="39"/>
        <v>-4.3213737826425782E-3</v>
      </c>
      <c r="R51" s="146">
        <f t="shared" si="39"/>
        <v>0.59773861754531976</v>
      </c>
      <c r="S51" s="135">
        <f>AVERAGE(O51:R51)</f>
        <v>-0.15926856335474107</v>
      </c>
      <c r="T51" s="135">
        <f>AVERAGE(K51:N51)</f>
        <v>-0.38316770109731457</v>
      </c>
      <c r="U51" s="135">
        <f>((O51-S51)*(K51-T51)+(P51-S51)*(L51-T51)+(Q51-S51)*(M51-T51)+(R51-S51)*(N51-T51))/((O51-S51)^2+(P51-S51)^2+(Q51-S51)^2+(R51-S51)^2)</f>
        <v>0.93280403755187491</v>
      </c>
      <c r="V51" s="135">
        <f>10^(T51-(U51*S51))</f>
        <v>0.5826378010352441</v>
      </c>
    </row>
    <row r="52" spans="1:25" hidden="1" x14ac:dyDescent="0.3">
      <c r="A52" s="2"/>
      <c r="B52" s="314"/>
      <c r="C52" s="136">
        <v>12</v>
      </c>
      <c r="D52" s="136">
        <v>50</v>
      </c>
      <c r="E52" s="136">
        <v>100</v>
      </c>
      <c r="F52" s="137">
        <v>400</v>
      </c>
      <c r="G52" s="145">
        <f>K9</f>
        <v>7.7185552101145785</v>
      </c>
      <c r="H52" s="145">
        <f>L9</f>
        <v>29.539187173121679</v>
      </c>
      <c r="I52" s="145">
        <f>M9</f>
        <v>55.353761383240617</v>
      </c>
      <c r="J52" s="145">
        <f>N9</f>
        <v>203.49065155845355</v>
      </c>
      <c r="K52" s="134">
        <f t="shared" si="38"/>
        <v>-1.1167853588091752</v>
      </c>
      <c r="L52" s="134">
        <f t="shared" si="38"/>
        <v>-0.53392283308040078</v>
      </c>
      <c r="M52" s="134">
        <f t="shared" si="38"/>
        <v>-0.26117423650858262</v>
      </c>
      <c r="N52" s="134">
        <f t="shared" si="38"/>
        <v>0.30422308857547559</v>
      </c>
      <c r="O52" s="146">
        <f t="shared" si="39"/>
        <v>-0.92514012773501775</v>
      </c>
      <c r="P52" s="146">
        <f t="shared" si="39"/>
        <v>-0.30535136944662378</v>
      </c>
      <c r="Q52" s="146">
        <f t="shared" si="39"/>
        <v>-4.3213737826425782E-3</v>
      </c>
      <c r="R52" s="146">
        <f t="shared" si="39"/>
        <v>0.59773861754531976</v>
      </c>
      <c r="S52" s="135">
        <f>AVERAGE(O52:R52)</f>
        <v>-0.15926856335474107</v>
      </c>
      <c r="T52" s="135">
        <f>AVERAGE(K52:N52)</f>
        <v>-0.40191483495567076</v>
      </c>
      <c r="U52" s="135">
        <f>((O52-S52)*(K52-T52)+(P52-S52)*(L52-T52)+(Q52-S52)*(M52-T52)+(R52-S52)*(N52-T52))/((O52-S52)^2+(P52-S52)^2+(Q52-S52)^2+(R52-S52)^2)</f>
        <v>0.93209280038924358</v>
      </c>
      <c r="V52" s="135">
        <f>10^(T52-(U52*S52))</f>
        <v>0.55787672956180234</v>
      </c>
    </row>
    <row r="53" spans="1:25" ht="18" hidden="1" x14ac:dyDescent="0.3">
      <c r="A53" s="2"/>
      <c r="B53" s="173"/>
      <c r="C53" s="136">
        <v>12</v>
      </c>
      <c r="D53" s="136">
        <v>50</v>
      </c>
      <c r="E53" s="136">
        <v>100</v>
      </c>
      <c r="F53" s="137">
        <v>400</v>
      </c>
      <c r="G53" s="145">
        <f>K10</f>
        <v>7.4257234315749141</v>
      </c>
      <c r="H53" s="145">
        <f>L10</f>
        <v>28.028753708182595</v>
      </c>
      <c r="I53" s="145">
        <f>M10</f>
        <v>53.095246758454294</v>
      </c>
      <c r="J53" s="145">
        <f>N10</f>
        <v>194.77901590822589</v>
      </c>
      <c r="K53" s="134">
        <f t="shared" ref="K53" si="40">LOG(G53/101)</f>
        <v>-1.1335826037346277</v>
      </c>
      <c r="L53" s="134">
        <f t="shared" ref="L53" si="41">LOG(H53/101)</f>
        <v>-0.55671758639311664</v>
      </c>
      <c r="M53" s="134">
        <f t="shared" ref="M53" si="42">LOG(I53/101)</f>
        <v>-0.27926573027128787</v>
      </c>
      <c r="N53" s="134">
        <f t="shared" ref="N53" si="43">LOG(J53/101)</f>
        <v>0.28522079351279284</v>
      </c>
      <c r="O53" s="146">
        <f t="shared" ref="O53" si="44">LOG(C53/101)</f>
        <v>-0.92514012773501775</v>
      </c>
      <c r="P53" s="146">
        <f t="shared" ref="P53" si="45">LOG(D53/101)</f>
        <v>-0.30535136944662378</v>
      </c>
      <c r="Q53" s="146">
        <f t="shared" ref="Q53" si="46">LOG(E53/101)</f>
        <v>-4.3213737826425782E-3</v>
      </c>
      <c r="R53" s="146">
        <f t="shared" ref="R53" si="47">LOG(F53/101)</f>
        <v>0.59773861754531976</v>
      </c>
      <c r="S53" s="135">
        <f t="shared" ref="S53" si="48">AVERAGE(O53:R53)</f>
        <v>-0.15926856335474107</v>
      </c>
      <c r="T53" s="135">
        <f t="shared" ref="T53" si="49">AVERAGE(K53:N53)</f>
        <v>-0.42108628172155987</v>
      </c>
      <c r="U53" s="135">
        <f t="shared" ref="U53" si="50">((O53-S53)*(K53-T53)+(P53-S53)*(L53-T53)+(Q53-S53)*(M53-T53)+(R53-S53)*(N53-T53))/((O53-S53)^2+(P53-S53)^2+(Q53-S53)^2+(R53-S53)^2)</f>
        <v>0.93126817583454879</v>
      </c>
      <c r="V53" s="135">
        <f t="shared" ref="V53" si="51">10^(T53-(U53*S53))</f>
        <v>0.53362413366873251</v>
      </c>
    </row>
    <row r="54" spans="1:25" hidden="1" x14ac:dyDescent="0.3">
      <c r="A54" s="2"/>
      <c r="P54" s="2"/>
    </row>
    <row r="55" spans="1:25" ht="18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308"/>
      <c r="L55" s="309"/>
      <c r="M55" s="309"/>
      <c r="N55" s="309"/>
      <c r="O55" s="309"/>
      <c r="P55" s="2"/>
      <c r="Q55" s="2"/>
      <c r="R55" s="2"/>
      <c r="S55" s="2"/>
      <c r="T55" s="2"/>
      <c r="U55" s="131"/>
      <c r="V55" s="131"/>
      <c r="W55" s="131"/>
      <c r="X55" s="131"/>
      <c r="Y55" s="131"/>
    </row>
    <row r="56" spans="1:25" ht="18.899999999999999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396" t="s">
        <v>102</v>
      </c>
      <c r="L56" s="397"/>
      <c r="M56" s="397"/>
      <c r="N56" s="398"/>
      <c r="O56" s="131"/>
      <c r="P56" s="363" t="s">
        <v>89</v>
      </c>
      <c r="Q56" s="364"/>
      <c r="R56" s="364"/>
      <c r="S56" s="365"/>
      <c r="T56" s="205"/>
      <c r="U56" s="378" t="s">
        <v>97</v>
      </c>
      <c r="V56" s="379"/>
      <c r="W56" s="379"/>
      <c r="X56" s="380"/>
      <c r="Y56" s="205"/>
    </row>
    <row r="57" spans="1:25" ht="18.899999999999999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397"/>
      <c r="L57" s="397"/>
      <c r="M57" s="397"/>
      <c r="N57" s="398"/>
      <c r="O57" s="131"/>
      <c r="P57" s="364"/>
      <c r="Q57" s="364"/>
      <c r="R57" s="364"/>
      <c r="S57" s="365"/>
      <c r="T57" s="205"/>
      <c r="U57" s="379"/>
      <c r="V57" s="379"/>
      <c r="W57" s="379"/>
      <c r="X57" s="380"/>
      <c r="Y57" s="205"/>
    </row>
    <row r="58" spans="1:25" ht="18.899999999999999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341" t="s">
        <v>31</v>
      </c>
      <c r="L58" s="342"/>
      <c r="M58" s="174"/>
      <c r="N58" s="164"/>
      <c r="O58" s="131"/>
      <c r="P58" s="341" t="s">
        <v>31</v>
      </c>
      <c r="Q58" s="342"/>
      <c r="R58" s="174"/>
      <c r="S58" s="164"/>
      <c r="T58" s="2"/>
      <c r="U58" s="341" t="s">
        <v>31</v>
      </c>
      <c r="V58" s="342"/>
      <c r="W58" s="174"/>
      <c r="X58" s="164"/>
      <c r="Y58" s="2"/>
    </row>
    <row r="59" spans="1:25" ht="18.7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94" t="s">
        <v>32</v>
      </c>
      <c r="L59" s="94" t="s">
        <v>33</v>
      </c>
      <c r="M59" s="163"/>
      <c r="N59" s="164"/>
      <c r="O59" s="131"/>
      <c r="P59" s="94" t="s">
        <v>32</v>
      </c>
      <c r="Q59" s="94" t="s">
        <v>33</v>
      </c>
      <c r="R59" s="163"/>
      <c r="S59" s="164"/>
      <c r="T59" s="178"/>
      <c r="U59" s="94" t="s">
        <v>32</v>
      </c>
      <c r="V59" s="94" t="s">
        <v>33</v>
      </c>
      <c r="W59" s="163"/>
      <c r="X59" s="164"/>
      <c r="Y59" s="178"/>
    </row>
    <row r="60" spans="1:25" ht="20.100000000000001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82">
        <f>V51</f>
        <v>0.5826378010352441</v>
      </c>
      <c r="L60" s="282">
        <f>U51</f>
        <v>0.93280403755187491</v>
      </c>
      <c r="M60" s="163"/>
      <c r="N60" s="175"/>
      <c r="O60" s="131"/>
      <c r="P60" s="282">
        <f>V52</f>
        <v>0.55787672956180234</v>
      </c>
      <c r="Q60" s="282">
        <f>U52</f>
        <v>0.93209280038924358</v>
      </c>
      <c r="R60" s="163"/>
      <c r="S60" s="175"/>
      <c r="T60" s="2"/>
      <c r="U60" s="282">
        <f>V53</f>
        <v>0.53362413366873251</v>
      </c>
      <c r="V60" s="282">
        <f>U53</f>
        <v>0.93126817583454879</v>
      </c>
      <c r="W60" s="163"/>
      <c r="X60" s="175"/>
      <c r="Y60" s="2"/>
    </row>
    <row r="61" spans="1:25" ht="18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176" t="s">
        <v>34</v>
      </c>
      <c r="L61" s="96" t="s">
        <v>35</v>
      </c>
      <c r="M61" s="177" t="s">
        <v>36</v>
      </c>
      <c r="N61" s="96" t="s">
        <v>79</v>
      </c>
      <c r="O61" s="131"/>
      <c r="P61" s="176" t="s">
        <v>34</v>
      </c>
      <c r="Q61" s="96" t="s">
        <v>35</v>
      </c>
      <c r="R61" s="177" t="s">
        <v>36</v>
      </c>
      <c r="S61" s="96" t="s">
        <v>79</v>
      </c>
      <c r="T61" s="2"/>
      <c r="U61" s="176" t="s">
        <v>34</v>
      </c>
      <c r="V61" s="96" t="s">
        <v>35</v>
      </c>
      <c r="W61" s="177" t="s">
        <v>36</v>
      </c>
      <c r="X61" s="96" t="s">
        <v>79</v>
      </c>
      <c r="Y61" s="2"/>
    </row>
    <row r="62" spans="1:25" ht="22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67">
        <v>0</v>
      </c>
      <c r="L62" s="268">
        <v>0</v>
      </c>
      <c r="M62" s="268">
        <v>0</v>
      </c>
      <c r="N62" s="268">
        <f>L62*20.89</f>
        <v>0</v>
      </c>
      <c r="O62" s="131"/>
      <c r="P62" s="203">
        <v>0</v>
      </c>
      <c r="Q62" s="204">
        <v>0</v>
      </c>
      <c r="R62" s="204">
        <v>0</v>
      </c>
      <c r="S62" s="204">
        <f>Q62*20.89</f>
        <v>0</v>
      </c>
      <c r="T62" s="236"/>
      <c r="U62" s="206">
        <v>0</v>
      </c>
      <c r="V62" s="207">
        <v>0</v>
      </c>
      <c r="W62" s="207">
        <v>0</v>
      </c>
      <c r="X62" s="207">
        <f>V62*20.89</f>
        <v>0</v>
      </c>
      <c r="Y62" s="236"/>
    </row>
    <row r="63" spans="1:25" ht="20.100000000000001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67">
        <v>5</v>
      </c>
      <c r="L63" s="268">
        <f>$K$60*101*(K63/101)^$L$60</f>
        <v>3.5651926605338873</v>
      </c>
      <c r="M63" s="268">
        <f>DEGREES(ATAN(L63/K63))</f>
        <v>35.490332908811169</v>
      </c>
      <c r="N63" s="268">
        <f>L63*20.89</f>
        <v>74.476874678552903</v>
      </c>
      <c r="O63" s="131"/>
      <c r="P63" s="203">
        <v>5</v>
      </c>
      <c r="Q63" s="204">
        <f t="shared" ref="Q63:Q70" si="52">$P$60*101*(P63/101)^$Q$60</f>
        <v>3.4209837135226162</v>
      </c>
      <c r="R63" s="204">
        <f t="shared" ref="R63:R70" si="53">DEGREES(ATAN(Q63/P63))</f>
        <v>34.379806801269673</v>
      </c>
      <c r="S63" s="204">
        <f t="shared" ref="S63:S70" si="54">Q63*20.89</f>
        <v>71.464349775487449</v>
      </c>
      <c r="T63" s="205"/>
      <c r="U63" s="206">
        <v>5</v>
      </c>
      <c r="V63" s="207">
        <f t="shared" ref="V63:V70" si="55">$P$60*101*(U63/101)^$Q$60</f>
        <v>3.4209837135226162</v>
      </c>
      <c r="W63" s="207">
        <f t="shared" ref="W63:W70" si="56">DEGREES(ATAN(V63/U63))</f>
        <v>34.379806801269673</v>
      </c>
      <c r="X63" s="207">
        <f t="shared" ref="X63:X70" si="57">V63*20.89</f>
        <v>71.464349775487449</v>
      </c>
      <c r="Y63" s="205"/>
    </row>
    <row r="64" spans="1:25" ht="20.100000000000001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67">
        <v>10</v>
      </c>
      <c r="L64" s="268">
        <f t="shared" ref="L64:L70" si="58">$K$60*101*(K64/101)^$L$60</f>
        <v>6.8058911538519826</v>
      </c>
      <c r="M64" s="268">
        <f>DEGREES(ATAN(L64/K64))</f>
        <v>34.238776927066766</v>
      </c>
      <c r="N64" s="268">
        <f>L64*20.89</f>
        <v>142.17506620396793</v>
      </c>
      <c r="O64" s="131"/>
      <c r="P64" s="203">
        <v>10</v>
      </c>
      <c r="Q64" s="204">
        <f t="shared" si="52"/>
        <v>6.5273800273963873</v>
      </c>
      <c r="R64" s="204">
        <f t="shared" si="53"/>
        <v>33.134011516869734</v>
      </c>
      <c r="S64" s="204">
        <f t="shared" si="54"/>
        <v>136.35696877231052</v>
      </c>
      <c r="T64" s="205"/>
      <c r="U64" s="206">
        <v>10</v>
      </c>
      <c r="V64" s="207">
        <f t="shared" si="55"/>
        <v>6.5273800273963873</v>
      </c>
      <c r="W64" s="207">
        <f t="shared" si="56"/>
        <v>33.134011516869734</v>
      </c>
      <c r="X64" s="207">
        <f t="shared" si="57"/>
        <v>136.35696877231052</v>
      </c>
      <c r="Y64" s="205"/>
    </row>
    <row r="65" spans="1:25" ht="20.100000000000001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67">
        <v>25</v>
      </c>
      <c r="L65" s="268">
        <f t="shared" si="58"/>
        <v>15.998712936558755</v>
      </c>
      <c r="M65" s="268">
        <f t="shared" ref="M65:M70" si="59">DEGREES(ATAN(L65/K65))</f>
        <v>32.6171504200329</v>
      </c>
      <c r="N65" s="268">
        <f t="shared" ref="N65:N70" si="60">L65*20.89</f>
        <v>334.21311324471242</v>
      </c>
      <c r="O65" s="131"/>
      <c r="P65" s="203">
        <v>25</v>
      </c>
      <c r="Q65" s="204">
        <f t="shared" si="52"/>
        <v>15.334016115504088</v>
      </c>
      <c r="R65" s="204">
        <f t="shared" si="53"/>
        <v>31.5233143109132</v>
      </c>
      <c r="S65" s="204">
        <f t="shared" si="54"/>
        <v>320.3275966528804</v>
      </c>
      <c r="T65" s="236"/>
      <c r="U65" s="206">
        <v>25</v>
      </c>
      <c r="V65" s="207">
        <f t="shared" si="55"/>
        <v>15.334016115504088</v>
      </c>
      <c r="W65" s="207">
        <f t="shared" si="56"/>
        <v>31.5233143109132</v>
      </c>
      <c r="X65" s="207">
        <f t="shared" si="57"/>
        <v>320.3275966528804</v>
      </c>
      <c r="Y65" s="236"/>
    </row>
    <row r="66" spans="1:25" ht="20.10000000000000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67">
        <v>50</v>
      </c>
      <c r="L66" s="268">
        <f t="shared" si="58"/>
        <v>30.541266409887893</v>
      </c>
      <c r="M66" s="268">
        <f t="shared" si="59"/>
        <v>31.417642242343483</v>
      </c>
      <c r="N66" s="268">
        <f t="shared" si="60"/>
        <v>638.00705530255811</v>
      </c>
      <c r="O66" s="131"/>
      <c r="P66" s="203">
        <v>50</v>
      </c>
      <c r="Q66" s="204">
        <f t="shared" si="52"/>
        <v>29.257944180345479</v>
      </c>
      <c r="R66" s="204">
        <f t="shared" si="53"/>
        <v>30.33441594015337</v>
      </c>
      <c r="S66" s="204">
        <f t="shared" si="54"/>
        <v>611.19845392741706</v>
      </c>
      <c r="T66" s="205"/>
      <c r="U66" s="206">
        <v>50</v>
      </c>
      <c r="V66" s="207">
        <f t="shared" si="55"/>
        <v>29.257944180345479</v>
      </c>
      <c r="W66" s="207">
        <f t="shared" si="56"/>
        <v>30.33441594015337</v>
      </c>
      <c r="X66" s="207">
        <f t="shared" si="57"/>
        <v>611.19845392741706</v>
      </c>
      <c r="Y66" s="205"/>
    </row>
    <row r="67" spans="1:25" ht="20.10000000000000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67">
        <v>100</v>
      </c>
      <c r="L67" s="268">
        <f t="shared" si="58"/>
        <v>58.302749578578336</v>
      </c>
      <c r="M67" s="268">
        <f t="shared" si="59"/>
        <v>30.243361118016477</v>
      </c>
      <c r="N67" s="268">
        <f t="shared" si="60"/>
        <v>1217.9444386965015</v>
      </c>
      <c r="O67" s="131"/>
      <c r="P67" s="203">
        <v>100</v>
      </c>
      <c r="Q67" s="204">
        <f t="shared" si="52"/>
        <v>55.825381375117402</v>
      </c>
      <c r="R67" s="204">
        <f t="shared" si="53"/>
        <v>29.172605586826855</v>
      </c>
      <c r="S67" s="204">
        <f t="shared" si="54"/>
        <v>1166.1922169262025</v>
      </c>
      <c r="T67" s="205"/>
      <c r="U67" s="206">
        <v>100</v>
      </c>
      <c r="V67" s="207">
        <f t="shared" si="55"/>
        <v>55.825381375117402</v>
      </c>
      <c r="W67" s="207">
        <f t="shared" si="56"/>
        <v>29.172605586826855</v>
      </c>
      <c r="X67" s="207">
        <f t="shared" si="57"/>
        <v>1166.1922169262025</v>
      </c>
      <c r="Y67" s="205"/>
    </row>
    <row r="68" spans="1:25" ht="20.10000000000000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67">
        <v>200</v>
      </c>
      <c r="L68" s="268">
        <f t="shared" si="58"/>
        <v>111.29894100664745</v>
      </c>
      <c r="M68" s="268">
        <f t="shared" si="59"/>
        <v>29.095706133257007</v>
      </c>
      <c r="N68" s="268">
        <f t="shared" si="60"/>
        <v>2325.0348776288652</v>
      </c>
      <c r="O68" s="131"/>
      <c r="P68" s="203">
        <v>200</v>
      </c>
      <c r="Q68" s="204">
        <f t="shared" si="52"/>
        <v>106.51716287608646</v>
      </c>
      <c r="R68" s="204">
        <f t="shared" si="53"/>
        <v>28.039131679095608</v>
      </c>
      <c r="S68" s="204">
        <f t="shared" si="54"/>
        <v>2225.1435324814461</v>
      </c>
      <c r="T68" s="236"/>
      <c r="U68" s="206">
        <v>200</v>
      </c>
      <c r="V68" s="207">
        <f t="shared" si="55"/>
        <v>106.51716287608646</v>
      </c>
      <c r="W68" s="207">
        <f t="shared" si="56"/>
        <v>28.039131679095608</v>
      </c>
      <c r="X68" s="207">
        <f t="shared" si="57"/>
        <v>2225.1435324814461</v>
      </c>
      <c r="Y68" s="236"/>
    </row>
    <row r="69" spans="1:25" ht="20.10000000000000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67">
        <v>300</v>
      </c>
      <c r="L69" s="268">
        <f t="shared" si="58"/>
        <v>162.46120477177027</v>
      </c>
      <c r="M69" s="268">
        <f t="shared" si="59"/>
        <v>28.437199748407451</v>
      </c>
      <c r="N69" s="268">
        <f t="shared" si="60"/>
        <v>3393.814567682281</v>
      </c>
      <c r="O69" s="131"/>
      <c r="P69" s="203">
        <v>300</v>
      </c>
      <c r="Q69" s="204">
        <f t="shared" si="52"/>
        <v>155.43649159389713</v>
      </c>
      <c r="R69" s="204">
        <f t="shared" si="53"/>
        <v>27.389651314239998</v>
      </c>
      <c r="S69" s="204">
        <f t="shared" si="54"/>
        <v>3247.0683093965113</v>
      </c>
      <c r="T69" s="205"/>
      <c r="U69" s="206">
        <v>300</v>
      </c>
      <c r="V69" s="207">
        <f t="shared" si="55"/>
        <v>155.43649159389713</v>
      </c>
      <c r="W69" s="207">
        <f t="shared" si="56"/>
        <v>27.389651314239998</v>
      </c>
      <c r="X69" s="207">
        <f t="shared" si="57"/>
        <v>3247.0683093965113</v>
      </c>
      <c r="Y69" s="205"/>
    </row>
    <row r="70" spans="1:25" ht="20.10000000000000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67">
        <v>400</v>
      </c>
      <c r="L70" s="268">
        <f t="shared" si="58"/>
        <v>212.46775424383424</v>
      </c>
      <c r="M70" s="268">
        <f t="shared" si="59"/>
        <v>27.975872046473601</v>
      </c>
      <c r="N70" s="268">
        <f t="shared" si="60"/>
        <v>4438.4513861536971</v>
      </c>
      <c r="O70" s="131"/>
      <c r="P70" s="203">
        <v>400</v>
      </c>
      <c r="Q70" s="204">
        <f t="shared" si="52"/>
        <v>203.23920245044397</v>
      </c>
      <c r="R70" s="204">
        <f t="shared" si="53"/>
        <v>26.935032831154562</v>
      </c>
      <c r="S70" s="204">
        <f t="shared" si="54"/>
        <v>4245.6669391897749</v>
      </c>
      <c r="T70" s="205"/>
      <c r="U70" s="206">
        <v>400</v>
      </c>
      <c r="V70" s="207">
        <f t="shared" si="55"/>
        <v>203.23920245044397</v>
      </c>
      <c r="W70" s="207">
        <f t="shared" si="56"/>
        <v>26.935032831154562</v>
      </c>
      <c r="X70" s="207">
        <f t="shared" si="57"/>
        <v>4245.6669391897749</v>
      </c>
      <c r="Y70" s="205"/>
    </row>
    <row r="71" spans="1:25" ht="21" customHeight="1" thickBo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31"/>
      <c r="P71" s="2"/>
      <c r="Q71" s="2"/>
      <c r="R71" s="2"/>
      <c r="S71" s="2"/>
      <c r="T71" s="178"/>
      <c r="U71" s="2"/>
      <c r="V71" s="2"/>
      <c r="W71" s="2"/>
      <c r="X71" s="2"/>
      <c r="Y71" s="178"/>
    </row>
    <row r="72" spans="1:25" ht="20.10000000000000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399" t="s">
        <v>103</v>
      </c>
      <c r="L72" s="400"/>
      <c r="M72" s="400"/>
      <c r="N72" s="401"/>
      <c r="O72" s="131"/>
      <c r="P72" s="388" t="s">
        <v>90</v>
      </c>
      <c r="Q72" s="389"/>
      <c r="R72" s="389"/>
      <c r="S72" s="390"/>
      <c r="T72" s="221"/>
      <c r="U72" s="405" t="s">
        <v>98</v>
      </c>
      <c r="V72" s="406"/>
      <c r="W72" s="406"/>
      <c r="X72" s="407"/>
      <c r="Y72" s="221"/>
    </row>
    <row r="73" spans="1:25" ht="22.5" customHeight="1" thickBot="1" x14ac:dyDescent="0.35">
      <c r="A73" s="2"/>
      <c r="B73" s="2"/>
      <c r="C73" s="2"/>
      <c r="D73" s="2"/>
      <c r="E73" s="2"/>
      <c r="F73" s="2"/>
      <c r="G73" s="2"/>
      <c r="H73" s="2"/>
      <c r="I73" s="100"/>
      <c r="J73" s="2"/>
      <c r="K73" s="402"/>
      <c r="L73" s="403"/>
      <c r="M73" s="403"/>
      <c r="N73" s="404"/>
      <c r="O73" s="131"/>
      <c r="P73" s="391"/>
      <c r="Q73" s="392"/>
      <c r="R73" s="392"/>
      <c r="S73" s="393"/>
      <c r="T73" s="221"/>
      <c r="U73" s="408"/>
      <c r="V73" s="409"/>
      <c r="W73" s="409"/>
      <c r="X73" s="410"/>
      <c r="Y73" s="221"/>
    </row>
    <row r="74" spans="1:25" ht="19.350000000000001" customHeight="1" x14ac:dyDescent="0.3">
      <c r="A74" s="2"/>
      <c r="B74" s="2"/>
      <c r="C74" s="422" t="s">
        <v>81</v>
      </c>
      <c r="D74" s="423"/>
      <c r="E74" s="423"/>
      <c r="F74" s="423"/>
      <c r="G74" s="423"/>
      <c r="H74" s="423"/>
      <c r="I74" s="423"/>
      <c r="J74" s="2"/>
      <c r="K74" s="355" t="s">
        <v>31</v>
      </c>
      <c r="L74" s="356"/>
      <c r="M74" s="147"/>
      <c r="N74" s="148"/>
      <c r="O74" s="131"/>
      <c r="P74" s="355" t="s">
        <v>31</v>
      </c>
      <c r="Q74" s="356"/>
      <c r="R74" s="147"/>
      <c r="S74" s="148"/>
      <c r="T74" s="131"/>
      <c r="U74" s="355" t="s">
        <v>31</v>
      </c>
      <c r="V74" s="356"/>
      <c r="W74" s="147"/>
      <c r="X74" s="148"/>
      <c r="Y74" s="2"/>
    </row>
    <row r="75" spans="1:25" ht="19.350000000000001" customHeight="1" x14ac:dyDescent="0.3">
      <c r="A75" s="2"/>
      <c r="B75" s="2"/>
      <c r="C75" s="423"/>
      <c r="D75" s="423"/>
      <c r="E75" s="423"/>
      <c r="F75" s="423"/>
      <c r="G75" s="423"/>
      <c r="H75" s="423"/>
      <c r="I75" s="423"/>
      <c r="J75" s="2"/>
      <c r="K75" s="149" t="s">
        <v>32</v>
      </c>
      <c r="L75" s="94" t="s">
        <v>33</v>
      </c>
      <c r="M75" s="131"/>
      <c r="N75" s="148"/>
      <c r="O75" s="131"/>
      <c r="P75" s="149" t="s">
        <v>32</v>
      </c>
      <c r="Q75" s="94" t="s">
        <v>33</v>
      </c>
      <c r="R75" s="131"/>
      <c r="S75" s="148"/>
      <c r="T75" s="131"/>
      <c r="U75" s="149" t="s">
        <v>32</v>
      </c>
      <c r="V75" s="94" t="s">
        <v>33</v>
      </c>
      <c r="W75" s="131"/>
      <c r="X75" s="148"/>
      <c r="Y75" s="2"/>
    </row>
    <row r="76" spans="1:25" ht="19.350000000000001" customHeight="1" x14ac:dyDescent="0.3">
      <c r="A76" s="2"/>
      <c r="B76" s="2"/>
      <c r="C76" s="423"/>
      <c r="D76" s="423"/>
      <c r="E76" s="423"/>
      <c r="F76" s="423"/>
      <c r="G76" s="423"/>
      <c r="H76" s="423"/>
      <c r="I76" s="423"/>
      <c r="J76" s="2"/>
      <c r="K76" s="283">
        <f>V45</f>
        <v>0.48890672038503852</v>
      </c>
      <c r="L76" s="282">
        <f>U45</f>
        <v>0.89203190971541346</v>
      </c>
      <c r="M76" s="131"/>
      <c r="N76" s="152"/>
      <c r="O76" s="131"/>
      <c r="P76" s="283">
        <f>V46</f>
        <v>0.46557826417466619</v>
      </c>
      <c r="Q76" s="282">
        <f>U46</f>
        <v>0.88292293641356401</v>
      </c>
      <c r="R76" s="131"/>
      <c r="S76" s="152"/>
      <c r="T76" s="131"/>
      <c r="U76" s="283">
        <f>V47</f>
        <v>0.44260653591084975</v>
      </c>
      <c r="V76" s="282">
        <f>U47</f>
        <v>0.87290935904280409</v>
      </c>
      <c r="W76" s="131"/>
      <c r="X76" s="152"/>
      <c r="Y76" s="2"/>
    </row>
    <row r="77" spans="1:25" ht="21.9" customHeight="1" x14ac:dyDescent="0.3">
      <c r="A77" s="2"/>
      <c r="B77" s="2"/>
      <c r="C77" s="423"/>
      <c r="D77" s="423"/>
      <c r="E77" s="423"/>
      <c r="F77" s="423"/>
      <c r="G77" s="423"/>
      <c r="H77" s="423"/>
      <c r="I77" s="423"/>
      <c r="J77" s="131"/>
      <c r="K77" s="150" t="s">
        <v>34</v>
      </c>
      <c r="L77" s="96" t="s">
        <v>35</v>
      </c>
      <c r="M77" s="97" t="s">
        <v>36</v>
      </c>
      <c r="N77" s="151" t="s">
        <v>79</v>
      </c>
      <c r="O77" s="131"/>
      <c r="P77" s="150" t="s">
        <v>34</v>
      </c>
      <c r="Q77" s="96" t="s">
        <v>35</v>
      </c>
      <c r="R77" s="97" t="s">
        <v>36</v>
      </c>
      <c r="S77" s="151" t="s">
        <v>79</v>
      </c>
      <c r="T77" s="131"/>
      <c r="U77" s="150" t="s">
        <v>34</v>
      </c>
      <c r="V77" s="96" t="s">
        <v>35</v>
      </c>
      <c r="W77" s="97" t="s">
        <v>36</v>
      </c>
      <c r="X77" s="151" t="s">
        <v>79</v>
      </c>
      <c r="Y77" s="2"/>
    </row>
    <row r="78" spans="1:25" ht="21.9" customHeight="1" x14ac:dyDescent="0.3">
      <c r="A78" s="2"/>
      <c r="B78" s="2"/>
      <c r="C78" s="423"/>
      <c r="D78" s="423"/>
      <c r="E78" s="423"/>
      <c r="F78" s="423"/>
      <c r="G78" s="423"/>
      <c r="H78" s="423"/>
      <c r="I78" s="423"/>
      <c r="J78" s="131"/>
      <c r="K78" s="269">
        <v>0</v>
      </c>
      <c r="L78" s="270">
        <v>0</v>
      </c>
      <c r="M78" s="270">
        <v>0</v>
      </c>
      <c r="N78" s="271">
        <f>L78*20.89</f>
        <v>0</v>
      </c>
      <c r="O78" s="131"/>
      <c r="P78" s="218">
        <v>0</v>
      </c>
      <c r="Q78" s="219">
        <v>0</v>
      </c>
      <c r="R78" s="219">
        <v>0</v>
      </c>
      <c r="S78" s="220">
        <f>Q78*20.89</f>
        <v>0</v>
      </c>
      <c r="T78" s="221"/>
      <c r="U78" s="222">
        <v>0</v>
      </c>
      <c r="V78" s="223">
        <v>0</v>
      </c>
      <c r="W78" s="223">
        <v>0</v>
      </c>
      <c r="X78" s="224">
        <f>V78*20.89</f>
        <v>0</v>
      </c>
      <c r="Y78" s="225"/>
    </row>
    <row r="79" spans="1:25" ht="21.9" customHeight="1" x14ac:dyDescent="0.3">
      <c r="A79" s="2"/>
      <c r="B79" s="2"/>
      <c r="C79" s="423"/>
      <c r="D79" s="423"/>
      <c r="E79" s="423"/>
      <c r="F79" s="423"/>
      <c r="G79" s="423"/>
      <c r="H79" s="423"/>
      <c r="I79" s="423"/>
      <c r="J79" s="131"/>
      <c r="K79" s="269">
        <v>5</v>
      </c>
      <c r="L79" s="270">
        <f t="shared" ref="L79:L87" si="61">K$76*101*(K79/101)^L$76</f>
        <v>3.3816784181869961</v>
      </c>
      <c r="M79" s="270">
        <f t="shared" ref="M79:M87" si="62">DEGREES(ATAN(L79/K79))</f>
        <v>34.071892122903165</v>
      </c>
      <c r="N79" s="271">
        <f t="shared" ref="N79:N87" si="63">L79*20.89</f>
        <v>70.643262155926351</v>
      </c>
      <c r="O79" s="131"/>
      <c r="P79" s="218">
        <v>5</v>
      </c>
      <c r="Q79" s="219">
        <f t="shared" ref="Q79:Q87" si="64">P$76*101*(P79/101)^Q$76</f>
        <v>3.3097059172931966</v>
      </c>
      <c r="R79" s="219">
        <f t="shared" ref="R79:R87" si="65">DEGREES(ATAN(Q79/P79))</f>
        <v>33.502216018327687</v>
      </c>
      <c r="S79" s="220">
        <f t="shared" ref="S79:S87" si="66">Q79*20.89</f>
        <v>69.139756612254885</v>
      </c>
      <c r="T79" s="221"/>
      <c r="U79" s="222">
        <v>5</v>
      </c>
      <c r="V79" s="223">
        <f t="shared" ref="V79:V87" si="67">U$76*101*(U79/101)^V$76</f>
        <v>3.2425431889032881</v>
      </c>
      <c r="W79" s="223">
        <f t="shared" ref="W79:W87" si="68">DEGREES(ATAN(V79/U79))</f>
        <v>32.963757186967094</v>
      </c>
      <c r="X79" s="224">
        <f t="shared" ref="X79:X87" si="69">V79*20.89</f>
        <v>67.736727216189692</v>
      </c>
      <c r="Y79" s="225"/>
    </row>
    <row r="80" spans="1:25" ht="21.9" customHeight="1" x14ac:dyDescent="0.3">
      <c r="A80" s="2"/>
      <c r="B80" s="2"/>
      <c r="C80" s="423"/>
      <c r="D80" s="423"/>
      <c r="E80" s="423"/>
      <c r="F80" s="423"/>
      <c r="G80" s="423"/>
      <c r="H80" s="423"/>
      <c r="I80" s="423"/>
      <c r="J80" s="131"/>
      <c r="K80" s="269">
        <v>10</v>
      </c>
      <c r="L80" s="270">
        <f t="shared" si="61"/>
        <v>6.2756782251093464</v>
      </c>
      <c r="M80" s="270">
        <f t="shared" si="62"/>
        <v>32.11105916486374</v>
      </c>
      <c r="N80" s="271">
        <f t="shared" si="63"/>
        <v>131.09891812253426</v>
      </c>
      <c r="O80" s="131"/>
      <c r="P80" s="218">
        <v>10</v>
      </c>
      <c r="Q80" s="219">
        <f t="shared" si="64"/>
        <v>6.1034542581113991</v>
      </c>
      <c r="R80" s="219">
        <f t="shared" si="65"/>
        <v>31.397613038607425</v>
      </c>
      <c r="S80" s="220">
        <f t="shared" si="66"/>
        <v>127.50115945194713</v>
      </c>
      <c r="T80" s="221"/>
      <c r="U80" s="222">
        <v>10</v>
      </c>
      <c r="V80" s="223">
        <f t="shared" si="67"/>
        <v>5.9382389589182907</v>
      </c>
      <c r="W80" s="223">
        <f t="shared" si="68"/>
        <v>30.702852800798663</v>
      </c>
      <c r="X80" s="224">
        <f t="shared" si="69"/>
        <v>124.0498118518031</v>
      </c>
      <c r="Y80" s="225"/>
    </row>
    <row r="81" spans="1:25" ht="21.9" customHeight="1" x14ac:dyDescent="0.3">
      <c r="A81" s="2"/>
      <c r="B81" s="2"/>
      <c r="C81" s="2"/>
      <c r="D81" s="233"/>
      <c r="E81" s="233"/>
      <c r="F81" s="233"/>
      <c r="G81" s="233"/>
      <c r="H81" s="2"/>
      <c r="I81" s="131"/>
      <c r="J81" s="131"/>
      <c r="K81" s="269">
        <v>25</v>
      </c>
      <c r="L81" s="270">
        <f t="shared" si="61"/>
        <v>14.211366956326684</v>
      </c>
      <c r="M81" s="270">
        <f t="shared" si="62"/>
        <v>29.61626775301476</v>
      </c>
      <c r="N81" s="271">
        <f t="shared" si="63"/>
        <v>296.87545571766441</v>
      </c>
      <c r="O81" s="131"/>
      <c r="P81" s="218">
        <v>25</v>
      </c>
      <c r="Q81" s="219">
        <f t="shared" si="64"/>
        <v>13.706483736596132</v>
      </c>
      <c r="R81" s="219">
        <f t="shared" si="65"/>
        <v>28.734167847949976</v>
      </c>
      <c r="S81" s="220">
        <f t="shared" si="66"/>
        <v>286.32844525749323</v>
      </c>
      <c r="T81" s="221"/>
      <c r="U81" s="222">
        <v>25</v>
      </c>
      <c r="V81" s="223">
        <f t="shared" si="67"/>
        <v>13.213663043398542</v>
      </c>
      <c r="W81" s="223">
        <f t="shared" si="68"/>
        <v>27.858535262307043</v>
      </c>
      <c r="X81" s="224">
        <f t="shared" si="69"/>
        <v>276.03342097659555</v>
      </c>
      <c r="Y81" s="225"/>
    </row>
    <row r="82" spans="1:25" ht="21.9" customHeight="1" x14ac:dyDescent="0.3">
      <c r="A82" s="2"/>
      <c r="B82" s="2"/>
      <c r="C82" s="2"/>
      <c r="D82" s="233"/>
      <c r="E82" s="233"/>
      <c r="F82" s="233"/>
      <c r="G82" s="233"/>
      <c r="H82" s="2"/>
      <c r="I82" s="131"/>
      <c r="J82" s="131"/>
      <c r="K82" s="269">
        <v>50</v>
      </c>
      <c r="L82" s="270">
        <f t="shared" si="61"/>
        <v>26.373284247611188</v>
      </c>
      <c r="M82" s="270">
        <f t="shared" si="62"/>
        <v>27.81010873106397</v>
      </c>
      <c r="N82" s="271">
        <f t="shared" si="63"/>
        <v>550.9379079325978</v>
      </c>
      <c r="O82" s="131"/>
      <c r="P82" s="218">
        <v>50</v>
      </c>
      <c r="Q82" s="219">
        <f t="shared" si="64"/>
        <v>25.276232576663514</v>
      </c>
      <c r="R82" s="219">
        <f t="shared" si="65"/>
        <v>26.817722539908807</v>
      </c>
      <c r="S82" s="220">
        <f t="shared" si="66"/>
        <v>528.02049852650077</v>
      </c>
      <c r="T82" s="221"/>
      <c r="U82" s="222">
        <v>50</v>
      </c>
      <c r="V82" s="223">
        <f t="shared" si="67"/>
        <v>24.198872336644875</v>
      </c>
      <c r="W82" s="223">
        <f t="shared" si="68"/>
        <v>25.825935162173163</v>
      </c>
      <c r="X82" s="224">
        <f t="shared" si="69"/>
        <v>505.51444311251146</v>
      </c>
      <c r="Y82" s="225"/>
    </row>
    <row r="83" spans="1:25" ht="21.9" customHeight="1" x14ac:dyDescent="0.3">
      <c r="A83" s="2"/>
      <c r="B83" s="2"/>
      <c r="C83" s="2"/>
      <c r="D83" s="99"/>
      <c r="E83" s="99"/>
      <c r="F83" s="335" t="s">
        <v>37</v>
      </c>
      <c r="G83" s="336"/>
      <c r="H83" s="2"/>
      <c r="I83" s="131"/>
      <c r="J83" s="131"/>
      <c r="K83" s="269">
        <v>100</v>
      </c>
      <c r="L83" s="270">
        <f t="shared" si="61"/>
        <v>48.943224402185187</v>
      </c>
      <c r="M83" s="270">
        <f t="shared" si="62"/>
        <v>26.078616352140376</v>
      </c>
      <c r="N83" s="271">
        <f t="shared" si="63"/>
        <v>1022.4239577616486</v>
      </c>
      <c r="O83" s="131"/>
      <c r="P83" s="218">
        <v>100</v>
      </c>
      <c r="Q83" s="219">
        <f t="shared" si="64"/>
        <v>46.612095818839634</v>
      </c>
      <c r="R83" s="219">
        <f t="shared" si="65"/>
        <v>24.991212823498326</v>
      </c>
      <c r="S83" s="220">
        <f t="shared" si="66"/>
        <v>973.72668165556001</v>
      </c>
      <c r="T83" s="221"/>
      <c r="U83" s="222">
        <v>100</v>
      </c>
      <c r="V83" s="223">
        <f t="shared" si="67"/>
        <v>44.316660750463988</v>
      </c>
      <c r="W83" s="223">
        <f t="shared" si="68"/>
        <v>23.901321971407381</v>
      </c>
      <c r="X83" s="224">
        <f t="shared" si="69"/>
        <v>925.77504307719278</v>
      </c>
      <c r="Y83" s="225"/>
    </row>
    <row r="84" spans="1:25" ht="21.9" customHeight="1" x14ac:dyDescent="0.3">
      <c r="A84" s="2"/>
      <c r="B84" s="2"/>
      <c r="C84" s="2"/>
      <c r="D84" s="337" t="s">
        <v>38</v>
      </c>
      <c r="E84" s="338"/>
      <c r="F84" s="101" t="s">
        <v>39</v>
      </c>
      <c r="G84" s="102" t="s">
        <v>40</v>
      </c>
      <c r="H84" s="2"/>
      <c r="I84" s="131"/>
      <c r="J84" s="131"/>
      <c r="K84" s="269">
        <v>200</v>
      </c>
      <c r="L84" s="270">
        <f t="shared" si="61"/>
        <v>90.828248480263781</v>
      </c>
      <c r="M84" s="270">
        <f t="shared" si="62"/>
        <v>24.4247579015803</v>
      </c>
      <c r="N84" s="271">
        <f t="shared" si="63"/>
        <v>1897.4021107527105</v>
      </c>
      <c r="O84" s="131"/>
      <c r="P84" s="218">
        <v>200</v>
      </c>
      <c r="Q84" s="219">
        <f t="shared" si="64"/>
        <v>85.957726098415407</v>
      </c>
      <c r="R84" s="219">
        <f t="shared" si="65"/>
        <v>23.257483264257139</v>
      </c>
      <c r="S84" s="220">
        <f t="shared" si="66"/>
        <v>1795.6568981958978</v>
      </c>
      <c r="T84" s="221"/>
      <c r="U84" s="222">
        <v>200</v>
      </c>
      <c r="V84" s="223">
        <f t="shared" si="67"/>
        <v>81.159419032003328</v>
      </c>
      <c r="W84" s="223">
        <f t="shared" si="68"/>
        <v>22.087171293829474</v>
      </c>
      <c r="X84" s="224">
        <f t="shared" si="69"/>
        <v>1695.4202635785496</v>
      </c>
      <c r="Y84" s="225"/>
    </row>
    <row r="85" spans="1:25" ht="21.9" customHeight="1" x14ac:dyDescent="0.3">
      <c r="A85" s="2"/>
      <c r="B85" s="2"/>
      <c r="C85" s="2"/>
      <c r="D85" s="337" t="s">
        <v>41</v>
      </c>
      <c r="E85" s="338"/>
      <c r="F85" s="103">
        <v>25</v>
      </c>
      <c r="G85" s="104">
        <v>80</v>
      </c>
      <c r="H85" s="2"/>
      <c r="I85" s="131"/>
      <c r="J85" s="131"/>
      <c r="K85" s="269">
        <v>300</v>
      </c>
      <c r="L85" s="270">
        <f t="shared" si="61"/>
        <v>130.40671695318807</v>
      </c>
      <c r="M85" s="270">
        <f t="shared" si="62"/>
        <v>23.494057545754472</v>
      </c>
      <c r="N85" s="271">
        <f t="shared" si="63"/>
        <v>2724.1963171520988</v>
      </c>
      <c r="O85" s="131"/>
      <c r="P85" s="218">
        <v>300</v>
      </c>
      <c r="Q85" s="219">
        <f t="shared" si="64"/>
        <v>122.95888882021706</v>
      </c>
      <c r="R85" s="219">
        <f t="shared" si="65"/>
        <v>22.286907102833222</v>
      </c>
      <c r="S85" s="220">
        <f t="shared" si="66"/>
        <v>2568.6111874543344</v>
      </c>
      <c r="T85" s="221"/>
      <c r="U85" s="222">
        <v>300</v>
      </c>
      <c r="V85" s="223">
        <f t="shared" si="67"/>
        <v>115.62470497483852</v>
      </c>
      <c r="W85" s="223">
        <f t="shared" si="68"/>
        <v>21.077445058722116</v>
      </c>
      <c r="X85" s="224">
        <f t="shared" si="69"/>
        <v>2415.4000869243769</v>
      </c>
      <c r="Y85" s="225"/>
    </row>
    <row r="86" spans="1:25" ht="21.9" customHeight="1" x14ac:dyDescent="0.3">
      <c r="A86" s="2"/>
      <c r="B86" s="2"/>
      <c r="C86" s="2"/>
      <c r="D86" s="337" t="s">
        <v>42</v>
      </c>
      <c r="E86" s="338"/>
      <c r="F86" s="103">
        <v>35</v>
      </c>
      <c r="G86" s="104">
        <v>130</v>
      </c>
      <c r="H86" s="2"/>
      <c r="I86" s="131"/>
      <c r="J86" s="131"/>
      <c r="K86" s="269">
        <v>400</v>
      </c>
      <c r="L86" s="270">
        <f t="shared" si="61"/>
        <v>168.55797350417745</v>
      </c>
      <c r="M86" s="270">
        <f t="shared" si="62"/>
        <v>22.85031120126224</v>
      </c>
      <c r="N86" s="271">
        <f t="shared" si="63"/>
        <v>3521.1760665022671</v>
      </c>
      <c r="O86" s="131"/>
      <c r="P86" s="218">
        <v>400</v>
      </c>
      <c r="Q86" s="219">
        <f t="shared" si="64"/>
        <v>158.5153069436503</v>
      </c>
      <c r="R86" s="219">
        <f t="shared" si="65"/>
        <v>21.617841875225803</v>
      </c>
      <c r="S86" s="220">
        <f t="shared" si="66"/>
        <v>3311.384762052855</v>
      </c>
      <c r="T86" s="221"/>
      <c r="U86" s="222">
        <v>400</v>
      </c>
      <c r="V86" s="223">
        <f t="shared" si="67"/>
        <v>148.63148951364394</v>
      </c>
      <c r="W86" s="223">
        <f t="shared" si="68"/>
        <v>20.383994952987436</v>
      </c>
      <c r="X86" s="224">
        <f t="shared" si="69"/>
        <v>3104.9118159400218</v>
      </c>
      <c r="Y86" s="225"/>
    </row>
    <row r="87" spans="1:25" ht="21.9" customHeight="1" thickBot="1" x14ac:dyDescent="0.35">
      <c r="A87" s="2"/>
      <c r="B87" s="2"/>
      <c r="C87" s="2"/>
      <c r="D87" s="337" t="s">
        <v>43</v>
      </c>
      <c r="E87" s="338"/>
      <c r="F87" s="103">
        <v>45</v>
      </c>
      <c r="G87" s="104">
        <v>300</v>
      </c>
      <c r="H87" s="2"/>
      <c r="I87" s="131"/>
      <c r="J87" s="131"/>
      <c r="K87" s="272">
        <v>700</v>
      </c>
      <c r="L87" s="273">
        <f t="shared" si="61"/>
        <v>277.68153154509753</v>
      </c>
      <c r="M87" s="273">
        <f t="shared" si="62"/>
        <v>21.637628718118219</v>
      </c>
      <c r="N87" s="274">
        <f t="shared" si="63"/>
        <v>5800.7671939770871</v>
      </c>
      <c r="O87" s="131"/>
      <c r="P87" s="226">
        <v>700</v>
      </c>
      <c r="Q87" s="227">
        <f t="shared" si="64"/>
        <v>259.8095278050879</v>
      </c>
      <c r="R87" s="227">
        <f t="shared" si="65"/>
        <v>20.362733715614233</v>
      </c>
      <c r="S87" s="228">
        <f t="shared" si="66"/>
        <v>5427.421035848286</v>
      </c>
      <c r="T87" s="221"/>
      <c r="U87" s="229">
        <v>700</v>
      </c>
      <c r="V87" s="230">
        <f t="shared" si="67"/>
        <v>242.24845583521048</v>
      </c>
      <c r="W87" s="230">
        <f t="shared" si="68"/>
        <v>19.089162119520747</v>
      </c>
      <c r="X87" s="231">
        <f t="shared" si="69"/>
        <v>5060.5702423975472</v>
      </c>
      <c r="Y87" s="225"/>
    </row>
    <row r="88" spans="1:25" ht="21.9" customHeight="1" x14ac:dyDescent="0.3">
      <c r="A88" s="2"/>
      <c r="B88" s="2"/>
      <c r="C88" s="2"/>
      <c r="D88" s="233"/>
      <c r="E88" s="233"/>
      <c r="F88" s="233"/>
      <c r="G88" s="233"/>
      <c r="H88" s="2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2"/>
      <c r="U88" s="131"/>
      <c r="V88" s="131"/>
      <c r="W88" s="131"/>
      <c r="X88" s="131"/>
      <c r="Y88" s="131"/>
    </row>
    <row r="89" spans="1:25" ht="21.9" customHeight="1" x14ac:dyDescent="0.3">
      <c r="A89" s="2"/>
      <c r="B89" s="2"/>
      <c r="C89" s="2"/>
      <c r="D89" s="233"/>
      <c r="E89" s="233"/>
      <c r="F89" s="233"/>
      <c r="G89" s="233"/>
      <c r="H89" s="2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2"/>
      <c r="U89" s="131"/>
      <c r="V89" s="131"/>
      <c r="W89" s="131"/>
      <c r="X89" s="131"/>
      <c r="Y89" s="131"/>
    </row>
    <row r="90" spans="1:25" hidden="1" x14ac:dyDescent="0.3"/>
    <row r="91" spans="1:25" ht="18" hidden="1" x14ac:dyDescent="0.35">
      <c r="B91" s="285" t="s">
        <v>45</v>
      </c>
      <c r="C91" s="286"/>
      <c r="D91" s="286"/>
      <c r="E91" s="286"/>
      <c r="F91" s="286"/>
      <c r="G91" s="286"/>
      <c r="H91" s="287"/>
    </row>
    <row r="92" spans="1:25" hidden="1" x14ac:dyDescent="0.3">
      <c r="B92" s="3" t="s">
        <v>32</v>
      </c>
      <c r="C92" s="3">
        <f>IF(AND(B5&gt;=30,B5&lt;=80),-0.0014*(B5)+0.6656,0)</f>
        <v>0.61380000000000001</v>
      </c>
      <c r="D92" s="3">
        <f>IF(AND(B5&gt;=30,B5&lt;=130),-0.0015*B5+0.6149,0)</f>
        <v>0.55940000000000001</v>
      </c>
      <c r="F92" s="3">
        <f>IF(AND(B5&gt;=30,B5&lt;=300),-0.0016*B5+0.5546,0)</f>
        <v>0.49539999999999995</v>
      </c>
    </row>
    <row r="93" spans="1:25" hidden="1" x14ac:dyDescent="0.3">
      <c r="B93" s="3" t="s">
        <v>33</v>
      </c>
      <c r="C93" s="3">
        <v>0.96</v>
      </c>
      <c r="D93" s="3">
        <v>0.90500000000000003</v>
      </c>
      <c r="F93" s="3">
        <v>0.85199999999999998</v>
      </c>
    </row>
    <row r="94" spans="1:25" hidden="1" x14ac:dyDescent="0.3"/>
    <row r="95" spans="1:25" hidden="1" x14ac:dyDescent="0.3">
      <c r="B95" s="105" t="s">
        <v>4</v>
      </c>
      <c r="C95" s="105" t="s">
        <v>46</v>
      </c>
      <c r="D95" s="105" t="s">
        <v>47</v>
      </c>
      <c r="E95" s="105"/>
      <c r="F95" s="105" t="s">
        <v>48</v>
      </c>
    </row>
    <row r="96" spans="1:25" hidden="1" x14ac:dyDescent="0.3">
      <c r="B96" s="106">
        <v>40</v>
      </c>
      <c r="C96" s="107">
        <v>0.61209999999999998</v>
      </c>
      <c r="D96" s="107">
        <v>0.56240000000000001</v>
      </c>
      <c r="F96" s="107">
        <v>0.49959999999999999</v>
      </c>
    </row>
    <row r="97" spans="2:8" hidden="1" x14ac:dyDescent="0.3">
      <c r="B97" s="106">
        <v>50</v>
      </c>
      <c r="C97" s="107">
        <v>0.59660000000000002</v>
      </c>
      <c r="D97" s="107">
        <v>0.5413</v>
      </c>
      <c r="F97" s="107">
        <v>0.4773</v>
      </c>
    </row>
    <row r="98" spans="2:8" hidden="1" x14ac:dyDescent="0.3">
      <c r="B98" s="106">
        <v>60</v>
      </c>
      <c r="C98" s="107">
        <v>0.58169999999999999</v>
      </c>
      <c r="D98" s="107">
        <v>0.52239999999999998</v>
      </c>
      <c r="F98" s="107">
        <v>0.45729999999999998</v>
      </c>
    </row>
    <row r="99" spans="2:8" hidden="1" x14ac:dyDescent="0.3">
      <c r="B99" s="106">
        <v>70</v>
      </c>
      <c r="C99" s="107">
        <v>0.56940000000000002</v>
      </c>
      <c r="D99" s="107">
        <v>0.50360000000000005</v>
      </c>
      <c r="F99" s="107">
        <v>0.43890000000000001</v>
      </c>
    </row>
    <row r="100" spans="2:8" hidden="1" x14ac:dyDescent="0.3">
      <c r="B100" s="106">
        <v>75</v>
      </c>
      <c r="C100" s="107">
        <v>0.5645</v>
      </c>
      <c r="D100" s="107">
        <v>0.49509999999999998</v>
      </c>
      <c r="F100" s="107">
        <v>0.43020000000000003</v>
      </c>
    </row>
    <row r="101" spans="2:8" hidden="1" x14ac:dyDescent="0.3">
      <c r="B101" s="106">
        <v>80</v>
      </c>
      <c r="D101" s="107">
        <v>0.48720000000000002</v>
      </c>
      <c r="F101" s="107">
        <v>0.4219</v>
      </c>
    </row>
    <row r="102" spans="2:8" hidden="1" x14ac:dyDescent="0.3">
      <c r="B102" s="106">
        <v>90</v>
      </c>
      <c r="D102" s="107">
        <v>0.47220000000000001</v>
      </c>
      <c r="F102" s="107">
        <v>0.40539999999999998</v>
      </c>
    </row>
    <row r="103" spans="2:8" hidden="1" x14ac:dyDescent="0.3">
      <c r="B103" s="106">
        <v>100</v>
      </c>
      <c r="D103" s="107">
        <v>0.45810000000000001</v>
      </c>
      <c r="F103" s="107">
        <v>0.3906</v>
      </c>
    </row>
    <row r="104" spans="2:8" hidden="1" x14ac:dyDescent="0.3">
      <c r="B104" s="106">
        <v>110</v>
      </c>
      <c r="D104" s="107">
        <v>0.4451</v>
      </c>
      <c r="F104" s="107">
        <v>0.37819999999999998</v>
      </c>
    </row>
    <row r="105" spans="2:8" hidden="1" x14ac:dyDescent="0.3">
      <c r="B105" s="106">
        <v>120</v>
      </c>
      <c r="D105" s="107">
        <v>0.43340000000000001</v>
      </c>
      <c r="F105" s="107">
        <v>0.36559999999999998</v>
      </c>
    </row>
    <row r="106" spans="2:8" hidden="1" x14ac:dyDescent="0.3">
      <c r="B106" s="106">
        <v>130</v>
      </c>
      <c r="D106" s="107">
        <v>0.42370000000000002</v>
      </c>
      <c r="F106" s="107">
        <v>0.35370000000000001</v>
      </c>
    </row>
    <row r="107" spans="2:8" hidden="1" x14ac:dyDescent="0.3"/>
    <row r="108" spans="2:8" hidden="1" x14ac:dyDescent="0.3"/>
    <row r="109" spans="2:8" hidden="1" x14ac:dyDescent="0.3">
      <c r="B109" s="108" t="s">
        <v>32</v>
      </c>
      <c r="C109" s="108">
        <f>IF(C5&lt;=20,C92,IF(AND(C5&gt;20,C5&lt;=45),D92,F92))</f>
        <v>0.55940000000000001</v>
      </c>
      <c r="D109" s="109" t="s">
        <v>49</v>
      </c>
      <c r="E109" s="110">
        <v>101.325</v>
      </c>
      <c r="F109" s="109" t="s">
        <v>50</v>
      </c>
    </row>
    <row r="110" spans="2:8" hidden="1" x14ac:dyDescent="0.3">
      <c r="B110" s="111" t="s">
        <v>33</v>
      </c>
      <c r="C110" s="111">
        <f>IF(C5&lt;=20,C93,IF(AND(C5&gt;20,C5&lt;=45),D93,F93))</f>
        <v>0.90500000000000003</v>
      </c>
      <c r="E110" s="3">
        <v>2115.6999999999998</v>
      </c>
      <c r="F110" s="3" t="s">
        <v>51</v>
      </c>
    </row>
    <row r="111" spans="2:8" hidden="1" x14ac:dyDescent="0.3"/>
    <row r="112" spans="2:8" ht="18" hidden="1" x14ac:dyDescent="0.35">
      <c r="B112" s="285" t="s">
        <v>52</v>
      </c>
      <c r="C112" s="286"/>
      <c r="D112" s="286"/>
      <c r="E112" s="286"/>
      <c r="F112" s="286"/>
      <c r="G112" s="286"/>
      <c r="H112" s="287"/>
    </row>
    <row r="113" spans="2:13" hidden="1" x14ac:dyDescent="0.3">
      <c r="B113" s="112" t="s">
        <v>53</v>
      </c>
      <c r="C113" s="113" t="s">
        <v>54</v>
      </c>
      <c r="D113" s="113" t="s">
        <v>55</v>
      </c>
    </row>
    <row r="114" spans="2:13" hidden="1" x14ac:dyDescent="0.3">
      <c r="B114" s="114">
        <v>0</v>
      </c>
      <c r="C114" s="115">
        <f t="shared" ref="C114:C124" si="70">$C$109*$E$109*(B114/$E$109)^$C$110</f>
        <v>0</v>
      </c>
      <c r="D114" s="3">
        <f t="shared" ref="D114:D124" si="71">C114*20.885434273</f>
        <v>0</v>
      </c>
    </row>
    <row r="115" spans="2:13" hidden="1" x14ac:dyDescent="0.3">
      <c r="B115" s="114">
        <v>15</v>
      </c>
      <c r="C115" s="115">
        <f t="shared" si="70"/>
        <v>10.060698394476141</v>
      </c>
      <c r="D115" s="3">
        <f t="shared" si="71"/>
        <v>210.12205505830809</v>
      </c>
    </row>
    <row r="116" spans="2:13" hidden="1" x14ac:dyDescent="0.3">
      <c r="B116" s="114">
        <v>25</v>
      </c>
      <c r="C116" s="115">
        <f t="shared" si="70"/>
        <v>15.973542737777764</v>
      </c>
      <c r="D116" s="3">
        <f t="shared" si="71"/>
        <v>333.614376956814</v>
      </c>
      <c r="M116" s="85">
        <f>0.5*(0.0023+0.004)</f>
        <v>3.15E-3</v>
      </c>
    </row>
    <row r="117" spans="2:13" hidden="1" x14ac:dyDescent="0.3">
      <c r="B117" s="114">
        <v>75</v>
      </c>
      <c r="C117" s="115">
        <f t="shared" si="70"/>
        <v>43.171385190278713</v>
      </c>
      <c r="D117" s="3">
        <f t="shared" si="71"/>
        <v>901.65312786593176</v>
      </c>
    </row>
    <row r="118" spans="2:13" hidden="1" x14ac:dyDescent="0.3">
      <c r="B118" s="114">
        <v>150</v>
      </c>
      <c r="C118" s="115">
        <f t="shared" si="70"/>
        <v>80.840339673924817</v>
      </c>
      <c r="D118" s="3">
        <f t="shared" si="71"/>
        <v>1688.385600866751</v>
      </c>
    </row>
    <row r="119" spans="2:13" hidden="1" x14ac:dyDescent="0.3">
      <c r="B119" s="114">
        <v>200</v>
      </c>
      <c r="C119" s="115">
        <f t="shared" si="70"/>
        <v>104.88120932005582</v>
      </c>
      <c r="D119" s="3">
        <f t="shared" si="71"/>
        <v>2190.4896037267808</v>
      </c>
    </row>
    <row r="120" spans="2:13" hidden="1" x14ac:dyDescent="0.3">
      <c r="B120" s="114">
        <v>300</v>
      </c>
      <c r="C120" s="115">
        <f t="shared" si="70"/>
        <v>151.37713301974665</v>
      </c>
      <c r="D120" s="3">
        <f t="shared" si="71"/>
        <v>3161.577162119097</v>
      </c>
    </row>
    <row r="121" spans="2:13" hidden="1" x14ac:dyDescent="0.3">
      <c r="B121" s="114">
        <v>400</v>
      </c>
      <c r="C121" s="115">
        <f t="shared" si="70"/>
        <v>196.39473112747214</v>
      </c>
      <c r="D121" s="3">
        <f t="shared" si="71"/>
        <v>4101.7892485263264</v>
      </c>
    </row>
    <row r="122" spans="2:13" hidden="1" x14ac:dyDescent="0.3">
      <c r="B122" s="114">
        <v>500</v>
      </c>
      <c r="C122" s="115">
        <f t="shared" si="70"/>
        <v>240.3440605217645</v>
      </c>
      <c r="D122" s="3">
        <f t="shared" si="71"/>
        <v>5019.6900789332467</v>
      </c>
    </row>
    <row r="123" spans="2:13" hidden="1" x14ac:dyDescent="0.3">
      <c r="B123" s="114">
        <v>600</v>
      </c>
      <c r="C123" s="115">
        <f t="shared" si="70"/>
        <v>283.46041708517663</v>
      </c>
      <c r="D123" s="3">
        <f t="shared" si="71"/>
        <v>5920.1939100296231</v>
      </c>
    </row>
    <row r="124" spans="2:13" hidden="1" x14ac:dyDescent="0.3">
      <c r="B124" s="114">
        <v>700</v>
      </c>
      <c r="C124" s="115">
        <f t="shared" si="70"/>
        <v>325.89617739314923</v>
      </c>
      <c r="D124" s="3">
        <f t="shared" si="71"/>
        <v>6806.4831927665673</v>
      </c>
    </row>
    <row r="125" spans="2:13" hidden="1" x14ac:dyDescent="0.3"/>
    <row r="126" spans="2:13" ht="15.6" hidden="1" customHeight="1" x14ac:dyDescent="0.3">
      <c r="B126" s="85"/>
      <c r="J126" s="85"/>
    </row>
    <row r="127" spans="2:13" hidden="1" x14ac:dyDescent="0.3">
      <c r="B127" s="85"/>
      <c r="J127" s="85"/>
    </row>
    <row r="128" spans="2:13" hidden="1" x14ac:dyDescent="0.3">
      <c r="B128" s="85"/>
      <c r="J128" s="85"/>
    </row>
    <row r="129" spans="2:10" ht="18" hidden="1" x14ac:dyDescent="0.35">
      <c r="B129" s="285" t="s">
        <v>56</v>
      </c>
      <c r="C129" s="286"/>
      <c r="D129" s="286"/>
      <c r="E129" s="286"/>
      <c r="F129" s="286"/>
      <c r="G129" s="286"/>
      <c r="H129" s="287"/>
      <c r="J129" s="85"/>
    </row>
    <row r="130" spans="2:10" hidden="1" x14ac:dyDescent="0.3">
      <c r="B130" s="108" t="s">
        <v>32</v>
      </c>
      <c r="C130" s="3">
        <f>IF(AND(B5&gt;=30,B5&lt;=80),3*10^-5*(B5)^2-0.008*B5+0.8047,0)</f>
        <v>0.54976999999999998</v>
      </c>
      <c r="D130" s="3">
        <f>IF(AND(B5&gt;=30,B5&lt;=130),3*10^-5*(B5)^2-0.0076*B5+0.7448,0)</f>
        <v>0.50466999999999995</v>
      </c>
      <c r="G130" s="3">
        <f>IF(AND(B5&gt;=30,B5&lt;=300),3*10^-5*(B5)^2-0.0077*B5+0.6352,0)</f>
        <v>0.39137</v>
      </c>
      <c r="J130" s="85"/>
    </row>
    <row r="131" spans="2:10" hidden="1" x14ac:dyDescent="0.3">
      <c r="B131" s="116" t="s">
        <v>33</v>
      </c>
      <c r="C131" s="3">
        <f>IF(AND(B5&gt;=30,B5&lt;=80),2*10^-5*(B5)^2-0.0023*B5+1.0261,0)</f>
        <v>0.96838000000000002</v>
      </c>
      <c r="D131" s="3">
        <f>IF(AND(B5&gt;=30,B5&lt;=130),2*10^-5*(B5)^2-0.005*B5+0.997,0)</f>
        <v>0.83938000000000001</v>
      </c>
      <c r="G131" s="3">
        <f>IF(AND(B5&gt;=30,B5&lt;300),3*10^-5*(B5)^2-0.0059*B5+1.0792,0)</f>
        <v>0.90196999999999994</v>
      </c>
      <c r="J131" s="85"/>
    </row>
    <row r="132" spans="2:10" hidden="1" x14ac:dyDescent="0.3">
      <c r="B132" s="85"/>
      <c r="J132" s="85"/>
    </row>
    <row r="133" spans="2:10" hidden="1" x14ac:dyDescent="0.3">
      <c r="B133" s="85"/>
      <c r="J133" s="85"/>
    </row>
    <row r="134" spans="2:10" hidden="1" x14ac:dyDescent="0.3">
      <c r="B134" s="333" t="s">
        <v>57</v>
      </c>
      <c r="C134" s="334"/>
      <c r="D134" s="334" t="s">
        <v>58</v>
      </c>
      <c r="E134" s="334"/>
      <c r="F134" s="117"/>
      <c r="G134" s="334" t="s">
        <v>59</v>
      </c>
      <c r="H134" s="334"/>
      <c r="J134" s="85"/>
    </row>
    <row r="135" spans="2:10" hidden="1" x14ac:dyDescent="0.3">
      <c r="B135" s="118" t="s">
        <v>32</v>
      </c>
      <c r="C135" s="119" t="s">
        <v>33</v>
      </c>
      <c r="D135" s="119" t="s">
        <v>32</v>
      </c>
      <c r="E135" s="119" t="s">
        <v>33</v>
      </c>
      <c r="F135" s="119"/>
      <c r="G135" s="119" t="s">
        <v>32</v>
      </c>
      <c r="H135" s="119" t="s">
        <v>33</v>
      </c>
      <c r="J135" s="85"/>
    </row>
    <row r="136" spans="2:10" hidden="1" x14ac:dyDescent="0.3">
      <c r="B136" s="3">
        <v>0.54369999999999996</v>
      </c>
      <c r="C136" s="85">
        <v>0.95940000000000003</v>
      </c>
      <c r="D136" s="3">
        <v>0.4657</v>
      </c>
      <c r="E136" s="85">
        <v>0.87060000000000004</v>
      </c>
      <c r="F136" s="120"/>
      <c r="G136" s="3">
        <v>0.37519999999999998</v>
      </c>
      <c r="H136" s="85">
        <v>0.87890000000000001</v>
      </c>
      <c r="J136" s="85"/>
    </row>
    <row r="137" spans="2:10" hidden="1" x14ac:dyDescent="0.3">
      <c r="B137" s="3">
        <v>0.49070000000000003</v>
      </c>
      <c r="C137" s="85">
        <v>0.95189999999999997</v>
      </c>
      <c r="D137" s="3">
        <v>0.4199</v>
      </c>
      <c r="E137" s="85">
        <v>0.85899999999999999</v>
      </c>
      <c r="F137" s="120"/>
      <c r="G137" s="3">
        <v>0.32700000000000001</v>
      </c>
      <c r="H137" s="85">
        <v>0.8609</v>
      </c>
      <c r="J137" s="85"/>
    </row>
    <row r="138" spans="2:10" hidden="1" x14ac:dyDescent="0.3">
      <c r="B138" s="3">
        <v>0.44409999999999999</v>
      </c>
      <c r="C138" s="85">
        <v>0.94640000000000002</v>
      </c>
      <c r="D138" s="3">
        <v>0.374</v>
      </c>
      <c r="E138" s="85">
        <v>0.84770000000000001</v>
      </c>
      <c r="F138" s="120"/>
      <c r="G138" s="3">
        <v>0.28349999999999997</v>
      </c>
      <c r="H138" s="85">
        <v>0.84040000000000004</v>
      </c>
      <c r="J138" s="85"/>
    </row>
    <row r="139" spans="2:10" hidden="1" x14ac:dyDescent="0.3">
      <c r="B139" s="3">
        <v>0.40229999999999999</v>
      </c>
      <c r="C139" s="85">
        <v>0.9446</v>
      </c>
      <c r="D139" s="3">
        <v>0.32829999999999998</v>
      </c>
      <c r="E139" s="85">
        <v>0.83950000000000002</v>
      </c>
      <c r="F139" s="120"/>
      <c r="G139" s="3">
        <v>0.2455</v>
      </c>
      <c r="H139" s="85">
        <v>0.81669999999999998</v>
      </c>
      <c r="J139" s="85"/>
    </row>
    <row r="140" spans="2:10" hidden="1" x14ac:dyDescent="0.3">
      <c r="B140" s="3">
        <v>0.38250000000000001</v>
      </c>
      <c r="C140" s="85">
        <v>0.94599999999999995</v>
      </c>
      <c r="D140" s="3">
        <v>0.30620000000000003</v>
      </c>
      <c r="E140" s="85">
        <v>0.83730000000000004</v>
      </c>
      <c r="F140" s="120"/>
      <c r="G140" s="3">
        <v>0.22819999999999999</v>
      </c>
      <c r="H140" s="85">
        <v>0.80569999999999997</v>
      </c>
      <c r="J140" s="85"/>
    </row>
    <row r="141" spans="2:10" hidden="1" x14ac:dyDescent="0.3">
      <c r="B141" s="121" t="s">
        <v>60</v>
      </c>
      <c r="C141" s="121" t="s">
        <v>60</v>
      </c>
      <c r="D141" s="3">
        <v>0.28549999999999998</v>
      </c>
      <c r="E141" s="85">
        <v>0.83499999999999996</v>
      </c>
      <c r="F141" s="120"/>
      <c r="G141" s="3">
        <v>0.2132</v>
      </c>
      <c r="H141" s="85">
        <v>0.79210000000000003</v>
      </c>
      <c r="J141" s="85"/>
    </row>
    <row r="142" spans="2:10" hidden="1" x14ac:dyDescent="0.3">
      <c r="B142" s="121" t="s">
        <v>60</v>
      </c>
      <c r="C142" s="121" t="s">
        <v>60</v>
      </c>
      <c r="D142" s="3">
        <v>0.24779999999999999</v>
      </c>
      <c r="E142" s="85">
        <v>0.83189999999999997</v>
      </c>
      <c r="F142" s="120"/>
      <c r="G142" s="3">
        <v>0.18659999999999999</v>
      </c>
      <c r="H142" s="85">
        <v>0.77249999999999996</v>
      </c>
      <c r="J142" s="85"/>
    </row>
    <row r="143" spans="2:10" hidden="1" x14ac:dyDescent="0.3">
      <c r="B143" s="121" t="s">
        <v>60</v>
      </c>
      <c r="C143" s="121" t="s">
        <v>60</v>
      </c>
      <c r="D143" s="3">
        <v>0.2155</v>
      </c>
      <c r="E143" s="85">
        <v>0.83760000000000001</v>
      </c>
      <c r="F143" s="120"/>
      <c r="G143" s="3">
        <v>0.16619999999999999</v>
      </c>
      <c r="H143" s="85">
        <v>0.76500000000000001</v>
      </c>
      <c r="J143" s="85"/>
    </row>
    <row r="144" spans="2:10" hidden="1" x14ac:dyDescent="0.3">
      <c r="B144" s="121" t="s">
        <v>60</v>
      </c>
      <c r="C144" s="121" t="s">
        <v>60</v>
      </c>
      <c r="D144" s="3">
        <v>0.1913</v>
      </c>
      <c r="E144" s="85">
        <v>0.84970000000000001</v>
      </c>
      <c r="F144" s="120"/>
      <c r="G144" s="3">
        <v>0.15390000000000001</v>
      </c>
      <c r="H144" s="85">
        <v>0.77300000000000002</v>
      </c>
      <c r="J144" s="85"/>
    </row>
    <row r="145" spans="2:10" hidden="1" x14ac:dyDescent="0.3">
      <c r="B145" s="121" t="s">
        <v>60</v>
      </c>
      <c r="C145" s="121" t="s">
        <v>60</v>
      </c>
      <c r="D145" s="3">
        <v>0.1769</v>
      </c>
      <c r="E145" s="85">
        <v>0.87019999999999997</v>
      </c>
      <c r="F145" s="120"/>
      <c r="G145" s="3">
        <v>0.14699999999999999</v>
      </c>
      <c r="H145" s="85">
        <v>0.79559999999999997</v>
      </c>
      <c r="J145" s="85"/>
    </row>
    <row r="146" spans="2:10" hidden="1" x14ac:dyDescent="0.3">
      <c r="B146" s="122" t="s">
        <v>60</v>
      </c>
      <c r="C146" s="122" t="s">
        <v>60</v>
      </c>
      <c r="D146" s="3">
        <v>0.1734</v>
      </c>
      <c r="E146" s="85">
        <v>0.89670000000000005</v>
      </c>
      <c r="F146" s="119"/>
      <c r="G146" s="3">
        <v>0.14399999999999999</v>
      </c>
      <c r="H146" s="85">
        <v>0.80059999999999998</v>
      </c>
      <c r="J146" s="85"/>
    </row>
    <row r="147" spans="2:10" hidden="1" x14ac:dyDescent="0.3">
      <c r="B147" s="85"/>
      <c r="J147" s="85"/>
    </row>
    <row r="148" spans="2:10" hidden="1" x14ac:dyDescent="0.3">
      <c r="B148" s="85">
        <f>AVERAGE(B136:B146)</f>
        <v>0.45265999999999995</v>
      </c>
      <c r="C148" s="85">
        <f t="shared" ref="C148:H148" si="72">AVERAGE(C136:C146)</f>
        <v>0.94965999999999995</v>
      </c>
      <c r="D148" s="85">
        <f t="shared" si="72"/>
        <v>0.28949999999999992</v>
      </c>
      <c r="E148" s="85">
        <f t="shared" si="72"/>
        <v>0.8522909090909091</v>
      </c>
      <c r="F148" s="85"/>
      <c r="G148" s="85">
        <f t="shared" si="72"/>
        <v>0.22457272727272726</v>
      </c>
      <c r="H148" s="85">
        <f t="shared" si="72"/>
        <v>0.80921818181818173</v>
      </c>
      <c r="J148" s="85"/>
    </row>
    <row r="149" spans="2:10" hidden="1" x14ac:dyDescent="0.3">
      <c r="B149" s="85"/>
      <c r="J149" s="85"/>
    </row>
    <row r="150" spans="2:10" hidden="1" x14ac:dyDescent="0.3">
      <c r="B150" s="85"/>
      <c r="J150" s="85"/>
    </row>
    <row r="151" spans="2:10" hidden="1" x14ac:dyDescent="0.3">
      <c r="B151" s="85"/>
      <c r="D151" s="3">
        <f>AVERAGE(D144:D146)</f>
        <v>0.18053333333333332</v>
      </c>
      <c r="G151" s="3">
        <f>AVERAGE(G144:G146)</f>
        <v>0.14829999999999999</v>
      </c>
      <c r="J151" s="85"/>
    </row>
    <row r="152" spans="2:10" hidden="1" x14ac:dyDescent="0.3">
      <c r="J152" s="85"/>
    </row>
    <row r="153" spans="2:10" hidden="1" x14ac:dyDescent="0.3">
      <c r="J153" s="85"/>
    </row>
    <row r="154" spans="2:10" hidden="1" x14ac:dyDescent="0.3">
      <c r="J154" s="85"/>
    </row>
    <row r="155" spans="2:10" hidden="1" x14ac:dyDescent="0.3">
      <c r="J155" s="85"/>
    </row>
    <row r="156" spans="2:10" hidden="1" x14ac:dyDescent="0.3">
      <c r="J156" s="85"/>
    </row>
    <row r="157" spans="2:10" hidden="1" x14ac:dyDescent="0.3">
      <c r="J157" s="85"/>
    </row>
    <row r="158" spans="2:10" hidden="1" x14ac:dyDescent="0.3">
      <c r="J158" s="85"/>
    </row>
    <row r="159" spans="2:10" hidden="1" x14ac:dyDescent="0.3">
      <c r="J159" s="85"/>
    </row>
    <row r="160" spans="2:10" hidden="1" x14ac:dyDescent="0.3">
      <c r="J160" s="85"/>
    </row>
    <row r="161" spans="2:8" hidden="1" x14ac:dyDescent="0.3"/>
    <row r="162" spans="2:8" hidden="1" x14ac:dyDescent="0.3">
      <c r="B162" s="108" t="s">
        <v>32</v>
      </c>
      <c r="C162" s="108">
        <f>IF(C5&lt;=20,C130,IF(AND(C5&gt;20,C5&lt;=45),D130,G130))</f>
        <v>0.50466999999999995</v>
      </c>
      <c r="D162" s="109" t="s">
        <v>49</v>
      </c>
      <c r="E162" s="110">
        <v>101.325</v>
      </c>
      <c r="F162" s="109" t="s">
        <v>50</v>
      </c>
    </row>
    <row r="163" spans="2:8" hidden="1" x14ac:dyDescent="0.3">
      <c r="B163" s="111" t="s">
        <v>33</v>
      </c>
      <c r="C163" s="111">
        <f>IF(C5&lt;=20,C131,IF(AND(C5&gt;20,C5&lt;=45),D131,G131))</f>
        <v>0.83938000000000001</v>
      </c>
      <c r="E163" s="3">
        <v>2116.8000000000002</v>
      </c>
      <c r="F163" s="3" t="s">
        <v>51</v>
      </c>
    </row>
    <row r="164" spans="2:8" hidden="1" x14ac:dyDescent="0.3"/>
    <row r="165" spans="2:8" ht="18" hidden="1" x14ac:dyDescent="0.35">
      <c r="B165" s="285" t="s">
        <v>61</v>
      </c>
      <c r="C165" s="286"/>
      <c r="D165" s="286"/>
      <c r="E165" s="286"/>
      <c r="F165" s="286"/>
      <c r="G165" s="286"/>
      <c r="H165" s="287"/>
    </row>
    <row r="166" spans="2:8" hidden="1" x14ac:dyDescent="0.3">
      <c r="B166" s="112" t="s">
        <v>53</v>
      </c>
      <c r="C166" s="113" t="s">
        <v>54</v>
      </c>
      <c r="D166" s="113" t="s">
        <v>55</v>
      </c>
    </row>
    <row r="167" spans="2:8" hidden="1" x14ac:dyDescent="0.3">
      <c r="B167" s="114">
        <v>0</v>
      </c>
      <c r="C167" s="115">
        <f t="shared" ref="C167:C176" si="73">$C$162*$E$162*(B167/$E$109)^$C$163</f>
        <v>0</v>
      </c>
      <c r="D167" s="3">
        <f t="shared" ref="D167:D177" si="74">C167*20.885434273</f>
        <v>0</v>
      </c>
    </row>
    <row r="168" spans="2:8" hidden="1" x14ac:dyDescent="0.3">
      <c r="B168" s="114">
        <v>15</v>
      </c>
      <c r="C168" s="115">
        <f t="shared" si="73"/>
        <v>10.288526304541078</v>
      </c>
      <c r="D168" s="3">
        <f t="shared" si="74"/>
        <v>214.88033989952427</v>
      </c>
    </row>
    <row r="169" spans="2:8" hidden="1" x14ac:dyDescent="0.3">
      <c r="B169" s="114">
        <v>25</v>
      </c>
      <c r="C169" s="115">
        <f t="shared" si="73"/>
        <v>15.796780214792568</v>
      </c>
      <c r="D169" s="3">
        <f t="shared" si="74"/>
        <v>329.922614901077</v>
      </c>
    </row>
    <row r="170" spans="2:8" hidden="1" x14ac:dyDescent="0.3">
      <c r="B170" s="114">
        <v>75</v>
      </c>
      <c r="C170" s="115">
        <f t="shared" si="73"/>
        <v>39.724150125756935</v>
      </c>
      <c r="D170" s="3">
        <f t="shared" si="74"/>
        <v>829.65612650228127</v>
      </c>
    </row>
    <row r="171" spans="2:8" hidden="1" x14ac:dyDescent="0.3">
      <c r="B171" s="114">
        <v>150</v>
      </c>
      <c r="C171" s="115">
        <f t="shared" si="73"/>
        <v>71.07766828631614</v>
      </c>
      <c r="D171" s="3">
        <f t="shared" si="74"/>
        <v>1484.4879692719524</v>
      </c>
    </row>
    <row r="172" spans="2:8" hidden="1" x14ac:dyDescent="0.3">
      <c r="B172" s="114">
        <v>200</v>
      </c>
      <c r="C172" s="115">
        <f t="shared" si="73"/>
        <v>90.4907627691653</v>
      </c>
      <c r="D172" s="3">
        <f t="shared" si="74"/>
        <v>1889.9388781290374</v>
      </c>
    </row>
    <row r="173" spans="2:8" hidden="1" x14ac:dyDescent="0.3">
      <c r="B173" s="114">
        <v>300</v>
      </c>
      <c r="C173" s="115">
        <f t="shared" si="73"/>
        <v>127.17792358114865</v>
      </c>
      <c r="D173" s="3">
        <f t="shared" si="74"/>
        <v>2656.1661639306972</v>
      </c>
    </row>
    <row r="174" spans="2:8" hidden="1" x14ac:dyDescent="0.3">
      <c r="B174" s="114">
        <v>400</v>
      </c>
      <c r="C174" s="115">
        <f t="shared" si="73"/>
        <v>161.91340528924408</v>
      </c>
      <c r="D174" s="3">
        <f t="shared" si="74"/>
        <v>3381.6317840861179</v>
      </c>
    </row>
    <row r="175" spans="2:8" hidden="1" x14ac:dyDescent="0.3">
      <c r="B175" s="114">
        <v>500</v>
      </c>
      <c r="C175" s="115">
        <f t="shared" si="73"/>
        <v>195.26622642723584</v>
      </c>
      <c r="D175" s="3">
        <f t="shared" si="74"/>
        <v>4078.2199377827701</v>
      </c>
    </row>
    <row r="176" spans="2:8" hidden="1" x14ac:dyDescent="0.3">
      <c r="B176" s="114">
        <v>600</v>
      </c>
      <c r="C176" s="115">
        <f t="shared" si="73"/>
        <v>227.55704620555687</v>
      </c>
      <c r="D176" s="3">
        <f t="shared" si="74"/>
        <v>4752.6277318841821</v>
      </c>
    </row>
    <row r="177" spans="2:4" hidden="1" x14ac:dyDescent="0.3">
      <c r="B177" s="114">
        <v>700</v>
      </c>
      <c r="C177" s="115">
        <f>$C$162*$E$162*(B177/$E$162)^$C$163</f>
        <v>258.99064908869946</v>
      </c>
      <c r="D177" s="3">
        <f t="shared" si="74"/>
        <v>5409.1321788636405</v>
      </c>
    </row>
    <row r="178" spans="2:4" hidden="1" x14ac:dyDescent="0.3"/>
    <row r="179" spans="2:4" hidden="1" x14ac:dyDescent="0.3"/>
    <row r="180" spans="2:4" hidden="1" x14ac:dyDescent="0.3"/>
    <row r="181" spans="2:4" hidden="1" x14ac:dyDescent="0.3"/>
  </sheetData>
  <sheetProtection algorithmName="SHA-512" hashValue="dCIsUuqxa72wl3sF4+lgGN70+jx0e7aePrh30Mw5hmu4XVjsa7ohpDm1uDmQVCz2+3Xe9szLiHvG9ykVNx68Cw==" saltValue="Lzzivc8ceI59FJ1TXfbNHA==" spinCount="100000" sheet="1" objects="1" scenarios="1" selectLockedCells="1"/>
  <mergeCells count="57">
    <mergeCell ref="K72:N73"/>
    <mergeCell ref="K74:L74"/>
    <mergeCell ref="B165:H165"/>
    <mergeCell ref="B91:H91"/>
    <mergeCell ref="B112:H112"/>
    <mergeCell ref="B129:H129"/>
    <mergeCell ref="B134:C134"/>
    <mergeCell ref="D134:E134"/>
    <mergeCell ref="G134:H134"/>
    <mergeCell ref="C74:I80"/>
    <mergeCell ref="O50:R50"/>
    <mergeCell ref="U56:X57"/>
    <mergeCell ref="U58:V58"/>
    <mergeCell ref="D87:E87"/>
    <mergeCell ref="K55:O55"/>
    <mergeCell ref="P56:S57"/>
    <mergeCell ref="P72:S73"/>
    <mergeCell ref="P58:Q58"/>
    <mergeCell ref="P74:Q74"/>
    <mergeCell ref="F83:G83"/>
    <mergeCell ref="D84:E84"/>
    <mergeCell ref="D85:E85"/>
    <mergeCell ref="D86:E86"/>
    <mergeCell ref="W7:Y7"/>
    <mergeCell ref="K56:N57"/>
    <mergeCell ref="K58:L58"/>
    <mergeCell ref="B26:B27"/>
    <mergeCell ref="C30:E30"/>
    <mergeCell ref="G30:I30"/>
    <mergeCell ref="B41:W41"/>
    <mergeCell ref="B43:V43"/>
    <mergeCell ref="B44:B46"/>
    <mergeCell ref="C44:F44"/>
    <mergeCell ref="G44:J44"/>
    <mergeCell ref="K44:N44"/>
    <mergeCell ref="O44:R44"/>
    <mergeCell ref="B24:B25"/>
    <mergeCell ref="B2:U2"/>
    <mergeCell ref="B3:C3"/>
    <mergeCell ref="E3:I3"/>
    <mergeCell ref="J3:O3"/>
    <mergeCell ref="P3:U3"/>
    <mergeCell ref="B12:H12"/>
    <mergeCell ref="K12:O12"/>
    <mergeCell ref="Q12:T12"/>
    <mergeCell ref="B13:B14"/>
    <mergeCell ref="B15:B16"/>
    <mergeCell ref="B17:B19"/>
    <mergeCell ref="B21:H21"/>
    <mergeCell ref="B22:B23"/>
    <mergeCell ref="U72:X73"/>
    <mergeCell ref="U74:V74"/>
    <mergeCell ref="B49:V49"/>
    <mergeCell ref="B50:B52"/>
    <mergeCell ref="C50:F50"/>
    <mergeCell ref="G50:J50"/>
    <mergeCell ref="K50:N50"/>
  </mergeCells>
  <phoneticPr fontId="28" type="noConversion"/>
  <hyperlinks>
    <hyperlink ref="W7" r:id="rId1" xr:uid="{FB13C3FC-5E02-464E-8009-585444B8819B}"/>
  </hyperlinks>
  <pageMargins left="0.7" right="0.7" top="0.75" bottom="0.75" header="0.3" footer="0.3"/>
  <pageSetup orientation="portrait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8C20-0CAF-498D-B878-72B9181CE8EC}">
  <sheetPr codeName="Sheet4"/>
  <dimension ref="A1:Z161"/>
  <sheetViews>
    <sheetView zoomScale="70" zoomScaleNormal="70" workbookViewId="0">
      <selection activeCell="B5" sqref="B5"/>
    </sheetView>
  </sheetViews>
  <sheetFormatPr defaultColWidth="8.88671875" defaultRowHeight="14.4" x14ac:dyDescent="0.3"/>
  <cols>
    <col min="1" max="1" width="1.88671875" style="3" customWidth="1"/>
    <col min="2" max="2" width="10.109375" style="3" customWidth="1"/>
    <col min="3" max="3" width="23.88671875" style="3" customWidth="1"/>
    <col min="4" max="25" width="11.6640625" style="3" customWidth="1"/>
    <col min="26" max="16384" width="8.88671875" style="3"/>
  </cols>
  <sheetData>
    <row r="1" spans="1:25" ht="30" customHeight="1" x14ac:dyDescent="0.3">
      <c r="A1" s="2"/>
      <c r="B1" s="123" t="s">
        <v>105</v>
      </c>
      <c r="C1" s="123"/>
      <c r="D1" s="123"/>
      <c r="E1" s="123"/>
      <c r="F1" s="123"/>
      <c r="G1" s="123"/>
      <c r="H1" s="123"/>
      <c r="I1" s="123"/>
      <c r="J1" s="123"/>
      <c r="K1" s="123"/>
      <c r="L1" s="154"/>
      <c r="M1" s="123"/>
      <c r="N1" s="153"/>
      <c r="O1" s="124"/>
      <c r="P1" s="153" t="s">
        <v>87</v>
      </c>
      <c r="Q1" s="124"/>
      <c r="R1" s="2"/>
      <c r="S1" s="2"/>
      <c r="T1" s="2"/>
      <c r="U1" s="2"/>
      <c r="V1" s="153"/>
      <c r="W1" s="153"/>
      <c r="X1" s="2"/>
      <c r="Y1" s="2"/>
    </row>
    <row r="2" spans="1:25" ht="19.5" customHeight="1" x14ac:dyDescent="0.4">
      <c r="A2" s="2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317"/>
      <c r="S2" s="317"/>
      <c r="T2" s="317"/>
      <c r="U2" s="2"/>
      <c r="V2" s="2"/>
      <c r="W2" s="2"/>
      <c r="X2" s="2"/>
      <c r="Y2" s="2"/>
    </row>
    <row r="3" spans="1:25" ht="18.75" customHeight="1" x14ac:dyDescent="0.4">
      <c r="A3" s="2"/>
      <c r="B3" s="161" t="s">
        <v>0</v>
      </c>
      <c r="C3" s="125"/>
      <c r="D3" s="302" t="s">
        <v>1</v>
      </c>
      <c r="E3" s="303"/>
      <c r="F3" s="303"/>
      <c r="G3" s="303"/>
      <c r="H3" s="304"/>
      <c r="I3" s="305" t="s">
        <v>2</v>
      </c>
      <c r="J3" s="306"/>
      <c r="K3" s="306"/>
      <c r="L3" s="306"/>
      <c r="M3" s="306"/>
      <c r="N3" s="307"/>
      <c r="O3" s="305" t="s">
        <v>3</v>
      </c>
      <c r="P3" s="306"/>
      <c r="Q3" s="306"/>
      <c r="R3" s="306"/>
      <c r="S3" s="306"/>
      <c r="T3" s="307"/>
      <c r="U3" s="2"/>
      <c r="V3" s="2"/>
      <c r="W3" s="2"/>
      <c r="X3" s="2"/>
      <c r="Y3" s="2"/>
    </row>
    <row r="4" spans="1:25" ht="17.25" customHeight="1" x14ac:dyDescent="0.3">
      <c r="A4" s="2"/>
      <c r="B4" s="126" t="s">
        <v>6</v>
      </c>
      <c r="C4" s="127" t="s">
        <v>7</v>
      </c>
      <c r="D4" s="128" t="s">
        <v>8</v>
      </c>
      <c r="E4" s="129" t="s">
        <v>9</v>
      </c>
      <c r="F4" s="128" t="s">
        <v>10</v>
      </c>
      <c r="G4" s="129" t="s">
        <v>11</v>
      </c>
      <c r="H4" s="129" t="s">
        <v>12</v>
      </c>
      <c r="I4" s="130">
        <v>0</v>
      </c>
      <c r="J4" s="130">
        <v>12</v>
      </c>
      <c r="K4" s="130">
        <v>50</v>
      </c>
      <c r="L4" s="130">
        <v>100</v>
      </c>
      <c r="M4" s="130">
        <v>400</v>
      </c>
      <c r="N4" s="130">
        <v>700</v>
      </c>
      <c r="O4" s="130">
        <v>0</v>
      </c>
      <c r="P4" s="130">
        <f>J4*20.89</f>
        <v>250.68</v>
      </c>
      <c r="Q4" s="130">
        <f t="shared" ref="Q4:T9" si="0">K4*20.89</f>
        <v>1044.5</v>
      </c>
      <c r="R4" s="130">
        <f t="shared" si="0"/>
        <v>2089</v>
      </c>
      <c r="S4" s="130">
        <f t="shared" si="0"/>
        <v>8356</v>
      </c>
      <c r="T4" s="130">
        <f t="shared" si="0"/>
        <v>14623</v>
      </c>
      <c r="U4" s="2"/>
      <c r="V4" s="2"/>
      <c r="W4" s="424"/>
      <c r="X4" s="424"/>
      <c r="Y4" s="424"/>
    </row>
    <row r="5" spans="1:25" ht="21" customHeight="1" x14ac:dyDescent="0.35">
      <c r="A5" s="2"/>
      <c r="B5" s="237">
        <v>20</v>
      </c>
      <c r="C5" s="257" t="s">
        <v>104</v>
      </c>
      <c r="D5" s="258" t="s">
        <v>14</v>
      </c>
      <c r="E5" s="259">
        <f>M65</f>
        <v>23.583059681822888</v>
      </c>
      <c r="F5" s="259">
        <f>M66</f>
        <v>23.414775891590953</v>
      </c>
      <c r="G5" s="259">
        <f>M69</f>
        <v>23.080975693835381</v>
      </c>
      <c r="H5" s="259">
        <f>M70</f>
        <v>22.947274288307966</v>
      </c>
      <c r="I5" s="259">
        <v>0</v>
      </c>
      <c r="J5" s="260" t="s">
        <v>14</v>
      </c>
      <c r="K5" s="259">
        <f>IF(E5="NA", "NA", $K$4*TAN(RADIANS(E5)))</f>
        <v>21.826860228513606</v>
      </c>
      <c r="L5" s="259">
        <f t="shared" ref="L5" si="1">IF(F5="NA", "NA", $L$4*TAN(RADIANS(F5)))</f>
        <v>43.30448571891214</v>
      </c>
      <c r="M5" s="259">
        <f t="shared" ref="M5" si="2">IF(G5="NA", "NA", $M$4*TAN(RADIANS(G5)))</f>
        <v>170.45750257650184</v>
      </c>
      <c r="N5" s="259">
        <f t="shared" ref="N5" si="3">IF(H5="NA", "NA", $N$4*TAN(RADIANS(H5)))</f>
        <v>296.37243676966801</v>
      </c>
      <c r="O5" s="278">
        <v>0</v>
      </c>
      <c r="P5" s="261" t="s">
        <v>14</v>
      </c>
      <c r="Q5" s="261">
        <f t="shared" si="0"/>
        <v>455.96311017364923</v>
      </c>
      <c r="R5" s="261">
        <f t="shared" si="0"/>
        <v>904.63070666807459</v>
      </c>
      <c r="S5" s="261">
        <f t="shared" si="0"/>
        <v>3560.8572288231235</v>
      </c>
      <c r="T5" s="261">
        <f>N5*20.89</f>
        <v>6191.2202041183646</v>
      </c>
      <c r="U5" s="2"/>
      <c r="V5" s="2"/>
      <c r="W5" s="424"/>
      <c r="X5" s="424"/>
      <c r="Y5" s="424"/>
    </row>
    <row r="6" spans="1:25" ht="21" customHeight="1" x14ac:dyDescent="0.35">
      <c r="A6" s="2"/>
      <c r="B6" s="162"/>
      <c r="C6" s="214" t="s">
        <v>13</v>
      </c>
      <c r="D6" s="180" t="s">
        <v>14</v>
      </c>
      <c r="E6" s="181">
        <f>R65</f>
        <v>23.378027405362683</v>
      </c>
      <c r="F6" s="181">
        <f>R66</f>
        <v>22.453438601321924</v>
      </c>
      <c r="G6" s="181">
        <f>R69</f>
        <v>20.691188078290562</v>
      </c>
      <c r="H6" s="181">
        <f>R70</f>
        <v>20.012486828452708</v>
      </c>
      <c r="I6" s="183">
        <v>0</v>
      </c>
      <c r="J6" s="182" t="s">
        <v>14</v>
      </c>
      <c r="K6" s="183">
        <f>IF(E6="NA", "NA", $K$4*TAN(RADIANS(E6)))</f>
        <v>21.614170474674346</v>
      </c>
      <c r="L6" s="183">
        <f>IF(F6="NA", "NA", $L$4*TAN(RADIANS(F6)))</f>
        <v>41.326180417661192</v>
      </c>
      <c r="M6" s="183">
        <f>IF(G6="NA", "NA", $M$4*TAN(RADIANS(G6)))</f>
        <v>151.07710603558326</v>
      </c>
      <c r="N6" s="183">
        <f>IF(H6="NA", "NA", $N$4*TAN(RADIANS(H6)))</f>
        <v>254.95194275616103</v>
      </c>
      <c r="O6" s="279">
        <v>0</v>
      </c>
      <c r="P6" s="184" t="s">
        <v>14</v>
      </c>
      <c r="Q6" s="184">
        <f>K6*20.89</f>
        <v>451.52002121594711</v>
      </c>
      <c r="R6" s="184">
        <f>L6*20.89</f>
        <v>863.30390892494233</v>
      </c>
      <c r="S6" s="184">
        <f>M6*20.89</f>
        <v>3156.0007450833341</v>
      </c>
      <c r="T6" s="184">
        <f>N6*20.89</f>
        <v>5325.9460841762038</v>
      </c>
      <c r="U6" s="2"/>
      <c r="V6" s="2"/>
      <c r="W6" s="424"/>
      <c r="X6" s="424"/>
      <c r="Y6" s="424"/>
    </row>
    <row r="7" spans="1:25" ht="21" customHeight="1" x14ac:dyDescent="0.55000000000000004">
      <c r="A7" s="2"/>
      <c r="B7" s="162"/>
      <c r="C7" s="185" t="s">
        <v>95</v>
      </c>
      <c r="D7" s="186" t="s">
        <v>14</v>
      </c>
      <c r="E7" s="187">
        <f>W65</f>
        <v>23.125737368774356</v>
      </c>
      <c r="F7" s="187">
        <f>W66</f>
        <v>21.477535382207193</v>
      </c>
      <c r="G7" s="187">
        <f>W69</f>
        <v>18.467537713655425</v>
      </c>
      <c r="H7" s="187">
        <f>W70</f>
        <v>17.358197846520508</v>
      </c>
      <c r="I7" s="189">
        <v>0</v>
      </c>
      <c r="J7" s="188" t="s">
        <v>14</v>
      </c>
      <c r="K7" s="189">
        <f t="shared" ref="K7:K8" si="4">IF(E7="NA", "NA", $K$4*TAN(RADIANS(E7)))</f>
        <v>21.353358720987359</v>
      </c>
      <c r="L7" s="189">
        <f t="shared" ref="L7:L8" si="5">IF(F7="NA", "NA", $L$4*TAN(RADIANS(F7)))</f>
        <v>39.345762647185779</v>
      </c>
      <c r="M7" s="189">
        <f t="shared" ref="M7" si="6">IF(G7="NA", "NA", $M$4*TAN(RADIANS(G7)))</f>
        <v>133.58617393905851</v>
      </c>
      <c r="N7" s="189">
        <f t="shared" ref="N7" si="7">IF(H7="NA", "NA", $N$4*TAN(RADIANS(H7)))</f>
        <v>218.80596569670328</v>
      </c>
      <c r="O7" s="280">
        <v>0</v>
      </c>
      <c r="P7" s="190" t="s">
        <v>14</v>
      </c>
      <c r="Q7" s="190">
        <f t="shared" ref="Q7:Q8" si="8">K7*20.89</f>
        <v>446.07166368142595</v>
      </c>
      <c r="R7" s="190">
        <f t="shared" ref="R7:R8" si="9">L7*20.89</f>
        <v>821.93298169971092</v>
      </c>
      <c r="S7" s="190">
        <f t="shared" ref="S7:S8" si="10">M7*20.89</f>
        <v>2790.6151735869325</v>
      </c>
      <c r="T7" s="190">
        <f>N7*20.89</f>
        <v>4570.8566234041318</v>
      </c>
      <c r="U7" s="2"/>
      <c r="V7" s="339" t="s">
        <v>44</v>
      </c>
      <c r="W7" s="340"/>
      <c r="X7" s="340"/>
      <c r="Y7" s="424"/>
    </row>
    <row r="8" spans="1:25" ht="21" customHeight="1" x14ac:dyDescent="0.35">
      <c r="A8" s="2"/>
      <c r="B8" s="162"/>
      <c r="C8" s="275" t="s">
        <v>101</v>
      </c>
      <c r="D8" s="276">
        <f>D30-2.5</f>
        <v>30.842264128801638</v>
      </c>
      <c r="E8" s="276">
        <f>M49</f>
        <v>28.891010725421399</v>
      </c>
      <c r="F8" s="276">
        <f>M50</f>
        <v>27.966729421149736</v>
      </c>
      <c r="G8" s="276">
        <f>M53</f>
        <v>26.167620807614195</v>
      </c>
      <c r="H8" s="277" t="s">
        <v>14</v>
      </c>
      <c r="I8" s="276">
        <v>0</v>
      </c>
      <c r="J8" s="276">
        <f t="shared" ref="J8" si="11">IF(D8="NA", "NA", $J$4*TAN(RADIANS(D8)))</f>
        <v>7.165438299022016</v>
      </c>
      <c r="K8" s="276">
        <f t="shared" si="4"/>
        <v>27.591248609772435</v>
      </c>
      <c r="L8" s="276">
        <f t="shared" si="5"/>
        <v>53.096481311320773</v>
      </c>
      <c r="M8" s="276">
        <f t="shared" ref="M8" si="12">IF(G8="NA","NA",$M$4*TAN(RADIANS(G8)))</f>
        <v>196.54369758607893</v>
      </c>
      <c r="N8" s="276" t="s">
        <v>14</v>
      </c>
      <c r="O8" s="276">
        <f t="shared" ref="O8" si="13">I8*20.89</f>
        <v>0</v>
      </c>
      <c r="P8" s="276">
        <f t="shared" ref="P8" si="14">J8*20.89</f>
        <v>149.68600606656992</v>
      </c>
      <c r="Q8" s="276">
        <f t="shared" si="8"/>
        <v>576.38118345814621</v>
      </c>
      <c r="R8" s="276">
        <f t="shared" si="9"/>
        <v>1109.1854945934911</v>
      </c>
      <c r="S8" s="276">
        <f t="shared" si="10"/>
        <v>4105.797842573189</v>
      </c>
      <c r="T8" s="276" t="s">
        <v>14</v>
      </c>
      <c r="U8" s="2"/>
      <c r="V8" s="2"/>
      <c r="W8" s="424"/>
      <c r="X8" s="424"/>
      <c r="Y8" s="424"/>
    </row>
    <row r="9" spans="1:25" ht="21" customHeight="1" x14ac:dyDescent="0.35">
      <c r="A9" s="2"/>
      <c r="B9" s="162"/>
      <c r="C9" s="208" t="s">
        <v>15</v>
      </c>
      <c r="D9" s="209">
        <f>D17-2.5</f>
        <v>30.42894821489768</v>
      </c>
      <c r="E9" s="209">
        <f>R49</f>
        <v>27.774017300815228</v>
      </c>
      <c r="F9" s="209">
        <f>R50</f>
        <v>26.531271177656077</v>
      </c>
      <c r="G9" s="209">
        <f>R53</f>
        <v>24.14516424757598</v>
      </c>
      <c r="H9" s="210" t="s">
        <v>14</v>
      </c>
      <c r="I9" s="209">
        <v>0</v>
      </c>
      <c r="J9" s="209">
        <f>IF(D9="NA", "NA", $J$4*TAN(RADIANS(D9)))</f>
        <v>7.0485104285170284</v>
      </c>
      <c r="K9" s="209">
        <f>IF(E9="NA", "NA", $K$4*TAN(RADIANS(E9)))</f>
        <v>26.333039160348022</v>
      </c>
      <c r="L9" s="209">
        <f>IF(F9="NA", "NA", $L$4*TAN(RADIANS(F9)))</f>
        <v>49.926325183371667</v>
      </c>
      <c r="M9" s="209">
        <f>IF(G9="NA","NA",$M$4*TAN(RADIANS(G9)))</f>
        <v>179.30717800882965</v>
      </c>
      <c r="N9" s="209" t="s">
        <v>14</v>
      </c>
      <c r="O9" s="209">
        <f>I9*20.89</f>
        <v>0</v>
      </c>
      <c r="P9" s="209">
        <f t="shared" ref="P9" si="15">J9*20.89</f>
        <v>147.24338285172072</v>
      </c>
      <c r="Q9" s="209">
        <f t="shared" si="0"/>
        <v>550.0971880596702</v>
      </c>
      <c r="R9" s="209">
        <f t="shared" si="0"/>
        <v>1042.960933080634</v>
      </c>
      <c r="S9" s="209">
        <f t="shared" si="0"/>
        <v>3745.7269486044515</v>
      </c>
      <c r="T9" s="209" t="s">
        <v>14</v>
      </c>
      <c r="U9" s="2"/>
      <c r="V9" s="2"/>
      <c r="W9" s="424"/>
      <c r="X9" s="424"/>
      <c r="Y9" s="424"/>
    </row>
    <row r="10" spans="1:25" ht="21" customHeight="1" x14ac:dyDescent="0.35">
      <c r="A10" s="2"/>
      <c r="B10" s="162"/>
      <c r="C10" s="211" t="s">
        <v>96</v>
      </c>
      <c r="D10" s="212">
        <f>O17-2.5</f>
        <v>29.924377111731602</v>
      </c>
      <c r="E10" s="212">
        <f>W49</f>
        <v>26.59290696285877</v>
      </c>
      <c r="F10" s="212">
        <f>W50</f>
        <v>25.054162316735098</v>
      </c>
      <c r="G10" s="212">
        <f>W53</f>
        <v>22.14513284532298</v>
      </c>
      <c r="H10" s="213" t="s">
        <v>14</v>
      </c>
      <c r="I10" s="212">
        <v>0</v>
      </c>
      <c r="J10" s="212">
        <f t="shared" ref="J10" si="16">IF(D10="NA", "NA", $J$4*TAN(RADIANS(D10)))</f>
        <v>6.9071014039277276</v>
      </c>
      <c r="K10" s="212">
        <f t="shared" ref="K10" si="17">IF(E10="NA", "NA", $K$4*TAN(RADIANS(E10)))</f>
        <v>25.030393339238504</v>
      </c>
      <c r="L10" s="212">
        <f t="shared" ref="L10" si="18">IF(F10="NA", "NA", $L$4*TAN(RADIANS(F10)))</f>
        <v>46.745902783403778</v>
      </c>
      <c r="M10" s="212">
        <f t="shared" ref="M10" si="19">IF(G10="NA","NA",$M$4*TAN(RADIANS(G10)))</f>
        <v>162.79031363604278</v>
      </c>
      <c r="N10" s="212" t="s">
        <v>14</v>
      </c>
      <c r="O10" s="212">
        <f>I10*20.89</f>
        <v>0</v>
      </c>
      <c r="P10" s="212">
        <f t="shared" ref="P10" si="20">J10*20.89</f>
        <v>144.28934832805024</v>
      </c>
      <c r="Q10" s="212">
        <f t="shared" ref="Q10" si="21">K10*20.89</f>
        <v>522.88491685669237</v>
      </c>
      <c r="R10" s="212">
        <f t="shared" ref="R10" si="22">L10*20.89</f>
        <v>976.5219091453049</v>
      </c>
      <c r="S10" s="212">
        <f t="shared" ref="S10" si="23">M10*20.89</f>
        <v>3400.6896518569338</v>
      </c>
      <c r="T10" s="212" t="s">
        <v>14</v>
      </c>
      <c r="U10" s="2"/>
      <c r="V10" s="2"/>
      <c r="W10" s="2"/>
      <c r="X10" s="2"/>
      <c r="Y10" s="2"/>
    </row>
    <row r="11" spans="1:25" ht="17.25" hidden="1" customHeight="1" thickBot="1" x14ac:dyDescent="0.4">
      <c r="A11" s="2"/>
      <c r="D11" s="162"/>
      <c r="E11" s="162"/>
      <c r="F11" s="162"/>
      <c r="G11" s="162"/>
      <c r="H11" s="162"/>
      <c r="L11" s="238"/>
      <c r="M11" s="239"/>
      <c r="N11" s="240"/>
      <c r="O11" s="241"/>
      <c r="P11" s="242"/>
      <c r="Q11" s="2"/>
      <c r="R11" s="2"/>
      <c r="S11" s="2"/>
      <c r="T11" s="2"/>
      <c r="U11" s="2"/>
      <c r="V11" s="2"/>
      <c r="W11" s="2"/>
      <c r="X11" s="2"/>
      <c r="Y11" s="2"/>
    </row>
    <row r="12" spans="1:25" ht="18" hidden="1" x14ac:dyDescent="0.35">
      <c r="A12" s="2"/>
      <c r="B12" s="95">
        <f>IF($B$5&lt;15,"NA",IF($B$5&lt;=250,(-0.1155919163 * LN($B$5) + 0.9009033321),"NA"))</f>
        <v>0.5546208978781384</v>
      </c>
      <c r="C12" s="95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7),"NA"))</f>
        <v>0.9272094935635079</v>
      </c>
      <c r="D12" s="163"/>
      <c r="E12" s="248"/>
      <c r="F12" s="249"/>
      <c r="G12" s="249"/>
      <c r="H12" s="249"/>
      <c r="I12" s="249"/>
      <c r="J12" s="249"/>
      <c r="K12" s="250"/>
      <c r="L12" s="243"/>
      <c r="M12" s="95">
        <f>IF($B$5&lt;15,"NA",IF($B$5&lt;=250,(-0.1155919163 * LN($B$5) + 0.9009033321-0.0333333),"NA"))</f>
        <v>0.52128759787813839</v>
      </c>
      <c r="N12" s="95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7-0.02),"NA"))</f>
        <v>0.90720949356350788</v>
      </c>
      <c r="O12" s="163"/>
      <c r="P12" s="248"/>
      <c r="Q12" s="249"/>
      <c r="R12" s="249"/>
      <c r="S12" s="249"/>
      <c r="T12" s="249"/>
      <c r="U12" s="249"/>
      <c r="V12" s="250"/>
      <c r="W12" s="2"/>
      <c r="X12" s="95"/>
      <c r="Y12" s="95"/>
    </row>
    <row r="13" spans="1:25" ht="18" hidden="1" x14ac:dyDescent="0.3">
      <c r="A13" s="2"/>
      <c r="B13" s="176" t="s">
        <v>34</v>
      </c>
      <c r="C13" s="96" t="s">
        <v>35</v>
      </c>
      <c r="D13" s="177" t="s">
        <v>36</v>
      </c>
      <c r="E13" s="96"/>
      <c r="F13" s="246"/>
      <c r="G13" s="246"/>
      <c r="H13" s="246"/>
      <c r="I13" s="247"/>
      <c r="J13" s="247" t="s">
        <v>33</v>
      </c>
      <c r="K13" s="251" t="s">
        <v>32</v>
      </c>
      <c r="L13" s="243"/>
      <c r="M13" s="176" t="s">
        <v>34</v>
      </c>
      <c r="N13" s="96" t="s">
        <v>35</v>
      </c>
      <c r="O13" s="177" t="s">
        <v>36</v>
      </c>
      <c r="P13" s="96"/>
      <c r="Q13" s="246"/>
      <c r="R13" s="246"/>
      <c r="S13" s="246"/>
      <c r="T13" s="247"/>
      <c r="U13" s="247" t="s">
        <v>33</v>
      </c>
      <c r="V13" s="251" t="s">
        <v>32</v>
      </c>
      <c r="W13" s="2"/>
      <c r="X13" s="176"/>
      <c r="Y13" s="96"/>
    </row>
    <row r="14" spans="1:25" hidden="1" x14ac:dyDescent="0.3">
      <c r="A14" s="2"/>
      <c r="B14" s="203">
        <v>0</v>
      </c>
      <c r="C14" s="204">
        <v>0</v>
      </c>
      <c r="D14" s="204">
        <v>0</v>
      </c>
      <c r="E14" s="165"/>
      <c r="F14" s="165" t="s">
        <v>83</v>
      </c>
      <c r="G14" s="165" t="s">
        <v>84</v>
      </c>
      <c r="H14" s="246" t="s">
        <v>85</v>
      </c>
      <c r="I14" s="246" t="s">
        <v>86</v>
      </c>
      <c r="J14" s="165">
        <f>(SUM(J15:J23))/(SUM(K15:K23))</f>
        <v>0.92314093392410634</v>
      </c>
      <c r="K14" s="252">
        <f>10^(I15-(J14*H15))</f>
        <v>0.49862208974160849</v>
      </c>
      <c r="L14" s="243"/>
      <c r="M14" s="206">
        <v>0</v>
      </c>
      <c r="N14" s="207">
        <v>0</v>
      </c>
      <c r="O14" s="207">
        <v>0</v>
      </c>
      <c r="P14" s="165"/>
      <c r="Q14" s="165" t="s">
        <v>83</v>
      </c>
      <c r="R14" s="165" t="s">
        <v>84</v>
      </c>
      <c r="S14" s="246" t="s">
        <v>85</v>
      </c>
      <c r="T14" s="246" t="s">
        <v>86</v>
      </c>
      <c r="U14" s="165">
        <f>(SUM(U15:U23))/(SUM(V15:V23))</f>
        <v>0.9015104481137387</v>
      </c>
      <c r="V14" s="252">
        <f>10^(T15-(U14*S15))</f>
        <v>0.46658914865399043</v>
      </c>
      <c r="W14" s="2"/>
      <c r="X14" s="206"/>
      <c r="Y14" s="207"/>
    </row>
    <row r="15" spans="1:25" hidden="1" x14ac:dyDescent="0.3">
      <c r="A15" s="2"/>
      <c r="B15" s="203">
        <v>5</v>
      </c>
      <c r="C15" s="204">
        <f>B$12*101*(B15/101)^C$12</f>
        <v>3.4513056401743762</v>
      </c>
      <c r="D15" s="204">
        <f t="shared" ref="D15:D16" si="24">DEGREES(ATAN(C15/B15))</f>
        <v>34.615810168613265</v>
      </c>
      <c r="E15" s="165">
        <f>B15*TAN(RADIANS(D15-2.5))</f>
        <v>3.138417033849989</v>
      </c>
      <c r="F15" s="165">
        <f>LOG(E15/101)</f>
        <v>-1.5076107215087988</v>
      </c>
      <c r="G15" s="165">
        <f t="shared" ref="G15:G16" si="25">LOG(B15/101)</f>
        <v>-1.3053513694466237</v>
      </c>
      <c r="H15" s="165">
        <f>AVERAGE(G15:G23)</f>
        <v>-0.30929109543783073</v>
      </c>
      <c r="I15" s="165">
        <f>AVERAGE(F15:F23)</f>
        <v>-0.58774775617538066</v>
      </c>
      <c r="J15" s="165">
        <f>(G15-H15)*(F15-I15)</f>
        <v>0.91623895730054528</v>
      </c>
      <c r="K15" s="252">
        <f>(G15-H15)^2</f>
        <v>0.99213606945847166</v>
      </c>
      <c r="L15" s="244"/>
      <c r="M15" s="206">
        <v>5</v>
      </c>
      <c r="N15" s="207">
        <f>M$12*101*(M15/101)^N$12</f>
        <v>3.4448602762870264</v>
      </c>
      <c r="O15" s="207">
        <f t="shared" ref="O15:O16" si="26">DEGREES(ATAN(N15/M15))</f>
        <v>34.5657560340019</v>
      </c>
      <c r="P15" s="165">
        <f>M15*TAN(RADIANS(O15-2.5))</f>
        <v>3.1323313706344975</v>
      </c>
      <c r="Q15" s="165">
        <f>LOG(P15/101)</f>
        <v>-1.5084536737730203</v>
      </c>
      <c r="R15" s="165">
        <f t="shared" ref="R15:R16" si="27">LOG(M15/101)</f>
        <v>-1.3053513694466237</v>
      </c>
      <c r="S15" s="165">
        <f>AVERAGE(R15:R23)</f>
        <v>-0.30929109543783073</v>
      </c>
      <c r="T15" s="165">
        <f>AVERAGE(Q15:Q23)</f>
        <v>-0.60989451974766595</v>
      </c>
      <c r="U15" s="165">
        <f>(R15-S15)*(Q15-T15)</f>
        <v>0.89501907717160367</v>
      </c>
      <c r="V15" s="252">
        <f>(R15-S15)^2</f>
        <v>0.99213606945847166</v>
      </c>
      <c r="W15" s="2"/>
      <c r="X15" s="206"/>
      <c r="Y15" s="207"/>
    </row>
    <row r="16" spans="1:25" hidden="1" x14ac:dyDescent="0.3">
      <c r="A16" s="2"/>
      <c r="B16" s="203">
        <v>10</v>
      </c>
      <c r="C16" s="204">
        <f t="shared" ref="C16:C23" si="28">B$12*101*(B16/101)^C$12</f>
        <v>6.5629831766781468</v>
      </c>
      <c r="D16" s="204">
        <f t="shared" si="24"/>
        <v>33.276822986319388</v>
      </c>
      <c r="E16" s="165">
        <f t="shared" ref="E16" si="29">B16*TAN(RADIANS(D16-2.5))</f>
        <v>5.9557150937455265</v>
      </c>
      <c r="F16" s="165">
        <f t="shared" ref="F16" si="30">LOG(E16/101)</f>
        <v>-1.2293874597484529</v>
      </c>
      <c r="G16" s="165">
        <f t="shared" si="25"/>
        <v>-1.0043213737826426</v>
      </c>
      <c r="H16" s="165">
        <f>H15</f>
        <v>-0.30929109543783073</v>
      </c>
      <c r="I16" s="165">
        <f>I15</f>
        <v>-0.58774775617538066</v>
      </c>
      <c r="J16" s="165">
        <f t="shared" ref="J16" si="31">(G16-H16)*(F16-I16)</f>
        <v>0.44595902177147495</v>
      </c>
      <c r="K16" s="252">
        <f t="shared" ref="K16" si="32">(G16-H16)^2</f>
        <v>0.48306708781606672</v>
      </c>
      <c r="L16" s="244"/>
      <c r="M16" s="206">
        <v>10</v>
      </c>
      <c r="N16" s="207">
        <f t="shared" ref="N16:N23" si="33">M$12*101*(M16/101)^N$12</f>
        <v>6.4605409189757053</v>
      </c>
      <c r="O16" s="207">
        <f t="shared" si="26"/>
        <v>32.86464669483523</v>
      </c>
      <c r="P16" s="165">
        <f t="shared" ref="P16" si="34">M16*TAN(RADIANS(O16-2.5))</f>
        <v>5.8586739359987572</v>
      </c>
      <c r="Q16" s="165">
        <f t="shared" ref="Q16" si="35">LOG(P16/101)</f>
        <v>-1.2365220457251169</v>
      </c>
      <c r="R16" s="165">
        <f t="shared" si="27"/>
        <v>-1.0043213737826426</v>
      </c>
      <c r="S16" s="165">
        <f>S15</f>
        <v>-0.30929109543783073</v>
      </c>
      <c r="T16" s="165">
        <f>T15</f>
        <v>-0.60989451974766595</v>
      </c>
      <c r="U16" s="165">
        <f t="shared" ref="U16" si="36">(R16-S16)*(Q16-T16)</f>
        <v>0.43552510379862858</v>
      </c>
      <c r="V16" s="252">
        <f t="shared" ref="V16" si="37">(R16-S16)^2</f>
        <v>0.48306708781606672</v>
      </c>
      <c r="W16" s="2"/>
      <c r="X16" s="206"/>
      <c r="Y16" s="207"/>
    </row>
    <row r="17" spans="1:25" ht="18" hidden="1" x14ac:dyDescent="0.35">
      <c r="A17" s="2"/>
      <c r="B17" s="203">
        <v>12</v>
      </c>
      <c r="C17" s="204">
        <f t="shared" si="28"/>
        <v>7.7717512918595801</v>
      </c>
      <c r="D17" s="204">
        <f t="shared" ref="D17" si="38">DEGREES(ATAN(C17/B17))</f>
        <v>32.92894821489768</v>
      </c>
      <c r="E17" s="165">
        <f t="shared" ref="E17" si="39">B17*TAN(RADIANS(D17-2.5))</f>
        <v>7.0485104285170284</v>
      </c>
      <c r="F17" s="165">
        <f t="shared" ref="F17" si="40">LOG(E17/101)</f>
        <v>-1.1562240271497002</v>
      </c>
      <c r="G17" s="165">
        <f t="shared" ref="G17" si="41">LOG(B17/101)</f>
        <v>-0.92514012773501775</v>
      </c>
      <c r="H17" s="165">
        <f>H16</f>
        <v>-0.30929109543783073</v>
      </c>
      <c r="I17" s="165">
        <f>I16</f>
        <v>-0.58774775617538066</v>
      </c>
      <c r="J17" s="165">
        <f t="shared" ref="J17" si="42">(G17-H17)*(F17-I17)</f>
        <v>0.35009556136344816</v>
      </c>
      <c r="K17" s="252">
        <f t="shared" ref="K17" si="43">(G17-H17)^2</f>
        <v>0.3792700305813817</v>
      </c>
      <c r="L17" s="245"/>
      <c r="M17" s="206">
        <v>12</v>
      </c>
      <c r="N17" s="207">
        <f t="shared" si="33"/>
        <v>7.6225952452654431</v>
      </c>
      <c r="O17" s="207">
        <f t="shared" ref="O17" si="44">DEGREES(ATAN(N17/M17))</f>
        <v>32.424377111731602</v>
      </c>
      <c r="P17" s="165">
        <f t="shared" ref="P17" si="45">M17*TAN(RADIANS(O17-2.5))</f>
        <v>6.9071014039277276</v>
      </c>
      <c r="Q17" s="165">
        <f t="shared" ref="Q17" si="46">LOG(P17/101)</f>
        <v>-1.1650255418038618</v>
      </c>
      <c r="R17" s="165">
        <f t="shared" ref="R17" si="47">LOG(M17/101)</f>
        <v>-0.92514012773501775</v>
      </c>
      <c r="S17" s="165">
        <f>S16</f>
        <v>-0.30929109543783073</v>
      </c>
      <c r="T17" s="165">
        <f>T16</f>
        <v>-0.60989451974766595</v>
      </c>
      <c r="U17" s="165">
        <f t="shared" ref="U17" si="48">(R17-S17)*(Q17-T17)</f>
        <v>0.34187690273145654</v>
      </c>
      <c r="V17" s="252">
        <f t="shared" ref="V17" si="49">(R17-S17)^2</f>
        <v>0.3792700305813817</v>
      </c>
      <c r="W17" s="2"/>
      <c r="X17" s="206"/>
      <c r="Y17" s="207"/>
    </row>
    <row r="18" spans="1:25" hidden="1" x14ac:dyDescent="0.3">
      <c r="A18" s="2"/>
      <c r="B18" s="203">
        <v>25</v>
      </c>
      <c r="C18" s="204">
        <f t="shared" si="28"/>
        <v>15.34882183377904</v>
      </c>
      <c r="D18" s="204">
        <f t="shared" ref="D18:D23" si="50">DEGREES(ATAN(C18/B18))</f>
        <v>31.547964051232764</v>
      </c>
      <c r="E18" s="165">
        <f t="shared" ref="E18" si="51">B18*TAN(RADIANS(D18-2.5))</f>
        <v>13.885097647187864</v>
      </c>
      <c r="F18" s="165">
        <f t="shared" ref="F18" si="52">LOG(E18/101)</f>
        <v>-0.86177243550221805</v>
      </c>
      <c r="G18" s="165">
        <f t="shared" ref="G18" si="53">LOG(B18/101)</f>
        <v>-0.60638136511060492</v>
      </c>
      <c r="H18" s="165">
        <f>H16</f>
        <v>-0.30929109543783073</v>
      </c>
      <c r="I18" s="165">
        <f>I16</f>
        <v>-0.58774775617538066</v>
      </c>
      <c r="J18" s="165">
        <f t="shared" ref="J18" si="54">(G18-H18)*(F18-I18)</f>
        <v>8.1410065878205581E-2</v>
      </c>
      <c r="K18" s="252">
        <f t="shared" ref="K18" si="55">(G18-H18)^2</f>
        <v>8.8262628334241686E-2</v>
      </c>
      <c r="L18" s="243"/>
      <c r="M18" s="206">
        <v>25</v>
      </c>
      <c r="N18" s="207">
        <f t="shared" si="33"/>
        <v>14.834873086440254</v>
      </c>
      <c r="O18" s="207">
        <f t="shared" ref="O18:O23" si="56">DEGREES(ATAN(N18/M18))</f>
        <v>30.684678579774769</v>
      </c>
      <c r="P18" s="165">
        <f t="shared" ref="P18:P23" si="57">M18*TAN(RADIANS(O18-2.5))</f>
        <v>13.39627634961019</v>
      </c>
      <c r="Q18" s="165">
        <f t="shared" ref="Q18:Q23" si="58">LOG(P18/101)</f>
        <v>-0.87733727583203736</v>
      </c>
      <c r="R18" s="165">
        <f t="shared" ref="R18:R23" si="59">LOG(M18/101)</f>
        <v>-0.60638136511060492</v>
      </c>
      <c r="S18" s="165">
        <f>S16</f>
        <v>-0.30929109543783073</v>
      </c>
      <c r="T18" s="165">
        <f>T16</f>
        <v>-0.60989451974766595</v>
      </c>
      <c r="U18" s="165">
        <f t="shared" ref="U18:U23" si="60">(R18-S18)*(Q18-T18)</f>
        <v>7.945464052713587E-2</v>
      </c>
      <c r="V18" s="252">
        <f t="shared" ref="V18:V23" si="61">(R18-S18)^2</f>
        <v>8.8262628334241686E-2</v>
      </c>
      <c r="W18" s="2"/>
      <c r="X18" s="206"/>
      <c r="Y18" s="207"/>
    </row>
    <row r="19" spans="1:25" hidden="1" x14ac:dyDescent="0.3">
      <c r="A19" s="2"/>
      <c r="B19" s="203">
        <v>50</v>
      </c>
      <c r="C19" s="204">
        <f>B$12*101*(B19/101)^C$12</f>
        <v>29.187232305462359</v>
      </c>
      <c r="D19" s="204">
        <f t="shared" si="50"/>
        <v>30.274017300815228</v>
      </c>
      <c r="E19" s="165">
        <f>B19*TAN(RADIANS(D19-2.5))</f>
        <v>26.333039160348022</v>
      </c>
      <c r="F19" s="165">
        <f t="shared" ref="F19" si="62">LOG(E19/101)</f>
        <v>-0.58382038879735154</v>
      </c>
      <c r="G19" s="165">
        <f t="shared" ref="G19" si="63">LOG(B19/101)</f>
        <v>-0.30535136944662378</v>
      </c>
      <c r="H19" s="165">
        <f>H16</f>
        <v>-0.30929109543783073</v>
      </c>
      <c r="I19" s="165">
        <f>I16</f>
        <v>-0.58774775617538066</v>
      </c>
      <c r="J19" s="165">
        <f t="shared" ref="J19" si="64">(G19-H19)*(F19-I19)</f>
        <v>1.5472751336239647E-5</v>
      </c>
      <c r="K19" s="252">
        <f t="shared" ref="K19" si="65">(G19-H19)^2</f>
        <v>1.5521440885791623E-5</v>
      </c>
      <c r="L19" s="243"/>
      <c r="M19" s="206">
        <v>50</v>
      </c>
      <c r="N19" s="207">
        <f>M$12*101*(M19/101)^N$12</f>
        <v>27.821536119328268</v>
      </c>
      <c r="O19" s="207">
        <f t="shared" si="56"/>
        <v>29.09290696285877</v>
      </c>
      <c r="P19" s="165">
        <f t="shared" si="57"/>
        <v>25.030393339238504</v>
      </c>
      <c r="Q19" s="165">
        <f t="shared" si="58"/>
        <v>-0.60585369941538703</v>
      </c>
      <c r="R19" s="165">
        <f t="shared" si="59"/>
        <v>-0.30535136944662378</v>
      </c>
      <c r="S19" s="165">
        <f>S16</f>
        <v>-0.30929109543783073</v>
      </c>
      <c r="T19" s="165">
        <f>T16</f>
        <v>-0.60989451974766595</v>
      </c>
      <c r="U19" s="165">
        <f t="shared" si="60"/>
        <v>1.5919724888876814E-5</v>
      </c>
      <c r="V19" s="252">
        <f t="shared" si="61"/>
        <v>1.5521440885791623E-5</v>
      </c>
      <c r="W19" s="2"/>
      <c r="X19" s="206"/>
      <c r="Y19" s="207"/>
    </row>
    <row r="20" spans="1:25" hidden="1" x14ac:dyDescent="0.3">
      <c r="A20" s="2"/>
      <c r="B20" s="203">
        <v>100</v>
      </c>
      <c r="C20" s="204">
        <f t="shared" si="28"/>
        <v>55.502274954955304</v>
      </c>
      <c r="D20" s="204">
        <f t="shared" si="50"/>
        <v>29.031271177656077</v>
      </c>
      <c r="E20" s="165">
        <f>B20*TAN(RADIANS(D20-2.5))</f>
        <v>49.926325183371667</v>
      </c>
      <c r="F20" s="165">
        <f>LOG(E20/101)</f>
        <v>-0.30599177270484362</v>
      </c>
      <c r="G20" s="165">
        <f>LOG(B20/101)</f>
        <v>-4.3213737826425782E-3</v>
      </c>
      <c r="H20" s="165">
        <f>H16</f>
        <v>-0.30929109543783073</v>
      </c>
      <c r="I20" s="165">
        <f>I16</f>
        <v>-0.58774775617538066</v>
      </c>
      <c r="J20" s="165">
        <f>(G20-H20)*(F20-I20)</f>
        <v>8.5927043853693472E-2</v>
      </c>
      <c r="K20" s="252">
        <f>(G20-H20)^2</f>
        <v>9.3006531126442943E-2</v>
      </c>
      <c r="L20" s="243"/>
      <c r="M20" s="206">
        <v>100</v>
      </c>
      <c r="N20" s="207">
        <f t="shared" si="33"/>
        <v>52.176912301770408</v>
      </c>
      <c r="O20" s="207">
        <f t="shared" si="56"/>
        <v>27.554162316735098</v>
      </c>
      <c r="P20" s="165">
        <f t="shared" si="57"/>
        <v>46.745902783403778</v>
      </c>
      <c r="Q20" s="165">
        <f t="shared" si="58"/>
        <v>-0.33457782224335919</v>
      </c>
      <c r="R20" s="165">
        <f t="shared" si="59"/>
        <v>-4.3213737826425782E-3</v>
      </c>
      <c r="S20" s="165">
        <f t="shared" ref="S20:T20" si="66">S19</f>
        <v>-0.30929109543783073</v>
      </c>
      <c r="T20" s="165">
        <f t="shared" si="66"/>
        <v>-0.60989451974766595</v>
      </c>
      <c r="U20" s="165">
        <f t="shared" si="60"/>
        <v>8.3963256604914063E-2</v>
      </c>
      <c r="V20" s="252">
        <f t="shared" si="61"/>
        <v>9.3006531126442943E-2</v>
      </c>
      <c r="W20" s="2"/>
      <c r="X20" s="206"/>
      <c r="Y20" s="207"/>
    </row>
    <row r="21" spans="1:25" hidden="1" x14ac:dyDescent="0.3">
      <c r="A21" s="2"/>
      <c r="B21" s="203">
        <v>200</v>
      </c>
      <c r="C21" s="204">
        <f t="shared" si="28"/>
        <v>105.54281039517906</v>
      </c>
      <c r="D21" s="204">
        <f t="shared" si="50"/>
        <v>27.821240557493269</v>
      </c>
      <c r="E21" s="165">
        <f>B21*TAN(RADIANS(D21-2.5))</f>
        <v>94.630293196473374</v>
      </c>
      <c r="F21" s="165">
        <f>LOG(E21/101)</f>
        <v>-2.8291188099069928E-2</v>
      </c>
      <c r="G21" s="165">
        <f>LOG(B21/101)</f>
        <v>0.29670862188133862</v>
      </c>
      <c r="H21" s="165">
        <f t="shared" ref="H21:I23" si="67">H20</f>
        <v>-0.30929109543783073</v>
      </c>
      <c r="I21" s="165">
        <f t="shared" si="67"/>
        <v>-0.58774775617538066</v>
      </c>
      <c r="J21" s="165">
        <f>(G21-H21)*(F21-I21)</f>
        <v>0.3390305221065969</v>
      </c>
      <c r="K21" s="252">
        <f>(G21-H21)^2</f>
        <v>0.36723565739091318</v>
      </c>
      <c r="L21" s="243"/>
      <c r="M21" s="206">
        <v>200</v>
      </c>
      <c r="N21" s="207">
        <f t="shared" si="33"/>
        <v>97.853337992193218</v>
      </c>
      <c r="O21" s="207">
        <f t="shared" si="56"/>
        <v>26.070963401043922</v>
      </c>
      <c r="P21" s="165">
        <f t="shared" si="57"/>
        <v>87.257175158105298</v>
      </c>
      <c r="Q21" s="165">
        <f t="shared" si="58"/>
        <v>-6.3520224644850368E-2</v>
      </c>
      <c r="R21" s="165">
        <f t="shared" si="59"/>
        <v>0.29670862188133862</v>
      </c>
      <c r="S21" s="165">
        <f t="shared" ref="S21:T21" si="68">S20</f>
        <v>-0.30929109543783073</v>
      </c>
      <c r="T21" s="165">
        <f t="shared" si="68"/>
        <v>-0.60989451974766595</v>
      </c>
      <c r="U21" s="165">
        <f t="shared" si="60"/>
        <v>0.33110266838276664</v>
      </c>
      <c r="V21" s="252">
        <f t="shared" si="61"/>
        <v>0.36723565739091318</v>
      </c>
      <c r="W21" s="2"/>
      <c r="X21" s="206"/>
      <c r="Y21" s="207"/>
    </row>
    <row r="22" spans="1:25" hidden="1" x14ac:dyDescent="0.3">
      <c r="A22" s="2"/>
      <c r="B22" s="203">
        <v>300</v>
      </c>
      <c r="C22" s="204">
        <f t="shared" si="28"/>
        <v>153.71000670997239</v>
      </c>
      <c r="D22" s="204">
        <f t="shared" si="50"/>
        <v>27.129090019067434</v>
      </c>
      <c r="E22" s="165">
        <f>B22*TAN(RADIANS(D22-2.5))</f>
        <v>137.53500891920666</v>
      </c>
      <c r="F22" s="165">
        <f>LOG(E22/101)</f>
        <v>0.13409188616681483</v>
      </c>
      <c r="G22" s="165">
        <f>LOG(B22/101)</f>
        <v>0.47279988093701986</v>
      </c>
      <c r="H22" s="165">
        <f t="shared" si="67"/>
        <v>-0.30929109543783073</v>
      </c>
      <c r="I22" s="165">
        <f t="shared" si="67"/>
        <v>-0.58774775617538066</v>
      </c>
      <c r="J22" s="165">
        <f>(G22-H22)*(F22-I22)</f>
        <v>0.56454427066548063</v>
      </c>
      <c r="K22" s="252">
        <f>(G22-H22)^2</f>
        <v>0.61166629532696715</v>
      </c>
      <c r="L22" s="243"/>
      <c r="M22" s="206">
        <v>300</v>
      </c>
      <c r="N22" s="207">
        <f>M$12*101*(M22/101)^N$12</f>
        <v>141.36025077179258</v>
      </c>
      <c r="O22" s="207">
        <f t="shared" si="56"/>
        <v>25.229852656185319</v>
      </c>
      <c r="P22" s="165">
        <f t="shared" si="57"/>
        <v>125.67641780708723</v>
      </c>
      <c r="Q22" s="165">
        <f t="shared" si="58"/>
        <v>9.4932419598839954E-2</v>
      </c>
      <c r="R22" s="165">
        <f t="shared" si="59"/>
        <v>0.47279988093701986</v>
      </c>
      <c r="S22" s="165">
        <f t="shared" ref="S22:T22" si="69">S21</f>
        <v>-0.30929109543783073</v>
      </c>
      <c r="T22" s="165">
        <f t="shared" si="69"/>
        <v>-0.60989451974766595</v>
      </c>
      <c r="U22" s="165">
        <f t="shared" si="60"/>
        <v>0.55123878916880642</v>
      </c>
      <c r="V22" s="252">
        <f t="shared" si="61"/>
        <v>0.61166629532696715</v>
      </c>
      <c r="W22" s="2"/>
      <c r="X22" s="206"/>
      <c r="Y22" s="207"/>
    </row>
    <row r="23" spans="1:25" hidden="1" x14ac:dyDescent="0.3">
      <c r="A23" s="2"/>
      <c r="B23" s="203">
        <v>400</v>
      </c>
      <c r="C23" s="204">
        <f t="shared" si="28"/>
        <v>200.6996079918016</v>
      </c>
      <c r="D23" s="204">
        <f t="shared" si="50"/>
        <v>26.64516424757598</v>
      </c>
      <c r="E23" s="165">
        <f>B23*TAN(RADIANS(D23-2.5))</f>
        <v>179.30717800882965</v>
      </c>
      <c r="F23" s="165">
        <f>LOG(E23/101)</f>
        <v>0.2492763017651945</v>
      </c>
      <c r="G23" s="165">
        <f>LOG(B23/101)</f>
        <v>0.59773861754531976</v>
      </c>
      <c r="H23" s="165">
        <f t="shared" si="67"/>
        <v>-0.30929109543783073</v>
      </c>
      <c r="I23" s="165">
        <f t="shared" si="67"/>
        <v>-0.58774775617538066</v>
      </c>
      <c r="J23" s="165">
        <f>(G23-H23)*(F23-I23)</f>
        <v>0.75920569103383184</v>
      </c>
      <c r="K23" s="252">
        <f>(G23-H23)^2</f>
        <v>0.82270290023429637</v>
      </c>
      <c r="L23" s="133"/>
      <c r="M23" s="206">
        <v>400</v>
      </c>
      <c r="N23" s="207">
        <f t="shared" si="33"/>
        <v>183.51556912442109</v>
      </c>
      <c r="O23" s="207">
        <f t="shared" si="56"/>
        <v>24.64513284532298</v>
      </c>
      <c r="P23" s="165">
        <f t="shared" si="57"/>
        <v>162.79031363604278</v>
      </c>
      <c r="Q23" s="165">
        <f t="shared" si="58"/>
        <v>0.20730718610979912</v>
      </c>
      <c r="R23" s="165">
        <f t="shared" si="59"/>
        <v>0.59773861754531976</v>
      </c>
      <c r="S23" s="165">
        <f t="shared" ref="S23:T23" si="70">S22</f>
        <v>-0.30929109543783073</v>
      </c>
      <c r="T23" s="165">
        <f t="shared" si="70"/>
        <v>-0.60989451974766595</v>
      </c>
      <c r="U23" s="165">
        <f t="shared" si="60"/>
        <v>0.74122622871323751</v>
      </c>
      <c r="V23" s="252">
        <f t="shared" si="61"/>
        <v>0.82270290023429637</v>
      </c>
      <c r="W23" s="2"/>
      <c r="X23" s="206"/>
      <c r="Y23" s="207"/>
    </row>
    <row r="24" spans="1:25" ht="21" hidden="1" customHeight="1" thickBot="1" x14ac:dyDescent="0.35">
      <c r="A24" s="2"/>
      <c r="L24" s="238"/>
      <c r="M24" s="239"/>
      <c r="N24" s="240"/>
      <c r="O24" s="241"/>
      <c r="P24" s="242"/>
      <c r="Q24" s="2"/>
      <c r="R24" s="2"/>
      <c r="S24" s="2"/>
      <c r="T24" s="2"/>
      <c r="U24" s="2"/>
      <c r="V24" s="2"/>
      <c r="W24" s="2"/>
      <c r="X24" s="2"/>
      <c r="Y24" s="2"/>
    </row>
    <row r="25" spans="1:25" ht="21" hidden="1" customHeight="1" x14ac:dyDescent="0.35">
      <c r="A25" s="2"/>
      <c r="B25" s="95">
        <f>IF($B$5&lt;15,"NA",IF($B$5&lt;=250,(-0.1155919163 * LN($B$5) + 0.9009033321+0.0333333),"NA"))</f>
        <v>0.58795419787813841</v>
      </c>
      <c r="C25" s="95">
        <f>IF($B$5&lt;15,"NA",IF($B$5&lt;=250,(1.01942688696052 - 0.0073472240400078 *$B$5 + 0.000178309220623747 *$B$5^ 2 - 2.38795286739483E-06 *$B$5^ 3 + 1.68890854353566E-08 *$B$5^ 4 - 6.33820210851731E-11 *$B$5^ 5 + 1.20443010803692E-13 *$B$5^ 6- 9.17672439667536E-17 *$B$5^ 7+0.02),"NA"))</f>
        <v>0.94720949356350792</v>
      </c>
      <c r="D25" s="163"/>
      <c r="E25" s="248"/>
      <c r="F25" s="249"/>
      <c r="G25" s="249"/>
      <c r="H25" s="249"/>
      <c r="I25" s="249"/>
      <c r="J25" s="249"/>
      <c r="K25" s="250"/>
      <c r="L25" s="243"/>
      <c r="M25" s="95"/>
      <c r="N25" s="95"/>
      <c r="O25" s="163"/>
      <c r="P25" s="248"/>
      <c r="Q25" s="249"/>
      <c r="R25" s="249"/>
      <c r="S25" s="249"/>
      <c r="T25" s="249"/>
      <c r="U25" s="249"/>
      <c r="V25" s="250"/>
      <c r="W25" s="2"/>
      <c r="X25" s="2"/>
      <c r="Y25" s="2"/>
    </row>
    <row r="26" spans="1:25" ht="21" hidden="1" customHeight="1" x14ac:dyDescent="0.3">
      <c r="A26" s="2"/>
      <c r="B26" s="176" t="s">
        <v>34</v>
      </c>
      <c r="C26" s="96" t="s">
        <v>35</v>
      </c>
      <c r="D26" s="177" t="s">
        <v>36</v>
      </c>
      <c r="E26" s="96"/>
      <c r="F26" s="246"/>
      <c r="G26" s="246"/>
      <c r="H26" s="246"/>
      <c r="I26" s="247"/>
      <c r="J26" s="247" t="s">
        <v>33</v>
      </c>
      <c r="K26" s="251" t="s">
        <v>32</v>
      </c>
      <c r="L26" s="243"/>
      <c r="M26" s="176"/>
      <c r="N26" s="96"/>
      <c r="O26" s="177"/>
      <c r="P26" s="96"/>
      <c r="Q26" s="246"/>
      <c r="R26" s="246"/>
      <c r="S26" s="246"/>
      <c r="T26" s="247"/>
      <c r="U26" s="247"/>
      <c r="V26" s="251"/>
      <c r="W26" s="2"/>
      <c r="X26" s="2"/>
      <c r="Y26" s="2"/>
    </row>
    <row r="27" spans="1:25" ht="21" hidden="1" customHeight="1" x14ac:dyDescent="0.3">
      <c r="A27" s="2"/>
      <c r="B27" s="206">
        <v>0</v>
      </c>
      <c r="C27" s="207">
        <v>0</v>
      </c>
      <c r="D27" s="204">
        <v>0</v>
      </c>
      <c r="E27" s="165"/>
      <c r="F27" s="165" t="s">
        <v>83</v>
      </c>
      <c r="G27" s="165" t="s">
        <v>84</v>
      </c>
      <c r="H27" s="246" t="s">
        <v>85</v>
      </c>
      <c r="I27" s="246" t="s">
        <v>86</v>
      </c>
      <c r="J27" s="165">
        <f>(SUM(J28:J36))/(SUM(K28:K36))</f>
        <v>0.94451728944739066</v>
      </c>
      <c r="K27" s="252">
        <f>10^(I28-(J27*H28))</f>
        <v>0.530531910108899</v>
      </c>
      <c r="L27" s="243"/>
      <c r="M27" s="206"/>
      <c r="N27" s="207"/>
      <c r="O27" s="207"/>
      <c r="P27" s="165"/>
      <c r="Q27" s="165"/>
      <c r="R27" s="165"/>
      <c r="S27" s="246"/>
      <c r="T27" s="246"/>
      <c r="U27" s="165"/>
      <c r="V27" s="252"/>
      <c r="W27" s="2"/>
      <c r="X27" s="2"/>
      <c r="Y27" s="2"/>
    </row>
    <row r="28" spans="1:25" ht="21" hidden="1" customHeight="1" x14ac:dyDescent="0.3">
      <c r="A28" s="2"/>
      <c r="B28" s="206">
        <v>5</v>
      </c>
      <c r="C28" s="207">
        <f>B$25*101*(B28/101)^C$25</f>
        <v>3.4452731509604075</v>
      </c>
      <c r="D28" s="204">
        <f>DEGREES(ATAN(C28/B28))</f>
        <v>34.568964190842692</v>
      </c>
      <c r="E28" s="165">
        <f>B28*TAN(RADIANS(D28-2.5))</f>
        <v>3.1327212236741948</v>
      </c>
      <c r="F28" s="165">
        <f>LOG(E28/101)</f>
        <v>-1.5083996244185851</v>
      </c>
      <c r="G28" s="165">
        <f>LOG(B28/101)</f>
        <v>-1.3053513694466237</v>
      </c>
      <c r="H28" s="165">
        <f>AVERAGE(G28:G36)</f>
        <v>-0.30929109543783073</v>
      </c>
      <c r="I28" s="165">
        <f>AVERAGE(F28:F36)</f>
        <v>-0.56741927641126944</v>
      </c>
      <c r="J28" s="165">
        <f>(G28-H28)*(F28-I28)</f>
        <v>0.93727314327305622</v>
      </c>
      <c r="K28" s="252">
        <f>(G28-H28)^2</f>
        <v>0.99213606945847166</v>
      </c>
      <c r="L28" s="244"/>
      <c r="M28" s="206"/>
      <c r="N28" s="207"/>
      <c r="O28" s="207"/>
      <c r="P28" s="165"/>
      <c r="Q28" s="165"/>
      <c r="R28" s="165"/>
      <c r="S28" s="165"/>
      <c r="T28" s="165"/>
      <c r="U28" s="165"/>
      <c r="V28" s="252"/>
      <c r="W28" s="2"/>
      <c r="X28" s="2"/>
      <c r="Y28" s="2"/>
    </row>
    <row r="29" spans="1:25" ht="21" hidden="1" customHeight="1" x14ac:dyDescent="0.3">
      <c r="A29" s="2"/>
      <c r="B29" s="206">
        <v>10</v>
      </c>
      <c r="C29" s="207">
        <f t="shared" ref="C29:C36" si="71">B$25*101*(B29/101)^C$25</f>
        <v>6.6429675264755614</v>
      </c>
      <c r="D29" s="204">
        <f t="shared" ref="D29:D30" si="72">DEGREES(ATAN(C29/B29))</f>
        <v>33.595958932394659</v>
      </c>
      <c r="E29" s="165">
        <f>B29*TAN(RADIANS(D29-2.5))</f>
        <v>6.0314237528866235</v>
      </c>
      <c r="F29" s="165">
        <f t="shared" ref="F29:F32" si="73">LOG(E29/101)</f>
        <v>-1.2239015317856858</v>
      </c>
      <c r="G29" s="165">
        <f t="shared" ref="G28:G32" si="74">LOG(B29/101)</f>
        <v>-1.0043213737826426</v>
      </c>
      <c r="H29" s="165">
        <f>H28</f>
        <v>-0.30929109543783073</v>
      </c>
      <c r="I29" s="165">
        <f>I28</f>
        <v>-0.56741927641126944</v>
      </c>
      <c r="J29" s="165">
        <f t="shared" ref="J29:J32" si="75">(G29-H29)*(F29-I29)</f>
        <v>0.45627504468131053</v>
      </c>
      <c r="K29" s="252">
        <f t="shared" ref="K29:K32" si="76">(G29-H29)^2</f>
        <v>0.48306708781606672</v>
      </c>
      <c r="L29" s="244"/>
      <c r="M29" s="206"/>
      <c r="N29" s="207"/>
      <c r="O29" s="207"/>
      <c r="P29" s="165"/>
      <c r="Q29" s="165"/>
      <c r="R29" s="165"/>
      <c r="S29" s="165"/>
      <c r="T29" s="165"/>
      <c r="U29" s="165"/>
      <c r="V29" s="252"/>
      <c r="W29" s="2"/>
      <c r="X29" s="2"/>
      <c r="Y29" s="2"/>
    </row>
    <row r="30" spans="1:25" ht="21" hidden="1" customHeight="1" x14ac:dyDescent="0.35">
      <c r="A30" s="2"/>
      <c r="B30" s="206">
        <v>12</v>
      </c>
      <c r="C30" s="207">
        <f t="shared" si="71"/>
        <v>7.895204025681271</v>
      </c>
      <c r="D30" s="204">
        <f t="shared" si="72"/>
        <v>33.342264128801638</v>
      </c>
      <c r="E30" s="165">
        <f t="shared" ref="E28:E31" si="77">B30*TAN(RADIANS(D30-2.5))</f>
        <v>7.165438299022016</v>
      </c>
      <c r="F30" s="165">
        <f t="shared" si="73"/>
        <v>-1.1490786131002451</v>
      </c>
      <c r="G30" s="165">
        <f t="shared" si="74"/>
        <v>-0.92514012773501775</v>
      </c>
      <c r="H30" s="165">
        <f>H29</f>
        <v>-0.30929109543783073</v>
      </c>
      <c r="I30" s="165">
        <f>I29</f>
        <v>-0.56741927641126944</v>
      </c>
      <c r="J30" s="165">
        <f t="shared" si="75"/>
        <v>0.35821433962652932</v>
      </c>
      <c r="K30" s="252">
        <f t="shared" si="76"/>
        <v>0.3792700305813817</v>
      </c>
      <c r="L30" s="245"/>
      <c r="M30" s="206"/>
      <c r="N30" s="207"/>
      <c r="O30" s="207"/>
      <c r="P30" s="165"/>
      <c r="Q30" s="165"/>
      <c r="R30" s="165"/>
      <c r="S30" s="165"/>
      <c r="T30" s="165"/>
      <c r="U30" s="165"/>
      <c r="V30" s="252"/>
      <c r="W30" s="2"/>
      <c r="X30" s="2"/>
      <c r="Y30" s="2"/>
    </row>
    <row r="31" spans="1:25" ht="21" hidden="1" customHeight="1" x14ac:dyDescent="0.3">
      <c r="A31" s="2"/>
      <c r="B31" s="206">
        <v>25</v>
      </c>
      <c r="C31" s="207">
        <f t="shared" si="71"/>
        <v>15.823213337367045</v>
      </c>
      <c r="D31" s="204">
        <f t="shared" ref="D31:D36" si="78">DEGREES(ATAN(C31/B31))</f>
        <v>32.330886949337597</v>
      </c>
      <c r="E31" s="165">
        <f>B31*TAN(RADIANS(D31-2.5))</f>
        <v>14.335537834133072</v>
      </c>
      <c r="F31" s="165">
        <f t="shared" si="73"/>
        <v>-0.84790738253331166</v>
      </c>
      <c r="G31" s="165">
        <f t="shared" si="74"/>
        <v>-0.60638136511060492</v>
      </c>
      <c r="H31" s="165">
        <f>H29</f>
        <v>-0.30929109543783073</v>
      </c>
      <c r="I31" s="165">
        <f>I29</f>
        <v>-0.56741927641126944</v>
      </c>
      <c r="J31" s="165">
        <f t="shared" si="75"/>
        <v>8.3330287087803226E-2</v>
      </c>
      <c r="K31" s="252">
        <f t="shared" si="76"/>
        <v>8.8262628334241686E-2</v>
      </c>
      <c r="L31" s="243"/>
      <c r="M31" s="206"/>
      <c r="N31" s="207"/>
      <c r="O31" s="207"/>
      <c r="P31" s="165"/>
      <c r="Q31" s="165"/>
      <c r="R31" s="165"/>
      <c r="S31" s="165"/>
      <c r="T31" s="165"/>
      <c r="U31" s="165"/>
      <c r="V31" s="252"/>
      <c r="W31" s="2"/>
      <c r="X31" s="2"/>
      <c r="Y31" s="2"/>
    </row>
    <row r="32" spans="1:25" ht="21" hidden="1" customHeight="1" x14ac:dyDescent="0.3">
      <c r="A32" s="2"/>
      <c r="B32" s="206">
        <v>50</v>
      </c>
      <c r="C32" s="207">
        <f t="shared" si="71"/>
        <v>30.509363919468285</v>
      </c>
      <c r="D32" s="204">
        <f t="shared" si="78"/>
        <v>31.391010725421399</v>
      </c>
      <c r="E32" s="165">
        <f>B32*TAN(RADIANS(D32-2.5))</f>
        <v>27.591248609772435</v>
      </c>
      <c r="F32" s="165">
        <f t="shared" si="73"/>
        <v>-0.56355001936854354</v>
      </c>
      <c r="G32" s="165">
        <f t="shared" si="74"/>
        <v>-0.30535136944662378</v>
      </c>
      <c r="H32" s="165">
        <f>H29</f>
        <v>-0.30929109543783073</v>
      </c>
      <c r="I32" s="165">
        <f>I29</f>
        <v>-0.56741927641126944</v>
      </c>
      <c r="J32" s="165">
        <f t="shared" si="75"/>
        <v>1.5243812537887761E-5</v>
      </c>
      <c r="K32" s="252">
        <f t="shared" si="76"/>
        <v>1.5521440885791623E-5</v>
      </c>
      <c r="L32" s="243"/>
      <c r="M32" s="206"/>
      <c r="N32" s="207"/>
      <c r="O32" s="207"/>
      <c r="P32" s="165"/>
      <c r="Q32" s="165"/>
      <c r="R32" s="165"/>
      <c r="S32" s="165"/>
      <c r="T32" s="165"/>
      <c r="U32" s="165"/>
      <c r="V32" s="252"/>
      <c r="W32" s="2"/>
      <c r="X32" s="2"/>
      <c r="Y32" s="2"/>
    </row>
    <row r="33" spans="1:26" ht="21" hidden="1" customHeight="1" x14ac:dyDescent="0.3">
      <c r="A33" s="2"/>
      <c r="B33" s="206">
        <v>100</v>
      </c>
      <c r="C33" s="207">
        <f t="shared" si="71"/>
        <v>58.826312135499535</v>
      </c>
      <c r="D33" s="204">
        <f t="shared" si="78"/>
        <v>30.466729421149736</v>
      </c>
      <c r="E33" s="165">
        <f>B33*TAN(RADIANS(D33-2.5))</f>
        <v>53.096481311320773</v>
      </c>
      <c r="F33" s="165">
        <f>LOG(E33/101)</f>
        <v>-0.27925563231907824</v>
      </c>
      <c r="G33" s="165">
        <f>LOG(B33/101)</f>
        <v>-4.3213737826425782E-3</v>
      </c>
      <c r="H33" s="165">
        <f>H29</f>
        <v>-0.30929109543783073</v>
      </c>
      <c r="I33" s="165">
        <f>I29</f>
        <v>-0.56741927641126944</v>
      </c>
      <c r="J33" s="165">
        <f>(G33-H33)*(F33-I33)</f>
        <v>8.7881186329940256E-2</v>
      </c>
      <c r="K33" s="252">
        <f>(G33-H33)^2</f>
        <v>9.3006531126442943E-2</v>
      </c>
      <c r="L33" s="243"/>
      <c r="M33" s="206"/>
      <c r="N33" s="207"/>
      <c r="O33" s="207"/>
      <c r="P33" s="165"/>
      <c r="Q33" s="165"/>
      <c r="R33" s="165"/>
      <c r="S33" s="165"/>
      <c r="T33" s="165"/>
      <c r="U33" s="165"/>
      <c r="V33" s="252"/>
      <c r="W33" s="2"/>
      <c r="X33" s="2"/>
      <c r="Y33" s="2"/>
    </row>
    <row r="34" spans="1:26" ht="21" hidden="1" customHeight="1" x14ac:dyDescent="0.3">
      <c r="A34" s="2"/>
      <c r="B34" s="206">
        <v>200</v>
      </c>
      <c r="C34" s="207">
        <f t="shared" si="71"/>
        <v>113.42534077726292</v>
      </c>
      <c r="D34" s="204">
        <f t="shared" si="78"/>
        <v>29.5587298549755</v>
      </c>
      <c r="E34" s="165">
        <f>B34*TAN(RADIANS(D34-2.5))</f>
        <v>102.16345363592121</v>
      </c>
      <c r="F34" s="165">
        <f>LOG(E34/101)</f>
        <v>4.974192047411093E-3</v>
      </c>
      <c r="G34" s="165">
        <f>LOG(B34/101)</f>
        <v>0.29670862188133862</v>
      </c>
      <c r="H34" s="165">
        <f t="shared" ref="H34:I36" si="79">H33</f>
        <v>-0.30929109543783073</v>
      </c>
      <c r="I34" s="165">
        <f t="shared" si="79"/>
        <v>-0.56741927641126944</v>
      </c>
      <c r="J34" s="165">
        <f>(G34-H34)*(F34-I34)</f>
        <v>0.34687028008129928</v>
      </c>
      <c r="K34" s="252">
        <f>(G34-H34)^2</f>
        <v>0.36723565739091318</v>
      </c>
      <c r="L34" s="243"/>
      <c r="M34" s="206"/>
      <c r="N34" s="207"/>
      <c r="O34" s="207"/>
      <c r="P34" s="165"/>
      <c r="Q34" s="165"/>
      <c r="R34" s="165"/>
      <c r="S34" s="165"/>
      <c r="T34" s="165"/>
      <c r="U34" s="165"/>
      <c r="V34" s="252"/>
      <c r="W34" s="2"/>
      <c r="X34" s="2"/>
      <c r="Y34" s="2"/>
    </row>
    <row r="35" spans="1:26" ht="21" hidden="1" customHeight="1" x14ac:dyDescent="0.3">
      <c r="A35" s="2"/>
      <c r="B35" s="206">
        <v>300</v>
      </c>
      <c r="C35" s="207">
        <f t="shared" si="71"/>
        <v>166.53495539241274</v>
      </c>
      <c r="D35" s="204">
        <f t="shared" si="78"/>
        <v>29.03537829910961</v>
      </c>
      <c r="E35" s="165">
        <f>B35*TAN(RADIANS(D35-2.5))</f>
        <v>149.80584172674028</v>
      </c>
      <c r="F35" s="165">
        <f>LOG(E35/101)</f>
        <v>0.17120737536332384</v>
      </c>
      <c r="G35" s="165">
        <f>LOG(B35/101)</f>
        <v>0.47279988093701986</v>
      </c>
      <c r="H35" s="165">
        <f t="shared" si="79"/>
        <v>-0.30929109543783073</v>
      </c>
      <c r="I35" s="165">
        <f t="shared" si="79"/>
        <v>-0.56741927641126944</v>
      </c>
      <c r="J35" s="165">
        <f>(G35-H35)*(F35-I35)</f>
        <v>0.57767323926287839</v>
      </c>
      <c r="K35" s="252">
        <f>(G35-H35)^2</f>
        <v>0.61166629532696715</v>
      </c>
      <c r="L35" s="243"/>
      <c r="M35" s="206"/>
      <c r="N35" s="207"/>
      <c r="O35" s="207"/>
      <c r="P35" s="165"/>
      <c r="Q35" s="165"/>
      <c r="R35" s="165"/>
      <c r="S35" s="165"/>
      <c r="T35" s="165"/>
      <c r="U35" s="165"/>
      <c r="V35" s="252"/>
      <c r="W35" s="2"/>
      <c r="X35" s="2"/>
      <c r="Y35" s="2"/>
    </row>
    <row r="36" spans="1:26" ht="21" hidden="1" customHeight="1" x14ac:dyDescent="0.3">
      <c r="A36" s="2"/>
      <c r="B36" s="206">
        <v>400</v>
      </c>
      <c r="C36" s="207">
        <f t="shared" si="71"/>
        <v>218.69988893413017</v>
      </c>
      <c r="D36" s="204">
        <f t="shared" si="78"/>
        <v>28.667620807614195</v>
      </c>
      <c r="E36" s="165">
        <f>B36*TAN(RADIANS(D36-2.5))</f>
        <v>196.54369758607893</v>
      </c>
      <c r="F36" s="165">
        <f>LOG(E36/101)</f>
        <v>0.28913774841329037</v>
      </c>
      <c r="G36" s="165">
        <f>LOG(B36/101)</f>
        <v>0.59773861754531976</v>
      </c>
      <c r="H36" s="165">
        <f t="shared" si="79"/>
        <v>-0.30929109543783073</v>
      </c>
      <c r="I36" s="165">
        <f t="shared" si="79"/>
        <v>-0.56741927641126944</v>
      </c>
      <c r="J36" s="165">
        <f>(G36-H36)*(F36-I36)</f>
        <v>0.77692267238032175</v>
      </c>
      <c r="K36" s="252">
        <f>(G36-H36)^2</f>
        <v>0.82270290023429637</v>
      </c>
      <c r="L36" s="133"/>
      <c r="M36" s="206"/>
      <c r="N36" s="207"/>
      <c r="O36" s="207"/>
      <c r="P36" s="165"/>
      <c r="Q36" s="165"/>
      <c r="R36" s="165"/>
      <c r="S36" s="165"/>
      <c r="T36" s="165"/>
      <c r="U36" s="165"/>
      <c r="V36" s="252"/>
      <c r="W36" s="2"/>
      <c r="X36" s="2"/>
      <c r="Y36" s="2"/>
    </row>
    <row r="37" spans="1:26" ht="21" hidden="1" customHeight="1" x14ac:dyDescent="0.35">
      <c r="A37" s="2"/>
      <c r="B37" s="131"/>
      <c r="C37" s="162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2"/>
      <c r="S37" s="2"/>
      <c r="T37" s="2"/>
      <c r="U37" s="2"/>
      <c r="V37" s="2"/>
      <c r="W37" s="2"/>
      <c r="X37" s="2"/>
      <c r="Y37" s="2"/>
    </row>
    <row r="38" spans="1:26" ht="18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308"/>
      <c r="K38" s="309"/>
      <c r="L38" s="309"/>
      <c r="M38" s="309"/>
      <c r="N38" s="309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899999999999999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131"/>
      <c r="K39" s="396" t="s">
        <v>102</v>
      </c>
      <c r="L39" s="397"/>
      <c r="M39" s="397"/>
      <c r="N39" s="398"/>
      <c r="O39" s="2"/>
      <c r="P39" s="363" t="s">
        <v>91</v>
      </c>
      <c r="Q39" s="364"/>
      <c r="R39" s="364"/>
      <c r="S39" s="365"/>
      <c r="T39" s="205"/>
      <c r="U39" s="378" t="s">
        <v>97</v>
      </c>
      <c r="V39" s="379"/>
      <c r="W39" s="379"/>
      <c r="X39" s="380"/>
      <c r="Y39" s="205"/>
    </row>
    <row r="40" spans="1:26" ht="18.899999999999999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131"/>
      <c r="K40" s="397"/>
      <c r="L40" s="397"/>
      <c r="M40" s="397"/>
      <c r="N40" s="398"/>
      <c r="O40" s="2"/>
      <c r="P40" s="364"/>
      <c r="Q40" s="364"/>
      <c r="R40" s="364"/>
      <c r="S40" s="365"/>
      <c r="T40" s="205"/>
      <c r="U40" s="379"/>
      <c r="V40" s="379"/>
      <c r="W40" s="379"/>
      <c r="X40" s="380"/>
      <c r="Y40" s="205"/>
    </row>
    <row r="41" spans="1:26" ht="18.899999999999999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131"/>
      <c r="K41" s="341" t="s">
        <v>31</v>
      </c>
      <c r="L41" s="342"/>
      <c r="M41" s="174"/>
      <c r="N41" s="164"/>
      <c r="O41" s="2"/>
      <c r="P41" s="341" t="s">
        <v>31</v>
      </c>
      <c r="Q41" s="342"/>
      <c r="R41" s="174"/>
      <c r="S41" s="164"/>
      <c r="T41" s="2"/>
      <c r="U41" s="341" t="s">
        <v>31</v>
      </c>
      <c r="V41" s="342"/>
      <c r="W41" s="174"/>
      <c r="X41" s="164"/>
      <c r="Y41" s="2"/>
    </row>
    <row r="42" spans="1:26" ht="18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131"/>
      <c r="K42" s="94" t="s">
        <v>32</v>
      </c>
      <c r="L42" s="94" t="s">
        <v>33</v>
      </c>
      <c r="M42" s="163"/>
      <c r="N42" s="164"/>
      <c r="O42" s="2"/>
      <c r="P42" s="94" t="s">
        <v>32</v>
      </c>
      <c r="Q42" s="94" t="s">
        <v>33</v>
      </c>
      <c r="R42" s="163"/>
      <c r="S42" s="164"/>
      <c r="T42" s="2"/>
      <c r="U42" s="94" t="s">
        <v>32</v>
      </c>
      <c r="V42" s="94" t="s">
        <v>33</v>
      </c>
      <c r="W42" s="163"/>
      <c r="X42" s="164"/>
      <c r="Y42" s="2"/>
    </row>
    <row r="43" spans="1:26" ht="20.100000000000001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131"/>
      <c r="K43" s="282">
        <f>K27</f>
        <v>0.530531910108899</v>
      </c>
      <c r="L43" s="282">
        <f>J27</f>
        <v>0.94451728944739066</v>
      </c>
      <c r="M43" s="163"/>
      <c r="N43" s="175"/>
      <c r="O43" s="2"/>
      <c r="P43" s="282">
        <f>K14</f>
        <v>0.49862208974160849</v>
      </c>
      <c r="Q43" s="282">
        <f>J14</f>
        <v>0.92314093392410634</v>
      </c>
      <c r="R43" s="163"/>
      <c r="S43" s="175"/>
      <c r="T43" s="2"/>
      <c r="U43" s="282">
        <f>V14</f>
        <v>0.46658914865399043</v>
      </c>
      <c r="V43" s="282">
        <f>U14</f>
        <v>0.9015104481137387</v>
      </c>
      <c r="W43" s="163"/>
      <c r="X43" s="175"/>
      <c r="Y43" s="2"/>
    </row>
    <row r="44" spans="1:26" ht="18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131"/>
      <c r="K44" s="176" t="s">
        <v>34</v>
      </c>
      <c r="L44" s="96" t="s">
        <v>35</v>
      </c>
      <c r="M44" s="177" t="s">
        <v>36</v>
      </c>
      <c r="N44" s="96" t="s">
        <v>79</v>
      </c>
      <c r="O44" s="2"/>
      <c r="P44" s="176" t="s">
        <v>34</v>
      </c>
      <c r="Q44" s="96" t="s">
        <v>35</v>
      </c>
      <c r="R44" s="177" t="s">
        <v>36</v>
      </c>
      <c r="S44" s="96" t="s">
        <v>79</v>
      </c>
      <c r="T44" s="2"/>
      <c r="U44" s="176" t="s">
        <v>34</v>
      </c>
      <c r="V44" s="96" t="s">
        <v>35</v>
      </c>
      <c r="W44" s="177" t="s">
        <v>36</v>
      </c>
      <c r="X44" s="96" t="s">
        <v>79</v>
      </c>
      <c r="Y44" s="2"/>
    </row>
    <row r="45" spans="1:26" ht="22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131"/>
      <c r="K45" s="267">
        <v>0</v>
      </c>
      <c r="L45" s="268">
        <v>0</v>
      </c>
      <c r="M45" s="268">
        <v>0</v>
      </c>
      <c r="N45" s="268">
        <f>L45*20.89</f>
        <v>0</v>
      </c>
      <c r="O45" s="2"/>
      <c r="P45" s="203">
        <v>0</v>
      </c>
      <c r="Q45" s="204">
        <v>0</v>
      </c>
      <c r="R45" s="204">
        <v>0</v>
      </c>
      <c r="S45" s="204">
        <f>Q45*20.89</f>
        <v>0</v>
      </c>
      <c r="T45" s="232"/>
      <c r="U45" s="206">
        <v>0</v>
      </c>
      <c r="V45" s="207">
        <v>0</v>
      </c>
      <c r="W45" s="207">
        <v>0</v>
      </c>
      <c r="X45" s="207">
        <f>V45*20.89</f>
        <v>0</v>
      </c>
      <c r="Y45" s="232"/>
      <c r="Z45" s="253"/>
    </row>
    <row r="46" spans="1:26" ht="20.100000000000001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131"/>
      <c r="K46" s="267">
        <v>5</v>
      </c>
      <c r="L46" s="268">
        <f t="shared" ref="L46:L53" si="80">K$43*101*(K46/101)^L$43</f>
        <v>3.1340501905435092</v>
      </c>
      <c r="M46" s="268">
        <f>D28-2.5</f>
        <v>32.068964190842692</v>
      </c>
      <c r="N46" s="268">
        <f t="shared" ref="N46:N53" si="81">L46*20.89</f>
        <v>65.470308480453909</v>
      </c>
      <c r="O46" s="2"/>
      <c r="P46" s="203">
        <v>5</v>
      </c>
      <c r="Q46" s="204">
        <f t="shared" ref="Q46:Q53" si="82">P$43*101*(P46/101)^Q$43</f>
        <v>3.141012075383943</v>
      </c>
      <c r="R46" s="204">
        <f>D15-2.5</f>
        <v>32.115810168613265</v>
      </c>
      <c r="S46" s="204">
        <f t="shared" ref="S46:S53" si="83">Q46*20.89</f>
        <v>65.615742254770566</v>
      </c>
      <c r="T46" s="232"/>
      <c r="U46" s="206">
        <v>5</v>
      </c>
      <c r="V46" s="207">
        <f t="shared" ref="V46:V53" si="84">U$43*101*(U46/101)^V$43</f>
        <v>3.1366647986362266</v>
      </c>
      <c r="W46" s="207">
        <f>O15-2.5</f>
        <v>32.0657560340019</v>
      </c>
      <c r="X46" s="207">
        <f t="shared" ref="X46:X53" si="85">V46*20.89</f>
        <v>65.524927643510779</v>
      </c>
      <c r="Y46" s="232"/>
      <c r="Z46" s="253"/>
    </row>
    <row r="47" spans="1:26" ht="20.100000000000001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131"/>
      <c r="K47" s="267">
        <v>10</v>
      </c>
      <c r="L47" s="268">
        <f t="shared" si="80"/>
        <v>6.0316201414630006</v>
      </c>
      <c r="M47" s="268">
        <f>D29-2.5</f>
        <v>31.095958932394659</v>
      </c>
      <c r="N47" s="268">
        <f t="shared" si="81"/>
        <v>126.00054475516208</v>
      </c>
      <c r="O47" s="2"/>
      <c r="P47" s="203">
        <v>10</v>
      </c>
      <c r="Q47" s="204">
        <f t="shared" si="82"/>
        <v>5.9561101022974823</v>
      </c>
      <c r="R47" s="204">
        <f>D16-2.5</f>
        <v>30.776822986319388</v>
      </c>
      <c r="S47" s="204">
        <f t="shared" si="83"/>
        <v>124.42314003699441</v>
      </c>
      <c r="T47" s="232"/>
      <c r="U47" s="206">
        <v>10</v>
      </c>
      <c r="V47" s="207">
        <f t="shared" si="84"/>
        <v>5.8593547976555236</v>
      </c>
      <c r="W47" s="207">
        <f>O16-2.5</f>
        <v>30.36464669483523</v>
      </c>
      <c r="X47" s="207">
        <f t="shared" si="85"/>
        <v>122.40192172302389</v>
      </c>
      <c r="Y47" s="232"/>
      <c r="Z47" s="253"/>
    </row>
    <row r="48" spans="1:26" ht="20.100000000000001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131"/>
      <c r="K48" s="267">
        <v>25</v>
      </c>
      <c r="L48" s="268">
        <f t="shared" si="80"/>
        <v>14.331617251854796</v>
      </c>
      <c r="M48" s="268">
        <f>D31-2.5</f>
        <v>29.830886949337597</v>
      </c>
      <c r="N48" s="268">
        <f t="shared" si="81"/>
        <v>299.38748439124669</v>
      </c>
      <c r="O48" s="2"/>
      <c r="P48" s="203">
        <v>25</v>
      </c>
      <c r="Q48" s="204">
        <f t="shared" si="82"/>
        <v>13.877697880455029</v>
      </c>
      <c r="R48" s="204">
        <f t="shared" ref="R48:R53" si="86">D18-2.5</f>
        <v>29.047964051232764</v>
      </c>
      <c r="S48" s="204">
        <f t="shared" si="83"/>
        <v>289.90510872270556</v>
      </c>
      <c r="T48" s="232"/>
      <c r="U48" s="206">
        <v>25</v>
      </c>
      <c r="V48" s="207">
        <f t="shared" si="84"/>
        <v>13.384337272320682</v>
      </c>
      <c r="W48" s="207">
        <f t="shared" ref="W48:W53" si="87">O18-2.5</f>
        <v>28.184678579774769</v>
      </c>
      <c r="X48" s="207">
        <f t="shared" si="85"/>
        <v>279.59880561877907</v>
      </c>
      <c r="Y48" s="232"/>
      <c r="Z48" s="253"/>
    </row>
    <row r="49" spans="1:26" ht="20.100000000000001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131"/>
      <c r="K49" s="267">
        <v>50</v>
      </c>
      <c r="L49" s="268">
        <f t="shared" si="80"/>
        <v>27.581840117574835</v>
      </c>
      <c r="M49" s="268">
        <f t="shared" ref="M49:M53" si="88">D32-2.5</f>
        <v>28.891010725421399</v>
      </c>
      <c r="N49" s="268">
        <f t="shared" si="81"/>
        <v>576.18464005613828</v>
      </c>
      <c r="O49" s="2"/>
      <c r="P49" s="203">
        <v>50</v>
      </c>
      <c r="Q49" s="204">
        <f t="shared" si="82"/>
        <v>26.315434184476015</v>
      </c>
      <c r="R49" s="204">
        <f t="shared" si="86"/>
        <v>27.774017300815228</v>
      </c>
      <c r="S49" s="204">
        <f t="shared" si="83"/>
        <v>549.72942011370401</v>
      </c>
      <c r="T49" s="232"/>
      <c r="U49" s="206">
        <v>50</v>
      </c>
      <c r="V49" s="207">
        <f t="shared" si="84"/>
        <v>25.002219186477689</v>
      </c>
      <c r="W49" s="207">
        <f t="shared" si="87"/>
        <v>26.59290696285877</v>
      </c>
      <c r="X49" s="207">
        <f t="shared" si="85"/>
        <v>522.29635880551893</v>
      </c>
      <c r="Y49" s="232"/>
      <c r="Z49" s="253"/>
    </row>
    <row r="50" spans="1:26" ht="20.100000000000001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131"/>
      <c r="K50" s="267">
        <v>100</v>
      </c>
      <c r="L50" s="268">
        <f t="shared" si="80"/>
        <v>53.082488242769912</v>
      </c>
      <c r="M50" s="268">
        <f t="shared" si="88"/>
        <v>27.966729421149736</v>
      </c>
      <c r="N50" s="268">
        <f t="shared" si="81"/>
        <v>1108.8931793914635</v>
      </c>
      <c r="O50" s="2"/>
      <c r="P50" s="203">
        <v>100</v>
      </c>
      <c r="Q50" s="204">
        <f t="shared" si="82"/>
        <v>49.900356837483088</v>
      </c>
      <c r="R50" s="204">
        <f t="shared" si="86"/>
        <v>26.531271177656077</v>
      </c>
      <c r="S50" s="204">
        <f t="shared" si="83"/>
        <v>1042.4184543350218</v>
      </c>
      <c r="T50" s="232"/>
      <c r="U50" s="206">
        <v>100</v>
      </c>
      <c r="V50" s="207">
        <f t="shared" si="84"/>
        <v>46.704663184289757</v>
      </c>
      <c r="W50" s="207">
        <f t="shared" si="87"/>
        <v>25.054162316735098</v>
      </c>
      <c r="X50" s="207">
        <f t="shared" si="85"/>
        <v>975.6604139198131</v>
      </c>
      <c r="Y50" s="232"/>
      <c r="Z50" s="253"/>
    </row>
    <row r="51" spans="1:26" ht="20.100000000000001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131"/>
      <c r="K51" s="267">
        <v>200</v>
      </c>
      <c r="L51" s="268">
        <f t="shared" si="80"/>
        <v>102.15962916297114</v>
      </c>
      <c r="M51" s="268">
        <f>D34-2.5</f>
        <v>27.0587298549755</v>
      </c>
      <c r="N51" s="268">
        <f t="shared" si="81"/>
        <v>2134.1146532144671</v>
      </c>
      <c r="O51" s="2"/>
      <c r="P51" s="203">
        <v>200</v>
      </c>
      <c r="Q51" s="204">
        <f t="shared" si="82"/>
        <v>94.623010779623456</v>
      </c>
      <c r="R51" s="204">
        <f t="shared" si="86"/>
        <v>25.321240557493269</v>
      </c>
      <c r="S51" s="204">
        <f t="shared" si="83"/>
        <v>1976.674695186334</v>
      </c>
      <c r="T51" s="232"/>
      <c r="U51" s="206">
        <v>200</v>
      </c>
      <c r="V51" s="207">
        <f t="shared" si="84"/>
        <v>87.2452779846722</v>
      </c>
      <c r="W51" s="207">
        <f t="shared" si="87"/>
        <v>23.570963401043922</v>
      </c>
      <c r="X51" s="207">
        <f t="shared" si="85"/>
        <v>1822.5538570998024</v>
      </c>
      <c r="Y51" s="232"/>
      <c r="Z51" s="253"/>
    </row>
    <row r="52" spans="1:26" ht="20.100000000000001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131"/>
      <c r="K52" s="267">
        <v>300</v>
      </c>
      <c r="L52" s="268">
        <f t="shared" si="80"/>
        <v>149.83060959588829</v>
      </c>
      <c r="M52" s="268">
        <f t="shared" si="88"/>
        <v>26.53537829910961</v>
      </c>
      <c r="N52" s="268">
        <f t="shared" si="81"/>
        <v>3129.9614344581064</v>
      </c>
      <c r="O52" s="2"/>
      <c r="P52" s="203">
        <v>300</v>
      </c>
      <c r="Q52" s="204">
        <f t="shared" si="82"/>
        <v>137.57952698252737</v>
      </c>
      <c r="R52" s="204">
        <f t="shared" si="86"/>
        <v>24.629090019067434</v>
      </c>
      <c r="S52" s="204">
        <f t="shared" si="83"/>
        <v>2874.036318664997</v>
      </c>
      <c r="T52" s="232"/>
      <c r="U52" s="206">
        <v>300</v>
      </c>
      <c r="V52" s="207">
        <f t="shared" si="84"/>
        <v>125.74480178147203</v>
      </c>
      <c r="W52" s="207">
        <f t="shared" si="87"/>
        <v>22.729852656185319</v>
      </c>
      <c r="X52" s="207">
        <f t="shared" si="85"/>
        <v>2626.8089092149507</v>
      </c>
      <c r="Y52" s="232"/>
      <c r="Z52" s="253"/>
    </row>
    <row r="53" spans="1:26" ht="20.100000000000001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131"/>
      <c r="K53" s="267">
        <v>400</v>
      </c>
      <c r="L53" s="268">
        <f t="shared" si="80"/>
        <v>196.61078777966478</v>
      </c>
      <c r="M53" s="268">
        <f>D36-2.5</f>
        <v>26.167620807614195</v>
      </c>
      <c r="N53" s="268">
        <f t="shared" si="81"/>
        <v>4107.1993567171976</v>
      </c>
      <c r="O53" s="2"/>
      <c r="P53" s="203">
        <v>400</v>
      </c>
      <c r="Q53" s="204">
        <f t="shared" si="82"/>
        <v>179.42785856543665</v>
      </c>
      <c r="R53" s="204">
        <f t="shared" si="86"/>
        <v>24.14516424757598</v>
      </c>
      <c r="S53" s="204">
        <f t="shared" si="83"/>
        <v>3748.2479654319718</v>
      </c>
      <c r="T53" s="232"/>
      <c r="U53" s="206">
        <v>400</v>
      </c>
      <c r="V53" s="207">
        <f t="shared" si="84"/>
        <v>162.97598594358604</v>
      </c>
      <c r="W53" s="207">
        <f t="shared" si="87"/>
        <v>22.14513284532298</v>
      </c>
      <c r="X53" s="207">
        <f t="shared" si="85"/>
        <v>3404.5683463615123</v>
      </c>
      <c r="Y53" s="232"/>
      <c r="Z53" s="253"/>
    </row>
    <row r="54" spans="1:26" ht="21" customHeight="1" thickBot="1" x14ac:dyDescent="0.35">
      <c r="A54" s="2"/>
      <c r="B54" s="2"/>
      <c r="C54" s="2"/>
      <c r="D54" s="2"/>
      <c r="E54" s="2"/>
      <c r="F54" s="2"/>
      <c r="G54" s="2"/>
      <c r="H54" s="2"/>
      <c r="I54" s="2"/>
      <c r="J54" s="13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53"/>
    </row>
    <row r="55" spans="1:26" ht="20.100000000000001" customHeight="1" x14ac:dyDescent="0.3">
      <c r="A55" s="2"/>
      <c r="B55" s="131"/>
      <c r="C55" s="131"/>
      <c r="D55" s="131"/>
      <c r="E55" s="131"/>
      <c r="F55" s="131"/>
      <c r="G55" s="2"/>
      <c r="H55" s="2"/>
      <c r="I55" s="2"/>
      <c r="J55" s="131"/>
      <c r="K55" s="399" t="s">
        <v>103</v>
      </c>
      <c r="L55" s="400"/>
      <c r="M55" s="400"/>
      <c r="N55" s="401"/>
      <c r="O55" s="2"/>
      <c r="P55" s="388" t="s">
        <v>92</v>
      </c>
      <c r="Q55" s="415"/>
      <c r="R55" s="415"/>
      <c r="S55" s="416"/>
      <c r="T55" s="2"/>
      <c r="U55" s="381" t="s">
        <v>98</v>
      </c>
      <c r="V55" s="382"/>
      <c r="W55" s="382"/>
      <c r="X55" s="383"/>
      <c r="Y55" s="131"/>
    </row>
    <row r="56" spans="1:26" ht="22.5" customHeight="1" thickBot="1" x14ac:dyDescent="0.35">
      <c r="A56" s="2"/>
      <c r="B56" s="131"/>
      <c r="C56" s="425" t="s">
        <v>81</v>
      </c>
      <c r="D56" s="423"/>
      <c r="E56" s="423"/>
      <c r="F56" s="423"/>
      <c r="G56" s="423"/>
      <c r="H56" s="423"/>
      <c r="I56" s="423"/>
      <c r="J56" s="131"/>
      <c r="K56" s="402"/>
      <c r="L56" s="403"/>
      <c r="M56" s="403"/>
      <c r="N56" s="404"/>
      <c r="O56" s="2"/>
      <c r="P56" s="417"/>
      <c r="Q56" s="418"/>
      <c r="R56" s="418"/>
      <c r="S56" s="419"/>
      <c r="T56" s="2"/>
      <c r="U56" s="384"/>
      <c r="V56" s="385"/>
      <c r="W56" s="385"/>
      <c r="X56" s="386"/>
      <c r="Y56" s="131"/>
    </row>
    <row r="57" spans="1:26" ht="19.350000000000001" customHeight="1" x14ac:dyDescent="0.3">
      <c r="A57" s="2"/>
      <c r="B57" s="131"/>
      <c r="C57" s="423"/>
      <c r="D57" s="423"/>
      <c r="E57" s="423"/>
      <c r="F57" s="423"/>
      <c r="G57" s="423"/>
      <c r="H57" s="423"/>
      <c r="I57" s="423"/>
      <c r="J57" s="131"/>
      <c r="K57" s="411" t="s">
        <v>31</v>
      </c>
      <c r="L57" s="412"/>
      <c r="M57" s="147"/>
      <c r="N57" s="148"/>
      <c r="O57" s="2"/>
      <c r="P57" s="411" t="s">
        <v>31</v>
      </c>
      <c r="Q57" s="412"/>
      <c r="R57" s="147"/>
      <c r="S57" s="148"/>
      <c r="T57" s="2"/>
      <c r="U57" s="411" t="s">
        <v>31</v>
      </c>
      <c r="V57" s="412"/>
      <c r="W57" s="147"/>
      <c r="X57" s="148"/>
      <c r="Y57" s="2"/>
    </row>
    <row r="58" spans="1:26" ht="19.350000000000001" customHeight="1" x14ac:dyDescent="0.3">
      <c r="A58" s="2"/>
      <c r="B58" s="131"/>
      <c r="C58" s="423"/>
      <c r="D58" s="423"/>
      <c r="E58" s="423"/>
      <c r="F58" s="423"/>
      <c r="G58" s="423"/>
      <c r="H58" s="423"/>
      <c r="I58" s="423"/>
      <c r="J58" s="131"/>
      <c r="K58" s="149" t="s">
        <v>32</v>
      </c>
      <c r="L58" s="94" t="s">
        <v>33</v>
      </c>
      <c r="M58" s="131"/>
      <c r="N58" s="148"/>
      <c r="O58" s="2"/>
      <c r="P58" s="149" t="s">
        <v>32</v>
      </c>
      <c r="Q58" s="94" t="s">
        <v>33</v>
      </c>
      <c r="R58" s="131"/>
      <c r="S58" s="148"/>
      <c r="T58" s="2"/>
      <c r="U58" s="149" t="s">
        <v>32</v>
      </c>
      <c r="V58" s="94" t="s">
        <v>33</v>
      </c>
      <c r="W58" s="131"/>
      <c r="X58" s="148"/>
      <c r="Y58" s="2"/>
    </row>
    <row r="59" spans="1:26" ht="19.350000000000001" customHeight="1" x14ac:dyDescent="0.3">
      <c r="A59" s="2"/>
      <c r="B59" s="131"/>
      <c r="C59" s="423"/>
      <c r="D59" s="423"/>
      <c r="E59" s="423"/>
      <c r="F59" s="423"/>
      <c r="G59" s="423"/>
      <c r="H59" s="423"/>
      <c r="I59" s="423"/>
      <c r="J59" s="131"/>
      <c r="K59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+0.02)))</f>
        <v>0.43299492747239571</v>
      </c>
      <c r="L59" s="282">
        <f>IF($B$5&lt;15,"NA",IF($B$5&lt;=250,(1.07-0.0083*$B$5+0.0000836*($B$5)^2-0.0000003027*($B$5)^3+0.000000000376*$B$5^4+0.0533333),"NA"))</f>
        <v>0.98841186000000003</v>
      </c>
      <c r="M59" s="131"/>
      <c r="N59" s="152"/>
      <c r="O59" s="2"/>
      <c r="P59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)))</f>
        <v>0.41299492747239569</v>
      </c>
      <c r="Q59" s="282">
        <f>IF($B$5&lt;15,"NA",IF($B$5&lt;=250,(1.07-0.0083*$B$5+0.0000836*($B$5)^2-0.0000003027*($B$5)^3+0.000000000376*$B$5^4),"NA"))</f>
        <v>0.93507856</v>
      </c>
      <c r="R59" s="131"/>
      <c r="S59" s="152"/>
      <c r="T59" s="131"/>
      <c r="U59" s="283">
        <f>IF($B$5&lt;15,"NA",IF($B$5&gt;250,"NA",(0.875483390907475-0.0379223905806743*$B$5+0.00100007021088594*$B$5^2-0.000015699786737641*$B$5^3+1.51391036295424E-07*$B$5^4-9.04154722792759E-10*$B$5^5+3.25686407342957E-12*$B$5^6-6.47821219076123E-15*$B$5^7+(5.46256767204312E-18*$B$5^8)-0.02)))</f>
        <v>0.39299492747239567</v>
      </c>
      <c r="V59" s="282">
        <f>IF($B$5&lt;15,"NA",IF($B$5&lt;=250,(1.07-0.0083*$B$5+0.0000836*($B$5)^2-0.0000003027*($B$5)^3+0.000000000376*$B$5^4-0.0533333),"NA"))</f>
        <v>0.88174525999999998</v>
      </c>
      <c r="W59" s="131"/>
      <c r="X59" s="152"/>
      <c r="Y59" s="2"/>
    </row>
    <row r="60" spans="1:26" ht="21.9" customHeight="1" x14ac:dyDescent="0.3">
      <c r="A60" s="2"/>
      <c r="B60" s="131"/>
      <c r="C60" s="423"/>
      <c r="D60" s="423"/>
      <c r="E60" s="423"/>
      <c r="F60" s="423"/>
      <c r="G60" s="423"/>
      <c r="H60" s="423"/>
      <c r="I60" s="423"/>
      <c r="J60" s="131"/>
      <c r="K60" s="150" t="s">
        <v>34</v>
      </c>
      <c r="L60" s="96" t="s">
        <v>35</v>
      </c>
      <c r="M60" s="97" t="s">
        <v>36</v>
      </c>
      <c r="N60" s="151" t="s">
        <v>79</v>
      </c>
      <c r="O60" s="2"/>
      <c r="P60" s="150" t="s">
        <v>34</v>
      </c>
      <c r="Q60" s="96" t="s">
        <v>35</v>
      </c>
      <c r="R60" s="97" t="s">
        <v>36</v>
      </c>
      <c r="S60" s="151" t="s">
        <v>79</v>
      </c>
      <c r="T60" s="2"/>
      <c r="U60" s="150" t="s">
        <v>34</v>
      </c>
      <c r="V60" s="96" t="s">
        <v>35</v>
      </c>
      <c r="W60" s="97" t="s">
        <v>36</v>
      </c>
      <c r="X60" s="151" t="s">
        <v>79</v>
      </c>
      <c r="Y60" s="2"/>
    </row>
    <row r="61" spans="1:26" ht="21.9" customHeight="1" x14ac:dyDescent="0.3">
      <c r="A61" s="2"/>
      <c r="B61" s="131"/>
      <c r="C61" s="423"/>
      <c r="D61" s="423"/>
      <c r="E61" s="423"/>
      <c r="F61" s="423"/>
      <c r="G61" s="423"/>
      <c r="H61" s="423"/>
      <c r="I61" s="423"/>
      <c r="J61" s="131"/>
      <c r="K61" s="269">
        <v>0</v>
      </c>
      <c r="L61" s="270">
        <v>0</v>
      </c>
      <c r="M61" s="270">
        <v>0</v>
      </c>
      <c r="N61" s="271">
        <f>L61*20.89</f>
        <v>0</v>
      </c>
      <c r="O61" s="2"/>
      <c r="P61" s="218">
        <v>0</v>
      </c>
      <c r="Q61" s="219">
        <v>0</v>
      </c>
      <c r="R61" s="219">
        <v>0</v>
      </c>
      <c r="S61" s="220">
        <f>Q61*20.89</f>
        <v>0</v>
      </c>
      <c r="T61" s="221"/>
      <c r="U61" s="222">
        <v>0</v>
      </c>
      <c r="V61" s="223">
        <v>0</v>
      </c>
      <c r="W61" s="223">
        <v>0</v>
      </c>
      <c r="X61" s="224">
        <f>V61*20.89</f>
        <v>0</v>
      </c>
      <c r="Y61" s="221"/>
      <c r="Z61" s="253"/>
    </row>
    <row r="62" spans="1:26" ht="21.9" customHeight="1" x14ac:dyDescent="0.3">
      <c r="A62" s="2"/>
      <c r="B62" s="131"/>
      <c r="C62" s="423"/>
      <c r="D62" s="423"/>
      <c r="E62" s="423"/>
      <c r="F62" s="423"/>
      <c r="G62" s="423"/>
      <c r="H62" s="423"/>
      <c r="I62" s="423"/>
      <c r="J62" s="131"/>
      <c r="K62" s="269">
        <v>5</v>
      </c>
      <c r="L62" s="270">
        <f>K$59*101*(K62/101)^L$59</f>
        <v>2.2417098876207131</v>
      </c>
      <c r="M62" s="270">
        <f t="shared" ref="M62:M70" si="89">DEGREES(ATAN(L62/K62))</f>
        <v>24.148696162608438</v>
      </c>
      <c r="N62" s="271">
        <f t="shared" ref="N62:N70" si="90">L62*20.89</f>
        <v>46.829319552396697</v>
      </c>
      <c r="O62" s="2"/>
      <c r="P62" s="218">
        <v>5</v>
      </c>
      <c r="Q62" s="219">
        <f t="shared" ref="Q62:Q70" si="91">P$59*101*(P62/101)^Q$59</f>
        <v>2.5099207703539927</v>
      </c>
      <c r="R62" s="219">
        <f t="shared" ref="R62:R70" si="92">DEGREES(ATAN(Q62/P62))</f>
        <v>26.655925900363574</v>
      </c>
      <c r="S62" s="220">
        <f t="shared" ref="S62:S70" si="93">Q62*20.89</f>
        <v>52.432244892694911</v>
      </c>
      <c r="T62" s="221"/>
      <c r="U62" s="222">
        <v>5</v>
      </c>
      <c r="V62" s="223">
        <f t="shared" ref="V62:V70" si="94">U$59*101*(U62/101)^V$59</f>
        <v>2.8036315331234878</v>
      </c>
      <c r="W62" s="223">
        <f t="shared" ref="W62:W70" si="95">DEGREES(ATAN(V62/U62))</f>
        <v>29.280496113409807</v>
      </c>
      <c r="X62" s="224">
        <f t="shared" ref="X62:X70" si="96">V62*20.89</f>
        <v>58.567862726949663</v>
      </c>
      <c r="Y62" s="221"/>
      <c r="Z62" s="253"/>
    </row>
    <row r="63" spans="1:26" ht="21.9" customHeight="1" x14ac:dyDescent="0.3">
      <c r="A63" s="2"/>
      <c r="B63" s="131"/>
      <c r="C63" s="423"/>
      <c r="D63" s="423"/>
      <c r="E63" s="423"/>
      <c r="F63" s="423"/>
      <c r="G63" s="423"/>
      <c r="H63" s="423"/>
      <c r="I63" s="423"/>
      <c r="J63" s="131"/>
      <c r="K63" s="269">
        <v>10</v>
      </c>
      <c r="L63" s="270">
        <f t="shared" ref="L62:L70" si="97">K$59*101*(K63/101)^L$59</f>
        <v>4.4475519061417517</v>
      </c>
      <c r="M63" s="270">
        <f t="shared" si="89"/>
        <v>23.977354888297473</v>
      </c>
      <c r="N63" s="271">
        <f t="shared" si="90"/>
        <v>92.909359319301188</v>
      </c>
      <c r="O63" s="2"/>
      <c r="P63" s="218">
        <v>10</v>
      </c>
      <c r="Q63" s="219">
        <f t="shared" si="91"/>
        <v>4.7989553293854597</v>
      </c>
      <c r="R63" s="219">
        <f t="shared" si="92"/>
        <v>25.636140930245435</v>
      </c>
      <c r="S63" s="220">
        <f t="shared" si="93"/>
        <v>100.25017683086226</v>
      </c>
      <c r="T63" s="221"/>
      <c r="U63" s="222">
        <v>10</v>
      </c>
      <c r="V63" s="223">
        <f t="shared" si="94"/>
        <v>5.1659798485950619</v>
      </c>
      <c r="W63" s="223">
        <f t="shared" si="95"/>
        <v>27.320785176278665</v>
      </c>
      <c r="X63" s="224">
        <f t="shared" si="96"/>
        <v>107.91731903715085</v>
      </c>
      <c r="Y63" s="221"/>
      <c r="Z63" s="253"/>
    </row>
    <row r="64" spans="1:26" ht="21.9" customHeight="1" x14ac:dyDescent="0.3">
      <c r="A64" s="2"/>
      <c r="B64" s="131"/>
      <c r="C64" s="423"/>
      <c r="D64" s="423"/>
      <c r="E64" s="423"/>
      <c r="F64" s="423"/>
      <c r="G64" s="423"/>
      <c r="H64" s="423"/>
      <c r="I64" s="423"/>
      <c r="J64" s="131"/>
      <c r="K64" s="269">
        <v>25</v>
      </c>
      <c r="L64" s="270">
        <f t="shared" si="97"/>
        <v>11.001442911190336</v>
      </c>
      <c r="M64" s="270">
        <f t="shared" si="89"/>
        <v>23.752264967479114</v>
      </c>
      <c r="N64" s="271">
        <f t="shared" si="90"/>
        <v>229.82014241476614</v>
      </c>
      <c r="O64" s="2"/>
      <c r="P64" s="218">
        <v>25</v>
      </c>
      <c r="Q64" s="219">
        <f t="shared" si="91"/>
        <v>11.304513521134249</v>
      </c>
      <c r="R64" s="219">
        <f t="shared" si="92"/>
        <v>24.331557198254167</v>
      </c>
      <c r="S64" s="220">
        <f t="shared" si="93"/>
        <v>236.15128745649446</v>
      </c>
      <c r="T64" s="221"/>
      <c r="U64" s="222">
        <v>25</v>
      </c>
      <c r="V64" s="223">
        <f t="shared" si="94"/>
        <v>11.588692097693523</v>
      </c>
      <c r="W64" s="223">
        <f t="shared" si="95"/>
        <v>24.869971758625006</v>
      </c>
      <c r="X64" s="224">
        <f t="shared" si="96"/>
        <v>242.0877779208177</v>
      </c>
      <c r="Y64" s="221"/>
      <c r="Z64" s="253"/>
    </row>
    <row r="65" spans="1:26" ht="21.9" customHeight="1" x14ac:dyDescent="0.3">
      <c r="A65" s="2"/>
      <c r="B65" s="131"/>
      <c r="C65" s="423"/>
      <c r="D65" s="423"/>
      <c r="E65" s="423"/>
      <c r="F65" s="423"/>
      <c r="G65" s="423"/>
      <c r="H65" s="423"/>
      <c r="I65" s="423"/>
      <c r="J65" s="131"/>
      <c r="K65" s="269">
        <v>50</v>
      </c>
      <c r="L65" s="270">
        <f t="shared" si="97"/>
        <v>21.826860228513606</v>
      </c>
      <c r="M65" s="270">
        <f t="shared" si="89"/>
        <v>23.583059681822888</v>
      </c>
      <c r="N65" s="271">
        <f t="shared" si="90"/>
        <v>455.96311017364923</v>
      </c>
      <c r="O65" s="2"/>
      <c r="P65" s="218">
        <v>50</v>
      </c>
      <c r="Q65" s="219">
        <f t="shared" si="91"/>
        <v>21.614170474674346</v>
      </c>
      <c r="R65" s="219">
        <f t="shared" si="92"/>
        <v>23.378027405362683</v>
      </c>
      <c r="S65" s="220">
        <f t="shared" si="93"/>
        <v>451.52002121594711</v>
      </c>
      <c r="T65" s="221"/>
      <c r="U65" s="222">
        <v>50</v>
      </c>
      <c r="V65" s="223">
        <f t="shared" si="94"/>
        <v>21.353358720987359</v>
      </c>
      <c r="W65" s="223">
        <f t="shared" si="95"/>
        <v>23.125737368774356</v>
      </c>
      <c r="X65" s="224">
        <f t="shared" si="96"/>
        <v>446.07166368142595</v>
      </c>
      <c r="Y65" s="221"/>
      <c r="Z65" s="253"/>
    </row>
    <row r="66" spans="1:26" ht="21.9" customHeight="1" x14ac:dyDescent="0.55000000000000004">
      <c r="A66" s="2"/>
      <c r="B66" s="131"/>
      <c r="C66" s="168"/>
      <c r="D66" s="168"/>
      <c r="E66" s="160"/>
      <c r="F66" s="160"/>
      <c r="G66" s="2"/>
      <c r="H66" s="166"/>
      <c r="I66" s="167"/>
      <c r="J66" s="131"/>
      <c r="K66" s="269">
        <v>100</v>
      </c>
      <c r="L66" s="270">
        <f t="shared" si="97"/>
        <v>43.304485718912126</v>
      </c>
      <c r="M66" s="270">
        <f t="shared" si="89"/>
        <v>23.414775891590953</v>
      </c>
      <c r="N66" s="271">
        <f t="shared" si="90"/>
        <v>904.63070666807437</v>
      </c>
      <c r="O66" s="2"/>
      <c r="P66" s="218">
        <v>100</v>
      </c>
      <c r="Q66" s="219">
        <f t="shared" si="91"/>
        <v>41.326180417661192</v>
      </c>
      <c r="R66" s="219">
        <f t="shared" si="92"/>
        <v>22.453438601321924</v>
      </c>
      <c r="S66" s="220">
        <f t="shared" si="93"/>
        <v>863.30390892494233</v>
      </c>
      <c r="T66" s="221"/>
      <c r="U66" s="222">
        <v>100</v>
      </c>
      <c r="V66" s="223">
        <f t="shared" si="94"/>
        <v>39.345762647185779</v>
      </c>
      <c r="W66" s="223">
        <f t="shared" si="95"/>
        <v>21.477535382207193</v>
      </c>
      <c r="X66" s="224">
        <f t="shared" si="96"/>
        <v>821.93298169971092</v>
      </c>
      <c r="Y66" s="221"/>
      <c r="Z66" s="253"/>
    </row>
    <row r="67" spans="1:26" ht="21.9" customHeight="1" x14ac:dyDescent="0.55000000000000004">
      <c r="A67" s="2"/>
      <c r="B67" s="131"/>
      <c r="C67" s="216"/>
      <c r="D67" s="216"/>
      <c r="E67" s="254"/>
      <c r="F67" s="254"/>
      <c r="G67" s="255"/>
      <c r="H67" s="256"/>
      <c r="I67" s="167"/>
      <c r="J67" s="131"/>
      <c r="K67" s="269">
        <v>200</v>
      </c>
      <c r="L67" s="270">
        <f t="shared" si="97"/>
        <v>85.916089796996403</v>
      </c>
      <c r="M67" s="270">
        <f t="shared" si="89"/>
        <v>23.247414353490857</v>
      </c>
      <c r="N67" s="271">
        <f t="shared" si="90"/>
        <v>1794.787115859255</v>
      </c>
      <c r="O67" s="2"/>
      <c r="P67" s="218">
        <v>200</v>
      </c>
      <c r="Q67" s="219">
        <f t="shared" si="91"/>
        <v>79.015439889964824</v>
      </c>
      <c r="R67" s="219">
        <f t="shared" si="92"/>
        <v>21.557846036675574</v>
      </c>
      <c r="S67" s="220">
        <f t="shared" si="93"/>
        <v>1650.6325393013651</v>
      </c>
      <c r="T67" s="221"/>
      <c r="U67" s="222">
        <v>200</v>
      </c>
      <c r="V67" s="223">
        <f t="shared" si="94"/>
        <v>72.498619936877901</v>
      </c>
      <c r="W67" s="223">
        <f t="shared" si="95"/>
        <v>19.925231217092001</v>
      </c>
      <c r="X67" s="224">
        <f t="shared" si="96"/>
        <v>1514.4961704813793</v>
      </c>
      <c r="Y67" s="221"/>
      <c r="Z67" s="253"/>
    </row>
    <row r="68" spans="1:26" ht="21.9" customHeight="1" x14ac:dyDescent="0.3">
      <c r="A68" s="2"/>
      <c r="B68" s="131"/>
      <c r="C68" s="216"/>
      <c r="D68" s="99"/>
      <c r="E68" s="99"/>
      <c r="F68" s="394" t="s">
        <v>66</v>
      </c>
      <c r="G68" s="395"/>
      <c r="H68" s="215"/>
      <c r="I68" s="131"/>
      <c r="J68" s="131"/>
      <c r="K68" s="269">
        <v>300</v>
      </c>
      <c r="L68" s="270">
        <f t="shared" si="97"/>
        <v>128.2700287673714</v>
      </c>
      <c r="M68" s="270">
        <f t="shared" si="89"/>
        <v>23.149941915251571</v>
      </c>
      <c r="N68" s="271">
        <f t="shared" si="90"/>
        <v>2679.5609009503887</v>
      </c>
      <c r="O68" s="2"/>
      <c r="P68" s="218">
        <v>300</v>
      </c>
      <c r="Q68" s="219">
        <f t="shared" si="91"/>
        <v>115.44393541325321</v>
      </c>
      <c r="R68" s="219">
        <f t="shared" si="92"/>
        <v>21.047379702281578</v>
      </c>
      <c r="S68" s="220">
        <f t="shared" si="93"/>
        <v>2411.6238107828599</v>
      </c>
      <c r="T68" s="221"/>
      <c r="U68" s="222">
        <v>300</v>
      </c>
      <c r="V68" s="223">
        <f t="shared" si="94"/>
        <v>103.65669855768662</v>
      </c>
      <c r="W68" s="223">
        <f t="shared" si="95"/>
        <v>19.06117406063295</v>
      </c>
      <c r="X68" s="224">
        <f t="shared" si="96"/>
        <v>2165.3884328700738</v>
      </c>
      <c r="Y68" s="221"/>
      <c r="Z68" s="253"/>
    </row>
    <row r="69" spans="1:26" ht="21.9" customHeight="1" x14ac:dyDescent="0.55000000000000004">
      <c r="A69" s="2"/>
      <c r="B69" s="131"/>
      <c r="C69" s="216"/>
      <c r="D69" s="337" t="s">
        <v>38</v>
      </c>
      <c r="E69" s="338"/>
      <c r="F69" s="101" t="s">
        <v>39</v>
      </c>
      <c r="G69" s="102" t="s">
        <v>40</v>
      </c>
      <c r="H69" s="256"/>
      <c r="I69" s="167"/>
      <c r="J69" s="131"/>
      <c r="K69" s="269">
        <v>400</v>
      </c>
      <c r="L69" s="270">
        <f t="shared" si="97"/>
        <v>170.45750257650184</v>
      </c>
      <c r="M69" s="270">
        <f t="shared" si="89"/>
        <v>23.080975693835381</v>
      </c>
      <c r="N69" s="271">
        <f t="shared" si="90"/>
        <v>3560.8572288231235</v>
      </c>
      <c r="O69" s="2"/>
      <c r="P69" s="218">
        <v>400</v>
      </c>
      <c r="Q69" s="219">
        <f t="shared" si="91"/>
        <v>151.07710603558326</v>
      </c>
      <c r="R69" s="219">
        <f t="shared" si="92"/>
        <v>20.691188078290562</v>
      </c>
      <c r="S69" s="220">
        <f t="shared" si="93"/>
        <v>3156.0007450833341</v>
      </c>
      <c r="T69" s="221"/>
      <c r="U69" s="222">
        <v>400</v>
      </c>
      <c r="V69" s="223">
        <f t="shared" si="94"/>
        <v>133.58617393905851</v>
      </c>
      <c r="W69" s="223">
        <f t="shared" si="95"/>
        <v>18.467537713655425</v>
      </c>
      <c r="X69" s="224">
        <f t="shared" si="96"/>
        <v>2790.6151735869325</v>
      </c>
      <c r="Y69" s="221"/>
      <c r="Z69" s="253"/>
    </row>
    <row r="70" spans="1:26" ht="21.9" customHeight="1" thickBot="1" x14ac:dyDescent="0.6">
      <c r="A70" s="2"/>
      <c r="B70" s="131"/>
      <c r="C70" s="216"/>
      <c r="D70" s="337" t="s">
        <v>67</v>
      </c>
      <c r="E70" s="338"/>
      <c r="F70" s="103">
        <v>15</v>
      </c>
      <c r="G70" s="104">
        <v>250</v>
      </c>
      <c r="H70" s="256"/>
      <c r="I70" s="167"/>
      <c r="J70" s="131"/>
      <c r="K70" s="272">
        <v>700</v>
      </c>
      <c r="L70" s="273">
        <f t="shared" si="97"/>
        <v>296.37243676966801</v>
      </c>
      <c r="M70" s="273">
        <f t="shared" si="89"/>
        <v>22.947274288307966</v>
      </c>
      <c r="N70" s="274">
        <f t="shared" si="90"/>
        <v>6191.2202041183646</v>
      </c>
      <c r="O70" s="2"/>
      <c r="P70" s="226">
        <v>700</v>
      </c>
      <c r="Q70" s="227">
        <f t="shared" si="91"/>
        <v>254.95194275616103</v>
      </c>
      <c r="R70" s="227">
        <f t="shared" si="92"/>
        <v>20.012486828452708</v>
      </c>
      <c r="S70" s="228">
        <f t="shared" si="93"/>
        <v>5325.9460841762038</v>
      </c>
      <c r="T70" s="221"/>
      <c r="U70" s="229">
        <v>700</v>
      </c>
      <c r="V70" s="230">
        <f t="shared" si="94"/>
        <v>218.80596569670325</v>
      </c>
      <c r="W70" s="230">
        <f t="shared" si="95"/>
        <v>17.358197846520508</v>
      </c>
      <c r="X70" s="231">
        <f t="shared" si="96"/>
        <v>4570.8566234041309</v>
      </c>
      <c r="Y70" s="221"/>
      <c r="Z70" s="253"/>
    </row>
    <row r="71" spans="1:26" ht="21.9" customHeight="1" x14ac:dyDescent="0.3">
      <c r="A71" s="2"/>
      <c r="B71" s="131"/>
      <c r="C71" s="413"/>
      <c r="D71" s="413"/>
      <c r="E71" s="160"/>
      <c r="F71" s="160"/>
      <c r="G71" s="2"/>
      <c r="H71" s="131"/>
      <c r="I71" s="131"/>
      <c r="J71" s="131"/>
      <c r="K71" s="131"/>
      <c r="L71" s="131"/>
      <c r="M71" s="131"/>
      <c r="N71" s="13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6" ht="21.9" customHeight="1" x14ac:dyDescent="0.55000000000000004">
      <c r="A72" s="2"/>
      <c r="B72" s="131"/>
      <c r="C72" s="168"/>
      <c r="D72" s="168"/>
      <c r="E72" s="160"/>
      <c r="F72" s="160"/>
      <c r="G72" s="2"/>
      <c r="H72" s="166"/>
      <c r="I72" s="167"/>
      <c r="J72" s="167"/>
      <c r="K72" s="132"/>
      <c r="L72" s="131"/>
      <c r="M72" s="131"/>
      <c r="N72" s="131"/>
      <c r="O72" s="131"/>
      <c r="P72" s="131"/>
      <c r="Q72" s="131"/>
      <c r="R72" s="2"/>
      <c r="S72" s="2"/>
      <c r="T72" s="2"/>
      <c r="U72" s="2"/>
      <c r="V72" s="2"/>
      <c r="W72" s="2"/>
      <c r="X72" s="2"/>
      <c r="Y72" s="2"/>
    </row>
    <row r="73" spans="1:26" hidden="1" x14ac:dyDescent="0.3"/>
    <row r="74" spans="1:26" ht="18" hidden="1" x14ac:dyDescent="0.35">
      <c r="B74" s="285"/>
      <c r="C74" s="286"/>
      <c r="D74" s="286"/>
      <c r="E74" s="286"/>
      <c r="F74" s="286"/>
      <c r="G74" s="287"/>
    </row>
    <row r="75" spans="1:26" hidden="1" x14ac:dyDescent="0.3"/>
    <row r="76" spans="1:26" hidden="1" x14ac:dyDescent="0.3"/>
    <row r="77" spans="1:26" hidden="1" x14ac:dyDescent="0.3"/>
    <row r="78" spans="1:26" hidden="1" x14ac:dyDescent="0.3">
      <c r="B78" s="105"/>
      <c r="C78" s="105"/>
      <c r="D78" s="105"/>
      <c r="E78" s="105"/>
    </row>
    <row r="79" spans="1:26" hidden="1" x14ac:dyDescent="0.3">
      <c r="B79" s="106"/>
      <c r="C79" s="107"/>
      <c r="E79" s="107"/>
    </row>
    <row r="80" spans="1:26" hidden="1" x14ac:dyDescent="0.3">
      <c r="B80" s="106"/>
      <c r="C80" s="107"/>
      <c r="E80" s="107"/>
    </row>
    <row r="81" spans="2:7" hidden="1" x14ac:dyDescent="0.3">
      <c r="B81" s="106"/>
      <c r="C81" s="107"/>
      <c r="E81" s="107"/>
    </row>
    <row r="82" spans="2:7" hidden="1" x14ac:dyDescent="0.3">
      <c r="B82" s="106"/>
      <c r="C82" s="107"/>
      <c r="E82" s="107"/>
    </row>
    <row r="83" spans="2:7" hidden="1" x14ac:dyDescent="0.3">
      <c r="B83" s="106"/>
      <c r="C83" s="107"/>
      <c r="E83" s="107"/>
    </row>
    <row r="84" spans="2:7" hidden="1" x14ac:dyDescent="0.3">
      <c r="B84" s="106"/>
      <c r="C84" s="107"/>
      <c r="E84" s="107"/>
    </row>
    <row r="85" spans="2:7" hidden="1" x14ac:dyDescent="0.3">
      <c r="B85" s="106"/>
      <c r="C85" s="107"/>
      <c r="E85" s="107"/>
    </row>
    <row r="86" spans="2:7" hidden="1" x14ac:dyDescent="0.3">
      <c r="B86" s="106"/>
      <c r="C86" s="107"/>
      <c r="E86" s="107"/>
    </row>
    <row r="87" spans="2:7" hidden="1" x14ac:dyDescent="0.3">
      <c r="B87" s="106"/>
      <c r="C87" s="107"/>
      <c r="E87" s="107"/>
    </row>
    <row r="88" spans="2:7" hidden="1" x14ac:dyDescent="0.3">
      <c r="B88" s="106"/>
      <c r="C88" s="107"/>
      <c r="E88" s="107"/>
    </row>
    <row r="89" spans="2:7" hidden="1" x14ac:dyDescent="0.3">
      <c r="B89" s="106"/>
      <c r="C89" s="107"/>
      <c r="E89" s="107"/>
    </row>
    <row r="90" spans="2:7" hidden="1" x14ac:dyDescent="0.3"/>
    <row r="91" spans="2:7" hidden="1" x14ac:dyDescent="0.3"/>
    <row r="92" spans="2:7" hidden="1" x14ac:dyDescent="0.3">
      <c r="B92" s="108"/>
      <c r="C92" s="109"/>
      <c r="D92" s="110"/>
      <c r="E92" s="109"/>
    </row>
    <row r="93" spans="2:7" hidden="1" x14ac:dyDescent="0.3">
      <c r="B93" s="111"/>
    </row>
    <row r="94" spans="2:7" hidden="1" x14ac:dyDescent="0.3"/>
    <row r="95" spans="2:7" ht="18" hidden="1" x14ac:dyDescent="0.35">
      <c r="B95" s="285"/>
      <c r="C95" s="286"/>
      <c r="D95" s="286"/>
      <c r="E95" s="286"/>
      <c r="F95" s="286"/>
      <c r="G95" s="287"/>
    </row>
    <row r="96" spans="2:7" hidden="1" x14ac:dyDescent="0.3">
      <c r="B96" s="112"/>
      <c r="C96" s="113"/>
    </row>
    <row r="97" spans="2:12" hidden="1" x14ac:dyDescent="0.3">
      <c r="B97" s="114"/>
    </row>
    <row r="98" spans="2:12" hidden="1" x14ac:dyDescent="0.3">
      <c r="B98" s="114"/>
    </row>
    <row r="99" spans="2:12" hidden="1" x14ac:dyDescent="0.3">
      <c r="B99" s="114"/>
      <c r="L99" s="85">
        <f>0.5*(0.0023+0.004)</f>
        <v>3.15E-3</v>
      </c>
    </row>
    <row r="100" spans="2:12" hidden="1" x14ac:dyDescent="0.3">
      <c r="B100" s="114"/>
    </row>
    <row r="101" spans="2:12" hidden="1" x14ac:dyDescent="0.3">
      <c r="B101" s="114"/>
    </row>
    <row r="102" spans="2:12" hidden="1" x14ac:dyDescent="0.3">
      <c r="B102" s="114"/>
    </row>
    <row r="103" spans="2:12" hidden="1" x14ac:dyDescent="0.3">
      <c r="B103" s="114"/>
    </row>
    <row r="104" spans="2:12" hidden="1" x14ac:dyDescent="0.3">
      <c r="B104" s="114"/>
    </row>
    <row r="105" spans="2:12" hidden="1" x14ac:dyDescent="0.3">
      <c r="B105" s="114"/>
    </row>
    <row r="106" spans="2:12" hidden="1" x14ac:dyDescent="0.3">
      <c r="B106" s="114"/>
    </row>
    <row r="107" spans="2:12" hidden="1" x14ac:dyDescent="0.3">
      <c r="B107" s="114"/>
    </row>
    <row r="108" spans="2:12" hidden="1" x14ac:dyDescent="0.3"/>
    <row r="109" spans="2:12" ht="15.6" hidden="1" customHeight="1" x14ac:dyDescent="0.3">
      <c r="B109" s="85"/>
      <c r="I109" s="85"/>
    </row>
    <row r="110" spans="2:12" hidden="1" x14ac:dyDescent="0.3">
      <c r="B110" s="85"/>
      <c r="I110" s="85"/>
    </row>
    <row r="111" spans="2:12" hidden="1" x14ac:dyDescent="0.3">
      <c r="B111" s="85"/>
      <c r="I111" s="85"/>
    </row>
    <row r="112" spans="2:12" ht="18" hidden="1" x14ac:dyDescent="0.35">
      <c r="B112" s="285"/>
      <c r="C112" s="286"/>
      <c r="D112" s="286"/>
      <c r="E112" s="286"/>
      <c r="F112" s="286"/>
      <c r="G112" s="287"/>
      <c r="I112" s="85"/>
    </row>
    <row r="113" spans="2:9" hidden="1" x14ac:dyDescent="0.3">
      <c r="B113" s="108"/>
      <c r="I113" s="85"/>
    </row>
    <row r="114" spans="2:9" hidden="1" x14ac:dyDescent="0.3">
      <c r="B114" s="116"/>
      <c r="I114" s="85"/>
    </row>
    <row r="115" spans="2:9" hidden="1" x14ac:dyDescent="0.3">
      <c r="B115" s="85"/>
      <c r="I115" s="85"/>
    </row>
    <row r="116" spans="2:9" hidden="1" x14ac:dyDescent="0.3">
      <c r="B116" s="85"/>
      <c r="I116" s="85"/>
    </row>
    <row r="117" spans="2:9" hidden="1" x14ac:dyDescent="0.3">
      <c r="B117" s="159"/>
      <c r="C117" s="334"/>
      <c r="D117" s="334"/>
      <c r="E117" s="117"/>
      <c r="F117" s="334"/>
      <c r="G117" s="334"/>
      <c r="I117" s="85"/>
    </row>
    <row r="118" spans="2:9" hidden="1" x14ac:dyDescent="0.3">
      <c r="B118" s="118"/>
      <c r="C118" s="119"/>
      <c r="D118" s="119"/>
      <c r="E118" s="119"/>
      <c r="F118" s="119"/>
      <c r="G118" s="119"/>
      <c r="I118" s="85"/>
    </row>
    <row r="119" spans="2:9" hidden="1" x14ac:dyDescent="0.3">
      <c r="D119" s="85"/>
      <c r="E119" s="120"/>
      <c r="G119" s="85"/>
      <c r="I119" s="85"/>
    </row>
    <row r="120" spans="2:9" hidden="1" x14ac:dyDescent="0.3">
      <c r="D120" s="85"/>
      <c r="E120" s="120"/>
      <c r="G120" s="85"/>
      <c r="I120" s="85"/>
    </row>
    <row r="121" spans="2:9" hidden="1" x14ac:dyDescent="0.3">
      <c r="D121" s="85"/>
      <c r="E121" s="120"/>
      <c r="G121" s="85"/>
      <c r="I121" s="85"/>
    </row>
    <row r="122" spans="2:9" hidden="1" x14ac:dyDescent="0.3">
      <c r="D122" s="85"/>
      <c r="E122" s="120"/>
      <c r="G122" s="85"/>
      <c r="I122" s="85"/>
    </row>
    <row r="123" spans="2:9" hidden="1" x14ac:dyDescent="0.3">
      <c r="D123" s="85"/>
      <c r="E123" s="120"/>
      <c r="G123" s="85"/>
      <c r="I123" s="85"/>
    </row>
    <row r="124" spans="2:9" hidden="1" x14ac:dyDescent="0.3">
      <c r="B124" s="121"/>
      <c r="D124" s="85"/>
      <c r="E124" s="120"/>
      <c r="G124" s="85"/>
      <c r="I124" s="85"/>
    </row>
    <row r="125" spans="2:9" hidden="1" x14ac:dyDescent="0.3">
      <c r="B125" s="121"/>
      <c r="D125" s="85"/>
      <c r="E125" s="120"/>
      <c r="G125" s="85"/>
      <c r="I125" s="85"/>
    </row>
    <row r="126" spans="2:9" hidden="1" x14ac:dyDescent="0.3">
      <c r="B126" s="121"/>
      <c r="D126" s="85"/>
      <c r="E126" s="120"/>
      <c r="G126" s="85"/>
      <c r="I126" s="85"/>
    </row>
    <row r="127" spans="2:9" hidden="1" x14ac:dyDescent="0.3">
      <c r="B127" s="121"/>
      <c r="D127" s="85"/>
      <c r="E127" s="120"/>
      <c r="G127" s="85"/>
      <c r="I127" s="85"/>
    </row>
    <row r="128" spans="2:9" hidden="1" x14ac:dyDescent="0.3">
      <c r="B128" s="121"/>
      <c r="D128" s="85"/>
      <c r="E128" s="120"/>
      <c r="G128" s="85"/>
      <c r="I128" s="85"/>
    </row>
    <row r="129" spans="2:9" hidden="1" x14ac:dyDescent="0.3">
      <c r="B129" s="122"/>
      <c r="D129" s="85"/>
      <c r="E129" s="119"/>
      <c r="G129" s="85"/>
      <c r="I129" s="85"/>
    </row>
    <row r="130" spans="2:9" hidden="1" x14ac:dyDescent="0.3">
      <c r="B130" s="85"/>
      <c r="I130" s="85"/>
    </row>
    <row r="131" spans="2:9" hidden="1" x14ac:dyDescent="0.3">
      <c r="B131" s="85"/>
      <c r="C131" s="85"/>
      <c r="D131" s="85"/>
      <c r="E131" s="85"/>
      <c r="F131" s="85"/>
      <c r="G131" s="85"/>
      <c r="I131" s="85"/>
    </row>
    <row r="132" spans="2:9" hidden="1" x14ac:dyDescent="0.3">
      <c r="B132" s="85"/>
      <c r="I132" s="85"/>
    </row>
    <row r="133" spans="2:9" hidden="1" x14ac:dyDescent="0.3">
      <c r="B133" s="85"/>
      <c r="I133" s="85"/>
    </row>
    <row r="134" spans="2:9" hidden="1" x14ac:dyDescent="0.3">
      <c r="B134" s="85"/>
      <c r="I134" s="85"/>
    </row>
    <row r="135" spans="2:9" hidden="1" x14ac:dyDescent="0.3">
      <c r="I135" s="85"/>
    </row>
    <row r="136" spans="2:9" hidden="1" x14ac:dyDescent="0.3">
      <c r="I136" s="85"/>
    </row>
    <row r="137" spans="2:9" hidden="1" x14ac:dyDescent="0.3">
      <c r="I137" s="85"/>
    </row>
    <row r="138" spans="2:9" hidden="1" x14ac:dyDescent="0.3">
      <c r="I138" s="85"/>
    </row>
    <row r="139" spans="2:9" hidden="1" x14ac:dyDescent="0.3">
      <c r="I139" s="85"/>
    </row>
    <row r="140" spans="2:9" hidden="1" x14ac:dyDescent="0.3">
      <c r="I140" s="85"/>
    </row>
    <row r="141" spans="2:9" hidden="1" x14ac:dyDescent="0.3">
      <c r="I141" s="85"/>
    </row>
    <row r="142" spans="2:9" hidden="1" x14ac:dyDescent="0.3">
      <c r="I142" s="85"/>
    </row>
    <row r="143" spans="2:9" hidden="1" x14ac:dyDescent="0.3">
      <c r="I143" s="85"/>
    </row>
    <row r="144" spans="2:9" hidden="1" x14ac:dyDescent="0.3"/>
    <row r="145" spans="2:7" hidden="1" x14ac:dyDescent="0.3">
      <c r="B145" s="108"/>
      <c r="C145" s="109"/>
      <c r="D145" s="110"/>
      <c r="E145" s="109"/>
    </row>
    <row r="146" spans="2:7" hidden="1" x14ac:dyDescent="0.3">
      <c r="B146" s="111"/>
    </row>
    <row r="147" spans="2:7" hidden="1" x14ac:dyDescent="0.3"/>
    <row r="148" spans="2:7" ht="18" hidden="1" x14ac:dyDescent="0.35">
      <c r="B148" s="285"/>
      <c r="C148" s="286"/>
      <c r="D148" s="286"/>
      <c r="E148" s="286"/>
      <c r="F148" s="286"/>
      <c r="G148" s="287"/>
    </row>
    <row r="149" spans="2:7" hidden="1" x14ac:dyDescent="0.3">
      <c r="B149" s="112"/>
      <c r="C149" s="113"/>
    </row>
    <row r="150" spans="2:7" hidden="1" x14ac:dyDescent="0.3">
      <c r="B150" s="114"/>
    </row>
    <row r="151" spans="2:7" hidden="1" x14ac:dyDescent="0.3">
      <c r="B151" s="114"/>
    </row>
    <row r="152" spans="2:7" hidden="1" x14ac:dyDescent="0.3">
      <c r="B152" s="114"/>
    </row>
    <row r="153" spans="2:7" hidden="1" x14ac:dyDescent="0.3">
      <c r="B153" s="114"/>
    </row>
    <row r="154" spans="2:7" hidden="1" x14ac:dyDescent="0.3">
      <c r="B154" s="114"/>
    </row>
    <row r="155" spans="2:7" hidden="1" x14ac:dyDescent="0.3">
      <c r="B155" s="114"/>
    </row>
    <row r="156" spans="2:7" hidden="1" x14ac:dyDescent="0.3">
      <c r="B156" s="114"/>
    </row>
    <row r="157" spans="2:7" hidden="1" x14ac:dyDescent="0.3">
      <c r="B157" s="114"/>
    </row>
    <row r="158" spans="2:7" hidden="1" x14ac:dyDescent="0.3">
      <c r="B158" s="114"/>
    </row>
    <row r="159" spans="2:7" hidden="1" x14ac:dyDescent="0.3">
      <c r="B159" s="114"/>
    </row>
    <row r="160" spans="2:7" hidden="1" x14ac:dyDescent="0.3">
      <c r="B160" s="114"/>
    </row>
    <row r="161" hidden="1" x14ac:dyDescent="0.3"/>
  </sheetData>
  <sheetProtection algorithmName="SHA-512" hashValue="zuOHFE45PeEubG7j9E3YQwemA30xgG5Y+w2t4L+Uf9/rhxldGQnC/U6dfEfakwcELOAn0yPL2TTlhVr9Rbm5aA==" saltValue="WIZdXTCxkcFzNa7CC8rZuA==" spinCount="100000" sheet="1" objects="1" scenarios="1" selectLockedCells="1"/>
  <mergeCells count="29">
    <mergeCell ref="K39:N40"/>
    <mergeCell ref="K41:L41"/>
    <mergeCell ref="B2:T2"/>
    <mergeCell ref="V7:X7"/>
    <mergeCell ref="J38:N38"/>
    <mergeCell ref="P39:S40"/>
    <mergeCell ref="P55:S56"/>
    <mergeCell ref="P41:Q41"/>
    <mergeCell ref="P57:Q57"/>
    <mergeCell ref="K55:N56"/>
    <mergeCell ref="K57:L57"/>
    <mergeCell ref="D3:H3"/>
    <mergeCell ref="I3:N3"/>
    <mergeCell ref="O3:T3"/>
    <mergeCell ref="C56:I65"/>
    <mergeCell ref="B148:G148"/>
    <mergeCell ref="F68:G68"/>
    <mergeCell ref="D69:E69"/>
    <mergeCell ref="D70:E70"/>
    <mergeCell ref="B74:G74"/>
    <mergeCell ref="B95:G95"/>
    <mergeCell ref="B112:G112"/>
    <mergeCell ref="C117:D117"/>
    <mergeCell ref="F117:G117"/>
    <mergeCell ref="C71:D71"/>
    <mergeCell ref="U39:X40"/>
    <mergeCell ref="U41:V41"/>
    <mergeCell ref="U55:X56"/>
    <mergeCell ref="U57:V57"/>
  </mergeCells>
  <hyperlinks>
    <hyperlink ref="V7" r:id="rId1" xr:uid="{B3CBF10C-D3C7-49D2-84FE-561903B492C1}"/>
  </hyperlinks>
  <pageMargins left="0.7" right="0.7" top="0.75" bottom="0.75" header="0.3" footer="0.3"/>
  <pageSetup orientation="portrait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Stark Correlations (2023)LL&amp;CF</vt:lpstr>
      <vt:lpstr>Stark Correlations (2023)(PI)</vt:lpstr>
      <vt:lpstr>Laboratory (2023) (LL&amp;CF)</vt:lpstr>
      <vt:lpstr>Laboratory (2023) (PI)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Abedalqader Idries</cp:lastModifiedBy>
  <dcterms:created xsi:type="dcterms:W3CDTF">2019-06-06T22:24:25Z</dcterms:created>
  <dcterms:modified xsi:type="dcterms:W3CDTF">2023-08-09T22:53:11Z</dcterms:modified>
</cp:coreProperties>
</file>