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tstark\Desktop\"/>
    </mc:Choice>
  </mc:AlternateContent>
  <xr:revisionPtr revIDLastSave="0" documentId="13_ncr:1_{019B9B7A-2B6F-406C-A50E-A0F480DAD53A}" xr6:coauthVersionLast="47" xr6:coauthVersionMax="47" xr10:uidLastSave="{00000000-0000-0000-0000-000000000000}"/>
  <bookViews>
    <workbookView xWindow="-103" yWindow="-103" windowWidth="22149" windowHeight="13200" xr2:uid="{DEE491D0-EF27-4972-8CEE-DBE3D1FC9BC9}"/>
  </bookViews>
  <sheets>
    <sheet name="Anchorage Trench Calculator" sheetId="1" r:id="rId1"/>
  </sheets>
  <definedNames>
    <definedName name="_xlnm.Print_Area" localSheetId="0">'Anchorage Trench Calculator'!$A$1:$W$88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1" i="1" l="1"/>
  <c r="T52" i="1"/>
  <c r="K73" i="1" l="1"/>
  <c r="J73" i="1"/>
  <c r="J71" i="1" s="1"/>
  <c r="E34" i="1"/>
  <c r="F34" i="1"/>
  <c r="F32" i="1"/>
  <c r="F72" i="1" s="1"/>
  <c r="E68" i="1"/>
  <c r="F68" i="1"/>
  <c r="E66" i="1"/>
  <c r="N73" i="1"/>
  <c r="N72" i="1"/>
  <c r="N69" i="1"/>
  <c r="N68" i="1"/>
  <c r="K72" i="1"/>
  <c r="K71" i="1"/>
  <c r="K70" i="1"/>
  <c r="K67" i="1"/>
  <c r="K66" i="1"/>
  <c r="K65" i="1"/>
  <c r="F74" i="1"/>
  <c r="F73" i="1"/>
  <c r="F66" i="1"/>
  <c r="F65" i="1"/>
  <c r="J69" i="1" l="1"/>
  <c r="J68" i="1"/>
  <c r="E70" i="1"/>
  <c r="E69" i="1"/>
  <c r="E67" i="1"/>
  <c r="BC89" i="1"/>
  <c r="BC88" i="1"/>
  <c r="BC87" i="1"/>
  <c r="BC86" i="1"/>
  <c r="BC84" i="1"/>
  <c r="BC83" i="1"/>
  <c r="BC80" i="1"/>
  <c r="I45" i="1"/>
  <c r="F45" i="1"/>
  <c r="AS51" i="1" s="1"/>
  <c r="F33" i="1"/>
  <c r="E33" i="1" s="1"/>
  <c r="F30" i="1"/>
  <c r="E40" i="1"/>
  <c r="K27" i="1"/>
  <c r="K28" i="1"/>
  <c r="K30" i="1"/>
  <c r="BG67" i="1"/>
  <c r="K29" i="1"/>
  <c r="BK43" i="1"/>
  <c r="BI99" i="1"/>
  <c r="BK64" i="1"/>
  <c r="BG70" i="1"/>
  <c r="BG64" i="1"/>
  <c r="BG43" i="1"/>
  <c r="F31" i="1" l="1"/>
  <c r="BM39" i="1"/>
  <c r="BM40" i="1"/>
  <c r="M70" i="1"/>
  <c r="M71" i="1"/>
  <c r="BM41" i="1"/>
  <c r="M72" i="1"/>
  <c r="E30" i="1"/>
  <c r="E31" i="1"/>
  <c r="M83" i="1" l="1"/>
  <c r="O83" i="1" s="1"/>
  <c r="M69" i="1" l="1"/>
  <c r="M68" i="1"/>
  <c r="J65" i="1"/>
  <c r="J67" i="1" s="1"/>
  <c r="J66" i="1" l="1"/>
  <c r="Y32" i="1" l="1"/>
  <c r="E32" i="1"/>
  <c r="E45" i="1" l="1"/>
  <c r="H45" i="1" s="1"/>
  <c r="E48" i="1" l="1"/>
  <c r="E73" i="1" s="1"/>
  <c r="E72" i="1" s="1"/>
  <c r="H48" i="1" l="1"/>
  <c r="I48" i="1" s="1"/>
  <c r="M66" i="1"/>
  <c r="J70" i="1"/>
  <c r="M67" i="1"/>
  <c r="M65" i="1"/>
  <c r="U71" i="1" l="1"/>
  <c r="U67" i="1"/>
  <c r="U68" i="1"/>
  <c r="U69" i="1"/>
  <c r="U70" i="1"/>
  <c r="M73" i="1"/>
  <c r="M80" i="1" s="1"/>
  <c r="O8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LIZ ZARELY MORENO TAPIA</author>
  </authors>
  <commentList>
    <comment ref="E33" authorId="0" shapeId="0" xr:uid="{94FD52D3-8049-418F-AB05-A9FA9A0E689C}">
      <text>
        <r>
          <rPr>
            <sz val="9"/>
            <color indexed="81"/>
            <rFont val="Tahoma"/>
            <family val="2"/>
          </rPr>
          <t xml:space="preserve">
</t>
        </r>
        <r>
          <rPr>
            <sz val="22"/>
            <color indexed="81"/>
            <rFont val="Tahoma"/>
            <family val="2"/>
          </rPr>
          <t>Minimum horizontal offset
minimum horizontal embedment lip inside anchor trench.</t>
        </r>
      </text>
    </comment>
    <comment ref="E37" authorId="0" shapeId="0" xr:uid="{E6792570-5EF4-497A-AD37-AA15194157ED}">
      <text>
        <r>
          <rPr>
            <sz val="24"/>
            <color indexed="81"/>
            <rFont val="Tahoma"/>
            <family val="2"/>
          </rPr>
          <t xml:space="preserve">
0 to 60 °- According to Koerner, R. M. (2005). Designing with Geosynthetics (5ª ed.). Pearson Prentice Hall. (page 486)
</t>
        </r>
      </text>
    </comment>
    <comment ref="E68" authorId="0" shapeId="0" xr:uid="{2AA5735D-851A-478C-B486-7F590F063F9C}">
      <text>
        <r>
          <rPr>
            <sz val="24"/>
            <color indexed="81"/>
            <rFont val="Tahoma"/>
            <family val="2"/>
          </rPr>
          <t xml:space="preserve">
&gt;= 0.30m</t>
        </r>
      </text>
    </comment>
    <comment ref="J72" authorId="0" shapeId="0" xr:uid="{98B29E36-C90E-46FD-8657-43B33250A605}">
      <text>
        <r>
          <rPr>
            <sz val="16"/>
            <color indexed="81"/>
            <rFont val="Tahoma"/>
            <family val="2"/>
          </rPr>
          <t xml:space="preserve">
To ensure that the pressure applied by the anchor bench or trench is not too small near the edges of the anchor, the ratio between the height and the width of the anchor bench should be greater than a certain minimum value (0.25 is suggested).</t>
        </r>
      </text>
    </comment>
  </commentList>
</comments>
</file>

<file path=xl/sharedStrings.xml><?xml version="1.0" encoding="utf-8"?>
<sst xmlns="http://schemas.openxmlformats.org/spreadsheetml/2006/main" count="201" uniqueCount="142">
  <si>
    <t>Input Parameter</t>
  </si>
  <si>
    <t>Allowable Tensile Yield Strength</t>
  </si>
  <si>
    <t>HDPE</t>
  </si>
  <si>
    <t>LLDPE</t>
  </si>
  <si>
    <t>fPP-R</t>
  </si>
  <si>
    <t>Soil Properties</t>
  </si>
  <si>
    <t>Soil Friction Angle</t>
  </si>
  <si>
    <t>20-30</t>
  </si>
  <si>
    <t>Degrees</t>
  </si>
  <si>
    <t>kN/m</t>
  </si>
  <si>
    <t xml:space="preserve">lb/in </t>
  </si>
  <si>
    <t>Analysis</t>
  </si>
  <si>
    <t>σallow</t>
  </si>
  <si>
    <t xml:space="preserve">δu </t>
  </si>
  <si>
    <t>Slope (?H:1V)</t>
  </si>
  <si>
    <t xml:space="preserve">side slope angle </t>
  </si>
  <si>
    <t>m</t>
  </si>
  <si>
    <t>kg/m3</t>
  </si>
  <si>
    <t>°</t>
  </si>
  <si>
    <t>According to Designing with Geosynthetics, the maximum (allowable) stress in HDPE geomembranes is 15,900 kPa</t>
  </si>
  <si>
    <t xml:space="preserve">Applied stress, σn </t>
  </si>
  <si>
    <t xml:space="preserve">Angle of shearing resistance between geomembrane and the adjacent material,  δu </t>
  </si>
  <si>
    <t xml:space="preserve">Friction angle between the geomembrane and its cover soil, δL </t>
  </si>
  <si>
    <t xml:space="preserve">Side slope angle , β </t>
  </si>
  <si>
    <t xml:space="preserve">pcf </t>
  </si>
  <si>
    <t>kN/m^3</t>
  </si>
  <si>
    <t>kN/m^4</t>
  </si>
  <si>
    <t xml:space="preserve">Soil/GM Friction Angle </t>
  </si>
  <si>
    <t xml:space="preserve">HDPE </t>
  </si>
  <si>
    <t>PVC 10</t>
  </si>
  <si>
    <t>PVC 20</t>
  </si>
  <si>
    <t xml:space="preserve">PVC 30 </t>
  </si>
  <si>
    <t>PVC 40</t>
  </si>
  <si>
    <t xml:space="preserve">PVC 50 </t>
  </si>
  <si>
    <t xml:space="preserve">PVC 60 </t>
  </si>
  <si>
    <t>type</t>
  </si>
  <si>
    <t xml:space="preserve">    IF(TRIM(R13)="kN/m", X11, IF(TRIM(R13)="lb/in", X10, 0)),</t>
  </si>
  <si>
    <t>IF(P13="PVC20",</t>
  </si>
  <si>
    <t xml:space="preserve">    IF(TRIM(R13)="kN/m", X13, IF(TRIM(R13)="lb/in", X12, 0)),</t>
  </si>
  <si>
    <t>0))</t>
  </si>
  <si>
    <t>=IF(UPPER(TRIM(P13))="PVC 10",</t>
  </si>
  <si>
    <t xml:space="preserve">    IF(UPPER(TRIM(R13))="K/N/M", X11, IF(UPPER(TRIM(R13))="LB/IN", X10, 0)),</t>
  </si>
  <si>
    <t>IF(UPPER(TRIM(P13))="PVC 20",</t>
  </si>
  <si>
    <t xml:space="preserve">    IF(UPPER(TRIM(R13))="K/N/M", X13, IF(UPPER(TRIM(R13))="LB/IN", X12, 0)),</t>
  </si>
  <si>
    <t>IF(UPPER(TRIM(P13))="PVC 30",</t>
  </si>
  <si>
    <t xml:space="preserve">    IF(UPPER(TRIM(R13))="K/N/M", X15, IF(UPPER(TRIM(R13))="LB/IN", X14, 0)),</t>
  </si>
  <si>
    <t>IF(UPPER(TRIM(P13))="PVC 40",</t>
  </si>
  <si>
    <t xml:space="preserve">    IF(UPPER(TRIM(R13))="K/N/M", X17, IF(UPPER(TRIM(R13))="LB/IN", X16, 0)),</t>
  </si>
  <si>
    <t>IF(UPPER(TRIM(P13))="PVC 50",</t>
  </si>
  <si>
    <t xml:space="preserve">    IF(UPPER(TRIM(R13))="K/N/M", X19, IF(UPPER(TRIM(R13))="LB/IN", X18, 0)),</t>
  </si>
  <si>
    <t>IF(UPPER(TRIM(P13))="PVC 60",</t>
  </si>
  <si>
    <t xml:space="preserve">    IF(UPPER(TRIM(R13))="K/N/M", X21, IF(UPPER(TRIM(R13))="LB/IN", X20, 0)),</t>
  </si>
  <si>
    <t>0)))))))</t>
  </si>
  <si>
    <t>=SWITCH(UPPER(TRIM(P13)) &amp; "|" &amp; UPPER(TRIM(R13)),</t>
  </si>
  <si>
    <t xml:space="preserve">    "PVC 10|K/N/M", X11,</t>
  </si>
  <si>
    <t xml:space="preserve">    "PVC 10|LB/IN", X10,</t>
  </si>
  <si>
    <t xml:space="preserve">    "PVC 20|K/N/M", X13,</t>
  </si>
  <si>
    <t xml:space="preserve">    "PVC 20|LB/IN", X12,</t>
  </si>
  <si>
    <t xml:space="preserve">    "PVC 30|K/N/M", X15,</t>
  </si>
  <si>
    <t xml:space="preserve">    "PVC 30|LB/IN", X14,</t>
  </si>
  <si>
    <t xml:space="preserve">    "PVC 40|K/N/M", X17,</t>
  </si>
  <si>
    <t xml:space="preserve">    "PVC 40|LB/IN", X16,</t>
  </si>
  <si>
    <t xml:space="preserve">    "PVC 50|K/N/M", X19,</t>
  </si>
  <si>
    <t xml:space="preserve">    "PVC 50|LB/IN", X18,</t>
  </si>
  <si>
    <t xml:space="preserve">    "PVC 60|K/N/M", X21,</t>
  </si>
  <si>
    <t xml:space="preserve">    "PVC 60|LB/IN", X20,</t>
  </si>
  <si>
    <t>)</t>
  </si>
  <si>
    <t>INPUT PARAMETER</t>
  </si>
  <si>
    <t>GEOMEMBRANE THICKNESS</t>
  </si>
  <si>
    <t>Geomembrane thickness</t>
  </si>
  <si>
    <t>units</t>
  </si>
  <si>
    <t>ft</t>
  </si>
  <si>
    <t>IMPUT PARAMETER</t>
  </si>
  <si>
    <t xml:space="preserve">Soil Unit Weight, ϒ  </t>
  </si>
  <si>
    <t>kN/m3</t>
  </si>
  <si>
    <t>pcf</t>
  </si>
  <si>
    <t>http://tstark.net/</t>
  </si>
  <si>
    <t>thefgi.org</t>
  </si>
  <si>
    <t>t</t>
  </si>
  <si>
    <t>Koerner, R. M. (2005). Designing with Geosynthetics (5ª ed.). Pearson Prentice Hall. (page 486)</t>
  </si>
  <si>
    <t>THICKNESS =</t>
  </si>
  <si>
    <t xml:space="preserve">Distance movilized of Geomembrane deformation p' mov. Geomem., x </t>
  </si>
  <si>
    <t>FoS</t>
  </si>
  <si>
    <t xml:space="preserve">ϒAT </t>
  </si>
  <si>
    <t xml:space="preserve">dAT </t>
  </si>
  <si>
    <t xml:space="preserve">Tadm </t>
  </si>
  <si>
    <t>kPa</t>
  </si>
  <si>
    <t>Width min;</t>
  </si>
  <si>
    <t>Geomembrane Design Parameters</t>
  </si>
  <si>
    <t>δL</t>
  </si>
  <si>
    <t>φ</t>
  </si>
  <si>
    <t>Soil friction angle φ =</t>
  </si>
  <si>
    <t>Lro</t>
  </si>
  <si>
    <t>Tallow</t>
  </si>
  <si>
    <t xml:space="preserve">Active Earth Pressure Resistance against backfill side of anchor trench, PA </t>
  </si>
  <si>
    <t xml:space="preserve">Passive Earth Pressure Resistance against in-situ side of anchor trench, PP </t>
  </si>
  <si>
    <t xml:space="preserve">Active Earth Pressure Coefficient = tg2(45-ø/2) KA </t>
  </si>
  <si>
    <t xml:space="preserve">Passive Earth Pressure Coefficient = tg2(45+ø/2) = 1/KA KP </t>
  </si>
  <si>
    <t>Depth of Soil Cover over Geomembrane Runout</t>
  </si>
  <si>
    <t>Weigth fill material anch ,W =</t>
  </si>
  <si>
    <t xml:space="preserve">Specific weight of backfill for the trench, ϒat  </t>
  </si>
  <si>
    <t xml:space="preserve">Pa </t>
  </si>
  <si>
    <t>Pp</t>
  </si>
  <si>
    <t xml:space="preserve">Allow </t>
  </si>
  <si>
    <t>required</t>
  </si>
  <si>
    <t>PAH</t>
  </si>
  <si>
    <t>Shear force above the geomembrane due to cover soil(note that thin cover soils,tensile cracking will occur, and this value will be negligible) F1Uσ=</t>
  </si>
  <si>
    <t>Shear force below the geomembrane due to cover soil; F1Lσ=</t>
  </si>
  <si>
    <t>Shear force below geomembrane due to the vertical of Tallow; FLT=</t>
  </si>
  <si>
    <t>*FSanchor &lt; 1.5, the anchor trench will fail before geomembrane</t>
  </si>
  <si>
    <t>*FSanchor &gt; 1.5, the geomembrane will fail before the anchor trench</t>
  </si>
  <si>
    <t>Depth of the anchor trench ,Df</t>
  </si>
  <si>
    <t>University of Illinois at Urbana-Champaign</t>
  </si>
  <si>
    <t>Psi</t>
  </si>
  <si>
    <t>Available pullout resistance</t>
  </si>
  <si>
    <t xml:space="preserve"> </t>
  </si>
  <si>
    <t>Giroud and Noiray (1981) applied limit equilibrium principles to analyze the pullout resistance of geosynthetics, emphasizing the balance between driving and resisting forces along the soil–geosynthetic interface.</t>
  </si>
  <si>
    <t xml:space="preserve">Analysis for inclination length </t>
  </si>
  <si>
    <t>An inclination length that provides FS &gt; 1 ensures a safe anchorage. (Giroud,1999)</t>
  </si>
  <si>
    <t>It supports both US customary and International (SI) units. Please enter all values in the designated input parameter boxes according to the units being used.</t>
  </si>
  <si>
    <t>Flexible Geomembrane Institute</t>
  </si>
  <si>
    <t>Timothy D. Stark, Ph.D., P.E., BC.GE, Dist.M.ASCE</t>
  </si>
  <si>
    <t>Input Parameters</t>
  </si>
  <si>
    <t xml:space="preserve">Calculated Results </t>
  </si>
  <si>
    <t>This spreadsheet provides results in both U.S. customary and International (SI) units.</t>
  </si>
  <si>
    <t>Use the selection box to switch between unit systems or verify conversions.</t>
  </si>
  <si>
    <t>Based on our data, an inclination length of 3 ft is adequate to obtain a factor of safety of 1.44</t>
  </si>
  <si>
    <t>Use Pulldown Menu to change units</t>
  </si>
  <si>
    <t>Factor of Safety</t>
  </si>
  <si>
    <t>Inclined length in Pond [T] (m)</t>
  </si>
  <si>
    <t xml:space="preserve">Anchor trench backfill unit weight, ϒat  </t>
  </si>
  <si>
    <r>
      <t>Depth of the anchor trench ,D</t>
    </r>
    <r>
      <rPr>
        <vertAlign val="subscript"/>
        <sz val="18"/>
        <color theme="1"/>
        <rFont val="Times New Roman"/>
        <family val="1"/>
      </rPr>
      <t>f</t>
    </r>
  </si>
  <si>
    <t>A FoS of 1.5 is suggested for the global factor of safety, FoS. (Giroud,1999)</t>
  </si>
  <si>
    <t>Pullout Factor of Safety (FoS)</t>
  </si>
  <si>
    <t>Pullout Resistance: (See recommendations in Chapter 3 and Appendix B) - Use FoS = 1.5 for granular soils - Use FoS = 2 for cohesive soils</t>
  </si>
  <si>
    <t>Giroud Pullout Factor of Safety (FoS)</t>
  </si>
  <si>
    <r>
      <t>Depth of the anchor trench ,D</t>
    </r>
    <r>
      <rPr>
        <b/>
        <vertAlign val="subscript"/>
        <sz val="22"/>
        <color rgb="FF003278"/>
        <rFont val="Times New Roman"/>
        <family val="1"/>
      </rPr>
      <t>f</t>
    </r>
  </si>
  <si>
    <r>
      <t>Depth of the anchor trench ,D</t>
    </r>
    <r>
      <rPr>
        <vertAlign val="subscript"/>
        <sz val="22"/>
        <color theme="1"/>
        <rFont val="Times New Roman"/>
        <family val="1"/>
      </rPr>
      <t>f</t>
    </r>
  </si>
  <si>
    <r>
      <t>σ</t>
    </r>
    <r>
      <rPr>
        <vertAlign val="subscript"/>
        <sz val="22"/>
        <color theme="1"/>
        <rFont val="Times New Roman"/>
        <family val="1"/>
      </rPr>
      <t>allow</t>
    </r>
  </si>
  <si>
    <r>
      <t xml:space="preserve">This spreadsheet was developed by the Flexible Geomembrane Institute (FGI) to calculate anchorage trench dimensions and other geosynthetic design parameters for all configurations, including </t>
    </r>
    <r>
      <rPr>
        <b/>
        <sz val="20"/>
        <color theme="1"/>
        <rFont val="Calibri"/>
        <family val="2"/>
        <scheme val="minor"/>
      </rPr>
      <t>anchor (imperial), base anchor (imperial), and U anchor (imperial)</t>
    </r>
    <r>
      <rPr>
        <sz val="20"/>
        <color theme="1"/>
        <rFont val="Calibri"/>
        <family val="2"/>
        <scheme val="minor"/>
      </rPr>
      <t xml:space="preserve"> cases.</t>
    </r>
  </si>
  <si>
    <t>Zarely Moreno Tapia</t>
  </si>
  <si>
    <t>Anchor Trench Design Calculator - Design Runout Length or Anchor Trench Depth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</si>
</sst>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00"/>
  </numFmts>
  <fonts count="58" x14ac:knownFonts="1">
    <font>
      <sz val="11"/>
      <color theme="1"/>
      <name val="Calibri"/>
      <family val="2"/>
      <scheme val="minor"/>
    </font>
    <font>
      <sz val="14"/>
      <color theme="1"/>
      <name val="Calibri"/>
      <family val="2"/>
      <scheme val="minor"/>
    </font>
    <font>
      <sz val="11"/>
      <color rgb="FF006100"/>
      <name val="Calibri"/>
      <family val="2"/>
      <scheme val="minor"/>
    </font>
    <font>
      <sz val="8"/>
      <name val="Calibri"/>
      <family val="2"/>
      <scheme val="minor"/>
    </font>
    <font>
      <u/>
      <sz val="11"/>
      <color theme="10"/>
      <name val="Calibri"/>
      <family val="2"/>
      <scheme val="minor"/>
    </font>
    <font>
      <sz val="18"/>
      <color theme="1"/>
      <name val="Calibri"/>
      <family val="2"/>
      <scheme val="minor"/>
    </font>
    <font>
      <sz val="18"/>
      <color theme="1"/>
      <name val="Times New Roman"/>
      <family val="1"/>
    </font>
    <font>
      <sz val="9"/>
      <color indexed="81"/>
      <name val="Tahoma"/>
      <family val="2"/>
    </font>
    <font>
      <sz val="16"/>
      <color indexed="81"/>
      <name val="Tahoma"/>
      <family val="2"/>
    </font>
    <font>
      <sz val="22"/>
      <color indexed="81"/>
      <name val="Tahoma"/>
      <family val="2"/>
    </font>
    <font>
      <sz val="24"/>
      <color indexed="81"/>
      <name val="Tahoma"/>
      <family val="2"/>
    </font>
    <font>
      <b/>
      <sz val="14"/>
      <color theme="1"/>
      <name val="Calibri"/>
      <family val="2"/>
      <scheme val="minor"/>
    </font>
    <font>
      <sz val="14"/>
      <color theme="1"/>
      <name val="Times New Roman"/>
      <family val="1"/>
    </font>
    <font>
      <b/>
      <sz val="18"/>
      <color theme="1"/>
      <name val="Calibri"/>
      <family val="2"/>
      <scheme val="minor"/>
    </font>
    <font>
      <u/>
      <sz val="18"/>
      <color theme="10"/>
      <name val="Calibri"/>
      <family val="2"/>
      <scheme val="minor"/>
    </font>
    <font>
      <b/>
      <sz val="18"/>
      <color rgb="FF002758"/>
      <name val="Calibri"/>
      <family val="2"/>
      <scheme val="minor"/>
    </font>
    <font>
      <b/>
      <u/>
      <sz val="18"/>
      <color rgb="FF002A6D"/>
      <name val="Calibri"/>
      <family val="2"/>
      <scheme val="minor"/>
    </font>
    <font>
      <b/>
      <sz val="18"/>
      <color rgb="FF002060"/>
      <name val="Calibri"/>
      <family val="2"/>
      <scheme val="minor"/>
    </font>
    <font>
      <vertAlign val="subscript"/>
      <sz val="18"/>
      <color theme="1"/>
      <name val="Times New Roman"/>
      <family val="1"/>
    </font>
    <font>
      <sz val="18"/>
      <color rgb="FFFFFFFF"/>
      <name val="Times New Roman"/>
      <family val="1"/>
    </font>
    <font>
      <b/>
      <sz val="18"/>
      <color rgb="FFFF0000"/>
      <name val="Times New Roman"/>
      <family val="1"/>
    </font>
    <font>
      <b/>
      <sz val="18"/>
      <color rgb="FF003063"/>
      <name val="Calibri"/>
      <family val="2"/>
      <scheme val="minor"/>
    </font>
    <font>
      <u/>
      <sz val="18"/>
      <color theme="1"/>
      <name val="Calibri"/>
      <family val="2"/>
      <scheme val="minor"/>
    </font>
    <font>
      <b/>
      <sz val="18"/>
      <color rgb="FF003063"/>
      <name val="Times New Roman"/>
      <family val="1"/>
    </font>
    <font>
      <b/>
      <sz val="18"/>
      <color rgb="FFFFFFFF"/>
      <name val="Times New Roman"/>
      <family val="1"/>
    </font>
    <font>
      <b/>
      <i/>
      <sz val="18"/>
      <color theme="1"/>
      <name val="Calibri"/>
      <family val="2"/>
      <scheme val="minor"/>
    </font>
    <font>
      <b/>
      <sz val="18"/>
      <color theme="1"/>
      <name val="Times New Roman"/>
      <family val="1"/>
    </font>
    <font>
      <b/>
      <u/>
      <sz val="18"/>
      <color rgb="FF002060"/>
      <name val="Calibri"/>
      <family val="2"/>
      <scheme val="minor"/>
    </font>
    <font>
      <b/>
      <sz val="18"/>
      <color rgb="FF002A6D"/>
      <name val="Calibri"/>
      <family val="2"/>
      <scheme val="minor"/>
    </font>
    <font>
      <b/>
      <sz val="18"/>
      <name val="Times New Roman"/>
      <family val="1"/>
    </font>
    <font>
      <sz val="22"/>
      <color theme="0"/>
      <name val="Calibri"/>
      <family val="2"/>
    </font>
    <font>
      <sz val="22"/>
      <color theme="1"/>
      <name val="Calibri"/>
      <family val="2"/>
    </font>
    <font>
      <sz val="28"/>
      <color theme="0"/>
      <name val="Calibri"/>
      <family val="2"/>
    </font>
    <font>
      <sz val="28"/>
      <color theme="1"/>
      <name val="Calibri"/>
      <family val="2"/>
    </font>
    <font>
      <b/>
      <sz val="26"/>
      <color rgb="FF002A6D"/>
      <name val="Calibri"/>
      <family val="2"/>
      <scheme val="minor"/>
    </font>
    <font>
      <sz val="20"/>
      <color theme="1"/>
      <name val="Calibri"/>
      <family val="2"/>
      <scheme val="minor"/>
    </font>
    <font>
      <b/>
      <sz val="20"/>
      <color theme="1"/>
      <name val="Calibri"/>
      <family val="2"/>
      <scheme val="minor"/>
    </font>
    <font>
      <sz val="22"/>
      <color theme="1"/>
      <name val="Calibri"/>
      <family val="2"/>
      <scheme val="minor"/>
    </font>
    <font>
      <b/>
      <sz val="22"/>
      <color theme="1"/>
      <name val="Calibri"/>
      <family val="2"/>
      <scheme val="minor"/>
    </font>
    <font>
      <b/>
      <sz val="20"/>
      <color rgb="FF003063"/>
      <name val="Times New Roman"/>
      <family val="1"/>
    </font>
    <font>
      <b/>
      <sz val="24"/>
      <color rgb="FF003063"/>
      <name val="Times New Roman"/>
      <family val="1"/>
    </font>
    <font>
      <sz val="20"/>
      <color theme="1"/>
      <name val="Times New Roman"/>
      <family val="1"/>
    </font>
    <font>
      <sz val="22"/>
      <color theme="1"/>
      <name val="Times New Roman"/>
      <family val="1"/>
    </font>
    <font>
      <sz val="22"/>
      <color rgb="FF003278"/>
      <name val="Times New Roman"/>
      <family val="1"/>
    </font>
    <font>
      <b/>
      <sz val="22"/>
      <color rgb="FF003278"/>
      <name val="Times New Roman"/>
      <family val="1"/>
    </font>
    <font>
      <b/>
      <vertAlign val="subscript"/>
      <sz val="22"/>
      <color rgb="FF003278"/>
      <name val="Times New Roman"/>
      <family val="1"/>
    </font>
    <font>
      <b/>
      <sz val="22"/>
      <color rgb="FFFFFFFF"/>
      <name val="Times New Roman"/>
      <family val="1"/>
    </font>
    <font>
      <b/>
      <sz val="22"/>
      <color rgb="FFFFFFFF"/>
      <name val="Calibri"/>
      <family val="2"/>
      <scheme val="minor"/>
    </font>
    <font>
      <b/>
      <sz val="20"/>
      <color theme="1"/>
      <name val="Times New Roman"/>
      <family val="1"/>
    </font>
    <font>
      <b/>
      <sz val="22"/>
      <color theme="1"/>
      <name val="Times New Roman"/>
      <family val="1"/>
    </font>
    <font>
      <b/>
      <sz val="22"/>
      <color rgb="FF002758"/>
      <name val="Times New Roman"/>
      <family val="1"/>
    </font>
    <font>
      <vertAlign val="subscript"/>
      <sz val="22"/>
      <color theme="1"/>
      <name val="Times New Roman"/>
      <family val="1"/>
    </font>
    <font>
      <b/>
      <sz val="22"/>
      <color rgb="FF003063"/>
      <name val="Calibri"/>
      <family val="2"/>
      <scheme val="minor"/>
    </font>
    <font>
      <sz val="20"/>
      <color rgb="FF003063"/>
      <name val="Times New Roman"/>
      <family val="1"/>
    </font>
    <font>
      <b/>
      <sz val="20"/>
      <color theme="1"/>
      <name val="Calibri"/>
      <family val="2"/>
    </font>
    <font>
      <b/>
      <u/>
      <sz val="24"/>
      <color theme="1"/>
      <name val="Calibri"/>
      <family val="2"/>
      <scheme val="minor"/>
    </font>
    <font>
      <sz val="26"/>
      <color theme="1"/>
      <name val="Calibri"/>
      <family val="2"/>
      <scheme val="minor"/>
    </font>
    <font>
      <u/>
      <sz val="28"/>
      <color theme="10"/>
      <name val="Calibri"/>
      <family val="2"/>
      <scheme val="minor"/>
    </font>
  </fonts>
  <fills count="8">
    <fill>
      <patternFill patternType="none"/>
    </fill>
    <fill>
      <patternFill patternType="gray125"/>
    </fill>
    <fill>
      <patternFill patternType="solid">
        <fgColor rgb="FFC6EFCE"/>
      </patternFill>
    </fill>
    <fill>
      <patternFill patternType="solid">
        <fgColor theme="4"/>
        <bgColor theme="4"/>
      </patternFill>
    </fill>
    <fill>
      <patternFill patternType="solid">
        <fgColor rgb="FFC6EFCE"/>
        <bgColor rgb="FFC6EFCE"/>
      </patternFill>
    </fill>
    <fill>
      <patternFill patternType="solid">
        <fgColor theme="4"/>
        <bgColor indexed="64"/>
      </patternFill>
    </fill>
    <fill>
      <patternFill patternType="solid">
        <fgColor theme="5" tint="0.59999389629810485"/>
        <bgColor indexed="64"/>
      </patternFill>
    </fill>
    <fill>
      <patternFill patternType="solid">
        <fgColor rgb="FFC6EFCE"/>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2" fillId="2" borderId="0" applyNumberFormat="0" applyBorder="0" applyAlignment="0" applyProtection="0"/>
    <xf numFmtId="0" fontId="4" fillId="0" borderId="0" applyNumberFormat="0" applyFill="0" applyBorder="0" applyAlignment="0" applyProtection="0"/>
  </cellStyleXfs>
  <cellXfs count="175">
    <xf numFmtId="0" fontId="0" fillId="0" borderId="0" xfId="0"/>
    <xf numFmtId="0" fontId="5" fillId="0" borderId="0" xfId="0" applyFont="1"/>
    <xf numFmtId="0" fontId="6" fillId="0" borderId="0" xfId="0" applyFont="1"/>
    <xf numFmtId="0" fontId="1" fillId="0" borderId="0" xfId="0" applyFont="1"/>
    <xf numFmtId="0" fontId="11" fillId="0" borderId="0" xfId="0" applyFont="1"/>
    <xf numFmtId="0" fontId="12" fillId="0" borderId="1" xfId="0" applyFont="1" applyBorder="1" applyAlignment="1">
      <alignment horizontal="center" wrapText="1"/>
    </xf>
    <xf numFmtId="0" fontId="1" fillId="0" borderId="1" xfId="0" applyFont="1" applyBorder="1"/>
    <xf numFmtId="0" fontId="1" fillId="0" borderId="7" xfId="0" applyFont="1" applyBorder="1" applyAlignment="1">
      <alignment horizontal="center"/>
    </xf>
    <xf numFmtId="0" fontId="1" fillId="0" borderId="6" xfId="0" applyFont="1" applyBorder="1" applyAlignment="1">
      <alignment horizontal="center"/>
    </xf>
    <xf numFmtId="0" fontId="1" fillId="0" borderId="8" xfId="0" applyFont="1" applyBorder="1" applyAlignment="1">
      <alignment horizontal="center"/>
    </xf>
    <xf numFmtId="0" fontId="12" fillId="0" borderId="1" xfId="0" applyFont="1" applyBorder="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center"/>
    </xf>
    <xf numFmtId="0" fontId="1" fillId="0" borderId="1" xfId="0" applyFont="1" applyBorder="1" applyAlignment="1">
      <alignment horizontal="center" vertical="center"/>
    </xf>
    <xf numFmtId="0" fontId="1" fillId="0" borderId="1" xfId="0" applyFont="1" applyBorder="1" applyAlignment="1">
      <alignment vertical="center"/>
    </xf>
    <xf numFmtId="0" fontId="5" fillId="0" borderId="13" xfId="0" applyFont="1" applyBorder="1"/>
    <xf numFmtId="0" fontId="5" fillId="0" borderId="14" xfId="0" applyFont="1" applyBorder="1"/>
    <xf numFmtId="0" fontId="5" fillId="0" borderId="15" xfId="0" applyFont="1" applyBorder="1"/>
    <xf numFmtId="0" fontId="13" fillId="0" borderId="0" xfId="0" applyFont="1"/>
    <xf numFmtId="0" fontId="14" fillId="0" borderId="0" xfId="2" applyFont="1" applyFill="1"/>
    <xf numFmtId="0" fontId="15" fillId="0" borderId="0" xfId="0" applyFont="1"/>
    <xf numFmtId="0" fontId="16" fillId="0" borderId="0" xfId="0" applyFont="1"/>
    <xf numFmtId="0" fontId="17" fillId="0" borderId="0" xfId="0" applyFont="1"/>
    <xf numFmtId="0" fontId="6" fillId="6" borderId="10" xfId="0" applyFont="1" applyFill="1" applyBorder="1" applyAlignment="1">
      <alignment horizontal="center" vertical="center" wrapText="1"/>
    </xf>
    <xf numFmtId="0" fontId="19" fillId="5" borderId="9" xfId="0" applyFont="1" applyFill="1" applyBorder="1" applyAlignment="1">
      <alignment horizontal="center"/>
    </xf>
    <xf numFmtId="0" fontId="6" fillId="6" borderId="12" xfId="0" applyFont="1" applyFill="1" applyBorder="1" applyAlignment="1">
      <alignment horizontal="center"/>
    </xf>
    <xf numFmtId="0" fontId="20" fillId="0" borderId="0" xfId="0" applyFont="1"/>
    <xf numFmtId="0" fontId="6" fillId="6" borderId="26" xfId="0" applyFont="1" applyFill="1" applyBorder="1" applyAlignment="1">
      <alignment horizontal="center" vertical="center" wrapText="1"/>
    </xf>
    <xf numFmtId="0" fontId="19" fillId="5" borderId="16" xfId="0" applyFont="1" applyFill="1" applyBorder="1" applyAlignment="1">
      <alignment horizontal="center"/>
    </xf>
    <xf numFmtId="0" fontId="6" fillId="6" borderId="27" xfId="0" applyFont="1" applyFill="1" applyBorder="1" applyAlignment="1">
      <alignment horizontal="center"/>
    </xf>
    <xf numFmtId="0" fontId="6" fillId="0" borderId="0" xfId="0" applyFont="1" applyAlignment="1">
      <alignment horizontal="center" vertical="center" wrapText="1"/>
    </xf>
    <xf numFmtId="0" fontId="5" fillId="0" borderId="0" xfId="0" applyFont="1" applyAlignment="1">
      <alignment horizontal="center"/>
    </xf>
    <xf numFmtId="0" fontId="22" fillId="0" borderId="0" xfId="2" applyFont="1" applyFill="1"/>
    <xf numFmtId="0" fontId="23" fillId="6" borderId="17" xfId="0" applyFont="1" applyFill="1" applyBorder="1" applyAlignment="1">
      <alignment horizontal="center" vertical="center"/>
    </xf>
    <xf numFmtId="0" fontId="13" fillId="7" borderId="9" xfId="0" applyFont="1" applyFill="1" applyBorder="1" applyAlignment="1">
      <alignment horizontal="center" vertical="center"/>
    </xf>
    <xf numFmtId="0" fontId="23" fillId="6" borderId="20" xfId="0" applyFont="1" applyFill="1" applyBorder="1" applyAlignment="1">
      <alignment horizontal="center" vertical="center"/>
    </xf>
    <xf numFmtId="0" fontId="23" fillId="6" borderId="18" xfId="0" applyFont="1" applyFill="1" applyBorder="1" applyAlignment="1">
      <alignment horizontal="center" vertical="center"/>
    </xf>
    <xf numFmtId="0" fontId="23" fillId="6" borderId="21" xfId="0" applyFont="1" applyFill="1" applyBorder="1" applyAlignment="1">
      <alignment horizontal="center" vertical="center"/>
    </xf>
    <xf numFmtId="0" fontId="23" fillId="6" borderId="19" xfId="0" applyFont="1" applyFill="1" applyBorder="1" applyAlignment="1">
      <alignment horizontal="center" vertical="center"/>
    </xf>
    <xf numFmtId="0" fontId="13" fillId="7" borderId="16" xfId="0" applyFont="1" applyFill="1" applyBorder="1" applyAlignment="1">
      <alignment horizontal="center" vertical="center"/>
    </xf>
    <xf numFmtId="0" fontId="23" fillId="6" borderId="22" xfId="0" applyFont="1" applyFill="1" applyBorder="1" applyAlignment="1">
      <alignment horizontal="center" vertical="center"/>
    </xf>
    <xf numFmtId="0" fontId="24" fillId="0" borderId="0" xfId="0" applyFont="1" applyAlignment="1">
      <alignment horizontal="left"/>
    </xf>
    <xf numFmtId="0" fontId="24" fillId="0" borderId="0" xfId="0" applyFont="1" applyAlignment="1">
      <alignment horizontal="center"/>
    </xf>
    <xf numFmtId="2" fontId="24" fillId="0" borderId="0" xfId="0" applyNumberFormat="1" applyFont="1" applyAlignment="1">
      <alignment horizontal="center"/>
    </xf>
    <xf numFmtId="0" fontId="6" fillId="0" borderId="0" xfId="0" applyFont="1" applyAlignment="1">
      <alignment horizontal="center"/>
    </xf>
    <xf numFmtId="0" fontId="27" fillId="0" borderId="0" xfId="0" applyFont="1"/>
    <xf numFmtId="0" fontId="28" fillId="0" borderId="0" xfId="0" applyFont="1"/>
    <xf numFmtId="0" fontId="5" fillId="0" borderId="0" xfId="0" applyFont="1" applyAlignment="1">
      <alignment vertical="center"/>
    </xf>
    <xf numFmtId="2" fontId="26" fillId="0" borderId="0" xfId="0" applyNumberFormat="1" applyFont="1"/>
    <xf numFmtId="0" fontId="13" fillId="0" borderId="0" xfId="0" applyFont="1" applyAlignment="1">
      <alignment horizontal="center" vertical="center"/>
    </xf>
    <xf numFmtId="0" fontId="26" fillId="0" borderId="0" xfId="0" applyFont="1"/>
    <xf numFmtId="0" fontId="13" fillId="0" borderId="1" xfId="0" applyFont="1" applyBorder="1" applyAlignment="1">
      <alignment horizontal="center"/>
    </xf>
    <xf numFmtId="2" fontId="6" fillId="0" borderId="0" xfId="0" applyNumberFormat="1" applyFont="1" applyAlignment="1">
      <alignment horizontal="center" vertical="center" wrapText="1"/>
    </xf>
    <xf numFmtId="0" fontId="29" fillId="6" borderId="1" xfId="0" applyFont="1" applyFill="1" applyBorder="1" applyAlignment="1">
      <alignment horizontal="center" vertical="center" wrapText="1"/>
    </xf>
    <xf numFmtId="0" fontId="29" fillId="6" borderId="2" xfId="0" applyFont="1" applyFill="1" applyBorder="1" applyAlignment="1">
      <alignment horizontal="center" vertical="center" wrapText="1"/>
    </xf>
    <xf numFmtId="0" fontId="6" fillId="6" borderId="34" xfId="0" applyFont="1" applyFill="1" applyBorder="1" applyAlignment="1">
      <alignment horizontal="center" vertical="center" wrapText="1"/>
    </xf>
    <xf numFmtId="0" fontId="6" fillId="6" borderId="35" xfId="0" applyFont="1" applyFill="1" applyBorder="1" applyAlignment="1">
      <alignment horizontal="center" vertical="center" wrapText="1"/>
    </xf>
    <xf numFmtId="2" fontId="6" fillId="7" borderId="35" xfId="0" applyNumberFormat="1" applyFont="1" applyFill="1" applyBorder="1" applyAlignment="1">
      <alignment horizontal="center" vertical="center" wrapText="1"/>
    </xf>
    <xf numFmtId="2" fontId="6" fillId="7" borderId="36" xfId="0" applyNumberFormat="1" applyFont="1" applyFill="1" applyBorder="1" applyAlignment="1">
      <alignment horizontal="center" vertical="center" wrapText="1"/>
    </xf>
    <xf numFmtId="0" fontId="6" fillId="6" borderId="3" xfId="1" applyFont="1" applyFill="1" applyBorder="1" applyAlignment="1">
      <alignment horizontal="center" vertical="center" wrapText="1"/>
    </xf>
    <xf numFmtId="2" fontId="6" fillId="7" borderId="3" xfId="1" applyNumberFormat="1" applyFont="1" applyFill="1" applyBorder="1" applyAlignment="1">
      <alignment horizontal="center" vertical="center" wrapText="1"/>
    </xf>
    <xf numFmtId="0" fontId="6" fillId="6" borderId="1" xfId="0" applyFont="1" applyFill="1" applyBorder="1" applyAlignment="1">
      <alignment horizontal="center" vertical="center" wrapText="1"/>
    </xf>
    <xf numFmtId="2" fontId="6" fillId="7" borderId="1" xfId="0" applyNumberFormat="1" applyFont="1" applyFill="1" applyBorder="1" applyAlignment="1">
      <alignment horizontal="center" vertical="center" wrapText="1"/>
    </xf>
    <xf numFmtId="0" fontId="6" fillId="0" borderId="0" xfId="0" applyFont="1" applyAlignment="1">
      <alignment horizontal="center" vertical="center" wrapText="1"/>
    </xf>
    <xf numFmtId="0" fontId="24" fillId="0" borderId="0" xfId="0" applyFont="1" applyAlignment="1">
      <alignment horizontal="center" vertical="center" wrapText="1"/>
    </xf>
    <xf numFmtId="0" fontId="21" fillId="6" borderId="10" xfId="0" applyFont="1" applyFill="1" applyBorder="1" applyAlignment="1">
      <alignment horizontal="center" vertical="center"/>
    </xf>
    <xf numFmtId="0" fontId="21" fillId="6" borderId="11" xfId="0" applyFont="1" applyFill="1" applyBorder="1" applyAlignment="1">
      <alignment horizontal="center" vertical="center"/>
    </xf>
    <xf numFmtId="0" fontId="21" fillId="6" borderId="12" xfId="0" applyFont="1" applyFill="1" applyBorder="1" applyAlignment="1">
      <alignment horizontal="center" vertical="center"/>
    </xf>
    <xf numFmtId="0" fontId="23" fillId="6" borderId="10" xfId="0" applyFont="1" applyFill="1" applyBorder="1" applyAlignment="1">
      <alignment horizontal="center" vertical="center"/>
    </xf>
    <xf numFmtId="0" fontId="23" fillId="6" borderId="11" xfId="0" applyFont="1" applyFill="1" applyBorder="1" applyAlignment="1">
      <alignment horizontal="center" vertical="center"/>
    </xf>
    <xf numFmtId="0" fontId="23" fillId="6" borderId="12" xfId="0" applyFont="1" applyFill="1" applyBorder="1" applyAlignment="1">
      <alignment horizontal="center" vertical="center"/>
    </xf>
    <xf numFmtId="0" fontId="25" fillId="0" borderId="29" xfId="0" applyFont="1" applyBorder="1" applyAlignment="1">
      <alignment horizontal="center" vertical="center" wrapText="1"/>
    </xf>
    <xf numFmtId="0" fontId="25" fillId="0" borderId="0" xfId="0" applyFont="1" applyAlignment="1">
      <alignment horizontal="center" vertical="center" wrapText="1"/>
    </xf>
    <xf numFmtId="0" fontId="25" fillId="0" borderId="30" xfId="0" applyFont="1" applyBorder="1" applyAlignment="1">
      <alignment horizontal="center" vertical="center" wrapText="1"/>
    </xf>
    <xf numFmtId="0" fontId="25" fillId="0" borderId="26"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27" xfId="0" applyFont="1" applyBorder="1" applyAlignment="1">
      <alignment horizontal="center" vertical="center" wrapText="1"/>
    </xf>
    <xf numFmtId="0" fontId="1" fillId="0" borderId="1" xfId="0" applyFont="1" applyBorder="1" applyAlignment="1">
      <alignment horizontal="center" vertical="center"/>
    </xf>
    <xf numFmtId="0" fontId="1" fillId="0" borderId="7" xfId="0" applyFont="1" applyBorder="1" applyAlignment="1">
      <alignment horizontal="center"/>
    </xf>
    <xf numFmtId="0" fontId="1" fillId="0" borderId="6" xfId="0" applyFont="1" applyBorder="1" applyAlignment="1">
      <alignment horizontal="center"/>
    </xf>
    <xf numFmtId="0" fontId="1" fillId="0" borderId="8" xfId="0" applyFont="1" applyBorder="1" applyAlignment="1">
      <alignment horizont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30" fillId="3" borderId="17" xfId="0" applyFont="1" applyFill="1" applyBorder="1" applyAlignment="1">
      <alignment horizontal="center" vertical="center"/>
    </xf>
    <xf numFmtId="0" fontId="30" fillId="3" borderId="20" xfId="0" applyFont="1" applyFill="1" applyBorder="1" applyAlignment="1">
      <alignment horizontal="center" vertical="center"/>
    </xf>
    <xf numFmtId="11" fontId="31" fillId="4" borderId="26" xfId="0" applyNumberFormat="1" applyFont="1" applyFill="1" applyBorder="1" applyAlignment="1">
      <alignment horizontal="center"/>
    </xf>
    <xf numFmtId="11" fontId="31" fillId="4" borderId="27" xfId="0" applyNumberFormat="1" applyFont="1" applyFill="1" applyBorder="1" applyAlignment="1">
      <alignment horizontal="center"/>
    </xf>
    <xf numFmtId="0" fontId="32" fillId="3" borderId="17" xfId="0" applyFont="1" applyFill="1" applyBorder="1" applyAlignment="1">
      <alignment horizontal="center" vertical="center"/>
    </xf>
    <xf numFmtId="0" fontId="32" fillId="3" borderId="20" xfId="0" applyFont="1" applyFill="1" applyBorder="1" applyAlignment="1">
      <alignment horizontal="center" vertical="center"/>
    </xf>
    <xf numFmtId="11" fontId="33" fillId="4" borderId="26" xfId="0" applyNumberFormat="1" applyFont="1" applyFill="1" applyBorder="1" applyAlignment="1">
      <alignment horizontal="center"/>
    </xf>
    <xf numFmtId="11" fontId="33" fillId="4" borderId="27" xfId="0" applyNumberFormat="1" applyFont="1" applyFill="1" applyBorder="1" applyAlignment="1">
      <alignment horizontal="center"/>
    </xf>
    <xf numFmtId="0" fontId="34" fillId="0" borderId="0" xfId="0" applyFont="1"/>
    <xf numFmtId="0" fontId="35" fillId="0" borderId="0" xfId="0" applyFont="1"/>
    <xf numFmtId="0" fontId="36" fillId="0" borderId="0" xfId="0" applyFont="1"/>
    <xf numFmtId="0" fontId="37" fillId="0" borderId="0" xfId="0" applyFont="1"/>
    <xf numFmtId="0" fontId="38" fillId="0" borderId="0" xfId="0" applyFont="1"/>
    <xf numFmtId="0" fontId="40" fillId="0" borderId="0" xfId="0" applyFont="1" applyAlignment="1">
      <alignment horizontal="center"/>
    </xf>
    <xf numFmtId="0" fontId="41" fillId="0" borderId="0" xfId="0" applyFont="1"/>
    <xf numFmtId="0" fontId="42" fillId="0" borderId="0" xfId="0" applyFont="1"/>
    <xf numFmtId="0" fontId="43" fillId="6" borderId="9" xfId="0" applyFont="1" applyFill="1" applyBorder="1" applyAlignment="1">
      <alignment horizontal="center" vertical="center"/>
    </xf>
    <xf numFmtId="0" fontId="44" fillId="7" borderId="9" xfId="0" applyFont="1" applyFill="1" applyBorder="1" applyAlignment="1">
      <alignment horizontal="center" vertical="center"/>
    </xf>
    <xf numFmtId="0" fontId="42" fillId="6" borderId="12" xfId="0" applyFont="1" applyFill="1" applyBorder="1" applyAlignment="1">
      <alignment horizontal="center" vertical="center"/>
    </xf>
    <xf numFmtId="0" fontId="42" fillId="6" borderId="15" xfId="0" applyFont="1" applyFill="1" applyBorder="1" applyAlignment="1">
      <alignment horizontal="center" vertical="center"/>
    </xf>
    <xf numFmtId="0" fontId="43" fillId="6" borderId="16" xfId="0" applyFont="1" applyFill="1" applyBorder="1" applyAlignment="1">
      <alignment horizontal="center" vertical="center"/>
    </xf>
    <xf numFmtId="0" fontId="42" fillId="6" borderId="9" xfId="0" applyFont="1" applyFill="1" applyBorder="1" applyAlignment="1">
      <alignment horizontal="center" vertical="center"/>
    </xf>
    <xf numFmtId="0" fontId="44" fillId="7" borderId="31" xfId="0" applyFont="1" applyFill="1" applyBorder="1" applyAlignment="1">
      <alignment horizontal="center" vertical="center"/>
    </xf>
    <xf numFmtId="0" fontId="42" fillId="6" borderId="4" xfId="0" applyFont="1" applyFill="1" applyBorder="1" applyAlignment="1">
      <alignment horizontal="center" vertical="center"/>
    </xf>
    <xf numFmtId="0" fontId="43" fillId="6" borderId="31" xfId="0" applyFont="1" applyFill="1" applyBorder="1" applyAlignment="1">
      <alignment horizontal="center" vertical="center"/>
    </xf>
    <xf numFmtId="0" fontId="42" fillId="6" borderId="9" xfId="0" applyFont="1" applyFill="1" applyBorder="1" applyAlignment="1">
      <alignment horizontal="center" wrapText="1"/>
    </xf>
    <xf numFmtId="2" fontId="44" fillId="7" borderId="9" xfId="0" applyNumberFormat="1" applyFont="1" applyFill="1" applyBorder="1" applyAlignment="1">
      <alignment horizontal="center" vertical="center"/>
    </xf>
    <xf numFmtId="0" fontId="43" fillId="6" borderId="16" xfId="0" applyFont="1" applyFill="1" applyBorder="1" applyAlignment="1">
      <alignment horizontal="center" vertical="center" wrapText="1"/>
    </xf>
    <xf numFmtId="0" fontId="44" fillId="7" borderId="16" xfId="0" applyFont="1" applyFill="1" applyBorder="1" applyAlignment="1">
      <alignment horizontal="center" vertical="center"/>
    </xf>
    <xf numFmtId="0" fontId="44" fillId="6" borderId="10" xfId="0" applyFont="1" applyFill="1" applyBorder="1" applyAlignment="1">
      <alignment horizontal="center" vertical="center" wrapText="1"/>
    </xf>
    <xf numFmtId="0" fontId="46" fillId="5" borderId="9" xfId="0" applyFont="1" applyFill="1" applyBorder="1" applyAlignment="1">
      <alignment horizontal="center" vertical="center"/>
    </xf>
    <xf numFmtId="0" fontId="44" fillId="6" borderId="29" xfId="0" applyFont="1" applyFill="1" applyBorder="1" applyAlignment="1">
      <alignment horizontal="center" vertical="center" wrapText="1"/>
    </xf>
    <xf numFmtId="0" fontId="46" fillId="5" borderId="31" xfId="0" applyFont="1" applyFill="1" applyBorder="1" applyAlignment="1">
      <alignment horizontal="center" vertical="center"/>
    </xf>
    <xf numFmtId="0" fontId="42" fillId="6" borderId="30" xfId="0" applyFont="1" applyFill="1" applyBorder="1" applyAlignment="1">
      <alignment horizontal="center" vertical="center"/>
    </xf>
    <xf numFmtId="0" fontId="44" fillId="6" borderId="10" xfId="0" applyFont="1" applyFill="1" applyBorder="1" applyAlignment="1">
      <alignment horizontal="center" vertical="center"/>
    </xf>
    <xf numFmtId="0" fontId="47" fillId="5" borderId="9" xfId="0" applyFont="1" applyFill="1" applyBorder="1" applyAlignment="1">
      <alignment horizontal="center" vertical="center"/>
    </xf>
    <xf numFmtId="0" fontId="44" fillId="6" borderId="9" xfId="0" applyFont="1" applyFill="1" applyBorder="1" applyAlignment="1">
      <alignment horizontal="center" vertical="center" wrapText="1"/>
    </xf>
    <xf numFmtId="0" fontId="47" fillId="5" borderId="16" xfId="0" applyFont="1" applyFill="1" applyBorder="1" applyAlignment="1">
      <alignment horizontal="center" vertical="center"/>
    </xf>
    <xf numFmtId="0" fontId="42" fillId="6" borderId="27" xfId="0" applyFont="1" applyFill="1" applyBorder="1" applyAlignment="1">
      <alignment horizontal="center" vertical="center"/>
    </xf>
    <xf numFmtId="0" fontId="49" fillId="6" borderId="9" xfId="0" applyFont="1" applyFill="1" applyBorder="1" applyAlignment="1">
      <alignment horizontal="center" vertical="center"/>
    </xf>
    <xf numFmtId="0" fontId="49" fillId="7" borderId="10" xfId="0" applyFont="1" applyFill="1" applyBorder="1" applyAlignment="1">
      <alignment horizontal="center"/>
    </xf>
    <xf numFmtId="165" fontId="49" fillId="6" borderId="9" xfId="0" applyNumberFormat="1" applyFont="1" applyFill="1" applyBorder="1" applyAlignment="1">
      <alignment horizontal="center"/>
    </xf>
    <xf numFmtId="0" fontId="49" fillId="7" borderId="10" xfId="0" applyFont="1" applyFill="1" applyBorder="1"/>
    <xf numFmtId="0" fontId="49" fillId="6" borderId="9" xfId="0" applyFont="1" applyFill="1" applyBorder="1"/>
    <xf numFmtId="0" fontId="49" fillId="6" borderId="9" xfId="0" applyFont="1" applyFill="1" applyBorder="1" applyAlignment="1">
      <alignment horizontal="center"/>
    </xf>
    <xf numFmtId="0" fontId="42" fillId="0" borderId="9" xfId="0" applyFont="1" applyBorder="1"/>
    <xf numFmtId="0" fontId="49" fillId="0" borderId="9" xfId="0" applyFont="1" applyBorder="1"/>
    <xf numFmtId="0" fontId="49" fillId="0" borderId="9" xfId="0" applyFont="1" applyBorder="1" applyAlignment="1">
      <alignment horizontal="center"/>
    </xf>
    <xf numFmtId="0" fontId="49" fillId="0" borderId="9" xfId="0" applyFont="1" applyBorder="1" applyAlignment="1">
      <alignment horizontal="center" vertical="center"/>
    </xf>
    <xf numFmtId="0" fontId="41" fillId="6" borderId="9" xfId="0" applyFont="1" applyFill="1" applyBorder="1" applyAlignment="1">
      <alignment horizontal="center"/>
    </xf>
    <xf numFmtId="0" fontId="50" fillId="6" borderId="10" xfId="0" applyFont="1" applyFill="1" applyBorder="1" applyAlignment="1">
      <alignment horizontal="center" vertical="center"/>
    </xf>
    <xf numFmtId="0" fontId="50" fillId="6" borderId="11" xfId="0" applyFont="1" applyFill="1" applyBorder="1" applyAlignment="1">
      <alignment horizontal="center" vertical="center"/>
    </xf>
    <xf numFmtId="0" fontId="50" fillId="6" borderId="12" xfId="0" applyFont="1" applyFill="1" applyBorder="1" applyAlignment="1">
      <alignment horizontal="center" vertical="center"/>
    </xf>
    <xf numFmtId="0" fontId="42" fillId="6" borderId="9" xfId="0" applyFont="1" applyFill="1" applyBorder="1" applyAlignment="1">
      <alignment horizontal="center" vertical="center" wrapText="1"/>
    </xf>
    <xf numFmtId="0" fontId="52" fillId="7" borderId="9" xfId="0" applyFont="1" applyFill="1" applyBorder="1" applyAlignment="1">
      <alignment horizontal="center"/>
    </xf>
    <xf numFmtId="0" fontId="42" fillId="6" borderId="29" xfId="0" applyFont="1" applyFill="1" applyBorder="1" applyAlignment="1">
      <alignment horizontal="center" vertical="center" wrapText="1"/>
    </xf>
    <xf numFmtId="2" fontId="52" fillId="7" borderId="9" xfId="0" applyNumberFormat="1" applyFont="1" applyFill="1" applyBorder="1" applyAlignment="1">
      <alignment horizontal="center"/>
    </xf>
    <xf numFmtId="0" fontId="52" fillId="7" borderId="0" xfId="0" applyFont="1" applyFill="1" applyAlignment="1">
      <alignment horizontal="center"/>
    </xf>
    <xf numFmtId="0" fontId="42" fillId="6" borderId="29" xfId="0" applyFont="1" applyFill="1" applyBorder="1" applyAlignment="1">
      <alignment horizontal="center"/>
    </xf>
    <xf numFmtId="0" fontId="42" fillId="6" borderId="9" xfId="0" applyFont="1" applyFill="1" applyBorder="1" applyAlignment="1">
      <alignment horizontal="center"/>
    </xf>
    <xf numFmtId="0" fontId="53" fillId="6" borderId="13" xfId="0" applyFont="1" applyFill="1" applyBorder="1" applyAlignment="1">
      <alignment horizontal="center" vertical="center"/>
    </xf>
    <xf numFmtId="0" fontId="39" fillId="7" borderId="13" xfId="0" applyFont="1" applyFill="1" applyBorder="1" applyAlignment="1">
      <alignment horizontal="center"/>
    </xf>
    <xf numFmtId="0" fontId="41" fillId="6" borderId="32" xfId="0" applyFont="1" applyFill="1" applyBorder="1" applyAlignment="1">
      <alignment horizontal="center"/>
    </xf>
    <xf numFmtId="0" fontId="53" fillId="6" borderId="8" xfId="0" applyFont="1" applyFill="1" applyBorder="1" applyAlignment="1">
      <alignment horizontal="center" vertical="center" wrapText="1"/>
    </xf>
    <xf numFmtId="2" fontId="39" fillId="7" borderId="1" xfId="0" applyNumberFormat="1" applyFont="1" applyFill="1" applyBorder="1" applyAlignment="1">
      <alignment horizontal="center"/>
    </xf>
    <xf numFmtId="0" fontId="48" fillId="6" borderId="1" xfId="0" applyFont="1" applyFill="1" applyBorder="1" applyAlignment="1">
      <alignment horizontal="center"/>
    </xf>
    <xf numFmtId="0" fontId="53" fillId="6" borderId="10" xfId="0" applyFont="1" applyFill="1" applyBorder="1" applyAlignment="1">
      <alignment horizontal="center" vertical="center" wrapText="1"/>
    </xf>
    <xf numFmtId="2" fontId="39" fillId="7" borderId="10" xfId="0" applyNumberFormat="1" applyFont="1" applyFill="1" applyBorder="1" applyAlignment="1">
      <alignment horizontal="center"/>
    </xf>
    <xf numFmtId="0" fontId="41" fillId="6" borderId="33" xfId="0" applyFont="1" applyFill="1" applyBorder="1" applyAlignment="1">
      <alignment horizontal="center"/>
    </xf>
    <xf numFmtId="164" fontId="39" fillId="7" borderId="1" xfId="0" applyNumberFormat="1" applyFont="1" applyFill="1" applyBorder="1" applyAlignment="1">
      <alignment horizontal="center"/>
    </xf>
    <xf numFmtId="2" fontId="39" fillId="7" borderId="29" xfId="0" applyNumberFormat="1" applyFont="1" applyFill="1" applyBorder="1" applyAlignment="1">
      <alignment horizontal="center"/>
    </xf>
    <xf numFmtId="0" fontId="41" fillId="6" borderId="31" xfId="0" applyFont="1" applyFill="1" applyBorder="1" applyAlignment="1">
      <alignment horizontal="center"/>
    </xf>
    <xf numFmtId="0" fontId="39" fillId="6" borderId="8" xfId="1" applyFont="1" applyFill="1" applyBorder="1" applyAlignment="1">
      <alignment horizontal="center"/>
    </xf>
    <xf numFmtId="0" fontId="39" fillId="7" borderId="1" xfId="0" applyFont="1" applyFill="1" applyBorder="1" applyAlignment="1">
      <alignment horizontal="center"/>
    </xf>
    <xf numFmtId="0" fontId="39" fillId="7" borderId="10" xfId="0" applyFont="1" applyFill="1" applyBorder="1" applyAlignment="1">
      <alignment horizontal="center"/>
    </xf>
    <xf numFmtId="0" fontId="53" fillId="6" borderId="10" xfId="0" applyFont="1" applyFill="1" applyBorder="1" applyAlignment="1">
      <alignment horizontal="center" vertical="center"/>
    </xf>
    <xf numFmtId="0" fontId="39" fillId="7" borderId="29" xfId="0" applyFont="1" applyFill="1" applyBorder="1" applyAlignment="1">
      <alignment horizontal="center"/>
    </xf>
    <xf numFmtId="0" fontId="53" fillId="6" borderId="8" xfId="0" applyFont="1" applyFill="1" applyBorder="1" applyAlignment="1">
      <alignment horizontal="center"/>
    </xf>
    <xf numFmtId="0" fontId="39" fillId="7" borderId="26" xfId="0" applyFont="1" applyFill="1" applyBorder="1" applyAlignment="1">
      <alignment horizontal="center"/>
    </xf>
    <xf numFmtId="0" fontId="53" fillId="6" borderId="9" xfId="0" applyFont="1" applyFill="1" applyBorder="1" applyAlignment="1">
      <alignment horizontal="center"/>
    </xf>
    <xf numFmtId="0" fontId="39" fillId="7" borderId="5" xfId="0" applyFont="1" applyFill="1" applyBorder="1" applyAlignment="1">
      <alignment horizontal="center"/>
    </xf>
    <xf numFmtId="0" fontId="41" fillId="6" borderId="16" xfId="0" applyFont="1" applyFill="1" applyBorder="1" applyAlignment="1">
      <alignment horizontal="center"/>
    </xf>
    <xf numFmtId="0" fontId="41" fillId="6" borderId="24" xfId="0" applyFont="1" applyFill="1" applyBorder="1" applyAlignment="1">
      <alignment horizontal="center" vertical="center" wrapText="1"/>
    </xf>
    <xf numFmtId="0" fontId="41" fillId="6" borderId="23" xfId="0" applyFont="1" applyFill="1" applyBorder="1" applyAlignment="1">
      <alignment horizontal="center" vertical="center" wrapText="1"/>
    </xf>
    <xf numFmtId="0" fontId="41" fillId="6" borderId="25" xfId="0" applyFont="1" applyFill="1" applyBorder="1" applyAlignment="1">
      <alignment horizontal="center" vertical="center" wrapText="1"/>
    </xf>
    <xf numFmtId="0" fontId="39" fillId="6" borderId="6" xfId="0" applyFont="1" applyFill="1" applyBorder="1" applyAlignment="1">
      <alignment horizontal="center"/>
    </xf>
    <xf numFmtId="0" fontId="39" fillId="6" borderId="8" xfId="0" applyFont="1" applyFill="1" applyBorder="1" applyAlignment="1">
      <alignment horizontal="center"/>
    </xf>
    <xf numFmtId="0" fontId="39" fillId="6" borderId="7" xfId="0" applyFont="1" applyFill="1" applyBorder="1" applyAlignment="1">
      <alignment horizontal="center"/>
    </xf>
    <xf numFmtId="0" fontId="54" fillId="0" borderId="0" xfId="0" applyFont="1"/>
    <xf numFmtId="0" fontId="55" fillId="0" borderId="0" xfId="0" applyFont="1" applyAlignment="1">
      <alignment vertical="center"/>
    </xf>
    <xf numFmtId="0" fontId="56" fillId="0" borderId="0" xfId="0" applyFont="1"/>
    <xf numFmtId="0" fontId="57" fillId="0" borderId="0" xfId="2" applyFont="1" applyFill="1"/>
  </cellXfs>
  <cellStyles count="3">
    <cellStyle name="Good" xfId="1" builtinId="26"/>
    <cellStyle name="Hyperlink" xfId="2" builtinId="8"/>
    <cellStyle name="Normal" xfId="0" builtinId="0"/>
  </cellStyles>
  <dxfs count="6">
    <dxf>
      <font>
        <color rgb="FFFFFFFF"/>
      </font>
      <fill>
        <patternFill>
          <fgColor theme="9"/>
          <bgColor theme="9"/>
        </patternFill>
      </fill>
      <border>
        <left style="thin">
          <color auto="1"/>
        </left>
        <right style="thin">
          <color auto="1"/>
        </right>
        <top style="thin">
          <color auto="1"/>
        </top>
        <bottom style="thin">
          <color auto="1"/>
        </bottom>
        <vertical/>
        <horizontal/>
      </border>
    </dxf>
    <dxf>
      <font>
        <b/>
        <i val="0"/>
        <color rgb="FFFFFFFF"/>
      </font>
      <fill>
        <patternFill>
          <fgColor theme="0"/>
          <bgColor theme="9"/>
        </patternFill>
      </fill>
      <border>
        <left style="thin">
          <color auto="1"/>
        </left>
        <right style="thin">
          <color auto="1"/>
        </right>
        <top style="thin">
          <color auto="1"/>
        </top>
        <bottom style="thin">
          <color auto="1"/>
        </bottom>
        <vertical/>
        <horizontal/>
      </border>
    </dxf>
    <dxf>
      <font>
        <color rgb="FFFFFFFF"/>
      </font>
      <fill>
        <patternFill>
          <fgColor rgb="FFFF0000"/>
        </patternFill>
      </fill>
      <border>
        <left style="thin">
          <color auto="1"/>
        </left>
        <right style="thin">
          <color auto="1"/>
        </right>
        <top style="thin">
          <color auto="1"/>
        </top>
        <bottom style="thin">
          <color auto="1"/>
        </bottom>
        <vertical/>
        <horizontal/>
      </border>
    </dxf>
    <dxf>
      <font>
        <b/>
        <i val="0"/>
      </font>
      <fill>
        <patternFill>
          <fgColor theme="0"/>
          <bgColor theme="9"/>
        </patternFill>
      </fill>
      <border>
        <vertical/>
        <horizontal/>
      </border>
    </dxf>
    <dxf>
      <font>
        <b/>
        <i val="0"/>
        <color theme="0"/>
      </font>
      <fill>
        <patternFill>
          <fgColor theme="0"/>
          <bgColor theme="9"/>
        </patternFill>
      </fill>
      <border>
        <left style="thin">
          <color theme="1"/>
        </left>
        <right style="thin">
          <color theme="1"/>
        </right>
        <top style="thin">
          <color theme="1"/>
        </top>
        <bottom style="thin">
          <color theme="1"/>
        </bottom>
        <vertical/>
        <horizontal/>
      </border>
    </dxf>
    <dxf>
      <font>
        <b/>
        <i val="0"/>
        <u val="double"/>
      </font>
      <fill>
        <patternFill>
          <fgColor theme="0"/>
          <bgColor rgb="FFFF0000"/>
        </patternFill>
      </fill>
      <border>
        <left style="dashDot">
          <color theme="1"/>
        </left>
        <right style="dashDot">
          <color theme="1"/>
        </right>
        <top style="dashDot">
          <color theme="1"/>
        </top>
        <bottom style="dashDot">
          <color theme="1"/>
        </bottom>
        <vertical/>
        <horizontal/>
      </border>
    </dxf>
  </dxfs>
  <tableStyles count="0" defaultTableStyle="TableStyleMedium2" defaultPivotStyle="PivotStyleLight16"/>
  <colors>
    <mruColors>
      <color rgb="FFC6EFCE"/>
      <color rgb="FF4472C4"/>
      <color rgb="FFFFFFFF"/>
      <color rgb="FF130086"/>
      <color rgb="FFC5C3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5</xdr:col>
      <xdr:colOff>1631766</xdr:colOff>
      <xdr:row>1</xdr:row>
      <xdr:rowOff>279550</xdr:rowOff>
    </xdr:from>
    <xdr:to>
      <xdr:col>6</xdr:col>
      <xdr:colOff>1144905</xdr:colOff>
      <xdr:row>6</xdr:row>
      <xdr:rowOff>326572</xdr:rowOff>
    </xdr:to>
    <xdr:pic>
      <xdr:nvPicPr>
        <xdr:cNvPr id="4" name="Picture 3">
          <a:extLst>
            <a:ext uri="{FF2B5EF4-FFF2-40B4-BE49-F238E27FC236}">
              <a16:creationId xmlns:a16="http://schemas.microsoft.com/office/drawing/2014/main" id="{C1D8FDB7-7FE6-BF90-8A07-504EEF8BAB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H="1">
          <a:off x="18852966" y="453722"/>
          <a:ext cx="2713539" cy="17234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1259702</xdr:colOff>
      <xdr:row>1</xdr:row>
      <xdr:rowOff>107044</xdr:rowOff>
    </xdr:from>
    <xdr:to>
      <xdr:col>5</xdr:col>
      <xdr:colOff>2184703</xdr:colOff>
      <xdr:row>7</xdr:row>
      <xdr:rowOff>92707</xdr:rowOff>
    </xdr:to>
    <xdr:pic>
      <xdr:nvPicPr>
        <xdr:cNvPr id="2" name="Picture 1">
          <a:extLst>
            <a:ext uri="{FF2B5EF4-FFF2-40B4-BE49-F238E27FC236}">
              <a16:creationId xmlns:a16="http://schemas.microsoft.com/office/drawing/2014/main" id="{DEE6D2E1-A075-0BF9-8B05-F2D5126EA6E5}"/>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4911" b="-4911"/>
        <a:stretch>
          <a:fillRect/>
        </a:stretch>
      </xdr:blipFill>
      <xdr:spPr bwMode="auto">
        <a:xfrm>
          <a:off x="14562046" y="281216"/>
          <a:ext cx="4843857" cy="20104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971013</xdr:colOff>
      <xdr:row>32</xdr:row>
      <xdr:rowOff>283028</xdr:rowOff>
    </xdr:from>
    <xdr:to>
      <xdr:col>11</xdr:col>
      <xdr:colOff>5252356</xdr:colOff>
      <xdr:row>48</xdr:row>
      <xdr:rowOff>203546</xdr:rowOff>
    </xdr:to>
    <xdr:pic>
      <xdr:nvPicPr>
        <xdr:cNvPr id="24" name="Picture 23">
          <a:extLst>
            <a:ext uri="{FF2B5EF4-FFF2-40B4-BE49-F238E27FC236}">
              <a16:creationId xmlns:a16="http://schemas.microsoft.com/office/drawing/2014/main" id="{00B7EC94-65E9-49BD-99DD-BB1AAA791944}"/>
            </a:ext>
          </a:extLst>
        </xdr:cNvPr>
        <xdr:cNvPicPr>
          <a:picLocks noChangeAspect="1"/>
        </xdr:cNvPicPr>
      </xdr:nvPicPr>
      <xdr:blipFill>
        <a:blip xmlns:r="http://schemas.openxmlformats.org/officeDocument/2006/relationships" r:embed="rId3"/>
        <a:stretch>
          <a:fillRect/>
        </a:stretch>
      </xdr:blipFill>
      <xdr:spPr>
        <a:xfrm>
          <a:off x="33709798" y="8977993"/>
          <a:ext cx="10431773" cy="4492518"/>
        </a:xfrm>
        <a:prstGeom prst="rect">
          <a:avLst/>
        </a:prstGeom>
      </xdr:spPr>
    </xdr:pic>
    <xdr:clientData/>
  </xdr:twoCellAnchor>
  <xdr:twoCellAnchor editAs="oneCell">
    <xdr:from>
      <xdr:col>8</xdr:col>
      <xdr:colOff>748393</xdr:colOff>
      <xdr:row>19</xdr:row>
      <xdr:rowOff>182916</xdr:rowOff>
    </xdr:from>
    <xdr:to>
      <xdr:col>8</xdr:col>
      <xdr:colOff>8417523</xdr:colOff>
      <xdr:row>32</xdr:row>
      <xdr:rowOff>66218</xdr:rowOff>
    </xdr:to>
    <xdr:pic>
      <xdr:nvPicPr>
        <xdr:cNvPr id="55" name="Picture 54">
          <a:extLst>
            <a:ext uri="{FF2B5EF4-FFF2-40B4-BE49-F238E27FC236}">
              <a16:creationId xmlns:a16="http://schemas.microsoft.com/office/drawing/2014/main" id="{A6CB8E52-4816-4982-99EA-03415F34B866}"/>
            </a:ext>
          </a:extLst>
        </xdr:cNvPr>
        <xdr:cNvPicPr>
          <a:picLocks noChangeAspect="1"/>
        </xdr:cNvPicPr>
      </xdr:nvPicPr>
      <xdr:blipFill>
        <a:blip xmlns:r="http://schemas.openxmlformats.org/officeDocument/2006/relationships" r:embed="rId4"/>
        <a:stretch>
          <a:fillRect/>
        </a:stretch>
      </xdr:blipFill>
      <xdr:spPr>
        <a:xfrm>
          <a:off x="24520071" y="5163131"/>
          <a:ext cx="7669130" cy="3598052"/>
        </a:xfrm>
        <a:prstGeom prst="rect">
          <a:avLst/>
        </a:prstGeom>
      </xdr:spPr>
    </xdr:pic>
    <xdr:clientData/>
  </xdr:twoCellAnchor>
  <xdr:twoCellAnchor editAs="oneCell">
    <xdr:from>
      <xdr:col>9</xdr:col>
      <xdr:colOff>802821</xdr:colOff>
      <xdr:row>47</xdr:row>
      <xdr:rowOff>213621</xdr:rowOff>
    </xdr:from>
    <xdr:to>
      <xdr:col>12</xdr:col>
      <xdr:colOff>1121019</xdr:colOff>
      <xdr:row>63</xdr:row>
      <xdr:rowOff>95250</xdr:rowOff>
    </xdr:to>
    <xdr:pic>
      <xdr:nvPicPr>
        <xdr:cNvPr id="56" name="Picture 55">
          <a:extLst>
            <a:ext uri="{FF2B5EF4-FFF2-40B4-BE49-F238E27FC236}">
              <a16:creationId xmlns:a16="http://schemas.microsoft.com/office/drawing/2014/main" id="{23E05978-611A-4000-847E-06CA306235AF}"/>
            </a:ext>
          </a:extLst>
        </xdr:cNvPr>
        <xdr:cNvPicPr>
          <a:picLocks noChangeAspect="1"/>
        </xdr:cNvPicPr>
      </xdr:nvPicPr>
      <xdr:blipFill>
        <a:blip xmlns:r="http://schemas.openxmlformats.org/officeDocument/2006/relationships" r:embed="rId5"/>
        <a:stretch>
          <a:fillRect/>
        </a:stretch>
      </xdr:blipFill>
      <xdr:spPr>
        <a:xfrm>
          <a:off x="33541606" y="13194836"/>
          <a:ext cx="11748198" cy="445362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525" row="4">
    <wetp:webextensionref xmlns:r="http://schemas.openxmlformats.org/officeDocument/2006/relationships" r:id="rId1"/>
  </wetp:taskpane>
</wetp:taskpanes>
</file>

<file path=xl/webextensions/webextension1.xml><?xml version="1.0" encoding="utf-8"?>
<we:webextension xmlns:we="http://schemas.microsoft.com/office/webextensions/webextension/2010/11" id="{90B48C8F-EF62-4C6B-BA79-03EBA67525FC}">
  <we:reference id="wa200005502" version="1.0.0.12" store="en-US" storeType="OMEX"/>
  <we:alternateReferences>
    <we:reference id="wa200005502" version="1.0.0.12" store="wa200005502" storeType="OMEX"/>
  </we:alternateReferences>
  <we:properties>
    <we:property name="docId" value="&quot;LyYPIt9CQoox0jlIo6SoV&quot;"/>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tstark.ne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BF4D0-CFE9-4D1B-B672-DA786FA460FB}">
  <sheetPr>
    <pageSetUpPr autoPageBreaks="0" fitToPage="1"/>
  </sheetPr>
  <dimension ref="C1:BR110"/>
  <sheetViews>
    <sheetView tabSelected="1" view="pageBreakPreview" zoomScale="25" zoomScaleNormal="35" zoomScaleSheetLayoutView="25" zoomScalePageLayoutView="20" workbookViewId="0">
      <selection activeCell="I7" sqref="I7"/>
    </sheetView>
  </sheetViews>
  <sheetFormatPr defaultColWidth="8.69140625" defaultRowHeight="18.45" x14ac:dyDescent="0.5"/>
  <cols>
    <col min="1" max="1" width="15.07421875" style="3" customWidth="1"/>
    <col min="2" max="2" width="8.69140625" style="3"/>
    <col min="3" max="3" width="26" style="3" customWidth="1"/>
    <col min="4" max="4" width="138.23046875" style="3" customWidth="1"/>
    <col min="5" max="5" width="55.3828125" style="3" customWidth="1"/>
    <col min="6" max="6" width="45.23046875" style="3" customWidth="1"/>
    <col min="7" max="7" width="28.23046875" style="3" customWidth="1"/>
    <col min="8" max="8" width="19.15234375" style="3" customWidth="1"/>
    <col min="9" max="9" width="126.69140625" style="3" bestFit="1" customWidth="1"/>
    <col min="10" max="10" width="71.84375" style="3" customWidth="1"/>
    <col min="11" max="11" width="14.921875" style="3" bestFit="1" customWidth="1"/>
    <col min="12" max="12" width="74.53515625" style="3" customWidth="1"/>
    <col min="13" max="13" width="31.53515625" style="3" customWidth="1"/>
    <col min="14" max="14" width="28" style="3" bestFit="1" customWidth="1"/>
    <col min="15" max="15" width="31.15234375" style="3" customWidth="1"/>
    <col min="16" max="16" width="42.23046875" style="3" customWidth="1"/>
    <col min="17" max="17" width="32.921875" style="3" customWidth="1"/>
    <col min="18" max="18" width="23.84375" style="3" customWidth="1"/>
    <col min="19" max="19" width="22.84375" style="3" customWidth="1"/>
    <col min="20" max="20" width="31.3828125" style="3" customWidth="1"/>
    <col min="21" max="21" width="14.07421875" style="3" customWidth="1"/>
    <col min="22" max="22" width="58.921875" style="3" customWidth="1"/>
    <col min="23" max="23" width="31.61328125" style="3" customWidth="1"/>
    <col min="24" max="48" width="14.07421875" style="3" customWidth="1"/>
    <col min="49" max="52" width="14.07421875" style="3" hidden="1" customWidth="1"/>
    <col min="53" max="54" width="0" style="3" hidden="1" customWidth="1"/>
    <col min="55" max="55" width="14.07421875" style="3" hidden="1" customWidth="1"/>
    <col min="56" max="56" width="11.4609375" style="3" hidden="1" customWidth="1"/>
    <col min="57" max="60" width="0" style="3" hidden="1" customWidth="1"/>
    <col min="61" max="61" width="12.23046875" style="3" hidden="1" customWidth="1"/>
    <col min="62" max="64" width="0" style="3" hidden="1" customWidth="1"/>
    <col min="65" max="65" width="28.61328125" style="3" hidden="1" customWidth="1"/>
    <col min="66" max="75" width="0" style="3" hidden="1" customWidth="1"/>
    <col min="76" max="109" width="8.69140625" style="3"/>
    <col min="110" max="113" width="0" style="3" hidden="1" customWidth="1"/>
    <col min="114" max="16384" width="8.69140625" style="3"/>
  </cols>
  <sheetData>
    <row r="1" spans="3:67" ht="14.5" customHeight="1" x14ac:dyDescent="0.6">
      <c r="C1" s="15"/>
      <c r="D1" s="16"/>
      <c r="E1" s="16"/>
      <c r="F1" s="16"/>
      <c r="G1" s="16"/>
      <c r="H1" s="16"/>
      <c r="I1" s="16"/>
      <c r="J1" s="16"/>
      <c r="K1" s="16"/>
      <c r="L1" s="16"/>
      <c r="M1" s="16"/>
      <c r="N1" s="16"/>
      <c r="O1" s="16"/>
      <c r="P1" s="16"/>
      <c r="Q1" s="16"/>
      <c r="R1" s="16"/>
      <c r="S1" s="16"/>
      <c r="T1" s="17"/>
      <c r="U1" s="1"/>
      <c r="V1" s="1"/>
      <c r="W1" s="1"/>
    </row>
    <row r="2" spans="3:67" ht="36" customHeight="1" x14ac:dyDescent="0.6">
      <c r="C2" s="1"/>
      <c r="D2" s="172" t="s">
        <v>141</v>
      </c>
      <c r="E2" s="1"/>
      <c r="F2" s="1"/>
      <c r="G2" s="1"/>
      <c r="H2" s="1"/>
      <c r="I2" s="1"/>
      <c r="J2" s="1"/>
      <c r="K2" s="1"/>
      <c r="L2" s="1"/>
      <c r="M2" s="1"/>
      <c r="O2" s="1"/>
      <c r="P2" s="1"/>
      <c r="Q2" s="1"/>
      <c r="R2" s="1"/>
      <c r="S2" s="1"/>
      <c r="T2" s="1"/>
      <c r="U2" s="1"/>
      <c r="V2" s="1"/>
      <c r="W2" s="1"/>
    </row>
    <row r="3" spans="3:67" ht="14.15" customHeight="1" x14ac:dyDescent="0.7">
      <c r="C3" s="1"/>
      <c r="D3" s="93"/>
      <c r="E3" s="1"/>
      <c r="F3" s="1"/>
      <c r="G3" s="1"/>
      <c r="H3" s="1"/>
      <c r="I3" s="1"/>
      <c r="J3" s="1"/>
      <c r="K3" s="1"/>
      <c r="L3" s="1"/>
      <c r="M3" s="1"/>
      <c r="O3" s="1"/>
      <c r="P3" s="1"/>
      <c r="Q3" s="1"/>
      <c r="R3" s="1"/>
      <c r="S3" s="1"/>
      <c r="T3" s="1"/>
      <c r="U3" s="1"/>
      <c r="V3" s="1"/>
      <c r="W3" s="1"/>
      <c r="BK3" s="5" t="s">
        <v>12</v>
      </c>
      <c r="BM3" s="6" t="s">
        <v>5</v>
      </c>
      <c r="BN3" s="6"/>
      <c r="BO3" s="6"/>
    </row>
    <row r="4" spans="3:67" ht="27.55" customHeight="1" x14ac:dyDescent="0.85">
      <c r="C4" s="1"/>
      <c r="D4" s="171" t="s">
        <v>121</v>
      </c>
      <c r="E4" s="1"/>
      <c r="F4" s="1"/>
      <c r="G4" s="1"/>
      <c r="H4" s="1"/>
      <c r="I4" s="173"/>
      <c r="J4" s="1"/>
      <c r="K4" s="1"/>
      <c r="L4" s="1"/>
      <c r="M4" s="1"/>
      <c r="O4" s="1"/>
      <c r="P4" s="1"/>
      <c r="Q4" s="1"/>
      <c r="R4" s="1"/>
      <c r="S4" s="1"/>
      <c r="T4" s="1"/>
      <c r="U4" s="1"/>
      <c r="V4" s="1"/>
      <c r="W4" s="1"/>
      <c r="BC4" s="78" t="s">
        <v>0</v>
      </c>
      <c r="BD4" s="79"/>
      <c r="BE4" s="80"/>
      <c r="BI4" s="10" t="s">
        <v>14</v>
      </c>
      <c r="BM4" s="11" t="s">
        <v>6</v>
      </c>
      <c r="BN4" s="6" t="s">
        <v>7</v>
      </c>
      <c r="BO4" s="6" t="s">
        <v>8</v>
      </c>
    </row>
    <row r="5" spans="3:67" ht="28" customHeight="1" x14ac:dyDescent="0.9">
      <c r="C5" s="1"/>
      <c r="D5" s="93" t="s">
        <v>140</v>
      </c>
      <c r="E5" s="1"/>
      <c r="H5" s="1"/>
      <c r="I5" s="174" t="s">
        <v>77</v>
      </c>
      <c r="J5" s="1"/>
      <c r="K5" s="1"/>
      <c r="L5" s="1"/>
      <c r="M5" s="1"/>
      <c r="O5" s="1"/>
      <c r="P5" s="1"/>
      <c r="Q5" s="1"/>
      <c r="R5" s="1"/>
      <c r="S5" s="1"/>
      <c r="T5" s="1"/>
      <c r="U5" s="1"/>
      <c r="V5" s="1"/>
      <c r="W5" s="1"/>
      <c r="BC5" s="7"/>
      <c r="BD5" s="8"/>
      <c r="BE5" s="9"/>
      <c r="BI5" s="10"/>
      <c r="BM5" s="11"/>
      <c r="BN5" s="6"/>
      <c r="BO5" s="6"/>
    </row>
    <row r="6" spans="3:67" ht="28" customHeight="1" x14ac:dyDescent="0.9">
      <c r="C6" s="1"/>
      <c r="D6" s="171" t="s">
        <v>120</v>
      </c>
      <c r="E6" s="1"/>
      <c r="H6" s="1"/>
      <c r="I6" s="174" t="s">
        <v>76</v>
      </c>
      <c r="J6" s="1"/>
      <c r="K6" s="1"/>
      <c r="L6" s="1"/>
      <c r="M6" s="1"/>
      <c r="N6" s="1"/>
      <c r="O6" s="1"/>
      <c r="P6" s="1"/>
      <c r="Q6" s="1"/>
      <c r="R6" s="1"/>
      <c r="S6" s="1"/>
      <c r="T6" s="1"/>
      <c r="U6" s="1"/>
      <c r="V6" s="1"/>
      <c r="W6" s="1"/>
      <c r="BC6" s="7"/>
      <c r="BD6" s="8"/>
      <c r="BE6" s="9"/>
      <c r="BI6" s="10"/>
      <c r="BM6" s="11"/>
      <c r="BN6" s="6"/>
      <c r="BO6" s="6"/>
    </row>
    <row r="7" spans="3:67" ht="28" customHeight="1" x14ac:dyDescent="0.85">
      <c r="C7" s="1"/>
      <c r="D7" s="171" t="s">
        <v>112</v>
      </c>
      <c r="E7" s="1"/>
      <c r="F7" s="1"/>
      <c r="G7" s="1"/>
      <c r="H7" s="1"/>
      <c r="I7" s="173"/>
      <c r="J7" s="1"/>
      <c r="K7" s="1"/>
      <c r="L7" s="1"/>
      <c r="M7" s="1"/>
      <c r="N7" s="1"/>
      <c r="O7" s="1"/>
      <c r="P7" s="1"/>
      <c r="Q7" s="1"/>
      <c r="R7" s="1"/>
      <c r="S7" s="1"/>
      <c r="T7" s="1"/>
      <c r="U7" s="1"/>
      <c r="V7" s="1"/>
      <c r="W7" s="1"/>
      <c r="BC7" s="7"/>
      <c r="BD7" s="8"/>
      <c r="BE7" s="9"/>
      <c r="BI7" s="10"/>
      <c r="BM7" s="11"/>
      <c r="BN7" s="6"/>
      <c r="BO7" s="6"/>
    </row>
    <row r="8" spans="3:67" ht="14.5" customHeight="1" x14ac:dyDescent="0.6">
      <c r="C8" s="1"/>
      <c r="D8" s="1"/>
      <c r="E8" s="1"/>
      <c r="F8" s="1"/>
      <c r="G8" s="1"/>
      <c r="H8" s="1"/>
      <c r="I8" s="1"/>
      <c r="J8" s="1"/>
      <c r="K8" s="1"/>
      <c r="L8" s="1"/>
      <c r="M8" s="1"/>
      <c r="N8" s="1"/>
      <c r="O8" s="1"/>
      <c r="P8" s="1"/>
      <c r="Q8" s="1"/>
      <c r="R8" s="1"/>
      <c r="S8" s="1"/>
      <c r="T8" s="1"/>
      <c r="U8" s="1"/>
      <c r="V8" s="1"/>
      <c r="W8" s="1"/>
      <c r="BC8" s="7"/>
      <c r="BD8" s="8"/>
      <c r="BE8" s="9"/>
      <c r="BI8" s="10"/>
      <c r="BM8" s="11"/>
      <c r="BN8" s="6"/>
      <c r="BO8" s="6"/>
    </row>
    <row r="9" spans="3:67" ht="14.5" customHeight="1" thickBot="1" x14ac:dyDescent="0.65">
      <c r="C9" s="1"/>
      <c r="D9" s="1"/>
      <c r="E9" s="1"/>
      <c r="F9" s="1"/>
      <c r="G9" s="1"/>
      <c r="H9" s="1"/>
      <c r="I9" s="1"/>
      <c r="J9" s="1"/>
      <c r="K9" s="1"/>
      <c r="L9" s="1"/>
      <c r="M9" s="1"/>
      <c r="N9" s="1"/>
      <c r="O9" s="1"/>
      <c r="P9" s="1"/>
      <c r="Q9" s="1"/>
      <c r="R9" s="1"/>
      <c r="S9" s="1"/>
      <c r="T9" s="1"/>
      <c r="U9" s="1"/>
      <c r="V9" s="1"/>
      <c r="W9" s="1"/>
      <c r="BC9" s="7"/>
      <c r="BD9" s="8"/>
      <c r="BE9" s="9"/>
      <c r="BI9" s="10"/>
      <c r="BM9" s="11"/>
      <c r="BN9" s="6"/>
      <c r="BO9" s="6"/>
    </row>
    <row r="10" spans="3:67" ht="30" customHeight="1" x14ac:dyDescent="0.6">
      <c r="C10" s="1"/>
      <c r="D10" s="1"/>
      <c r="E10" s="87" t="s">
        <v>122</v>
      </c>
      <c r="F10" s="88"/>
      <c r="G10" s="1"/>
      <c r="H10" s="1"/>
      <c r="I10" s="1"/>
      <c r="J10" s="1"/>
      <c r="K10" s="1"/>
      <c r="L10" s="1"/>
      <c r="M10" s="1"/>
      <c r="N10" s="1"/>
      <c r="O10" s="1"/>
      <c r="P10" s="1"/>
      <c r="Q10" s="1"/>
      <c r="R10" s="1"/>
      <c r="S10" s="1"/>
      <c r="T10" s="1"/>
      <c r="U10" s="1"/>
      <c r="V10" s="1"/>
      <c r="W10" s="1"/>
      <c r="BC10" s="7"/>
      <c r="BD10" s="8"/>
      <c r="BE10" s="9"/>
      <c r="BI10" s="10"/>
      <c r="BM10" s="11"/>
      <c r="BN10" s="6"/>
      <c r="BO10" s="6"/>
    </row>
    <row r="11" spans="3:67" ht="30" customHeight="1" thickBot="1" x14ac:dyDescent="0.95">
      <c r="C11" s="1"/>
      <c r="D11" s="1"/>
      <c r="E11" s="89" t="s">
        <v>123</v>
      </c>
      <c r="F11" s="90"/>
      <c r="G11" s="1"/>
      <c r="H11" s="1"/>
      <c r="I11" s="1"/>
      <c r="J11" s="1"/>
      <c r="K11" s="1"/>
      <c r="L11" s="1"/>
      <c r="M11" s="1"/>
      <c r="N11" s="1"/>
      <c r="O11" s="1"/>
      <c r="P11" s="1"/>
      <c r="Q11" s="1"/>
      <c r="R11" s="1"/>
      <c r="S11" s="1"/>
      <c r="T11" s="1"/>
      <c r="U11" s="1"/>
      <c r="V11" s="1"/>
      <c r="W11" s="1"/>
      <c r="BC11" s="7"/>
      <c r="BD11" s="8"/>
      <c r="BE11" s="9"/>
      <c r="BI11" s="10"/>
      <c r="BM11" s="11"/>
      <c r="BN11" s="6"/>
      <c r="BO11" s="6"/>
    </row>
    <row r="12" spans="3:67" ht="23.05" customHeight="1" x14ac:dyDescent="0.6">
      <c r="C12" s="1"/>
      <c r="D12" s="1"/>
      <c r="E12" s="1"/>
      <c r="F12" s="1"/>
      <c r="G12" s="1"/>
      <c r="H12" s="1"/>
      <c r="I12" s="1"/>
      <c r="J12" s="1"/>
      <c r="K12" s="1"/>
      <c r="L12" s="1"/>
      <c r="M12" s="1"/>
      <c r="N12" s="1"/>
      <c r="O12" s="1"/>
      <c r="P12" s="1"/>
      <c r="Q12" s="1"/>
      <c r="R12" s="1"/>
      <c r="S12" s="1"/>
      <c r="T12" s="1"/>
      <c r="U12" s="1"/>
      <c r="V12" s="1"/>
      <c r="W12" s="1"/>
      <c r="BC12" s="7"/>
      <c r="BD12" s="8"/>
      <c r="BE12" s="9"/>
      <c r="BI12" s="10"/>
      <c r="BM12" s="11"/>
      <c r="BN12" s="6"/>
      <c r="BO12" s="6"/>
    </row>
    <row r="13" spans="3:67" ht="23.05" customHeight="1" x14ac:dyDescent="0.7">
      <c r="C13" s="1"/>
      <c r="D13" s="92" t="s">
        <v>139</v>
      </c>
      <c r="E13" s="1"/>
      <c r="F13" s="1"/>
      <c r="G13" s="1"/>
      <c r="H13" s="1"/>
      <c r="I13" s="1"/>
      <c r="J13" s="1"/>
      <c r="K13" s="1"/>
      <c r="L13" s="1"/>
      <c r="M13" s="1"/>
      <c r="N13" s="1"/>
      <c r="O13" s="1"/>
      <c r="P13" s="1"/>
      <c r="Q13" s="1"/>
      <c r="R13" s="1"/>
      <c r="S13" s="1"/>
      <c r="T13" s="1"/>
      <c r="U13" s="1"/>
      <c r="V13" s="1"/>
      <c r="W13" s="1"/>
      <c r="BC13" s="7"/>
      <c r="BD13" s="8"/>
      <c r="BE13" s="9"/>
      <c r="BI13" s="10"/>
      <c r="BM13" s="11"/>
      <c r="BN13" s="6"/>
      <c r="BO13" s="6"/>
    </row>
    <row r="14" spans="3:67" ht="23.05" customHeight="1" x14ac:dyDescent="0.7">
      <c r="C14" s="1"/>
      <c r="D14" s="92" t="s">
        <v>119</v>
      </c>
      <c r="E14" s="1"/>
      <c r="F14" s="1"/>
      <c r="G14" s="1"/>
      <c r="H14" s="1"/>
      <c r="I14" s="1"/>
      <c r="J14" s="1"/>
      <c r="K14" s="1"/>
      <c r="L14" s="1"/>
      <c r="M14" s="1"/>
      <c r="N14" s="1"/>
      <c r="O14" s="1"/>
      <c r="P14" s="1"/>
      <c r="Q14" s="1"/>
      <c r="R14" s="1"/>
      <c r="S14" s="1"/>
      <c r="T14" s="1"/>
      <c r="U14" s="1"/>
      <c r="V14" s="1"/>
      <c r="W14" s="1"/>
      <c r="BC14" s="7"/>
      <c r="BD14" s="8"/>
      <c r="BE14" s="9"/>
      <c r="BI14" s="10"/>
      <c r="BM14" s="11"/>
      <c r="BN14" s="6"/>
      <c r="BO14" s="6"/>
    </row>
    <row r="15" spans="3:67" ht="23.05" customHeight="1" x14ac:dyDescent="0.6">
      <c r="C15" s="1"/>
      <c r="D15" s="1"/>
      <c r="E15" s="1"/>
      <c r="F15" s="1"/>
      <c r="G15" s="1"/>
      <c r="H15" s="1"/>
      <c r="I15" s="1"/>
      <c r="J15" s="1"/>
      <c r="K15" s="1"/>
      <c r="L15" s="1"/>
      <c r="M15" s="1"/>
      <c r="N15" s="1"/>
      <c r="O15" s="1"/>
      <c r="P15" s="1"/>
      <c r="Q15" s="1"/>
      <c r="R15" s="1"/>
      <c r="S15" s="1"/>
      <c r="T15" s="1"/>
      <c r="U15" s="1"/>
      <c r="V15" s="1"/>
      <c r="W15" s="1"/>
      <c r="BC15" s="7"/>
      <c r="BD15" s="8"/>
      <c r="BE15" s="9"/>
      <c r="BI15" s="10"/>
      <c r="BM15" s="11"/>
      <c r="BN15" s="6"/>
      <c r="BO15" s="6"/>
    </row>
    <row r="16" spans="3:67" ht="23.05" customHeight="1" x14ac:dyDescent="0.6">
      <c r="C16" s="1"/>
      <c r="D16" s="20"/>
      <c r="E16" s="1"/>
      <c r="F16" s="1"/>
      <c r="G16" s="1"/>
      <c r="H16" s="1"/>
      <c r="I16" s="1"/>
      <c r="J16" s="1"/>
      <c r="K16" s="1"/>
      <c r="L16" s="1"/>
      <c r="M16" s="1"/>
      <c r="N16" s="1"/>
      <c r="O16" s="1"/>
      <c r="P16" s="1"/>
      <c r="Q16" s="1"/>
      <c r="R16" s="1"/>
      <c r="S16" s="1"/>
      <c r="T16" s="1"/>
      <c r="U16" s="1"/>
      <c r="V16" s="1"/>
      <c r="W16" s="1"/>
      <c r="BC16" s="78" t="s">
        <v>1</v>
      </c>
      <c r="BD16" s="79"/>
      <c r="BE16" s="80"/>
      <c r="BI16" s="6"/>
      <c r="BM16" s="12" t="s">
        <v>27</v>
      </c>
      <c r="BN16" s="6">
        <v>13</v>
      </c>
      <c r="BO16" s="6" t="s">
        <v>8</v>
      </c>
    </row>
    <row r="17" spans="3:69" ht="23.05" customHeight="1" x14ac:dyDescent="0.6">
      <c r="C17" s="1"/>
      <c r="D17" s="21" t="s">
        <v>11</v>
      </c>
      <c r="E17" s="1"/>
      <c r="F17" s="1"/>
      <c r="G17" s="1"/>
      <c r="H17" s="1"/>
      <c r="I17" s="1"/>
      <c r="J17" s="1"/>
      <c r="K17" s="1"/>
      <c r="L17" s="1"/>
      <c r="M17" s="1"/>
      <c r="N17" s="1"/>
      <c r="O17" s="1"/>
      <c r="P17" s="1"/>
      <c r="Q17" s="1"/>
      <c r="R17" s="1"/>
      <c r="S17" s="1"/>
      <c r="T17" s="1"/>
      <c r="U17" s="1"/>
      <c r="V17" s="1"/>
      <c r="W17" s="1"/>
      <c r="BB17" s="13" t="s">
        <v>28</v>
      </c>
      <c r="BC17" s="14">
        <v>126</v>
      </c>
      <c r="BD17" s="14" t="s">
        <v>10</v>
      </c>
      <c r="BH17" s="6">
        <v>3</v>
      </c>
      <c r="BL17" s="12"/>
      <c r="BM17" s="6">
        <v>20</v>
      </c>
      <c r="BN17" s="6" t="s">
        <v>8</v>
      </c>
    </row>
    <row r="18" spans="3:69" ht="23.05" customHeight="1" x14ac:dyDescent="0.6">
      <c r="C18" s="1"/>
      <c r="D18" s="22"/>
      <c r="E18" s="1"/>
      <c r="F18" s="1"/>
      <c r="G18" s="1"/>
      <c r="H18" s="1"/>
      <c r="I18" s="1"/>
      <c r="J18" s="1"/>
      <c r="K18" s="1"/>
      <c r="L18" s="1"/>
      <c r="M18" s="1"/>
      <c r="N18" s="1"/>
      <c r="O18" s="1"/>
      <c r="P18" s="1"/>
      <c r="Q18" s="1"/>
      <c r="R18" s="1"/>
      <c r="S18" s="1"/>
      <c r="T18" s="1"/>
      <c r="U18" s="1"/>
      <c r="V18" s="1"/>
      <c r="W18" s="1"/>
      <c r="BC18" s="13"/>
      <c r="BD18" s="14">
        <v>22</v>
      </c>
      <c r="BE18" s="14" t="s">
        <v>9</v>
      </c>
      <c r="BI18" s="6">
        <v>4</v>
      </c>
      <c r="BM18" s="77" t="s">
        <v>6</v>
      </c>
      <c r="BN18" s="6">
        <v>110</v>
      </c>
      <c r="BO18" s="6" t="s">
        <v>24</v>
      </c>
    </row>
    <row r="19" spans="3:69" ht="23.05" customHeight="1" thickBot="1" x14ac:dyDescent="0.65">
      <c r="C19" s="1"/>
      <c r="D19" s="22" t="s">
        <v>72</v>
      </c>
      <c r="E19" s="1"/>
      <c r="F19" s="1"/>
      <c r="G19" s="1"/>
      <c r="H19" s="1"/>
      <c r="I19" s="1"/>
      <c r="J19" s="1"/>
      <c r="K19" s="1"/>
      <c r="L19" s="1"/>
      <c r="M19" s="1"/>
      <c r="N19" s="1"/>
      <c r="O19" s="1"/>
      <c r="P19" s="1"/>
      <c r="Q19" s="1"/>
      <c r="R19" s="1"/>
      <c r="S19" s="1"/>
      <c r="T19" s="1"/>
      <c r="U19" s="1"/>
      <c r="V19" s="1"/>
      <c r="W19" s="1"/>
      <c r="BC19" s="13"/>
      <c r="BD19" s="14"/>
      <c r="BE19" s="14"/>
      <c r="BM19" s="77"/>
      <c r="BN19" s="6"/>
      <c r="BO19" s="6"/>
    </row>
    <row r="20" spans="3:69" ht="23.05" customHeight="1" thickBot="1" x14ac:dyDescent="0.65">
      <c r="C20" s="1"/>
      <c r="D20" s="23" t="s">
        <v>131</v>
      </c>
      <c r="E20" s="24">
        <v>3</v>
      </c>
      <c r="F20" s="25" t="s">
        <v>16</v>
      </c>
      <c r="G20" s="26" t="s">
        <v>127</v>
      </c>
      <c r="H20" s="1"/>
      <c r="I20" s="1"/>
      <c r="J20" s="83" t="s">
        <v>122</v>
      </c>
      <c r="K20" s="84"/>
      <c r="L20" s="1"/>
      <c r="M20" s="1"/>
      <c r="N20" s="1"/>
      <c r="O20" s="1"/>
      <c r="P20" s="1"/>
      <c r="Q20" s="1"/>
      <c r="R20" s="1"/>
      <c r="S20" s="1"/>
      <c r="T20" s="1"/>
      <c r="U20" s="1"/>
      <c r="V20" s="1"/>
      <c r="W20" s="1"/>
      <c r="BC20" s="13"/>
      <c r="BD20" s="14"/>
      <c r="BE20" s="14"/>
      <c r="BM20" s="77"/>
      <c r="BN20" s="6"/>
      <c r="BO20" s="6"/>
    </row>
    <row r="21" spans="3:69" ht="23.05" customHeight="1" thickBot="1" x14ac:dyDescent="0.8">
      <c r="C21" s="1"/>
      <c r="D21" s="23" t="s">
        <v>73</v>
      </c>
      <c r="E21" s="24">
        <v>16.5</v>
      </c>
      <c r="F21" s="25" t="s">
        <v>74</v>
      </c>
      <c r="G21" s="2"/>
      <c r="H21" s="1"/>
      <c r="I21" s="1"/>
      <c r="J21" s="85" t="s">
        <v>123</v>
      </c>
      <c r="K21" s="86"/>
      <c r="L21" s="1"/>
      <c r="M21" s="1"/>
      <c r="N21" s="1"/>
      <c r="O21" s="1"/>
      <c r="P21" s="1"/>
      <c r="Q21" s="1"/>
      <c r="R21" s="1"/>
      <c r="S21" s="1"/>
      <c r="T21" s="1"/>
      <c r="U21" s="1"/>
      <c r="V21" s="1"/>
      <c r="W21" s="1"/>
      <c r="BC21" s="13"/>
      <c r="BD21" s="14"/>
      <c r="BE21" s="14"/>
      <c r="BM21" s="77"/>
      <c r="BN21" s="6"/>
      <c r="BO21" s="6"/>
    </row>
    <row r="22" spans="3:69" ht="23.05" customHeight="1" thickBot="1" x14ac:dyDescent="0.65">
      <c r="C22" s="1"/>
      <c r="D22" s="27" t="s">
        <v>12</v>
      </c>
      <c r="E22" s="28">
        <v>15000</v>
      </c>
      <c r="F22" s="29" t="s">
        <v>86</v>
      </c>
      <c r="G22" s="1"/>
      <c r="H22" s="1"/>
      <c r="I22" s="1"/>
      <c r="J22" s="1"/>
      <c r="K22" s="1"/>
      <c r="L22" s="1"/>
      <c r="M22" s="1"/>
      <c r="N22" s="1"/>
      <c r="O22" s="1"/>
      <c r="P22" s="1"/>
      <c r="Q22" s="1"/>
      <c r="R22" s="1"/>
      <c r="S22" s="1"/>
      <c r="T22" s="1"/>
      <c r="U22" s="1"/>
      <c r="V22" s="1"/>
      <c r="W22" s="1"/>
      <c r="BC22" s="13"/>
      <c r="BD22" s="14"/>
      <c r="BE22" s="14"/>
      <c r="BM22" s="77"/>
      <c r="BN22" s="6"/>
      <c r="BO22" s="6"/>
    </row>
    <row r="23" spans="3:69" ht="23.05" customHeight="1" x14ac:dyDescent="0.6">
      <c r="C23" s="1"/>
      <c r="D23" s="1"/>
      <c r="E23" s="1"/>
      <c r="F23" s="1"/>
      <c r="G23" s="1"/>
      <c r="H23" s="1"/>
      <c r="I23" s="1"/>
      <c r="J23" s="1"/>
      <c r="K23" s="1"/>
      <c r="L23" s="1"/>
      <c r="M23" s="1"/>
      <c r="N23" s="1"/>
      <c r="O23" s="1"/>
      <c r="P23" s="1"/>
      <c r="Q23" s="1"/>
      <c r="R23" s="1"/>
      <c r="S23" s="1"/>
      <c r="T23" s="1"/>
      <c r="U23" s="1"/>
      <c r="V23" s="1"/>
      <c r="W23" s="1"/>
      <c r="BC23" s="13"/>
      <c r="BD23" s="14"/>
      <c r="BE23" s="14"/>
      <c r="BM23" s="77"/>
      <c r="BN23" s="6"/>
      <c r="BO23" s="6"/>
    </row>
    <row r="24" spans="3:69" ht="23.05" customHeight="1" thickBot="1" x14ac:dyDescent="0.65">
      <c r="C24" s="2" t="s">
        <v>124</v>
      </c>
      <c r="D24" s="1"/>
      <c r="E24" s="1"/>
      <c r="F24" s="1"/>
      <c r="G24" s="1"/>
      <c r="H24" s="1"/>
      <c r="I24" s="1"/>
      <c r="J24" s="1"/>
      <c r="K24" s="1"/>
      <c r="L24" s="1"/>
      <c r="M24" s="1"/>
      <c r="N24" s="1"/>
      <c r="O24" s="19"/>
      <c r="P24" s="1"/>
      <c r="Q24" s="1"/>
      <c r="R24" s="1"/>
      <c r="S24" s="1"/>
      <c r="T24" s="1"/>
      <c r="U24" s="1"/>
      <c r="V24" s="1"/>
      <c r="W24" s="1"/>
      <c r="BC24" s="13"/>
      <c r="BD24" s="14"/>
      <c r="BE24" s="14"/>
      <c r="BM24" s="77"/>
      <c r="BN24" s="6"/>
      <c r="BO24" s="6"/>
    </row>
    <row r="25" spans="3:69" ht="23.05" customHeight="1" thickBot="1" x14ac:dyDescent="0.65">
      <c r="C25" s="2" t="s">
        <v>125</v>
      </c>
      <c r="D25" s="30"/>
      <c r="E25" s="31"/>
      <c r="F25" s="1"/>
      <c r="G25" s="1"/>
      <c r="H25" s="1"/>
      <c r="I25" s="1"/>
      <c r="J25" s="65" t="s">
        <v>67</v>
      </c>
      <c r="K25" s="66"/>
      <c r="L25" s="67"/>
      <c r="M25" s="1"/>
      <c r="N25" s="1"/>
      <c r="O25" s="32"/>
      <c r="P25" s="1"/>
      <c r="Q25" s="1"/>
      <c r="R25" s="1"/>
      <c r="S25" s="1"/>
      <c r="T25" s="1"/>
      <c r="U25" s="1"/>
      <c r="V25" s="1"/>
      <c r="W25" s="1"/>
      <c r="BC25" s="13"/>
      <c r="BD25" s="14"/>
      <c r="BE25" s="14"/>
      <c r="BM25" s="77"/>
      <c r="BN25" s="6"/>
      <c r="BO25" s="6"/>
    </row>
    <row r="26" spans="3:69" ht="23.05" customHeight="1" thickBot="1" x14ac:dyDescent="0.65">
      <c r="C26" s="2"/>
      <c r="D26" s="30"/>
      <c r="E26" s="31"/>
      <c r="F26" s="1"/>
      <c r="G26" s="1"/>
      <c r="H26" s="1"/>
      <c r="I26" s="1"/>
      <c r="J26" s="68" t="s">
        <v>1</v>
      </c>
      <c r="K26" s="69"/>
      <c r="L26" s="70"/>
      <c r="M26" s="1"/>
      <c r="N26" s="1"/>
      <c r="O26" s="32"/>
      <c r="P26" s="1"/>
      <c r="Q26" s="1"/>
      <c r="R26" s="1"/>
      <c r="S26" s="1"/>
      <c r="T26" s="1"/>
      <c r="U26" s="1"/>
      <c r="V26" s="1"/>
      <c r="W26" s="1"/>
      <c r="BC26" s="13"/>
      <c r="BD26" s="14"/>
      <c r="BE26" s="14"/>
      <c r="BM26" s="77"/>
      <c r="BN26" s="6"/>
      <c r="BO26" s="6"/>
    </row>
    <row r="27" spans="3:69" ht="23.05" customHeight="1" thickBot="1" x14ac:dyDescent="0.65">
      <c r="C27" s="2"/>
      <c r="D27" s="30"/>
      <c r="E27" s="31"/>
      <c r="F27" s="1"/>
      <c r="G27" s="1"/>
      <c r="H27" s="1"/>
      <c r="I27" s="1"/>
      <c r="J27" s="33" t="s">
        <v>2</v>
      </c>
      <c r="K27" s="34">
        <f>IF(TRIM(L27)="kN/m",BD18,IF(TRIM(L27)="lb/in",BC17,0))</f>
        <v>126</v>
      </c>
      <c r="L27" s="35" t="s">
        <v>10</v>
      </c>
      <c r="M27" s="1"/>
      <c r="N27" s="1"/>
      <c r="O27" s="32"/>
      <c r="P27" s="1"/>
      <c r="Q27" s="1"/>
      <c r="R27" s="1"/>
      <c r="S27" s="1"/>
      <c r="T27" s="1"/>
      <c r="U27" s="1"/>
      <c r="V27" s="1"/>
      <c r="W27" s="1"/>
      <c r="BC27" s="13"/>
      <c r="BD27" s="14"/>
      <c r="BE27" s="14"/>
      <c r="BM27" s="77"/>
      <c r="BN27" s="6"/>
      <c r="BO27" s="6"/>
    </row>
    <row r="28" spans="3:69" ht="23.05" customHeight="1" thickBot="1" x14ac:dyDescent="0.65">
      <c r="C28" s="1"/>
      <c r="D28" s="20"/>
      <c r="E28" s="1"/>
      <c r="F28" s="1"/>
      <c r="G28" s="1"/>
      <c r="H28" s="1"/>
      <c r="I28" s="1"/>
      <c r="J28" s="36" t="s">
        <v>3</v>
      </c>
      <c r="K28" s="34">
        <f>IF(TRIM(L28)="kN/m",BD29,IF(TRIM(L28)="lb/in",BD28,0))</f>
        <v>43</v>
      </c>
      <c r="L28" s="37" t="s">
        <v>10</v>
      </c>
      <c r="M28" s="1"/>
      <c r="N28" s="1"/>
      <c r="O28" s="1"/>
      <c r="P28" s="1"/>
      <c r="Q28" s="1"/>
      <c r="R28" s="1"/>
      <c r="S28" s="1"/>
      <c r="T28" s="1"/>
      <c r="U28" s="1"/>
      <c r="V28" s="1"/>
      <c r="W28" s="1"/>
      <c r="BC28" s="77" t="s">
        <v>3</v>
      </c>
      <c r="BD28" s="14">
        <v>43</v>
      </c>
      <c r="BE28" s="14" t="s">
        <v>10</v>
      </c>
      <c r="BM28" s="77"/>
      <c r="BN28" s="6">
        <v>120</v>
      </c>
      <c r="BO28" s="6" t="s">
        <v>24</v>
      </c>
    </row>
    <row r="29" spans="3:69" ht="23.05" customHeight="1" thickBot="1" x14ac:dyDescent="0.65">
      <c r="C29" s="1"/>
      <c r="D29" s="133" t="s">
        <v>68</v>
      </c>
      <c r="E29" s="134"/>
      <c r="F29" s="135"/>
      <c r="G29" s="1"/>
      <c r="H29" s="1"/>
      <c r="I29" s="1"/>
      <c r="J29" s="36" t="s">
        <v>29</v>
      </c>
      <c r="K29" s="34">
        <f>_xlfn.SWITCH(UPPER(TRIM(J29)) &amp; "|" &amp; UPPER(TRIM(L29)),
    "PVC 10|KN/m", BD31,
    "PVC 10|LB/IN", BD30,
    "PVC 20|KN/m", BD33,
    "PVC 20|LB/IN", BD32,
    "PVC 30|KN/m", BD35,
    "PVC 30|LB/IN", BD34,
    "PVC 40|KN/m", BD37,
    "PVC 40|LB/IN", BD36,
    "PVC 50|KN/m", BD39,
    "PVC 50|LB/IN", BD38,
    "PVC 60|KN/m", BD41,
    "PVC 60|LB/IN", BD40,
    0
)</f>
        <v>23</v>
      </c>
      <c r="L29" s="37" t="s">
        <v>9</v>
      </c>
      <c r="M29" s="1"/>
      <c r="N29" s="1"/>
      <c r="O29" s="1"/>
      <c r="P29" s="1"/>
      <c r="Q29" s="1"/>
      <c r="R29" s="1"/>
      <c r="S29" s="1"/>
      <c r="T29" s="1"/>
      <c r="U29" s="1"/>
      <c r="V29" s="1"/>
      <c r="W29" s="1"/>
      <c r="BC29" s="77"/>
      <c r="BD29" s="14">
        <v>7.5</v>
      </c>
      <c r="BE29" s="14" t="s">
        <v>9</v>
      </c>
      <c r="BM29" s="77"/>
      <c r="BN29" s="6">
        <v>17.3</v>
      </c>
      <c r="BO29" s="6" t="s">
        <v>25</v>
      </c>
    </row>
    <row r="30" spans="3:69" ht="23.05" customHeight="1" thickBot="1" x14ac:dyDescent="0.8">
      <c r="C30" s="1"/>
      <c r="D30" s="136" t="s">
        <v>137</v>
      </c>
      <c r="E30" s="137">
        <f>IF(AND(UPPER(TRIM(F30))="M", UPPER(TRIM(F20))="M"), E20,
IF(AND(UPPER(TRIM(F30))="FT", UPPER(TRIM(F20))="FT"), E20*3.2808, 0))</f>
        <v>3</v>
      </c>
      <c r="F30" s="116" t="str">
        <f>IF(TRIM(F20)="m","m",IF(TRIM(F20)="ft","ft",""))</f>
        <v>m</v>
      </c>
      <c r="G30" s="2"/>
      <c r="H30" s="1"/>
      <c r="I30" s="1"/>
      <c r="J30" s="38" t="s">
        <v>4</v>
      </c>
      <c r="K30" s="39">
        <f>IF(TRIM(L30)="kN/m",BD43,IF(TRIM(L30)="lb/in",BD42,0))</f>
        <v>28.21</v>
      </c>
      <c r="L30" s="40" t="s">
        <v>9</v>
      </c>
      <c r="M30" s="1"/>
      <c r="N30" s="1"/>
      <c r="O30" s="1"/>
      <c r="P30" s="1"/>
      <c r="Q30" s="1"/>
      <c r="R30" s="1"/>
      <c r="S30" s="1"/>
      <c r="T30" s="1"/>
      <c r="U30" s="1"/>
      <c r="V30" s="1"/>
      <c r="W30" s="1"/>
      <c r="BB30" s="3" t="s">
        <v>35</v>
      </c>
      <c r="BC30" s="77" t="s">
        <v>29</v>
      </c>
      <c r="BD30" s="14">
        <v>4.2</v>
      </c>
      <c r="BE30" s="14" t="s">
        <v>10</v>
      </c>
      <c r="BI30" s="5" t="s">
        <v>12</v>
      </c>
      <c r="BM30" s="77"/>
      <c r="BN30" s="6">
        <v>18.899999999999999</v>
      </c>
      <c r="BO30" s="6" t="s">
        <v>26</v>
      </c>
    </row>
    <row r="31" spans="3:69" ht="23.05" customHeight="1" thickBot="1" x14ac:dyDescent="0.8">
      <c r="C31" s="1"/>
      <c r="D31" s="138" t="s">
        <v>73</v>
      </c>
      <c r="E31" s="139">
        <f>IF(TRIM(F30)="m",E21,IF(TRIM(F30)="ft",E21/0.1570887,0))</f>
        <v>16.5</v>
      </c>
      <c r="F31" s="104" t="str">
        <f>IF(TRIM(F30)="m","kN/m3",IF(TRIM(F30)="ft","pcf",""))</f>
        <v>kN/m3</v>
      </c>
      <c r="G31" s="2"/>
      <c r="H31" s="1"/>
      <c r="I31" s="1"/>
      <c r="J31" s="2" t="s">
        <v>124</v>
      </c>
      <c r="K31" s="1"/>
      <c r="L31" s="1"/>
      <c r="M31" s="1"/>
      <c r="N31" s="1"/>
      <c r="O31" s="1"/>
      <c r="P31" s="1"/>
      <c r="Q31" s="1"/>
      <c r="R31" s="1"/>
      <c r="S31" s="1"/>
      <c r="T31" s="1"/>
      <c r="U31" s="1"/>
      <c r="V31" s="1"/>
      <c r="W31" s="1"/>
      <c r="BC31" s="77"/>
      <c r="BD31" s="14">
        <v>23</v>
      </c>
      <c r="BE31" s="14" t="s">
        <v>9</v>
      </c>
    </row>
    <row r="32" spans="3:69" ht="23.05" customHeight="1" thickBot="1" x14ac:dyDescent="0.8">
      <c r="C32" s="1"/>
      <c r="D32" s="136" t="s">
        <v>20</v>
      </c>
      <c r="E32" s="137">
        <f>+E30*E31</f>
        <v>49.5</v>
      </c>
      <c r="F32" s="104" t="str">
        <f>IF(TRIM(F20)="m","kPa",IF(TRIM(F20)="ft","psi",""))</f>
        <v>kPa</v>
      </c>
      <c r="G32" s="2"/>
      <c r="H32" s="1"/>
      <c r="I32" s="1"/>
      <c r="J32" s="2" t="s">
        <v>125</v>
      </c>
      <c r="K32" s="1"/>
      <c r="L32" s="1"/>
      <c r="M32" s="1"/>
      <c r="N32" s="1"/>
      <c r="O32" s="1"/>
      <c r="P32" s="1"/>
      <c r="Q32" s="1"/>
      <c r="R32" s="1"/>
      <c r="S32" s="1"/>
      <c r="T32" s="1"/>
      <c r="U32" s="1"/>
      <c r="V32" s="1"/>
      <c r="W32" s="1"/>
      <c r="Y32" s="3">
        <f>IF(TRIM(F30)="m",E30,IF(TRIM(F30)="ft",E30*3.2808,0))</f>
        <v>3</v>
      </c>
      <c r="BC32" s="81" t="s">
        <v>30</v>
      </c>
      <c r="BD32" s="14">
        <v>48</v>
      </c>
      <c r="BE32" s="14" t="s">
        <v>10</v>
      </c>
      <c r="BM32" s="3" t="s">
        <v>69</v>
      </c>
      <c r="BN32" s="3" t="s">
        <v>70</v>
      </c>
      <c r="BQ32" s="3" t="s">
        <v>86</v>
      </c>
    </row>
    <row r="33" spans="3:70" ht="23.05" customHeight="1" thickBot="1" x14ac:dyDescent="0.8">
      <c r="C33" s="1"/>
      <c r="D33" s="136" t="s">
        <v>81</v>
      </c>
      <c r="E33" s="137">
        <f>IF(UPPER(TRIM(F33))="M", 0.05, IF(UPPER(TRIM(F33))="FT", 0.05*3.2808, 0))</f>
        <v>0.05</v>
      </c>
      <c r="F33" s="104" t="str">
        <f>IF(TRIM(F20)="m","m",IF(TRIM(F20)="ft","ft",""))</f>
        <v>m</v>
      </c>
      <c r="G33" s="2"/>
      <c r="H33" s="1"/>
      <c r="I33" s="1"/>
      <c r="J33" s="1"/>
      <c r="K33" s="1"/>
      <c r="L33" s="1"/>
      <c r="M33" s="1"/>
      <c r="N33" s="1"/>
      <c r="O33" s="1"/>
      <c r="P33" s="1"/>
      <c r="Q33" s="1"/>
      <c r="R33" s="1"/>
      <c r="S33" s="1"/>
      <c r="T33" s="1"/>
      <c r="U33" s="1"/>
      <c r="V33" s="1"/>
      <c r="W33" s="1"/>
      <c r="BC33" s="82"/>
      <c r="BD33" s="14">
        <v>8.4</v>
      </c>
      <c r="BE33" s="14" t="s">
        <v>9</v>
      </c>
      <c r="BN33" s="3" t="s">
        <v>16</v>
      </c>
      <c r="BQ33" s="3" t="s">
        <v>113</v>
      </c>
    </row>
    <row r="34" spans="3:70" ht="23.05" customHeight="1" thickBot="1" x14ac:dyDescent="0.8">
      <c r="C34" s="1"/>
      <c r="D34" s="136" t="s">
        <v>138</v>
      </c>
      <c r="E34" s="140">
        <f>IF(UPPER(TRIM(F22))="KPA", E22, IF(UPPER(TRIM(F22))="PSI", E22*0.145038, 0))</f>
        <v>15000</v>
      </c>
      <c r="F34" s="104" t="str">
        <f>IF(TRIM(F22)="kPa","kPa",IF(TRIM(F22)="psi","psi",""))</f>
        <v>kPa</v>
      </c>
      <c r="G34" s="2" t="s">
        <v>19</v>
      </c>
      <c r="H34" s="1"/>
      <c r="I34" s="1"/>
      <c r="J34" s="1"/>
      <c r="K34" s="1"/>
      <c r="L34" s="1"/>
      <c r="M34" s="1"/>
      <c r="N34" s="1"/>
      <c r="O34" s="1"/>
      <c r="P34" s="1"/>
      <c r="Q34" s="1"/>
      <c r="R34" s="1"/>
      <c r="S34" s="1"/>
      <c r="T34" s="1"/>
      <c r="U34" s="1"/>
      <c r="V34" s="1"/>
      <c r="W34" s="1"/>
      <c r="BC34" s="81" t="s">
        <v>31</v>
      </c>
      <c r="BD34" s="14">
        <v>73</v>
      </c>
      <c r="BE34" s="14" t="s">
        <v>10</v>
      </c>
      <c r="BN34" s="3" t="s">
        <v>71</v>
      </c>
    </row>
    <row r="35" spans="3:70" ht="23.05" customHeight="1" thickBot="1" x14ac:dyDescent="0.8">
      <c r="C35" s="1"/>
      <c r="D35" s="136" t="s">
        <v>21</v>
      </c>
      <c r="E35" s="137">
        <v>18</v>
      </c>
      <c r="F35" s="104" t="s">
        <v>18</v>
      </c>
      <c r="G35" s="1"/>
      <c r="H35" s="1"/>
      <c r="I35" s="1"/>
      <c r="J35" s="1"/>
      <c r="K35" s="1"/>
      <c r="L35" s="1"/>
      <c r="M35" s="2"/>
      <c r="N35" s="2"/>
      <c r="O35" s="1"/>
      <c r="P35" s="1"/>
      <c r="Q35" s="1"/>
      <c r="R35" s="1"/>
      <c r="S35" s="1"/>
      <c r="T35" s="1"/>
      <c r="U35" s="1"/>
      <c r="V35" s="1"/>
      <c r="W35" s="1"/>
      <c r="BC35" s="82"/>
      <c r="BD35" s="14">
        <v>12.8</v>
      </c>
      <c r="BE35" s="14" t="s">
        <v>9</v>
      </c>
      <c r="BN35" s="3" t="s">
        <v>74</v>
      </c>
      <c r="BR35" s="3" t="s">
        <v>17</v>
      </c>
    </row>
    <row r="36" spans="3:70" ht="23.05" customHeight="1" thickBot="1" x14ac:dyDescent="0.8">
      <c r="C36" s="1"/>
      <c r="D36" s="136" t="s">
        <v>22</v>
      </c>
      <c r="E36" s="137">
        <v>8</v>
      </c>
      <c r="F36" s="104" t="s">
        <v>18</v>
      </c>
      <c r="G36" s="1"/>
      <c r="H36" s="1"/>
      <c r="I36" s="1"/>
      <c r="J36" s="1"/>
      <c r="K36" s="1"/>
      <c r="L36" s="1"/>
      <c r="M36" s="2"/>
      <c r="N36" s="2"/>
      <c r="O36" s="1"/>
      <c r="P36" s="1"/>
      <c r="Q36" s="1"/>
      <c r="R36" s="1"/>
      <c r="S36" s="1"/>
      <c r="T36" s="1"/>
      <c r="U36" s="1"/>
      <c r="V36" s="1"/>
      <c r="W36" s="1"/>
      <c r="BC36" s="77" t="s">
        <v>32</v>
      </c>
      <c r="BD36" s="14">
        <v>97</v>
      </c>
      <c r="BE36" s="14" t="s">
        <v>10</v>
      </c>
      <c r="BN36" s="3" t="s">
        <v>75</v>
      </c>
      <c r="BR36" s="3" t="s">
        <v>75</v>
      </c>
    </row>
    <row r="37" spans="3:70" ht="23.05" customHeight="1" thickBot="1" x14ac:dyDescent="0.8">
      <c r="C37" s="1"/>
      <c r="D37" s="108" t="s">
        <v>23</v>
      </c>
      <c r="E37" s="137">
        <v>45</v>
      </c>
      <c r="F37" s="116" t="s">
        <v>18</v>
      </c>
      <c r="G37" s="1"/>
      <c r="H37" s="1"/>
      <c r="I37" s="1"/>
      <c r="J37" s="1"/>
      <c r="K37" s="1"/>
      <c r="L37" s="1"/>
      <c r="M37" s="64"/>
      <c r="N37" s="64"/>
      <c r="O37" s="1"/>
      <c r="P37" s="1"/>
      <c r="Q37" s="1"/>
      <c r="R37" s="1"/>
      <c r="S37" s="1"/>
      <c r="T37" s="1"/>
      <c r="U37" s="1"/>
      <c r="V37" s="1"/>
      <c r="W37" s="1"/>
      <c r="BC37" s="77"/>
      <c r="BD37" s="14">
        <v>17</v>
      </c>
      <c r="BE37" s="14" t="s">
        <v>9</v>
      </c>
    </row>
    <row r="38" spans="3:70" ht="23.05" customHeight="1" thickBot="1" x14ac:dyDescent="0.8">
      <c r="C38" s="1"/>
      <c r="D38" s="141" t="s">
        <v>91</v>
      </c>
      <c r="E38" s="137">
        <v>30</v>
      </c>
      <c r="F38" s="104"/>
      <c r="G38" s="1"/>
      <c r="H38" s="1"/>
      <c r="I38" s="1"/>
      <c r="J38" s="1"/>
      <c r="K38" s="1"/>
      <c r="L38" s="1"/>
      <c r="M38" s="41"/>
      <c r="N38" s="42"/>
      <c r="O38" s="43"/>
      <c r="P38" s="1"/>
      <c r="Q38" s="1"/>
      <c r="R38" s="1"/>
      <c r="S38" s="1"/>
      <c r="T38" s="1"/>
      <c r="U38" s="1"/>
      <c r="V38" s="1"/>
      <c r="W38" s="1"/>
      <c r="BC38" s="77" t="s">
        <v>33</v>
      </c>
      <c r="BD38" s="14">
        <v>116</v>
      </c>
      <c r="BE38" s="14" t="s">
        <v>10</v>
      </c>
    </row>
    <row r="39" spans="3:70" ht="23.05" customHeight="1" thickBot="1" x14ac:dyDescent="0.8">
      <c r="C39" s="1"/>
      <c r="D39" s="142" t="s">
        <v>14</v>
      </c>
      <c r="E39" s="137">
        <v>3</v>
      </c>
      <c r="F39" s="104"/>
      <c r="G39" s="1"/>
      <c r="H39" s="1"/>
      <c r="I39" s="1"/>
      <c r="J39" s="1"/>
      <c r="K39" s="1"/>
      <c r="L39" s="1"/>
      <c r="M39" s="41"/>
      <c r="N39" s="42"/>
      <c r="O39" s="42"/>
      <c r="P39" s="1"/>
      <c r="Q39" s="1"/>
      <c r="R39" s="1"/>
      <c r="S39" s="1"/>
      <c r="T39" s="1"/>
      <c r="U39" s="1"/>
      <c r="V39" s="1"/>
      <c r="W39" s="1"/>
      <c r="BC39" s="77"/>
      <c r="BD39" s="14">
        <v>20.3</v>
      </c>
      <c r="BE39" s="14" t="s">
        <v>9</v>
      </c>
      <c r="BM39" s="3" t="str">
        <f>IF(TRIM(F30)="m","kN/m3",IF(TRIM(F30)="ft","pcf",""))</f>
        <v>kN/m3</v>
      </c>
    </row>
    <row r="40" spans="3:70" ht="23.05" customHeight="1" thickBot="1" x14ac:dyDescent="0.8">
      <c r="C40" s="1"/>
      <c r="D40" s="142" t="s">
        <v>15</v>
      </c>
      <c r="E40" s="139">
        <f>ATAN(1/E39)*180/PI()</f>
        <v>18.43494882292201</v>
      </c>
      <c r="F40" s="104"/>
      <c r="G40" s="1"/>
      <c r="H40" s="1"/>
      <c r="I40" s="1"/>
      <c r="J40" s="1"/>
      <c r="K40" s="1"/>
      <c r="L40" s="1"/>
      <c r="M40" s="41"/>
      <c r="N40" s="42"/>
      <c r="O40" s="42"/>
      <c r="P40" s="1"/>
      <c r="Q40" s="1"/>
      <c r="R40" s="1"/>
      <c r="S40" s="1"/>
      <c r="T40" s="1"/>
      <c r="U40" s="1"/>
      <c r="V40" s="1"/>
      <c r="W40" s="1"/>
      <c r="BC40" s="77" t="s">
        <v>34</v>
      </c>
      <c r="BD40" s="14">
        <v>137</v>
      </c>
      <c r="BE40" s="14" t="s">
        <v>10</v>
      </c>
      <c r="BM40" s="3" t="str">
        <f>IF(TRIM(F30)="m","KN/m3",IF(TRIM(F30)="ft",pcf))</f>
        <v>KN/m3</v>
      </c>
    </row>
    <row r="41" spans="3:70" ht="23.05" customHeight="1" x14ac:dyDescent="0.6">
      <c r="C41" s="1"/>
      <c r="D41" s="71" t="s">
        <v>79</v>
      </c>
      <c r="E41" s="72"/>
      <c r="F41" s="73"/>
      <c r="G41" s="1"/>
      <c r="H41" s="1"/>
      <c r="I41" s="1"/>
      <c r="J41" s="1"/>
      <c r="K41" s="1"/>
      <c r="L41" s="1"/>
      <c r="M41" s="1"/>
      <c r="N41" s="1"/>
      <c r="O41" s="1"/>
      <c r="P41" s="1"/>
      <c r="Q41" s="1"/>
      <c r="R41" s="1"/>
      <c r="S41" s="1"/>
      <c r="T41" s="1"/>
      <c r="U41" s="1"/>
      <c r="V41" s="1"/>
      <c r="W41" s="1"/>
      <c r="BC41" s="77"/>
      <c r="BD41" s="14">
        <v>24</v>
      </c>
      <c r="BE41" s="14" t="s">
        <v>9</v>
      </c>
      <c r="BM41" s="3">
        <f>IF(TRIM(F30)="m",E20,IF(TRIM(F30)="ft",E20*3.2808,0))</f>
        <v>3</v>
      </c>
    </row>
    <row r="42" spans="3:70" ht="23.05" customHeight="1" thickBot="1" x14ac:dyDescent="0.65">
      <c r="C42" s="1"/>
      <c r="D42" s="74"/>
      <c r="E42" s="75"/>
      <c r="F42" s="76"/>
      <c r="G42" s="1"/>
      <c r="H42" s="1"/>
      <c r="I42" s="1"/>
      <c r="J42" s="1"/>
      <c r="K42" s="1"/>
      <c r="L42" s="1"/>
      <c r="M42" s="1"/>
      <c r="N42" s="1"/>
      <c r="O42" s="42"/>
      <c r="P42" s="42"/>
      <c r="Q42" s="1"/>
      <c r="R42" s="1"/>
      <c r="S42" s="1"/>
      <c r="T42" s="1"/>
      <c r="U42" s="1"/>
      <c r="V42" s="1"/>
      <c r="W42" s="1"/>
      <c r="BC42" s="77" t="s">
        <v>4</v>
      </c>
      <c r="BD42" s="13">
        <v>161.1</v>
      </c>
      <c r="BE42" s="14" t="s">
        <v>10</v>
      </c>
    </row>
    <row r="43" spans="3:70" ht="23.05" customHeight="1" x14ac:dyDescent="0.6">
      <c r="C43" s="1"/>
      <c r="D43" s="1"/>
      <c r="E43" s="1"/>
      <c r="F43" s="1"/>
      <c r="G43" s="1"/>
      <c r="H43" s="1"/>
      <c r="I43" s="1"/>
      <c r="J43" s="1"/>
      <c r="K43" s="1"/>
      <c r="L43" s="1"/>
      <c r="M43" s="1"/>
      <c r="N43" s="1"/>
      <c r="O43" s="64"/>
      <c r="P43" s="64"/>
      <c r="Q43" s="1"/>
      <c r="R43" s="1"/>
      <c r="S43" s="1"/>
      <c r="T43" s="1"/>
      <c r="U43" s="1"/>
      <c r="V43" s="1"/>
      <c r="W43" s="1"/>
      <c r="BC43" s="77"/>
      <c r="BD43" s="13">
        <v>28.21</v>
      </c>
      <c r="BE43" s="14" t="s">
        <v>9</v>
      </c>
      <c r="BG43" s="3" t="str">
        <f>+IF(D168&lt;1.5,"NO CUMPLE","CUMPLE")</f>
        <v>NO CUMPLE</v>
      </c>
      <c r="BK43" s="3">
        <f>_xlfn.SWITCH(UPPER(TRIM(J29)) &amp; "|" &amp; UPPER(TRIM(L29)),
    "PVC 10|KN/m", BD31,
    "PVC 10|LB/IN", BD30,
    "PVC 20|KN/m", BD33,
    "PVC 20|LB/IN", BD32,
    "PVC 30|KN/m", BD35,
    "PVC 30|LB/IN", BD34,
    "PVC 40|KN/m", BD37,
    "PVC 40|LB/IN", BD36,
    "PVC 50|KN/m", BD39,
    "PVC 50|LB/IN", BD38,
    "PVC 60|KN/m", BD41,
    "PVC 60|LB/IN", BD40,
    0
)</f>
        <v>23</v>
      </c>
    </row>
    <row r="44" spans="3:70" ht="23.05" customHeight="1" thickBot="1" x14ac:dyDescent="0.65">
      <c r="C44" s="1"/>
      <c r="D44" s="2"/>
      <c r="E44" s="2"/>
      <c r="F44" s="2"/>
      <c r="G44" s="2"/>
      <c r="H44" s="2"/>
      <c r="I44" s="2"/>
      <c r="J44" s="1"/>
      <c r="K44" s="1"/>
      <c r="L44" s="1"/>
      <c r="M44" s="1"/>
      <c r="N44" s="1"/>
      <c r="O44" s="41"/>
      <c r="P44" s="42"/>
      <c r="Q44" s="1"/>
      <c r="R44" s="1"/>
      <c r="S44" s="1"/>
      <c r="T44" s="1"/>
      <c r="U44" s="1"/>
      <c r="V44" s="1"/>
      <c r="W44" s="1"/>
    </row>
    <row r="45" spans="3:70" ht="23.05" customHeight="1" thickBot="1" x14ac:dyDescent="0.7">
      <c r="C45" s="1"/>
      <c r="D45" s="122" t="s">
        <v>78</v>
      </c>
      <c r="E45" s="123">
        <f>IF(UPPER(TRIM(F31))="KN/M3",
    (E32*E33/E34)*((TAN(PI()*E35/180)+TAN(PI()*E36/180))/(COS(PI()*E37/180)-(SIN(PI()*E37/180)*TAN(PI()*E36/180)))),
IF(UPPER(TRIM(F31))="PCF",
    ((E32*E33/E34)*((TAN(PI()*E35/180)+TAN(PI()*E36/180))/(COS(PI()*E37/180)-(SIN(PI()*E37/180)*TAN(PI()*E36/180)))))*39.3701,
0))</f>
        <v>1.2637365759672042E-4</v>
      </c>
      <c r="F45" s="124" t="str">
        <f>IF(TRIM(F20)="m","m",IF(TRIM(F20)="ft","in",""))</f>
        <v>m</v>
      </c>
      <c r="G45" s="98"/>
      <c r="H45" s="125">
        <f>IF(UPPER(TRIM(F45))="m", ROUNDUP(E45*1000,2), IF(UPPER(TRIM(F45))="in", E45, 0))</f>
        <v>0.13</v>
      </c>
      <c r="I45" s="126" t="str">
        <f>IF(TRIM(F20)="m","mm",IF(TRIM(F20)="ft","in",""))</f>
        <v>mm</v>
      </c>
      <c r="J45" s="1"/>
      <c r="K45" s="1"/>
      <c r="L45" s="1"/>
      <c r="M45" s="1"/>
      <c r="N45" s="1"/>
      <c r="O45" s="1"/>
      <c r="P45" s="42"/>
      <c r="Q45" s="1"/>
      <c r="R45" s="1"/>
      <c r="S45" s="1"/>
      <c r="T45" s="1"/>
      <c r="U45" s="1"/>
      <c r="V45" s="1"/>
      <c r="W45" s="1"/>
    </row>
    <row r="46" spans="3:70" ht="23.05" customHeight="1" x14ac:dyDescent="0.65">
      <c r="C46" s="1"/>
      <c r="D46" s="98"/>
      <c r="E46" s="98"/>
      <c r="F46" s="98"/>
      <c r="G46" s="98"/>
      <c r="H46" s="98"/>
      <c r="I46" s="98"/>
      <c r="J46" s="1"/>
      <c r="K46" s="1"/>
      <c r="L46" s="1"/>
      <c r="M46" s="1"/>
      <c r="N46" s="1"/>
      <c r="O46" s="41"/>
      <c r="P46" s="42"/>
      <c r="Q46" s="1"/>
      <c r="R46" s="1"/>
      <c r="S46" s="1"/>
      <c r="T46" s="1"/>
      <c r="U46" s="1"/>
      <c r="V46" s="1"/>
      <c r="W46" s="1"/>
    </row>
    <row r="47" spans="3:70" ht="23.05" customHeight="1" thickBot="1" x14ac:dyDescent="0.7">
      <c r="C47" s="1"/>
      <c r="D47" s="98"/>
      <c r="E47" s="98"/>
      <c r="F47" s="98"/>
      <c r="G47" s="98"/>
      <c r="H47" s="98"/>
      <c r="I47" s="98"/>
      <c r="J47" s="1"/>
      <c r="K47" s="1"/>
      <c r="L47" s="1"/>
      <c r="M47" s="1"/>
      <c r="N47" s="1"/>
      <c r="O47" s="1"/>
      <c r="P47" s="1"/>
      <c r="Q47" s="1"/>
      <c r="R47" s="1"/>
      <c r="S47" s="1"/>
      <c r="T47" s="1"/>
      <c r="U47" s="1"/>
      <c r="V47" s="1"/>
      <c r="W47" s="1"/>
    </row>
    <row r="48" spans="3:70" ht="23.05" customHeight="1" thickBot="1" x14ac:dyDescent="0.7">
      <c r="C48" s="1"/>
      <c r="D48" s="127" t="s">
        <v>80</v>
      </c>
      <c r="E48" s="128" t="str">
        <f>+IF(H45&lt;1.5,"1.5",H45)</f>
        <v>1.5</v>
      </c>
      <c r="F48" s="128" t="s">
        <v>16</v>
      </c>
      <c r="G48" s="129" t="s">
        <v>82</v>
      </c>
      <c r="H48" s="130">
        <f>+E48/H45</f>
        <v>11.538461538461538</v>
      </c>
      <c r="I48" s="131" t="str">
        <f>IF(E48&gt;=H48,"MORE THAN ADEQUATE","NO OK")</f>
        <v>MORE THAN ADEQUATE</v>
      </c>
      <c r="J48" s="1"/>
      <c r="K48" s="1"/>
      <c r="L48" s="1"/>
      <c r="M48" s="1"/>
      <c r="N48" s="1"/>
      <c r="O48" s="1"/>
      <c r="P48" s="1"/>
      <c r="Q48" s="1"/>
      <c r="R48" s="1"/>
      <c r="S48" s="1"/>
      <c r="T48" s="1"/>
      <c r="U48" s="1"/>
      <c r="V48" s="1"/>
      <c r="W48" s="1"/>
    </row>
    <row r="49" spans="3:63" ht="23.05" customHeight="1" x14ac:dyDescent="0.6">
      <c r="C49" s="1"/>
      <c r="D49" s="44"/>
      <c r="E49" s="44"/>
      <c r="F49" s="2"/>
      <c r="G49" s="2"/>
      <c r="H49" s="2"/>
      <c r="I49" s="2"/>
      <c r="J49" s="1"/>
      <c r="K49" s="1"/>
      <c r="L49" s="1"/>
      <c r="M49" s="1"/>
      <c r="N49" s="1"/>
      <c r="O49" s="1"/>
      <c r="P49" s="1"/>
      <c r="Q49" s="1"/>
      <c r="R49" s="1"/>
      <c r="S49" s="1"/>
      <c r="T49" s="1"/>
      <c r="U49" s="1"/>
      <c r="V49" s="1"/>
      <c r="W49" s="1"/>
    </row>
    <row r="50" spans="3:63" ht="23.05" customHeight="1" x14ac:dyDescent="0.6">
      <c r="C50" s="1"/>
      <c r="D50" s="1"/>
      <c r="E50" s="1"/>
      <c r="F50" s="1"/>
      <c r="G50" s="1"/>
      <c r="H50" s="1"/>
      <c r="I50" s="1"/>
      <c r="J50" s="1"/>
      <c r="K50" s="1"/>
      <c r="L50" s="1"/>
      <c r="M50" s="1"/>
      <c r="N50" s="1"/>
      <c r="O50" s="1"/>
      <c r="P50" s="1"/>
      <c r="Q50" s="1"/>
      <c r="R50" s="1"/>
      <c r="S50" s="1"/>
      <c r="T50" s="1"/>
      <c r="U50" s="1"/>
      <c r="V50" s="1"/>
      <c r="W50" s="1"/>
    </row>
    <row r="51" spans="3:63" ht="23.05" customHeight="1" x14ac:dyDescent="0.6">
      <c r="C51" s="1"/>
      <c r="D51" s="45" t="s">
        <v>88</v>
      </c>
      <c r="E51" s="1"/>
      <c r="F51" s="1"/>
      <c r="G51" s="1"/>
      <c r="H51" s="1"/>
      <c r="I51" s="1"/>
      <c r="J51" s="1"/>
      <c r="K51" s="1"/>
      <c r="L51" s="1"/>
      <c r="M51" s="1"/>
      <c r="N51" s="1"/>
      <c r="O51" s="1"/>
      <c r="P51" s="1"/>
      <c r="Q51" s="1"/>
      <c r="R51" s="1"/>
      <c r="S51" s="1"/>
      <c r="T51" s="1"/>
      <c r="U51" s="1"/>
      <c r="V51" s="1"/>
      <c r="W51" s="1"/>
      <c r="AS51" s="3">
        <f>IF(UPPER(TRIM(F45))="M",1.5,IF(UPPER(TRIM(F45))="IN",0.06,0))</f>
        <v>1.5</v>
      </c>
    </row>
    <row r="52" spans="3:63" ht="23.05" customHeight="1" x14ac:dyDescent="0.6">
      <c r="C52" s="1"/>
      <c r="D52" s="1"/>
      <c r="E52" s="1"/>
      <c r="F52" s="1"/>
      <c r="G52" s="1"/>
      <c r="H52" s="1"/>
      <c r="I52" s="1"/>
      <c r="J52" s="1"/>
      <c r="K52" s="1"/>
      <c r="L52" s="1"/>
      <c r="M52" s="1"/>
      <c r="N52" s="1"/>
      <c r="O52" s="1"/>
      <c r="P52" s="1"/>
      <c r="Q52" s="1"/>
      <c r="R52" s="1"/>
      <c r="S52" s="1"/>
      <c r="T52" s="1">
        <f>+S48</f>
        <v>0</v>
      </c>
      <c r="U52" s="1"/>
      <c r="V52" s="1"/>
      <c r="W52" s="1"/>
    </row>
    <row r="53" spans="3:63" ht="23.05" customHeight="1" x14ac:dyDescent="0.6">
      <c r="C53" s="1"/>
      <c r="D53" s="1"/>
      <c r="E53" s="1"/>
      <c r="F53" s="1"/>
      <c r="G53" s="1"/>
      <c r="H53" s="1"/>
      <c r="I53" s="1"/>
      <c r="J53" s="1"/>
      <c r="K53" s="1"/>
      <c r="L53" s="1"/>
      <c r="M53" s="1"/>
      <c r="N53" s="1"/>
      <c r="O53" s="1"/>
      <c r="P53" s="1"/>
      <c r="Q53" s="1"/>
      <c r="R53" s="1"/>
      <c r="S53" s="1"/>
      <c r="T53" s="1"/>
      <c r="U53" s="1"/>
      <c r="V53" s="1"/>
      <c r="W53" s="1"/>
    </row>
    <row r="54" spans="3:63" ht="23.05" customHeight="1" thickBot="1" x14ac:dyDescent="0.65">
      <c r="C54" s="1"/>
      <c r="D54" s="22" t="s">
        <v>72</v>
      </c>
      <c r="E54" s="1"/>
      <c r="F54" s="1"/>
      <c r="G54" s="1"/>
      <c r="H54" s="1"/>
      <c r="I54" s="1"/>
      <c r="J54" s="1"/>
      <c r="K54" s="1"/>
      <c r="L54" s="1"/>
      <c r="M54" s="1"/>
      <c r="N54" s="1"/>
      <c r="O54" s="1"/>
      <c r="P54" s="1"/>
      <c r="Q54" s="1"/>
      <c r="R54" s="1"/>
      <c r="S54" s="1"/>
      <c r="T54" s="1"/>
      <c r="U54" s="1"/>
      <c r="V54" s="1"/>
      <c r="W54" s="1"/>
    </row>
    <row r="55" spans="3:63" ht="23.05" customHeight="1" thickBot="1" x14ac:dyDescent="0.65">
      <c r="C55" s="1"/>
      <c r="D55" s="112" t="s">
        <v>136</v>
      </c>
      <c r="E55" s="113">
        <v>3</v>
      </c>
      <c r="F55" s="101" t="s">
        <v>16</v>
      </c>
      <c r="G55" s="26" t="s">
        <v>127</v>
      </c>
      <c r="H55" s="2"/>
      <c r="I55" s="2"/>
      <c r="J55" s="2"/>
      <c r="K55" s="2"/>
      <c r="L55" s="2"/>
      <c r="M55" s="2"/>
      <c r="N55" s="2"/>
      <c r="O55" s="2"/>
      <c r="P55" s="2"/>
      <c r="Q55" s="1"/>
      <c r="R55" s="1"/>
      <c r="S55" s="1"/>
      <c r="T55" s="1"/>
      <c r="U55" s="1"/>
      <c r="V55" s="1"/>
      <c r="W55" s="1"/>
    </row>
    <row r="56" spans="3:63" ht="23.05" customHeight="1" thickBot="1" x14ac:dyDescent="0.65">
      <c r="C56" s="1"/>
      <c r="D56" s="114" t="s">
        <v>73</v>
      </c>
      <c r="E56" s="115">
        <v>16.5</v>
      </c>
      <c r="F56" s="116" t="s">
        <v>74</v>
      </c>
      <c r="G56" s="1"/>
      <c r="H56" s="2"/>
      <c r="I56" s="2"/>
      <c r="J56" s="2"/>
      <c r="K56" s="2"/>
      <c r="L56" s="2"/>
      <c r="M56" s="2"/>
      <c r="N56" s="2"/>
      <c r="O56" s="2"/>
      <c r="P56" s="2"/>
      <c r="Q56" s="1"/>
      <c r="R56" s="1"/>
      <c r="S56" s="1"/>
      <c r="T56" s="1"/>
      <c r="U56" s="1"/>
      <c r="V56" s="1"/>
      <c r="W56" s="1"/>
    </row>
    <row r="57" spans="3:63" ht="23.05" customHeight="1" thickBot="1" x14ac:dyDescent="0.65">
      <c r="C57" s="1"/>
      <c r="D57" s="117" t="s">
        <v>84</v>
      </c>
      <c r="E57" s="118">
        <v>0.47</v>
      </c>
      <c r="F57" s="101" t="s">
        <v>16</v>
      </c>
      <c r="G57" s="1"/>
      <c r="H57" s="1"/>
      <c r="I57" s="2"/>
      <c r="J57" s="2"/>
      <c r="K57" s="2"/>
      <c r="L57" s="2"/>
      <c r="M57" s="2"/>
      <c r="N57" s="2"/>
      <c r="O57" s="2"/>
      <c r="P57" s="2"/>
      <c r="Q57" s="1"/>
      <c r="R57" s="1"/>
      <c r="S57" s="1"/>
      <c r="T57" s="1"/>
      <c r="U57" s="1"/>
      <c r="V57" s="1"/>
      <c r="W57" s="1"/>
    </row>
    <row r="58" spans="3:63" ht="23.05" customHeight="1" thickBot="1" x14ac:dyDescent="0.65">
      <c r="C58" s="1"/>
      <c r="D58" s="119" t="s">
        <v>130</v>
      </c>
      <c r="E58" s="120">
        <v>1800</v>
      </c>
      <c r="F58" s="121" t="s">
        <v>74</v>
      </c>
      <c r="G58" s="1"/>
      <c r="H58" s="1"/>
      <c r="I58" s="2"/>
      <c r="J58" s="2"/>
      <c r="K58" s="2"/>
      <c r="L58" s="2"/>
      <c r="M58" s="2"/>
      <c r="N58" s="2"/>
      <c r="O58" s="2"/>
      <c r="P58" s="2"/>
      <c r="Q58" s="1"/>
      <c r="R58" s="1"/>
      <c r="S58" s="1"/>
      <c r="T58" s="1"/>
      <c r="U58" s="1"/>
      <c r="V58" s="1"/>
      <c r="W58" s="1"/>
    </row>
    <row r="59" spans="3:63" ht="23.05" customHeight="1" x14ac:dyDescent="0.6">
      <c r="C59" s="1"/>
      <c r="D59" s="1"/>
      <c r="E59" s="1"/>
      <c r="F59" s="1"/>
      <c r="G59" s="1"/>
      <c r="H59" s="1"/>
      <c r="I59" s="2"/>
      <c r="J59" s="2"/>
      <c r="K59" s="2"/>
      <c r="L59" s="2"/>
      <c r="M59" s="2"/>
      <c r="N59" s="2"/>
      <c r="O59" s="2"/>
      <c r="P59" s="2"/>
      <c r="Q59" s="1"/>
      <c r="R59" s="1"/>
      <c r="S59" s="1"/>
      <c r="T59" s="1"/>
      <c r="U59" s="1"/>
      <c r="V59" s="1"/>
      <c r="W59" s="1"/>
    </row>
    <row r="60" spans="3:63" ht="23.05" customHeight="1" x14ac:dyDescent="0.6">
      <c r="C60" s="1"/>
      <c r="D60" s="2" t="s">
        <v>124</v>
      </c>
      <c r="E60" s="1"/>
      <c r="F60" s="1"/>
      <c r="G60" s="1"/>
      <c r="H60" s="1"/>
      <c r="I60" s="2"/>
      <c r="J60" s="2"/>
      <c r="K60" s="2"/>
      <c r="L60" s="2"/>
      <c r="M60" s="2"/>
      <c r="N60" s="2"/>
      <c r="O60" s="2"/>
      <c r="P60" s="2"/>
      <c r="Q60" s="1"/>
      <c r="R60" s="1"/>
      <c r="S60" s="1"/>
      <c r="T60" s="1"/>
      <c r="U60" s="1"/>
      <c r="V60" s="1"/>
      <c r="W60" s="1"/>
    </row>
    <row r="61" spans="3:63" ht="23.05" customHeight="1" x14ac:dyDescent="0.6">
      <c r="C61" s="1"/>
      <c r="D61" s="2" t="s">
        <v>125</v>
      </c>
      <c r="E61" s="1"/>
      <c r="F61" s="1"/>
      <c r="G61" s="1"/>
      <c r="H61" s="1"/>
      <c r="I61" s="2"/>
      <c r="J61" s="2"/>
      <c r="K61" s="2"/>
      <c r="L61" s="2"/>
      <c r="M61" s="2"/>
      <c r="N61" s="2"/>
      <c r="O61" s="2"/>
      <c r="P61" s="2"/>
      <c r="Q61" s="1"/>
      <c r="R61" s="1"/>
      <c r="S61" s="1"/>
      <c r="T61" s="1"/>
      <c r="U61" s="1"/>
      <c r="V61" s="1"/>
      <c r="W61" s="1"/>
    </row>
    <row r="62" spans="3:63" ht="23.05" customHeight="1" x14ac:dyDescent="0.6">
      <c r="C62" s="1"/>
      <c r="D62" s="1"/>
      <c r="E62" s="1"/>
      <c r="F62" s="1"/>
      <c r="G62" s="1"/>
      <c r="H62" s="1"/>
      <c r="I62" s="2"/>
      <c r="J62" s="2"/>
      <c r="K62" s="2"/>
      <c r="L62" s="2"/>
      <c r="M62" s="2"/>
      <c r="N62" s="2"/>
      <c r="O62" s="2"/>
      <c r="P62" s="2"/>
      <c r="Q62" s="1"/>
      <c r="R62" s="1"/>
      <c r="S62" s="1"/>
      <c r="T62" s="1"/>
      <c r="U62" s="1"/>
      <c r="V62" s="1"/>
      <c r="W62" s="1"/>
    </row>
    <row r="63" spans="3:63" ht="23.05" customHeight="1" x14ac:dyDescent="0.85">
      <c r="C63" s="1"/>
      <c r="D63" s="1"/>
      <c r="E63" s="1"/>
      <c r="F63" s="1"/>
      <c r="G63" s="1"/>
      <c r="H63" s="1"/>
      <c r="I63" s="2"/>
      <c r="J63" s="2"/>
      <c r="K63" s="2"/>
      <c r="L63" s="2"/>
      <c r="M63" s="2"/>
      <c r="N63" s="2"/>
      <c r="O63" s="2"/>
      <c r="P63" s="2"/>
      <c r="Q63" s="91" t="s">
        <v>117</v>
      </c>
      <c r="R63" s="46"/>
      <c r="S63" s="1"/>
      <c r="T63" s="1"/>
      <c r="U63" s="1"/>
      <c r="V63" s="1"/>
      <c r="W63" s="1"/>
    </row>
    <row r="64" spans="3:63" ht="23.05" customHeight="1" thickBot="1" x14ac:dyDescent="0.65">
      <c r="C64" s="1"/>
      <c r="D64" s="47"/>
      <c r="E64" s="1"/>
      <c r="F64" s="1"/>
      <c r="G64" s="1"/>
      <c r="H64" s="1"/>
      <c r="I64" s="2"/>
      <c r="J64" s="2"/>
      <c r="K64" s="2"/>
      <c r="L64" s="2"/>
      <c r="M64" s="2"/>
      <c r="N64" s="2"/>
      <c r="O64" s="2"/>
      <c r="P64" s="2"/>
      <c r="Q64" s="1"/>
      <c r="R64" s="1"/>
      <c r="S64" s="1"/>
      <c r="T64" s="1"/>
      <c r="U64" s="1"/>
      <c r="V64" s="1"/>
      <c r="W64" s="1"/>
      <c r="BG64" s="3">
        <f>IF(L29="kN/m",BD31,BUT IF(L29="lb/in",BD30,0))</f>
        <v>23</v>
      </c>
      <c r="BK64" s="3" t="b">
        <f>IF(J29="PVC10",)</f>
        <v>0</v>
      </c>
    </row>
    <row r="65" spans="3:64" ht="23.05" customHeight="1" thickBot="1" x14ac:dyDescent="0.65">
      <c r="C65" s="1"/>
      <c r="D65" s="99" t="s">
        <v>111</v>
      </c>
      <c r="E65" s="100">
        <v>0.3</v>
      </c>
      <c r="F65" s="101" t="str">
        <f>IF(TRIM(F55)="m","m",IF(TRIM(F55)="ft","ft",""))</f>
        <v>m</v>
      </c>
      <c r="G65" s="1"/>
      <c r="H65" s="1"/>
      <c r="I65" s="143" t="s">
        <v>20</v>
      </c>
      <c r="J65" s="144">
        <f>+E65*E66</f>
        <v>4.95</v>
      </c>
      <c r="K65" s="145" t="str">
        <f>IF(TRIM(F55)="m","Kn/m2",IF(TRIM(F55)="ft","psi",""))</f>
        <v>Kn/m2</v>
      </c>
      <c r="L65" s="146" t="s">
        <v>106</v>
      </c>
      <c r="M65" s="147">
        <f>E66*E74/1000*TAN(E69*PI()/180)*E72</f>
        <v>1.0827056912330477</v>
      </c>
      <c r="N65" s="148"/>
      <c r="O65" s="2"/>
      <c r="P65" s="2"/>
      <c r="Q65" s="1"/>
      <c r="R65" s="53" t="s">
        <v>129</v>
      </c>
      <c r="S65" s="53"/>
      <c r="T65" s="53"/>
      <c r="U65" s="53" t="s">
        <v>128</v>
      </c>
      <c r="V65" s="53"/>
      <c r="W65" s="1"/>
      <c r="BK65" s="3" t="s">
        <v>36</v>
      </c>
    </row>
    <row r="66" spans="3:64" ht="23.05" customHeight="1" thickBot="1" x14ac:dyDescent="0.65">
      <c r="C66" s="1"/>
      <c r="D66" s="99" t="s">
        <v>83</v>
      </c>
      <c r="E66" s="100">
        <f>IF(TRIM(F56)="Kn/m3",E56,IF(TRIM(F56)="pcf",E56/0.1570887,0))</f>
        <v>16.5</v>
      </c>
      <c r="F66" s="102" t="str">
        <f>IF(TRIM(F55)="m","kN/m3",IF(TRIM(F55)="ft","pcf",""))</f>
        <v>kN/m3</v>
      </c>
      <c r="G66" s="1"/>
      <c r="H66" s="1"/>
      <c r="I66" s="149" t="s">
        <v>94</v>
      </c>
      <c r="J66" s="150">
        <f>+((0.5*E66*E68)+J65)*J68*E68</f>
        <v>1.3829749999999998</v>
      </c>
      <c r="K66" s="151" t="str">
        <f>IF(TRIM(F55)="m","kPa",IF(TRIM(F55)="ft","psf",""))</f>
        <v>kPa</v>
      </c>
      <c r="L66" s="146" t="s">
        <v>107</v>
      </c>
      <c r="M66" s="147">
        <f>E66*E74/1000*TAN(E67*PI()/180)*E72</f>
        <v>1.9238612787525828</v>
      </c>
      <c r="N66" s="148"/>
      <c r="O66" s="2"/>
      <c r="P66" s="2"/>
      <c r="Q66" s="1"/>
      <c r="R66" s="54"/>
      <c r="S66" s="54"/>
      <c r="T66" s="54"/>
      <c r="U66" s="54"/>
      <c r="V66" s="54"/>
      <c r="W66" s="1"/>
      <c r="BK66" s="3" t="s">
        <v>37</v>
      </c>
    </row>
    <row r="67" spans="3:64" ht="23.05" customHeight="1" thickBot="1" x14ac:dyDescent="0.65">
      <c r="C67" s="1"/>
      <c r="D67" s="103" t="s">
        <v>90</v>
      </c>
      <c r="E67" s="100">
        <f>$E$38</f>
        <v>30</v>
      </c>
      <c r="F67" s="104" t="s">
        <v>18</v>
      </c>
      <c r="G67" s="1"/>
      <c r="H67" s="1"/>
      <c r="I67" s="149" t="s">
        <v>95</v>
      </c>
      <c r="J67" s="150">
        <f>+((0.5*E66*E68)+J65)*J69*E68</f>
        <v>12.446774999999993</v>
      </c>
      <c r="K67" s="132" t="str">
        <f>IF(TRIM(F55)="m","kPa",IF(TRIM(F55)="ft","psf",""))</f>
        <v>kPa</v>
      </c>
      <c r="L67" s="146" t="s">
        <v>108</v>
      </c>
      <c r="M67" s="152">
        <f>E73*SIN(E40*PI()/180)*TAN(E67*PI()/180)</f>
        <v>4.1079191812887457</v>
      </c>
      <c r="N67" s="148"/>
      <c r="O67" s="2"/>
      <c r="P67" s="2"/>
      <c r="Q67" s="1"/>
      <c r="R67" s="55">
        <v>3</v>
      </c>
      <c r="S67" s="56"/>
      <c r="T67" s="56"/>
      <c r="U67" s="57">
        <f>+((J71*COS(E71*PI()/180)*TAN(E69*PI()/180)*R67)+J70)/(J71*SIN(E71*PI()/180)*R67)</f>
        <v>1.435828461225424</v>
      </c>
      <c r="V67" s="58"/>
      <c r="W67" s="1"/>
      <c r="BG67" s="3">
        <f>IF(TRIM(L30)="kN/m",BD43,IF(TRIM(L30)="lb/in",BD42,0))</f>
        <v>28.21</v>
      </c>
      <c r="BK67" s="3" t="s">
        <v>38</v>
      </c>
    </row>
    <row r="68" spans="3:64" ht="23.05" customHeight="1" thickBot="1" x14ac:dyDescent="0.65">
      <c r="C68" s="1"/>
      <c r="D68" s="99" t="s">
        <v>84</v>
      </c>
      <c r="E68" s="105">
        <f>IF(UPPER(TRIM(F57))="M", E57, IF(UPPER(TRIM(F57))="FT", E57*39.3701, 0))</f>
        <v>0.47</v>
      </c>
      <c r="F68" s="106" t="str">
        <f>IF(TRIM(F55)="m","m",IF(TRIM(F55)="ft","in",""))</f>
        <v>m</v>
      </c>
      <c r="G68" s="1"/>
      <c r="H68" s="1"/>
      <c r="I68" s="149" t="s">
        <v>96</v>
      </c>
      <c r="J68" s="153">
        <f>TAN(RADIANS(45-$E$38/2))^2</f>
        <v>0.33333333333333331</v>
      </c>
      <c r="K68" s="154"/>
      <c r="L68" s="155" t="s">
        <v>101</v>
      </c>
      <c r="M68" s="156">
        <f>(0.5*E66+(E66*E74/1000))*J68</f>
        <v>4.3999999999999995</v>
      </c>
      <c r="N68" s="148" t="str">
        <f>IF(TRIM(F55)="m","kN/m",IF(TRIM(F55)="ft","psi",""))</f>
        <v>kN/m</v>
      </c>
      <c r="O68" s="2"/>
      <c r="P68" s="2"/>
      <c r="Q68" s="1"/>
      <c r="R68" s="59">
        <v>5</v>
      </c>
      <c r="S68" s="59"/>
      <c r="T68" s="59"/>
      <c r="U68" s="60">
        <f>+((J71*COS(E71*PI()/180)*TAN(E69*PI()/180)*R68)+J70)/(J71*SIN(E71*PI()/180)*R68)</f>
        <v>0.99146495522841704</v>
      </c>
      <c r="V68" s="60"/>
      <c r="W68" s="1"/>
      <c r="BK68" s="3" t="s">
        <v>39</v>
      </c>
    </row>
    <row r="69" spans="3:64" ht="23.05" customHeight="1" thickBot="1" x14ac:dyDescent="0.65">
      <c r="C69" s="1"/>
      <c r="D69" s="107" t="s">
        <v>13</v>
      </c>
      <c r="E69" s="100">
        <f>$E$35</f>
        <v>18</v>
      </c>
      <c r="F69" s="104" t="s">
        <v>18</v>
      </c>
      <c r="G69" s="1"/>
      <c r="H69" s="1"/>
      <c r="I69" s="149" t="s">
        <v>97</v>
      </c>
      <c r="J69" s="157">
        <f>+(TAN((45+$E$38/2)*PI()/180))^2</f>
        <v>2.9999999999999982</v>
      </c>
      <c r="K69" s="132"/>
      <c r="L69" s="155" t="s">
        <v>102</v>
      </c>
      <c r="M69" s="156">
        <f>(0.5*E66+(E66*E74/1000))*J69</f>
        <v>39.599999999999973</v>
      </c>
      <c r="N69" s="148" t="str">
        <f>IF(TRIM(F55)="m","kN/m",IF(TRIM(F55)="ft","psi",""))</f>
        <v>kN/m</v>
      </c>
      <c r="O69" s="2"/>
      <c r="P69" s="2"/>
      <c r="Q69" s="1"/>
      <c r="R69" s="61">
        <v>6</v>
      </c>
      <c r="S69" s="61"/>
      <c r="T69" s="61"/>
      <c r="U69" s="62">
        <f>+((J71*COS(E71*PI()/180)*TAN(E69*PI()/180)*R69)+J70)/(J71*SIN(E71*PI()/180)*R69)</f>
        <v>0.88037407872916529</v>
      </c>
      <c r="V69" s="62"/>
      <c r="W69" s="1"/>
    </row>
    <row r="70" spans="3:64" ht="23.05" customHeight="1" thickBot="1" x14ac:dyDescent="0.65">
      <c r="C70" s="1"/>
      <c r="D70" s="99" t="s">
        <v>89</v>
      </c>
      <c r="E70" s="105">
        <f>$E$36</f>
        <v>8</v>
      </c>
      <c r="F70" s="104" t="s">
        <v>18</v>
      </c>
      <c r="G70" s="1"/>
      <c r="H70" s="1"/>
      <c r="I70" s="158" t="s">
        <v>85</v>
      </c>
      <c r="J70" s="159">
        <f>+ROUND((J65*E72*(TAN(E69*PI()/180)+TAN(E70*PI()/180))-J66+J67)/(COS(E71*PI()/180)-SIN(E71*PI()/180)*TAN(E70*PI()/180)),1)</f>
        <v>20.8</v>
      </c>
      <c r="K70" s="154" t="str">
        <f>IF(TRIM(F55)="m","kPa",IF(TRIM(F55)="ft","psf",""))</f>
        <v>kPa</v>
      </c>
      <c r="L70" s="160" t="s">
        <v>103</v>
      </c>
      <c r="M70" s="152">
        <f>J71*COS(E40*PI()/180)*TAN(E69*PI()/180)</f>
        <v>2.7206706902908064</v>
      </c>
      <c r="N70" s="148"/>
      <c r="O70" s="2"/>
      <c r="P70" s="2"/>
      <c r="Q70" s="1"/>
      <c r="R70" s="61">
        <v>8</v>
      </c>
      <c r="S70" s="61"/>
      <c r="T70" s="61"/>
      <c r="U70" s="62">
        <f>+((J71*COS(E71*PI()/180)*TAN(E69*PI()/180)*R70)+J70)/(J71*SIN(E71*PI()/180)*R70)</f>
        <v>0.74151048310510048</v>
      </c>
      <c r="V70" s="62"/>
      <c r="W70" s="1"/>
      <c r="BG70" s="3">
        <f>IF(J29="PVC10",
    IF(TRIM(L29)="kN/m", BD31, IF(TRIM(L29)="lb/in", BD30, 0)),
IF(J29="PVC20",
    IF(TRIM(L29)="kN/m", BD33, IF(TRIM(L29)="lb/in", BD32, 0)),
0))</f>
        <v>0</v>
      </c>
    </row>
    <row r="71" spans="3:64" ht="23.05" customHeight="1" thickBot="1" x14ac:dyDescent="0.7">
      <c r="C71" s="1"/>
      <c r="D71" s="108" t="s">
        <v>23</v>
      </c>
      <c r="E71" s="100">
        <f>$E$37</f>
        <v>45</v>
      </c>
      <c r="F71" s="104" t="s">
        <v>18</v>
      </c>
      <c r="G71" s="1"/>
      <c r="H71" s="1"/>
      <c r="I71" s="158" t="s">
        <v>99</v>
      </c>
      <c r="J71" s="150">
        <f>+J73*J72*1/1000*9.807</f>
        <v>8.8262999999999998</v>
      </c>
      <c r="K71" s="132" t="str">
        <f>IF(TRIM(F55)="m","kN/m",IF(TRIM(F55)="ft","kip",""))</f>
        <v>kN/m</v>
      </c>
      <c r="L71" s="160" t="s">
        <v>104</v>
      </c>
      <c r="M71" s="156">
        <f>J71*TAN(E40*PI()/180)</f>
        <v>2.9420999999999999</v>
      </c>
      <c r="N71" s="148"/>
      <c r="O71" s="2"/>
      <c r="P71" s="2"/>
      <c r="Q71" s="1"/>
      <c r="R71" s="61">
        <v>10</v>
      </c>
      <c r="S71" s="61"/>
      <c r="T71" s="61"/>
      <c r="U71" s="62">
        <f>+((J71*COS(E71*PI()/180)*TAN(E69*PI()/180)*R71)+J70)/(J71*SIN(E71*PI()/180)*R71)</f>
        <v>0.65819232573066166</v>
      </c>
      <c r="V71" s="62"/>
      <c r="W71" s="1"/>
    </row>
    <row r="72" spans="3:64" ht="23.05" customHeight="1" thickBot="1" x14ac:dyDescent="0.65">
      <c r="C72" s="1"/>
      <c r="D72" s="99" t="s">
        <v>92</v>
      </c>
      <c r="E72" s="109">
        <f>(E73*(COS(E40*PI()/180)-SIN(E40*PI()/180))*TAN(E38*PI()/180))/E32*(TAN(E38*PI()/180))+TAN(E38*PI()/180)</f>
        <v>0.67317686495230389</v>
      </c>
      <c r="F72" s="104" t="str">
        <f>IF(TRIM(F32)="kPa","m",IF(TRIM(F32)="psi","in",""))</f>
        <v>m</v>
      </c>
      <c r="G72" s="1"/>
      <c r="H72" s="1"/>
      <c r="I72" s="158" t="s">
        <v>87</v>
      </c>
      <c r="J72" s="161">
        <v>0.5</v>
      </c>
      <c r="K72" s="132" t="str">
        <f>IF(TRIM(F55)="m","m",IF(TRIM(F55)="ft","in",""))</f>
        <v>m</v>
      </c>
      <c r="L72" s="155" t="s">
        <v>105</v>
      </c>
      <c r="M72" s="156">
        <f>K29*COS(RADIANS(E40))</f>
        <v>21.819715855161817</v>
      </c>
      <c r="N72" s="148" t="str">
        <f>IF(TRIM(F55)="m","kPa",IF(TRIM(F55)="ft","psf",""))</f>
        <v>kPa</v>
      </c>
      <c r="O72" s="2"/>
      <c r="P72" s="2"/>
      <c r="Q72" s="1"/>
      <c r="R72" s="63"/>
      <c r="S72" s="63"/>
      <c r="T72" s="63"/>
      <c r="U72" s="52"/>
      <c r="V72" s="52"/>
      <c r="W72" s="1"/>
    </row>
    <row r="73" spans="3:64" ht="23.05" customHeight="1" thickBot="1" x14ac:dyDescent="0.65">
      <c r="C73" s="1"/>
      <c r="D73" s="99" t="s">
        <v>93</v>
      </c>
      <c r="E73" s="100">
        <f>+ROUND(E34*E48/1000,1)</f>
        <v>22.5</v>
      </c>
      <c r="F73" s="106" t="str">
        <f>IF(TRIM(F55)="m","kN/m3",IF(TRIM(F55)="ft","pcf",""))</f>
        <v>kN/m3</v>
      </c>
      <c r="G73" s="1"/>
      <c r="H73" s="1"/>
      <c r="I73" s="162" t="s">
        <v>100</v>
      </c>
      <c r="J73" s="163">
        <f>E58</f>
        <v>1800</v>
      </c>
      <c r="K73" s="164" t="str">
        <f>IF(TRIM(F58)="kN/m3","Kg/m3",IF(TRIM(F58)="psf","psf",""))</f>
        <v>Kg/m3</v>
      </c>
      <c r="L73" s="155" t="s">
        <v>114</v>
      </c>
      <c r="M73" s="156">
        <f>M65+M66+M67+M68+M69</f>
        <v>51.114486151274349</v>
      </c>
      <c r="N73" s="148" t="str">
        <f>IF(TRIM(F55)="m","kPa",IF(TRIM(F55)="ft","psf",""))</f>
        <v>kPa</v>
      </c>
      <c r="O73" s="2"/>
      <c r="P73" s="2"/>
      <c r="Q73" s="1"/>
      <c r="R73" s="63"/>
      <c r="S73" s="63"/>
      <c r="T73" s="63"/>
      <c r="U73" s="52"/>
      <c r="V73" s="52"/>
      <c r="W73" s="1"/>
    </row>
    <row r="74" spans="3:64" ht="23.05" customHeight="1" thickBot="1" x14ac:dyDescent="0.8">
      <c r="C74" s="1"/>
      <c r="D74" s="110" t="s">
        <v>98</v>
      </c>
      <c r="E74" s="111">
        <v>300</v>
      </c>
      <c r="F74" s="104" t="str">
        <f>IF(TRIM(F55)="m","mm",IF(TRIM(F55)="ft","in",""))</f>
        <v>mm</v>
      </c>
      <c r="G74" s="1"/>
      <c r="H74" s="1"/>
      <c r="I74" s="165"/>
      <c r="J74" s="166"/>
      <c r="K74" s="167"/>
      <c r="L74" s="168" t="s">
        <v>109</v>
      </c>
      <c r="M74" s="168"/>
      <c r="N74" s="169"/>
      <c r="O74" s="2"/>
      <c r="P74" s="2"/>
      <c r="Q74" s="1"/>
      <c r="R74" s="94" t="s">
        <v>118</v>
      </c>
      <c r="S74" s="1"/>
      <c r="T74" s="1"/>
      <c r="U74" s="1"/>
      <c r="V74" s="1"/>
      <c r="W74" s="1"/>
    </row>
    <row r="75" spans="3:64" ht="23.05" customHeight="1" x14ac:dyDescent="0.75">
      <c r="C75" s="1"/>
      <c r="D75" s="1"/>
      <c r="E75" s="1"/>
      <c r="F75" s="1"/>
      <c r="G75" s="1"/>
      <c r="H75" s="1"/>
      <c r="I75" s="97"/>
      <c r="J75" s="97"/>
      <c r="K75" s="97"/>
      <c r="L75" s="170" t="s">
        <v>110</v>
      </c>
      <c r="M75" s="168"/>
      <c r="N75" s="169"/>
      <c r="O75" s="2"/>
      <c r="P75" s="2"/>
      <c r="Q75" s="1"/>
      <c r="R75" s="95" t="s">
        <v>126</v>
      </c>
      <c r="S75" s="1"/>
      <c r="T75" s="1"/>
      <c r="U75" s="1"/>
      <c r="V75" s="1"/>
      <c r="W75" s="1"/>
      <c r="BL75" s="3" t="s">
        <v>40</v>
      </c>
    </row>
    <row r="76" spans="3:64" ht="23.05" customHeight="1" x14ac:dyDescent="0.6">
      <c r="C76" s="1"/>
      <c r="D76" s="1"/>
      <c r="E76" s="1"/>
      <c r="F76" s="1"/>
      <c r="G76" s="1"/>
      <c r="H76" s="1"/>
      <c r="I76" s="1"/>
      <c r="J76" s="1"/>
      <c r="K76" s="1"/>
      <c r="L76" s="2"/>
      <c r="M76" s="1"/>
      <c r="N76" s="1"/>
      <c r="O76" s="1"/>
      <c r="P76" s="1"/>
      <c r="Q76" s="1"/>
      <c r="R76" s="1"/>
      <c r="S76" s="1"/>
      <c r="T76" s="1"/>
      <c r="U76" s="1"/>
      <c r="V76" s="1"/>
      <c r="W76" s="1"/>
      <c r="BL76" s="3" t="s">
        <v>41</v>
      </c>
    </row>
    <row r="77" spans="3:64" ht="23.05" customHeight="1" x14ac:dyDescent="0.6">
      <c r="C77" s="1"/>
      <c r="D77" s="1"/>
      <c r="E77" s="1"/>
      <c r="F77" s="1"/>
      <c r="G77" s="1"/>
      <c r="H77" s="1"/>
      <c r="I77" s="1"/>
      <c r="J77" s="1"/>
      <c r="K77" s="1"/>
      <c r="L77" s="2"/>
      <c r="M77" s="1"/>
      <c r="N77" s="1"/>
      <c r="O77" s="1"/>
      <c r="P77" s="1"/>
      <c r="Q77" s="1"/>
      <c r="R77" s="1"/>
      <c r="S77" s="1"/>
      <c r="T77" s="1"/>
      <c r="U77" s="1"/>
      <c r="V77" s="1"/>
      <c r="W77" s="1"/>
    </row>
    <row r="78" spans="3:64" ht="23.05" customHeight="1" x14ac:dyDescent="0.6">
      <c r="C78" s="1"/>
      <c r="D78" s="1"/>
      <c r="E78" s="1"/>
      <c r="F78" s="1"/>
      <c r="G78" s="1"/>
      <c r="H78" s="1"/>
      <c r="I78" s="1"/>
      <c r="J78" s="1"/>
      <c r="K78" s="1"/>
      <c r="L78" s="2"/>
      <c r="M78" s="1"/>
      <c r="N78" s="1"/>
      <c r="O78" s="1"/>
      <c r="P78" s="1"/>
      <c r="Q78" s="1"/>
      <c r="R78" s="1"/>
      <c r="S78" s="1"/>
      <c r="T78" s="1"/>
      <c r="U78" s="1"/>
      <c r="V78" s="1"/>
      <c r="W78" s="1"/>
    </row>
    <row r="79" spans="3:64" ht="23.05" customHeight="1" x14ac:dyDescent="0.6">
      <c r="C79" s="1"/>
      <c r="D79" s="1"/>
      <c r="E79" s="1"/>
      <c r="F79" s="1"/>
      <c r="G79" s="1"/>
      <c r="H79" s="1"/>
      <c r="I79" s="1"/>
      <c r="J79" s="1"/>
      <c r="K79" s="1"/>
      <c r="L79" s="2"/>
      <c r="M79" s="1"/>
      <c r="N79" s="1"/>
      <c r="O79" s="1"/>
      <c r="P79" s="1"/>
      <c r="Q79" s="1"/>
      <c r="R79" s="1"/>
      <c r="S79" s="1"/>
      <c r="T79" s="1"/>
      <c r="U79" s="1"/>
      <c r="V79" s="1"/>
      <c r="W79" s="1"/>
    </row>
    <row r="80" spans="3:64" ht="23.05" customHeight="1" x14ac:dyDescent="0.65">
      <c r="C80" s="1"/>
      <c r="D80" s="1"/>
      <c r="E80" s="1"/>
      <c r="F80" s="1"/>
      <c r="G80" s="1"/>
      <c r="H80" s="1"/>
      <c r="I80" s="1"/>
      <c r="J80" s="1"/>
      <c r="K80" s="1"/>
      <c r="L80" s="96" t="s">
        <v>133</v>
      </c>
      <c r="M80" s="48">
        <f>M73/M72</f>
        <v>2.3425825748863893</v>
      </c>
      <c r="N80" s="1"/>
      <c r="O80" s="49" t="str">
        <f>IF(L74&gt;=M80,"OK","NO OK")</f>
        <v>OK</v>
      </c>
      <c r="P80" s="1"/>
      <c r="Q80" s="1"/>
      <c r="R80" s="1"/>
      <c r="S80" s="1"/>
      <c r="T80" s="1"/>
      <c r="U80" s="1"/>
      <c r="V80" s="1"/>
      <c r="W80" s="1"/>
      <c r="BC80" s="3" t="e">
        <f>+(AL89*AL90/AL91)*((TAN(PI()*AL92/180)+TAN(PI()*AL93/180))/(COS(PI()*AL94/180)-(SIN(PI()*AL94/180)*TAN(PI()*AL93/180))))</f>
        <v>#DIV/0!</v>
      </c>
      <c r="BL80" s="3" t="s">
        <v>42</v>
      </c>
    </row>
    <row r="81" spans="3:64" ht="23.05" customHeight="1" x14ac:dyDescent="0.7">
      <c r="C81" s="1"/>
      <c r="D81" s="1"/>
      <c r="E81" s="1"/>
      <c r="F81" s="1"/>
      <c r="G81" s="1"/>
      <c r="H81" s="1"/>
      <c r="I81" s="1"/>
      <c r="J81" s="1"/>
      <c r="K81" s="1"/>
      <c r="L81" s="92" t="s">
        <v>134</v>
      </c>
      <c r="M81" s="50"/>
      <c r="N81" s="1"/>
      <c r="O81" s="49"/>
      <c r="P81" s="1"/>
      <c r="Q81" s="1"/>
      <c r="R81" s="1"/>
      <c r="S81" s="1"/>
      <c r="T81" s="1"/>
      <c r="U81" s="1"/>
      <c r="V81" s="1"/>
      <c r="W81" s="1"/>
    </row>
    <row r="82" spans="3:64" ht="23.05" customHeight="1" x14ac:dyDescent="0.6">
      <c r="C82" s="1"/>
      <c r="D82" s="1"/>
      <c r="E82" s="1"/>
      <c r="F82" s="1"/>
      <c r="G82" s="1"/>
      <c r="H82" s="1"/>
      <c r="I82" s="1"/>
      <c r="J82" s="1"/>
      <c r="K82" s="1"/>
      <c r="L82" s="31"/>
      <c r="M82" s="18"/>
      <c r="N82" s="1"/>
      <c r="O82" s="1"/>
      <c r="P82" s="1"/>
      <c r="Q82" s="1"/>
      <c r="R82" s="1"/>
      <c r="S82" s="1"/>
      <c r="T82" s="1"/>
      <c r="U82" s="1"/>
      <c r="V82" s="1"/>
      <c r="W82" s="1"/>
      <c r="BC82" s="3">
        <v>0.157087</v>
      </c>
      <c r="BL82" s="3" t="s">
        <v>43</v>
      </c>
    </row>
    <row r="83" spans="3:64" ht="23.05" customHeight="1" x14ac:dyDescent="0.65">
      <c r="C83" s="1"/>
      <c r="D83" s="1"/>
      <c r="E83" s="1"/>
      <c r="F83" s="1"/>
      <c r="G83" s="1"/>
      <c r="H83" s="1"/>
      <c r="I83" s="1"/>
      <c r="J83" s="1"/>
      <c r="K83" s="1"/>
      <c r="L83" s="96" t="s">
        <v>135</v>
      </c>
      <c r="M83" s="48">
        <f>M71/M70</f>
        <v>1.081387766075256</v>
      </c>
      <c r="N83" s="1"/>
      <c r="O83" s="51" t="str">
        <f>IF(L74&gt;=M83,"OK","NO OK")</f>
        <v>OK</v>
      </c>
      <c r="P83" s="1"/>
      <c r="Q83" s="1"/>
      <c r="R83" s="1"/>
      <c r="S83" s="1"/>
      <c r="T83" s="1"/>
      <c r="U83" s="1"/>
      <c r="V83" s="1"/>
      <c r="W83" s="1"/>
      <c r="BC83" s="3">
        <f>IF(TRIM(AM88)="KN/m3",AL83,IF(TRIM(AM88)="pcf",AL83/0.1570887,0))</f>
        <v>0</v>
      </c>
      <c r="BL83" s="3" t="s">
        <v>44</v>
      </c>
    </row>
    <row r="84" spans="3:64" ht="23.05" customHeight="1" x14ac:dyDescent="0.7">
      <c r="C84" s="1"/>
      <c r="D84" s="1"/>
      <c r="E84" s="1"/>
      <c r="F84" s="1"/>
      <c r="G84" s="1"/>
      <c r="H84" s="1"/>
      <c r="I84" s="1"/>
      <c r="J84" s="1"/>
      <c r="K84" s="1"/>
      <c r="L84" s="92" t="s">
        <v>116</v>
      </c>
      <c r="M84" s="1"/>
      <c r="N84" s="1"/>
      <c r="O84" s="1"/>
      <c r="P84" s="1"/>
      <c r="Q84" s="1"/>
      <c r="R84" s="1"/>
      <c r="S84" s="1"/>
      <c r="T84" s="1"/>
      <c r="U84" s="1"/>
      <c r="V84" s="1"/>
      <c r="W84" s="1"/>
      <c r="BC84" s="3">
        <f>IF(UPPER(TRIM(AM88))="KN/M3",
    (AL89*AL90/AL91)*((TAN(PI()*AL92/180)+TAN(PI()*AL93/180))/(COS(PI()*AL94/180)-(SIN(PI()*AL94/180)*TAN(PI()*AL93/180)))),
IF(UPPER(TRIM(AM88))="PCF",
    ((AL89*AL90/AL91)*((TAN(PI()*AL92/180)+TAN(PI()*AL93/180))/(COS(PI()*AL94/180)-(SIN(PI()*AL94/180)*TAN(PI()*AL93/180)))))*39.3701,
0))</f>
        <v>0</v>
      </c>
      <c r="BF84" s="3">
        <v>0.157087</v>
      </c>
      <c r="BL84" s="3" t="s">
        <v>45</v>
      </c>
    </row>
    <row r="85" spans="3:64" ht="23.05" customHeight="1" x14ac:dyDescent="0.6">
      <c r="C85" s="1"/>
      <c r="D85" s="1"/>
      <c r="E85" s="1"/>
      <c r="F85" s="1"/>
      <c r="G85" s="1"/>
      <c r="H85" s="1"/>
      <c r="I85" s="1"/>
      <c r="J85" s="1"/>
      <c r="K85" s="1"/>
      <c r="L85" s="1" t="s">
        <v>115</v>
      </c>
      <c r="M85" s="1"/>
      <c r="N85" s="1"/>
      <c r="O85" s="1"/>
      <c r="P85" s="1"/>
      <c r="Q85" s="1"/>
      <c r="R85" s="1"/>
      <c r="S85" s="1"/>
      <c r="T85" s="1"/>
      <c r="U85" s="1"/>
      <c r="V85" s="1"/>
      <c r="W85" s="1"/>
      <c r="BC85" s="3">
        <v>16.600000000000001</v>
      </c>
      <c r="BL85" s="3" t="s">
        <v>46</v>
      </c>
    </row>
    <row r="86" spans="3:64" ht="23.05" customHeight="1" x14ac:dyDescent="0.65">
      <c r="C86" s="1"/>
      <c r="D86" s="1"/>
      <c r="E86" s="1"/>
      <c r="F86" s="1"/>
      <c r="G86" s="1"/>
      <c r="H86" s="1"/>
      <c r="I86" s="1"/>
      <c r="J86" s="1"/>
      <c r="K86" s="1"/>
      <c r="L86" s="98" t="s">
        <v>132</v>
      </c>
      <c r="M86" s="1"/>
      <c r="N86" s="1"/>
      <c r="O86" s="1"/>
      <c r="P86" s="1"/>
      <c r="Q86" s="1"/>
      <c r="R86" s="1"/>
      <c r="S86" s="1"/>
      <c r="T86" s="1"/>
      <c r="U86" s="1"/>
      <c r="V86" s="1"/>
      <c r="W86" s="1"/>
      <c r="BC86" s="3">
        <f>BC85/BC82</f>
        <v>105.67392591366568</v>
      </c>
      <c r="BL86" s="3" t="s">
        <v>47</v>
      </c>
    </row>
    <row r="87" spans="3:64" ht="23.05" customHeight="1" x14ac:dyDescent="0.6">
      <c r="C87" s="1"/>
      <c r="D87" s="1"/>
      <c r="E87" s="1"/>
      <c r="F87" s="1"/>
      <c r="G87" s="1"/>
      <c r="H87" s="1"/>
      <c r="I87" s="1"/>
      <c r="J87" s="1"/>
      <c r="K87" s="1"/>
      <c r="L87" s="1"/>
      <c r="M87" s="1"/>
      <c r="N87" s="1"/>
      <c r="O87" s="1"/>
      <c r="P87" s="1"/>
      <c r="Q87" s="1"/>
      <c r="R87" s="1"/>
      <c r="S87" s="1"/>
      <c r="T87" s="1"/>
      <c r="U87" s="1"/>
      <c r="V87" s="1"/>
      <c r="W87" s="1"/>
      <c r="BC87" s="3">
        <f>IF(TRIM(AM87)="m",AL82*3.2808,IF(TRIM(AM87)="ft",AL82/3.2808,AL82))</f>
        <v>0</v>
      </c>
      <c r="BL87" s="3" t="s">
        <v>48</v>
      </c>
    </row>
    <row r="88" spans="3:64" ht="23.05" customHeight="1" x14ac:dyDescent="0.6">
      <c r="C88" s="1"/>
      <c r="D88" s="1"/>
      <c r="E88" s="1"/>
      <c r="F88" s="1"/>
      <c r="G88" s="1"/>
      <c r="H88" s="1"/>
      <c r="I88" s="1"/>
      <c r="J88" s="1"/>
      <c r="K88" s="1"/>
      <c r="M88" s="1"/>
      <c r="N88" s="1"/>
      <c r="O88" s="1"/>
      <c r="P88" s="1"/>
      <c r="Q88" s="1"/>
      <c r="R88" s="1"/>
      <c r="S88" s="1"/>
      <c r="T88" s="1"/>
      <c r="U88" s="1"/>
      <c r="V88" s="1"/>
      <c r="W88" s="1"/>
      <c r="BC88" s="3">
        <f>IF(TRIM(AM87)="m",AL82*3.2808,AL82)</f>
        <v>0</v>
      </c>
      <c r="BL88" s="3" t="s">
        <v>49</v>
      </c>
    </row>
    <row r="89" spans="3:64" ht="23.05" customHeight="1" x14ac:dyDescent="0.5">
      <c r="BC89" s="4">
        <f>IF(AND(UPPER(TRIM(AM87))="M", UPPER(TRIM(AM82))="M"), AL82,
IF(AND(UPPER(TRIM(AM87))="FT", UPPER(TRIM(AM82))="FT"), AL82*3.2808, 0))</f>
        <v>0</v>
      </c>
      <c r="BL89" s="3" t="s">
        <v>50</v>
      </c>
    </row>
    <row r="90" spans="3:64" ht="23.05" customHeight="1" x14ac:dyDescent="0.5">
      <c r="BL90" s="3" t="s">
        <v>51</v>
      </c>
    </row>
    <row r="91" spans="3:64" ht="23.05" customHeight="1" x14ac:dyDescent="0.5">
      <c r="BL91" s="3" t="s">
        <v>52</v>
      </c>
    </row>
    <row r="92" spans="3:64" ht="23.05" customHeight="1" x14ac:dyDescent="0.5"/>
    <row r="93" spans="3:64" ht="23.05" customHeight="1" x14ac:dyDescent="0.5"/>
    <row r="94" spans="3:64" ht="23.05" customHeight="1" x14ac:dyDescent="0.5"/>
    <row r="95" spans="3:64" ht="23.05" customHeight="1" x14ac:dyDescent="0.5"/>
    <row r="96" spans="3:64" ht="23.05" customHeight="1" x14ac:dyDescent="0.5">
      <c r="BK96" s="3" t="s">
        <v>53</v>
      </c>
    </row>
    <row r="97" spans="61:63" ht="23.05" customHeight="1" x14ac:dyDescent="0.5">
      <c r="BK97" s="3" t="s">
        <v>54</v>
      </c>
    </row>
    <row r="98" spans="61:63" ht="23.05" customHeight="1" x14ac:dyDescent="0.5">
      <c r="BK98" s="3" t="s">
        <v>55</v>
      </c>
    </row>
    <row r="99" spans="61:63" ht="23.05" customHeight="1" x14ac:dyDescent="0.5">
      <c r="BI99" s="3">
        <f>_xlfn.SWITCH(UPPER(TRIM(J29)) &amp; "|" &amp; UPPER(TRIM(L29)),
    "PVC 10|K/N/M", BD31,
    "PVC 10|LB/IN", BD30,
    "PVC 20|K/N/M", BD33,
    "PVC 20|LB/IN", BD32,
    "PVC 30|K/N/M", BD35,
    "PVC 30|LB/IN", BD34,
    "PVC 40|K/N/M", BD37,
    "PVC 40|LB/IN", BD36,
    "PVC 50|K/N/M", BD39,
    "PVC 50|LB/IN", BD38,
    "PVC 60|K/N/M", BD41,
    "PVC 60|LB/IN", BD40,
    0
)</f>
        <v>0</v>
      </c>
      <c r="BK99" s="3" t="s">
        <v>56</v>
      </c>
    </row>
    <row r="100" spans="61:63" ht="23.05" customHeight="1" x14ac:dyDescent="0.5">
      <c r="BK100" s="3" t="s">
        <v>57</v>
      </c>
    </row>
    <row r="101" spans="61:63" ht="23.05" customHeight="1" x14ac:dyDescent="0.5">
      <c r="BK101" s="3" t="s">
        <v>58</v>
      </c>
    </row>
    <row r="102" spans="61:63" ht="23.05" customHeight="1" x14ac:dyDescent="0.5">
      <c r="BK102" s="3" t="s">
        <v>59</v>
      </c>
    </row>
    <row r="103" spans="61:63" x14ac:dyDescent="0.5">
      <c r="BK103" s="3" t="s">
        <v>60</v>
      </c>
    </row>
    <row r="104" spans="61:63" x14ac:dyDescent="0.5">
      <c r="BK104" s="3" t="s">
        <v>61</v>
      </c>
    </row>
    <row r="105" spans="61:63" x14ac:dyDescent="0.5">
      <c r="BK105" s="3" t="s">
        <v>62</v>
      </c>
    </row>
    <row r="106" spans="61:63" x14ac:dyDescent="0.5">
      <c r="BK106" s="3" t="s">
        <v>63</v>
      </c>
    </row>
    <row r="107" spans="61:63" x14ac:dyDescent="0.5">
      <c r="BK107" s="3" t="s">
        <v>64</v>
      </c>
    </row>
    <row r="108" spans="61:63" x14ac:dyDescent="0.5">
      <c r="BK108" s="3" t="s">
        <v>65</v>
      </c>
    </row>
    <row r="109" spans="61:63" x14ac:dyDescent="0.5">
      <c r="BK109" s="3">
        <v>0</v>
      </c>
    </row>
    <row r="110" spans="61:63" x14ac:dyDescent="0.5">
      <c r="BK110" s="3" t="s">
        <v>66</v>
      </c>
    </row>
  </sheetData>
  <mergeCells count="40">
    <mergeCell ref="E10:F10"/>
    <mergeCell ref="E11:F11"/>
    <mergeCell ref="BC42:BC43"/>
    <mergeCell ref="BM18:BM30"/>
    <mergeCell ref="BC4:BE4"/>
    <mergeCell ref="BC16:BE16"/>
    <mergeCell ref="BC28:BC29"/>
    <mergeCell ref="BC30:BC31"/>
    <mergeCell ref="BC32:BC33"/>
    <mergeCell ref="BC34:BC35"/>
    <mergeCell ref="BC36:BC37"/>
    <mergeCell ref="BC38:BC39"/>
    <mergeCell ref="BC40:BC41"/>
    <mergeCell ref="M37:N37"/>
    <mergeCell ref="D29:F29"/>
    <mergeCell ref="J25:L25"/>
    <mergeCell ref="J26:L26"/>
    <mergeCell ref="D41:F42"/>
    <mergeCell ref="I74:K74"/>
    <mergeCell ref="L74:N74"/>
    <mergeCell ref="L75:N75"/>
    <mergeCell ref="R65:T66"/>
    <mergeCell ref="R70:T70"/>
    <mergeCell ref="R73:T73"/>
    <mergeCell ref="J20:K20"/>
    <mergeCell ref="J21:K21"/>
    <mergeCell ref="U73:V73"/>
    <mergeCell ref="U65:V66"/>
    <mergeCell ref="R67:T67"/>
    <mergeCell ref="U67:V67"/>
    <mergeCell ref="R68:T68"/>
    <mergeCell ref="U68:V68"/>
    <mergeCell ref="R69:T69"/>
    <mergeCell ref="U69:V69"/>
    <mergeCell ref="U70:V70"/>
    <mergeCell ref="R71:T71"/>
    <mergeCell ref="U71:V71"/>
    <mergeCell ref="R72:T72"/>
    <mergeCell ref="U72:V72"/>
    <mergeCell ref="O43:P43"/>
  </mergeCells>
  <phoneticPr fontId="3" type="noConversion"/>
  <conditionalFormatting sqref="I48">
    <cfRule type="containsText" dxfId="5" priority="4" operator="containsText" text="NO OK">
      <formula>NOT(ISERROR(SEARCH("NO OK",I48)))</formula>
    </cfRule>
    <cfRule type="containsText" dxfId="4" priority="7" operator="containsText" text="MORE THAN ADEQUATE">
      <formula>NOT(ISERROR(SEARCH("MORE THAN ADEQUATE",I48)))</formula>
    </cfRule>
  </conditionalFormatting>
  <conditionalFormatting sqref="O80:O81">
    <cfRule type="containsText" dxfId="2" priority="2" operator="containsText" text="NO OK">
      <formula>NOT(ISERROR(SEARCH("NO OK",O80)))</formula>
    </cfRule>
    <cfRule type="containsText" dxfId="1" priority="3" operator="containsText" text="OK">
      <formula>NOT(ISERROR(SEARCH("OK",O80)))</formula>
    </cfRule>
  </conditionalFormatting>
  <conditionalFormatting sqref="O83">
    <cfRule type="containsText" dxfId="0" priority="1" operator="containsText" text="OK">
      <formula>NOT(ISERROR(SEARCH("OK",O83)))</formula>
    </cfRule>
  </conditionalFormatting>
  <dataValidations count="9">
    <dataValidation type="list" allowBlank="1" showInputMessage="1" showErrorMessage="1" sqref="L28" xr:uid="{980203D9-A490-4CE7-A297-BF0B82D4E99B}">
      <formula1>$BE$28:$BE$29</formula1>
    </dataValidation>
    <dataValidation type="list" allowBlank="1" showInputMessage="1" showErrorMessage="1" sqref="J29" xr:uid="{01BA9D7C-04E6-47F0-83E9-C7F891A12DB5}">
      <formula1>$BC$30:$BC$41</formula1>
    </dataValidation>
    <dataValidation type="list" allowBlank="1" showInputMessage="1" showErrorMessage="1" sqref="L29" xr:uid="{FA1E07DD-F704-4DA9-B2E2-FD59BFEC4967}">
      <formula1>$BE$30:$BE$31</formula1>
    </dataValidation>
    <dataValidation type="list" allowBlank="1" showInputMessage="1" showErrorMessage="1" sqref="L30" xr:uid="{098049AF-6E35-4B22-B11B-7BF030410AC1}">
      <formula1>$BE$42:$BE$43</formula1>
    </dataValidation>
    <dataValidation type="list" allowBlank="1" showInputMessage="1" showErrorMessage="1" sqref="F20 F57 F55" xr:uid="{0E8534C6-E112-4224-A5DD-5F534C05AB70}">
      <formula1>$BN$33:$BN$34</formula1>
    </dataValidation>
    <dataValidation type="list" allowBlank="1" showInputMessage="1" showErrorMessage="1" sqref="F21 F58 F56" xr:uid="{8155B780-2334-499B-A341-095CD3BFBD3E}">
      <formula1>$BN$35:$BN$36</formula1>
    </dataValidation>
    <dataValidation type="list" allowBlank="1" showInputMessage="1" showErrorMessage="1" sqref="F22" xr:uid="{6DF3A62E-21BF-4042-B5A9-F126D09C3113}">
      <formula1>$BQ$32:$BQ$33</formula1>
    </dataValidation>
    <dataValidation type="list" allowBlank="1" showInputMessage="1" showErrorMessage="1" sqref="E39" xr:uid="{AAC090B5-3D94-47AA-9D8E-1F8E3CE6F348}">
      <formula1>$BI$17:$BI$18</formula1>
    </dataValidation>
    <dataValidation type="list" allowBlank="1" showInputMessage="1" showErrorMessage="1" sqref="L27" xr:uid="{54FFDD05-7F2B-4040-A5FF-84EDB0BEBCCE}">
      <formula1>$BE$17:$BE$18</formula1>
    </dataValidation>
  </dataValidations>
  <hyperlinks>
    <hyperlink ref="I6" r:id="rId1" xr:uid="{F12201AD-800A-4919-B6EE-F7714E0C0120}"/>
  </hyperlinks>
  <pageMargins left="0.7" right="0.7" top="0.75" bottom="0.75" header="0.3" footer="0.3"/>
  <pageSetup paperSize="9" scale="23" fitToWidth="0" orientation="landscape" r:id="rId2"/>
  <headerFooter>
    <oddHeader xml:space="preserve">&amp;C
</oddHeader>
  </headerFooter>
  <drawing r:id="rId3"/>
  <legacyDrawing r:id="rId4"/>
  <extLst>
    <ext xmlns:x14="http://schemas.microsoft.com/office/spreadsheetml/2009/9/main" uri="{78C0D931-6437-407d-A8EE-F0AAD7539E65}">
      <x14:conditionalFormattings>
        <x14:conditionalFormatting xmlns:xm="http://schemas.microsoft.com/office/excel/2006/main">
          <x14:cfRule type="containsText" priority="5" operator="containsText" id="{24BE120B-76E3-4EBD-B18D-C9914382A99D}">
            <xm:f>NOT(ISERROR(SEARCH($J$48,J48)))</xm:f>
            <xm:f>$J$48</xm:f>
            <x14:dxf>
              <font>
                <b/>
                <i val="0"/>
              </font>
              <fill>
                <patternFill>
                  <fgColor theme="0"/>
                  <bgColor theme="9"/>
                </patternFill>
              </fill>
              <border>
                <vertical/>
                <horizontal/>
              </border>
            </x14:dxf>
          </x14:cfRule>
          <xm:sqref>J48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c8283fef-df3f-4d68-a989-5c6ce095071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967A71F79D41740840B82D870CB32B7" ma:contentTypeVersion="15" ma:contentTypeDescription="Create a new document." ma:contentTypeScope="" ma:versionID="16b3ea6e4469c81969829563fa98e3ea">
  <xsd:schema xmlns:xsd="http://www.w3.org/2001/XMLSchema" xmlns:xs="http://www.w3.org/2001/XMLSchema" xmlns:p="http://schemas.microsoft.com/office/2006/metadata/properties" xmlns:ns3="1cc1a2b1-7cdb-4a6c-ac0a-a1fc8935906e" xmlns:ns4="c8283fef-df3f-4d68-a989-5c6ce095071d" targetNamespace="http://schemas.microsoft.com/office/2006/metadata/properties" ma:root="true" ma:fieldsID="7ce3ec42299267370335e752c0a4b8e4" ns3:_="" ns4:_="">
    <xsd:import namespace="1cc1a2b1-7cdb-4a6c-ac0a-a1fc8935906e"/>
    <xsd:import namespace="c8283fef-df3f-4d68-a989-5c6ce095071d"/>
    <xsd:element name="properties">
      <xsd:complexType>
        <xsd:sequence>
          <xsd:element name="documentManagement">
            <xsd:complexType>
              <xsd:all>
                <xsd:element ref="ns3:SharedWithUsers" minOccurs="0"/>
                <xsd:element ref="ns4:MediaServiceMetadata" minOccurs="0"/>
                <xsd:element ref="ns4:MediaServiceFastMetadata" minOccurs="0"/>
                <xsd:element ref="ns4:MediaServiceDateTaken"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ObjectDetectorVersions" minOccurs="0"/>
                <xsd:element ref="ns4:MediaServiceSystemTags" minOccurs="0"/>
                <xsd:element ref="ns4:MediaServiceSearchProperties" minOccurs="0"/>
                <xsd:element ref="ns4:_activity"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c1a2b1-7cdb-4a6c-ac0a-a1fc8935906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8283fef-df3f-4d68-a989-5c6ce095071d"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ystemTags" ma:index="19" nillable="true" ma:displayName="MediaServiceSystemTags" ma:hidden="true" ma:internalName="MediaServiceSystemTags" ma:readOnly="true">
      <xsd:simpleType>
        <xsd:restriction base="dms:Note"/>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_activity" ma:index="21" nillable="true" ma:displayName="_activity" ma:hidden="true" ma:internalName="_activity">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4EBB1B-C8CD-4C74-BB7A-5593A4A08E9D}">
  <ds:schemaRefs>
    <ds:schemaRef ds:uri="http://purl.org/dc/terms/"/>
    <ds:schemaRef ds:uri="http://purl.org/dc/elements/1.1/"/>
    <ds:schemaRef ds:uri="http://schemas.microsoft.com/office/2006/documentManagement/types"/>
    <ds:schemaRef ds:uri="http://www.w3.org/XML/1998/namespace"/>
    <ds:schemaRef ds:uri="http://purl.org/dc/dcmitype/"/>
    <ds:schemaRef ds:uri="http://schemas.microsoft.com/office/2006/metadata/properties"/>
    <ds:schemaRef ds:uri="http://schemas.microsoft.com/office/infopath/2007/PartnerControls"/>
    <ds:schemaRef ds:uri="http://schemas.openxmlformats.org/package/2006/metadata/core-properties"/>
    <ds:schemaRef ds:uri="c8283fef-df3f-4d68-a989-5c6ce095071d"/>
    <ds:schemaRef ds:uri="1cc1a2b1-7cdb-4a6c-ac0a-a1fc8935906e"/>
  </ds:schemaRefs>
</ds:datastoreItem>
</file>

<file path=customXml/itemProps2.xml><?xml version="1.0" encoding="utf-8"?>
<ds:datastoreItem xmlns:ds="http://schemas.openxmlformats.org/officeDocument/2006/customXml" ds:itemID="{236BBE64-16FE-4F7C-A413-EAAAA869C9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c1a2b1-7cdb-4a6c-ac0a-a1fc8935906e"/>
    <ds:schemaRef ds:uri="c8283fef-df3f-4d68-a989-5c6ce09507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866048-19AB-4A0E-BB41-5B81FADAE0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Anchorage Trench Calculator</vt:lpstr>
      <vt:lpstr>'Anchorage Trench Calculator'!Print_Area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ZarelyMoreno</dc:creator>
  <cp:lastModifiedBy>Stark, Timothy D</cp:lastModifiedBy>
  <cp:lastPrinted>2025-10-15T23:00:32Z</cp:lastPrinted>
  <dcterms:created xsi:type="dcterms:W3CDTF">2025-10-13T18:17:46Z</dcterms:created>
  <dcterms:modified xsi:type="dcterms:W3CDTF">2025-12-05T15:26:03Z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0x0101003967A71F79D41740840B82D870CB32B7</vt:lpwstr>
  </property>
</Properties>
</file>