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7\"/>
    </mc:Choice>
  </mc:AlternateContent>
  <xr:revisionPtr revIDLastSave="0" documentId="8_{24BA5D4F-0409-4FD2-9D9D-DF336818BC79}" xr6:coauthVersionLast="47" xr6:coauthVersionMax="47" xr10:uidLastSave="{00000000-0000-0000-0000-000000000000}"/>
  <bookViews>
    <workbookView xWindow="0" yWindow="-16320" windowWidth="29040" windowHeight="15840" activeTab="4"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AnnualFactoryOperationCost.In">Input!$M$38</definedName>
    <definedName name="AnnualLandLeaseCost.In">Input!$M$37</definedName>
    <definedName name="Check.Master">Navigation!$S$17</definedName>
    <definedName name="ClientName.In">Setting!$D$26</definedName>
    <definedName name="ConstructionEndDate.In">Input!$M$26</definedName>
    <definedName name="ConstructionStartDate.In">Input!$M$25</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FactoryOperationCost.A.Ca">Calc!$O$115:$Y$115</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InitialSalesPrice.Local.In">Input!$M$30</definedName>
    <definedName name="InitialSalesPrice.Urban.In">Input!$M$22</definedName>
    <definedName name="InitialSalesVolume.In">Input!$M$19</definedName>
    <definedName name="LaborCost.A.Ca">Calc!$O$80:$Y$80</definedName>
    <definedName name="LaborCostPerVolume.In">Input!$M$36</definedName>
    <definedName name="LandLeaseCost.A.Ca">Calc!$O$85:$Y$85</definedName>
    <definedName name="LocalRevenue.A.Ca">Calc!$O$65:$Y$65</definedName>
    <definedName name="ManagementCost.A.Ca">Calc!$O$110:$Y$110</definedName>
    <definedName name="MaterialCost.A.Ca">Calc!$O$75:$Y$75</definedName>
    <definedName name="MaterialCostPerVolume.In">Input!$M$35</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NumberOfPeople.Manager.In">Input!$M$45</definedName>
    <definedName name="NumberOfPeople.Staff.In">Input!$M$43</definedName>
    <definedName name="NumberOfPeopleTotal.In">Input!#REF!</definedName>
    <definedName name="OperationEndDate.In">Input!$M$28</definedName>
    <definedName name="OperationPeriodFlag.A.Ca">Calc!$O$130:$Y$130</definedName>
    <definedName name="OperationStartDate.In">Input!$M$27</definedName>
    <definedName name="OperationStartFlag.A.Ca">Calc!$O$120:$Y$120</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ProjectPeriodFlag.A.Ca">Calc!$O$135:$Y$135</definedName>
    <definedName name="PropertyTaxCost.A.Ca">Calc!$O$90:$Y$90</definedName>
    <definedName name="PropertyTaxRate.In">Input!$M$40</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SalaryPerPerson.Manager.In">Input!$M$44</definedName>
    <definedName name="SalaryPerPerson.Staff.In">Input!$M$42</definedName>
    <definedName name="SalesCommisionFee.A.Ca">Calc!$O$70:$Y$70</definedName>
    <definedName name="SalesCommissionRate.In">Input!$M$33</definedName>
    <definedName name="SalesPriceGrowthRate.Local.In">Input!$M$31</definedName>
    <definedName name="SalesPriceGrowthRate.Urban.In">Input!$M$23</definedName>
    <definedName name="SalesVolumeGrowthNumber.In">Input!$M$20</definedName>
    <definedName name="Thousand.In">Setting!$M$35</definedName>
    <definedName name="TotalRevenue.A.Out">Output!$O$22:$Y$22</definedName>
    <definedName name="TotalSalesVolume.A.Ca">Calc!$O$25:$Y$25</definedName>
    <definedName name="UrbanRatio.In">Input!$M$21</definedName>
    <definedName name="UrbanRevenue.A.Ca">Calc!$O$42:$Y$42</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25" i="26" l="1"/>
  <c r="X125" i="26"/>
  <c r="W125" i="26"/>
  <c r="V125" i="26"/>
  <c r="U125" i="26"/>
  <c r="T125" i="26"/>
  <c r="S125" i="26"/>
  <c r="R125" i="26"/>
  <c r="Q125" i="26"/>
  <c r="P125" i="26"/>
  <c r="T60" i="26"/>
  <c r="S60" i="26"/>
  <c r="R60" i="26"/>
  <c r="Q60" i="26"/>
  <c r="P60" i="26"/>
  <c r="O60" i="26"/>
  <c r="Y60" i="26"/>
  <c r="X60" i="26"/>
  <c r="W60" i="26"/>
  <c r="V60" i="26"/>
  <c r="Y21" i="26"/>
  <c r="X21" i="26"/>
  <c r="W21" i="26"/>
  <c r="V21" i="26"/>
  <c r="U21" i="26"/>
  <c r="T21" i="26"/>
  <c r="S21" i="26"/>
  <c r="R21" i="26"/>
  <c r="Q21" i="26"/>
  <c r="P21" i="26"/>
  <c r="M101" i="26"/>
  <c r="M94" i="26"/>
  <c r="M102" i="26" l="1"/>
  <c r="M103" i="26" s="1"/>
  <c r="Q45" i="25" l="1"/>
  <c r="P45" i="25"/>
  <c r="O45" i="25"/>
  <c r="R51" i="25"/>
  <c r="Q51" i="25"/>
  <c r="P51" i="25"/>
  <c r="O51" i="25"/>
  <c r="S45" i="25"/>
  <c r="R45" i="25"/>
  <c r="M114" i="26"/>
  <c r="M95" i="26"/>
  <c r="M96" i="26" s="1"/>
  <c r="M89" i="26"/>
  <c r="Y90" i="26" s="1"/>
  <c r="Y28" i="25" s="1"/>
  <c r="P90" i="26" l="1"/>
  <c r="P28" i="25" s="1"/>
  <c r="U90" i="26"/>
  <c r="U28" i="25" s="1"/>
  <c r="S90" i="26"/>
  <c r="S28" i="25" s="1"/>
  <c r="R90" i="26"/>
  <c r="R28" i="25" s="1"/>
  <c r="W90" i="26"/>
  <c r="W28" i="25" s="1"/>
  <c r="X90" i="26"/>
  <c r="X28" i="25" s="1"/>
  <c r="O90" i="26"/>
  <c r="O28" i="25" s="1"/>
  <c r="V90" i="26"/>
  <c r="V28" i="25" s="1"/>
  <c r="T90" i="26"/>
  <c r="T28" i="25" s="1"/>
  <c r="Q90" i="26"/>
  <c r="Q28" i="25" s="1"/>
  <c r="M129" i="26"/>
  <c r="M128" i="26"/>
  <c r="M124" i="26"/>
  <c r="M123" i="26"/>
  <c r="M119" i="26"/>
  <c r="M84" i="26"/>
  <c r="M69" i="26"/>
  <c r="M59" i="26"/>
  <c r="M58" i="26"/>
  <c r="M47" i="26"/>
  <c r="M48" i="26" s="1"/>
  <c r="M52" i="26" s="1"/>
  <c r="M36" i="26"/>
  <c r="M35" i="26"/>
  <c r="M29" i="26"/>
  <c r="M79" i="26"/>
  <c r="M74" i="26"/>
  <c r="M24" i="26"/>
  <c r="M23" i="26"/>
  <c r="V120" i="26" l="1"/>
  <c r="U120" i="26"/>
  <c r="W120" i="26"/>
  <c r="T120" i="26"/>
  <c r="Y120" i="26"/>
  <c r="S120" i="26"/>
  <c r="Q120" i="26"/>
  <c r="R120" i="26"/>
  <c r="P120" i="26"/>
  <c r="X120" i="26"/>
  <c r="L90" i="26"/>
  <c r="K30" i="27"/>
  <c r="K65" i="26"/>
  <c r="K63" i="26"/>
  <c r="K60" i="26"/>
  <c r="K58" i="26"/>
  <c r="W130" i="26" l="1"/>
  <c r="O130" i="26"/>
  <c r="T130" i="26"/>
  <c r="V130" i="26"/>
  <c r="U130" i="26"/>
  <c r="S130" i="26"/>
  <c r="R130" i="26"/>
  <c r="Y130" i="26"/>
  <c r="Q130" i="26"/>
  <c r="X130" i="26"/>
  <c r="P130" i="26"/>
  <c r="K22" i="27"/>
  <c r="K37" i="26"/>
  <c r="K35" i="26"/>
  <c r="K42" i="26"/>
  <c r="K40" i="26"/>
  <c r="T104" i="26" l="1"/>
  <c r="T105" i="26" s="1"/>
  <c r="T109" i="26" s="1"/>
  <c r="T113" i="26"/>
  <c r="Q104" i="26"/>
  <c r="Q105" i="26" s="1"/>
  <c r="Q113" i="26"/>
  <c r="Q115" i="26" s="1"/>
  <c r="Q30" i="25" s="1"/>
  <c r="Y104" i="26"/>
  <c r="Y105" i="26" s="1"/>
  <c r="Y109" i="26" s="1"/>
  <c r="Y113" i="26"/>
  <c r="Y115" i="26" s="1"/>
  <c r="Y30" i="25" s="1"/>
  <c r="R104" i="26"/>
  <c r="R105" i="26" s="1"/>
  <c r="R109" i="26" s="1"/>
  <c r="R113" i="26"/>
  <c r="R115" i="26" s="1"/>
  <c r="R30" i="25" s="1"/>
  <c r="P104" i="26"/>
  <c r="P105" i="26" s="1"/>
  <c r="P113" i="26"/>
  <c r="P115" i="26" s="1"/>
  <c r="P30" i="25" s="1"/>
  <c r="X104" i="26"/>
  <c r="X105" i="26" s="1"/>
  <c r="X109" i="26" s="1"/>
  <c r="X113" i="26"/>
  <c r="X115" i="26" s="1"/>
  <c r="X30" i="25" s="1"/>
  <c r="S104" i="26"/>
  <c r="S105" i="26" s="1"/>
  <c r="S109" i="26" s="1"/>
  <c r="S113" i="26"/>
  <c r="U104" i="26"/>
  <c r="U105" i="26" s="1"/>
  <c r="U109" i="26" s="1"/>
  <c r="U113" i="26"/>
  <c r="U115" i="26" s="1"/>
  <c r="U30" i="25" s="1"/>
  <c r="O104" i="26"/>
  <c r="O105" i="26" s="1"/>
  <c r="O113" i="26"/>
  <c r="O115" i="26" s="1"/>
  <c r="O30" i="25" s="1"/>
  <c r="W104" i="26"/>
  <c r="W105" i="26" s="1"/>
  <c r="W109" i="26" s="1"/>
  <c r="W113" i="26"/>
  <c r="W115" i="26" s="1"/>
  <c r="W30" i="25" s="1"/>
  <c r="V104" i="26"/>
  <c r="V105" i="26" s="1"/>
  <c r="V109" i="26" s="1"/>
  <c r="V113" i="26"/>
  <c r="V115" i="26" s="1"/>
  <c r="V30" i="25" s="1"/>
  <c r="T57" i="26"/>
  <c r="T97" i="26"/>
  <c r="T98" i="26" s="1"/>
  <c r="T108" i="26" s="1"/>
  <c r="Q57" i="26"/>
  <c r="Q97" i="26"/>
  <c r="Y57" i="26"/>
  <c r="Y97" i="26"/>
  <c r="Y98" i="26" s="1"/>
  <c r="Y108" i="26" s="1"/>
  <c r="R57" i="26"/>
  <c r="R97" i="26"/>
  <c r="X57" i="26"/>
  <c r="X97" i="26"/>
  <c r="X98" i="26" s="1"/>
  <c r="X108" i="26" s="1"/>
  <c r="W57" i="26"/>
  <c r="W97" i="26"/>
  <c r="W98" i="26" s="1"/>
  <c r="W108" i="26" s="1"/>
  <c r="U57" i="26"/>
  <c r="U97" i="26"/>
  <c r="U98" i="26" s="1"/>
  <c r="U108" i="26" s="1"/>
  <c r="P57" i="26"/>
  <c r="P97" i="26"/>
  <c r="O57" i="26"/>
  <c r="O97" i="26"/>
  <c r="O98" i="26" s="1"/>
  <c r="S57" i="26"/>
  <c r="S97" i="26"/>
  <c r="S98" i="26" s="1"/>
  <c r="S108" i="26" s="1"/>
  <c r="V57" i="26"/>
  <c r="V97" i="26"/>
  <c r="V98" i="26" s="1"/>
  <c r="V108" i="26" s="1"/>
  <c r="O22" i="26"/>
  <c r="O34" i="26"/>
  <c r="Y34" i="26"/>
  <c r="Y22" i="26"/>
  <c r="T22" i="26"/>
  <c r="T34" i="26"/>
  <c r="S34" i="26"/>
  <c r="S22" i="26"/>
  <c r="U22" i="26"/>
  <c r="U34" i="26"/>
  <c r="R22" i="26"/>
  <c r="R34" i="26"/>
  <c r="V22" i="26"/>
  <c r="V34" i="26"/>
  <c r="P34" i="26"/>
  <c r="P22" i="26"/>
  <c r="X22" i="26"/>
  <c r="X34" i="26"/>
  <c r="Q34" i="26"/>
  <c r="Q22" i="26"/>
  <c r="W22" i="26"/>
  <c r="W34" i="26"/>
  <c r="Q56" i="25"/>
  <c r="P56" i="25"/>
  <c r="O56" i="25"/>
  <c r="K42" i="25"/>
  <c r="Y56" i="25"/>
  <c r="X56" i="25"/>
  <c r="W56" i="25"/>
  <c r="V56" i="25"/>
  <c r="U56" i="25"/>
  <c r="T56" i="25"/>
  <c r="S56" i="25"/>
  <c r="R56" i="25"/>
  <c r="K56" i="25"/>
  <c r="K55" i="25"/>
  <c r="K54" i="25"/>
  <c r="Y51" i="25"/>
  <c r="X51" i="25"/>
  <c r="W51" i="25"/>
  <c r="V51" i="25"/>
  <c r="U51" i="25"/>
  <c r="T51" i="25"/>
  <c r="S51" i="25"/>
  <c r="K49" i="25"/>
  <c r="K51" i="25"/>
  <c r="K50" i="25"/>
  <c r="K48" i="25"/>
  <c r="Y45" i="25"/>
  <c r="X45" i="25"/>
  <c r="W45" i="25"/>
  <c r="V45" i="25"/>
  <c r="U45" i="25"/>
  <c r="T45" i="25"/>
  <c r="L35" i="25"/>
  <c r="K35" i="25"/>
  <c r="K44" i="25"/>
  <c r="K43" i="25"/>
  <c r="K45" i="25"/>
  <c r="K41" i="25"/>
  <c r="K40" i="25"/>
  <c r="K31" i="25"/>
  <c r="L28" i="25"/>
  <c r="K28" i="25"/>
  <c r="L32" i="25"/>
  <c r="K32" i="25"/>
  <c r="K36" i="25"/>
  <c r="L34" i="25"/>
  <c r="K34" i="25"/>
  <c r="K33" i="25"/>
  <c r="K24" i="25"/>
  <c r="K30" i="25"/>
  <c r="K29" i="25"/>
  <c r="K23" i="25"/>
  <c r="K27" i="25"/>
  <c r="K26"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P98" i="26" l="1"/>
  <c r="P108" i="26" s="1"/>
  <c r="R108" i="26"/>
  <c r="R110" i="26" s="1"/>
  <c r="R29" i="25" s="1"/>
  <c r="R98" i="26"/>
  <c r="Q108" i="26"/>
  <c r="Q98" i="26"/>
  <c r="V110" i="26"/>
  <c r="V29" i="25" s="1"/>
  <c r="Y110" i="26"/>
  <c r="Y29" i="25" s="1"/>
  <c r="S110" i="26"/>
  <c r="S29" i="25" s="1"/>
  <c r="U110" i="26"/>
  <c r="U29" i="25" s="1"/>
  <c r="X110" i="26"/>
  <c r="X29" i="25" s="1"/>
  <c r="T110" i="26"/>
  <c r="T29" i="25" s="1"/>
  <c r="S115" i="26"/>
  <c r="S30" i="25" s="1"/>
  <c r="T115" i="26"/>
  <c r="T30" i="25" s="1"/>
  <c r="O109" i="26"/>
  <c r="P109" i="26"/>
  <c r="W110" i="26"/>
  <c r="W29" i="25" s="1"/>
  <c r="Q109" i="26"/>
  <c r="Q110" i="26" s="1"/>
  <c r="Q29" i="25" s="1"/>
  <c r="J3" i="3"/>
  <c r="M36" i="3"/>
  <c r="M35" i="3"/>
  <c r="M34" i="3"/>
  <c r="M32" i="3"/>
  <c r="P110" i="26" l="1"/>
  <c r="P29" i="25" s="1"/>
  <c r="L115" i="26"/>
  <c r="L30" i="25"/>
  <c r="L109" i="26"/>
  <c r="L105" i="26"/>
  <c r="L98" i="26"/>
  <c r="O108" i="26"/>
  <c r="O110" i="26" s="1"/>
  <c r="A14" i="26"/>
  <c r="A14" i="27"/>
  <c r="J4" i="25"/>
  <c r="J3" i="25"/>
  <c r="O29" i="25" l="1"/>
  <c r="L29" i="25" s="1"/>
  <c r="L110" i="26"/>
  <c r="L108" i="26"/>
  <c r="O8" i="25"/>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120" i="26" s="1"/>
  <c r="O56"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21" i="26" l="1"/>
  <c r="O25" i="26" s="1"/>
  <c r="O33" i="26"/>
  <c r="O37" i="26" s="1"/>
  <c r="O125" i="26"/>
  <c r="O133" i="26" s="1"/>
  <c r="O134" i="26"/>
  <c r="O4" i="26"/>
  <c r="O4" i="27"/>
  <c r="P7" i="26"/>
  <c r="P7" i="25"/>
  <c r="P6" i="26"/>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133" i="26" l="1"/>
  <c r="O51" i="26"/>
  <c r="O135" i="26"/>
  <c r="P56" i="26"/>
  <c r="P134" i="26"/>
  <c r="O40" i="26"/>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83" i="26" l="1"/>
  <c r="O85" i="26" s="1"/>
  <c r="O27" i="25" s="1"/>
  <c r="P135" i="26"/>
  <c r="O53" i="26"/>
  <c r="P25" i="26"/>
  <c r="P33" i="26"/>
  <c r="P37" i="26" s="1"/>
  <c r="O63" i="26"/>
  <c r="O73" i="26"/>
  <c r="O75" i="26" s="1"/>
  <c r="O25" i="25" s="1"/>
  <c r="O78" i="26"/>
  <c r="O80" i="26" s="1"/>
  <c r="O26" i="25" s="1"/>
  <c r="O28" i="26"/>
  <c r="O30" i="26" s="1"/>
  <c r="P5" i="26"/>
  <c r="P5" i="25"/>
  <c r="Q7" i="26"/>
  <c r="Q56"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P83" i="26" l="1"/>
  <c r="P85" i="26" s="1"/>
  <c r="P27" i="25" s="1"/>
  <c r="O41" i="26"/>
  <c r="P51" i="26"/>
  <c r="Q33" i="26"/>
  <c r="Q37" i="26" s="1"/>
  <c r="Q25" i="26"/>
  <c r="P63" i="26"/>
  <c r="O64" i="26"/>
  <c r="Q133" i="26"/>
  <c r="P40" i="26"/>
  <c r="Q134"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P53" i="26" l="1"/>
  <c r="O42" i="26"/>
  <c r="Q51" i="26"/>
  <c r="O65" i="26"/>
  <c r="Q135" i="26"/>
  <c r="Q63" i="26"/>
  <c r="O20" i="25"/>
  <c r="P73" i="26"/>
  <c r="P75" i="26" s="1"/>
  <c r="P25" i="25" s="1"/>
  <c r="P78" i="26"/>
  <c r="P80" i="26" s="1"/>
  <c r="P26" i="25" s="1"/>
  <c r="P28" i="26"/>
  <c r="P30" i="26" s="1"/>
  <c r="Q40" i="26"/>
  <c r="Q5" i="25"/>
  <c r="Q5" i="26"/>
  <c r="R7" i="26"/>
  <c r="R56" i="26" s="1"/>
  <c r="U60"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Q83" i="26" l="1"/>
  <c r="Q85" i="26" s="1"/>
  <c r="Q27" i="25" s="1"/>
  <c r="Q28" i="26"/>
  <c r="Q53" i="26"/>
  <c r="Q64" i="26" s="1"/>
  <c r="Q65" i="26" s="1"/>
  <c r="Q78" i="26"/>
  <c r="Q80" i="26" s="1"/>
  <c r="Q26" i="25" s="1"/>
  <c r="Q73" i="26"/>
  <c r="Q75" i="26" s="1"/>
  <c r="Q25" i="25" s="1"/>
  <c r="P41" i="26"/>
  <c r="O21" i="25"/>
  <c r="O22" i="25" s="1"/>
  <c r="R33" i="26"/>
  <c r="R37" i="26" s="1"/>
  <c r="R25" i="26"/>
  <c r="P64" i="26"/>
  <c r="R133" i="26"/>
  <c r="R134" i="26"/>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Q30" i="26" l="1"/>
  <c r="Q41" i="26" s="1"/>
  <c r="Q42" i="26" s="1"/>
  <c r="Q20" i="25" s="1"/>
  <c r="P65" i="26"/>
  <c r="P42" i="26"/>
  <c r="Q21" i="25"/>
  <c r="R51" i="26"/>
  <c r="O68" i="26"/>
  <c r="R135" i="26"/>
  <c r="R40" i="26"/>
  <c r="R5" i="25"/>
  <c r="R5" i="26"/>
  <c r="S7" i="25"/>
  <c r="S7" i="26"/>
  <c r="S56"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R83" i="26" l="1"/>
  <c r="R85" i="26" s="1"/>
  <c r="R27" i="25" s="1"/>
  <c r="Q22" i="25"/>
  <c r="P20" i="25"/>
  <c r="P21" i="25"/>
  <c r="S25" i="26"/>
  <c r="S33" i="26"/>
  <c r="S37" i="26" s="1"/>
  <c r="R63" i="26"/>
  <c r="O70" i="26"/>
  <c r="S133" i="26"/>
  <c r="S134"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O23" i="25" l="1"/>
  <c r="O24" i="25" s="1"/>
  <c r="O31" i="25" s="1"/>
  <c r="O33" i="25" s="1"/>
  <c r="O36" i="25" s="1"/>
  <c r="Q68" i="26"/>
  <c r="Q70" i="26" s="1"/>
  <c r="Q23" i="25" s="1"/>
  <c r="P22" i="25"/>
  <c r="S51" i="26"/>
  <c r="R28" i="26"/>
  <c r="R73" i="26"/>
  <c r="R75" i="26" s="1"/>
  <c r="R25" i="25" s="1"/>
  <c r="R78" i="26"/>
  <c r="R80" i="26" s="1"/>
  <c r="R26" i="25" s="1"/>
  <c r="R53" i="26"/>
  <c r="S135" i="26"/>
  <c r="S63" i="26"/>
  <c r="S40" i="26"/>
  <c r="S5" i="25"/>
  <c r="S5" i="26"/>
  <c r="T7" i="25"/>
  <c r="T7" i="26"/>
  <c r="T56"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S83" i="26" l="1"/>
  <c r="S85" i="26" s="1"/>
  <c r="S27" i="25" s="1"/>
  <c r="Q24" i="25"/>
  <c r="Q31" i="25" s="1"/>
  <c r="P68" i="26"/>
  <c r="P70" i="26" s="1"/>
  <c r="P23" i="25" s="1"/>
  <c r="R64" i="26"/>
  <c r="R30" i="26"/>
  <c r="T33" i="26"/>
  <c r="T37" i="26" s="1"/>
  <c r="T25" i="26"/>
  <c r="S53" i="26"/>
  <c r="S64" i="26" s="1"/>
  <c r="T133" i="26"/>
  <c r="T134" i="26"/>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T51" i="26" l="1"/>
  <c r="P24" i="25"/>
  <c r="P31" i="25" s="1"/>
  <c r="R41" i="26"/>
  <c r="R42" i="26" s="1"/>
  <c r="R65" i="26"/>
  <c r="T135" i="26"/>
  <c r="S28" i="26"/>
  <c r="S73" i="26"/>
  <c r="S75" i="26" s="1"/>
  <c r="S25" i="25" s="1"/>
  <c r="S78" i="26"/>
  <c r="S80" i="26" s="1"/>
  <c r="S26" i="25" s="1"/>
  <c r="T63" i="26"/>
  <c r="T40" i="26"/>
  <c r="S65" i="26"/>
  <c r="S21" i="25" s="1"/>
  <c r="U7" i="25"/>
  <c r="U7" i="26"/>
  <c r="U56"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T83" i="26" l="1"/>
  <c r="T85" i="26" s="1"/>
  <c r="T27" i="25" s="1"/>
  <c r="P33" i="25"/>
  <c r="P36" i="25" s="1"/>
  <c r="R20" i="25"/>
  <c r="R21" i="25"/>
  <c r="S30" i="26"/>
  <c r="S41" i="26" s="1"/>
  <c r="S42" i="26" s="1"/>
  <c r="S20" i="25" s="1"/>
  <c r="S22" i="25" s="1"/>
  <c r="U33" i="26"/>
  <c r="U133" i="26"/>
  <c r="T73" i="26"/>
  <c r="T75" i="26" s="1"/>
  <c r="T25" i="25" s="1"/>
  <c r="T78" i="26"/>
  <c r="T80" i="26" s="1"/>
  <c r="T26" i="25" s="1"/>
  <c r="Q33" i="25"/>
  <c r="Q36" i="25" s="1"/>
  <c r="T53" i="26"/>
  <c r="T64" i="26" s="1"/>
  <c r="T28" i="26"/>
  <c r="T30" i="26" s="1"/>
  <c r="U134" i="26"/>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U25" i="26" l="1"/>
  <c r="U51" i="26" s="1"/>
  <c r="R22" i="25"/>
  <c r="T65" i="26"/>
  <c r="U135" i="26"/>
  <c r="U63" i="26"/>
  <c r="U37" i="26"/>
  <c r="U40" i="26" s="1"/>
  <c r="T41" i="26"/>
  <c r="T42" i="26" s="1"/>
  <c r="T20" i="25" s="1"/>
  <c r="V7" i="25"/>
  <c r="V7" i="26"/>
  <c r="V56"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U83" i="26" l="1"/>
  <c r="U85" i="26" s="1"/>
  <c r="U27" i="25" s="1"/>
  <c r="R68" i="26"/>
  <c r="R70" i="26" s="1"/>
  <c r="R23" i="25" s="1"/>
  <c r="T21" i="25"/>
  <c r="T22" i="25" s="1"/>
  <c r="V25" i="26"/>
  <c r="V51" i="26" s="1"/>
  <c r="V33" i="26"/>
  <c r="V133" i="26"/>
  <c r="U73" i="26"/>
  <c r="U75" i="26" s="1"/>
  <c r="U25" i="25" s="1"/>
  <c r="U78" i="26"/>
  <c r="U80" i="26" s="1"/>
  <c r="U26" i="25" s="1"/>
  <c r="U28" i="26"/>
  <c r="U30" i="26" s="1"/>
  <c r="U53" i="26"/>
  <c r="U64" i="26" s="1"/>
  <c r="U65" i="26" s="1"/>
  <c r="U21" i="25" s="1"/>
  <c r="V134" i="26"/>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R24" i="25" l="1"/>
  <c r="R31" i="25" s="1"/>
  <c r="T68" i="26"/>
  <c r="T70" i="26" s="1"/>
  <c r="T23" i="25" s="1"/>
  <c r="S68" i="26"/>
  <c r="S70" i="26" s="1"/>
  <c r="S23" i="25" s="1"/>
  <c r="V135" i="26"/>
  <c r="U41" i="26"/>
  <c r="U42" i="26" s="1"/>
  <c r="U20" i="25" s="1"/>
  <c r="U22" i="25" s="1"/>
  <c r="V63" i="26"/>
  <c r="V37" i="26"/>
  <c r="V40" i="26" s="1"/>
  <c r="V5" i="26"/>
  <c r="V5" i="25"/>
  <c r="W7" i="26"/>
  <c r="W134"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V83" i="26" l="1"/>
  <c r="V85" i="26" s="1"/>
  <c r="V27" i="25" s="1"/>
  <c r="S24" i="25"/>
  <c r="S31" i="25" s="1"/>
  <c r="T24" i="25"/>
  <c r="R33" i="25"/>
  <c r="R36" i="25" s="1"/>
  <c r="W133" i="26"/>
  <c r="W135" i="26" s="1"/>
  <c r="V73" i="26"/>
  <c r="V75" i="26" s="1"/>
  <c r="V25" i="25" s="1"/>
  <c r="V78" i="26"/>
  <c r="V80" i="26" s="1"/>
  <c r="V26" i="25" s="1"/>
  <c r="W56" i="26"/>
  <c r="V28" i="26"/>
  <c r="V30" i="26" s="1"/>
  <c r="V53" i="26"/>
  <c r="V64" i="26" s="1"/>
  <c r="V65" i="26" s="1"/>
  <c r="V21" i="25" s="1"/>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W83" i="26" l="1"/>
  <c r="W85" i="26" s="1"/>
  <c r="W27" i="25" s="1"/>
  <c r="T31" i="25"/>
  <c r="T33" i="25" s="1"/>
  <c r="T36" i="25" s="1"/>
  <c r="U68" i="26"/>
  <c r="U70" i="26" s="1"/>
  <c r="W63" i="26"/>
  <c r="W25" i="26"/>
  <c r="W51" i="26" s="1"/>
  <c r="W33" i="26"/>
  <c r="W37" i="26" s="1"/>
  <c r="W40" i="26" s="1"/>
  <c r="V41" i="26"/>
  <c r="V42" i="26" s="1"/>
  <c r="V20" i="25" s="1"/>
  <c r="V22" i="25" s="1"/>
  <c r="S33" i="25"/>
  <c r="S36" i="25" s="1"/>
  <c r="X7" i="26"/>
  <c r="X56"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U23" i="25" l="1"/>
  <c r="U24" i="25" s="1"/>
  <c r="U31" i="25" s="1"/>
  <c r="U33" i="25" s="1"/>
  <c r="U36" i="25" s="1"/>
  <c r="X33" i="26"/>
  <c r="X25" i="26"/>
  <c r="X51" i="26" s="1"/>
  <c r="X133" i="26"/>
  <c r="W73" i="26"/>
  <c r="W75" i="26" s="1"/>
  <c r="W25" i="25" s="1"/>
  <c r="W78" i="26"/>
  <c r="W80" i="26" s="1"/>
  <c r="W26" i="25" s="1"/>
  <c r="W28" i="26"/>
  <c r="W30" i="26" s="1"/>
  <c r="W53" i="26"/>
  <c r="W64" i="26" s="1"/>
  <c r="W65" i="26" s="1"/>
  <c r="W21" i="25" s="1"/>
  <c r="X134" i="26"/>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V68" i="26" l="1"/>
  <c r="V70" i="26" s="1"/>
  <c r="X135" i="26"/>
  <c r="W41" i="26"/>
  <c r="W42" i="26" s="1"/>
  <c r="W20" i="25" s="1"/>
  <c r="X37" i="26"/>
  <c r="X40" i="26" s="1"/>
  <c r="X63" i="26"/>
  <c r="X5" i="26"/>
  <c r="X5" i="25"/>
  <c r="Y7" i="26"/>
  <c r="Y56"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V23" i="25" l="1"/>
  <c r="V24" i="25" s="1"/>
  <c r="V31" i="25" s="1"/>
  <c r="V33" i="25" s="1"/>
  <c r="V36" i="25" s="1"/>
  <c r="X83" i="26"/>
  <c r="X85" i="26" s="1"/>
  <c r="X27" i="25" s="1"/>
  <c r="Y33" i="26"/>
  <c r="Y25" i="26"/>
  <c r="Y51" i="26" s="1"/>
  <c r="L51" i="26" s="1"/>
  <c r="Y133" i="26"/>
  <c r="X73" i="26"/>
  <c r="X75" i="26" s="1"/>
  <c r="X25" i="25" s="1"/>
  <c r="X78" i="26"/>
  <c r="X80" i="26" s="1"/>
  <c r="X26" i="25" s="1"/>
  <c r="W22" i="25"/>
  <c r="W68" i="26" s="1"/>
  <c r="X28" i="26"/>
  <c r="X30" i="26" s="1"/>
  <c r="X53" i="26"/>
  <c r="X64" i="26" s="1"/>
  <c r="X65" i="26" s="1"/>
  <c r="X21" i="25" s="1"/>
  <c r="Y134" i="26"/>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135" i="26" l="1"/>
  <c r="X41" i="26"/>
  <c r="X42" i="26" s="1"/>
  <c r="X20" i="25" s="1"/>
  <c r="W70" i="26"/>
  <c r="W23" i="25" s="1"/>
  <c r="Y37" i="26"/>
  <c r="Y40" i="26" s="1"/>
  <c r="Y63" i="26"/>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Y83" i="26" l="1"/>
  <c r="Y85" i="26" s="1"/>
  <c r="Y27" i="25" s="1"/>
  <c r="Y73" i="26"/>
  <c r="Y75" i="26" s="1"/>
  <c r="Y25" i="25" s="1"/>
  <c r="Y78" i="26"/>
  <c r="Y80" i="26" s="1"/>
  <c r="Y26" i="25" s="1"/>
  <c r="W24" i="25"/>
  <c r="X22" i="25"/>
  <c r="Y28" i="26"/>
  <c r="L28" i="26" s="1"/>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L27" i="25" l="1"/>
  <c r="L85" i="26"/>
  <c r="X68" i="26"/>
  <c r="X70" i="26" s="1"/>
  <c r="W31" i="25"/>
  <c r="W33" i="25" s="1"/>
  <c r="W36" i="25" s="1"/>
  <c r="L26" i="25"/>
  <c r="L73" i="26"/>
  <c r="L25" i="25"/>
  <c r="L75" i="26"/>
  <c r="Y53" i="26"/>
  <c r="L53" i="26" s="1"/>
  <c r="Y30" i="26"/>
  <c r="L30" i="26" s="1"/>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X23" i="25" l="1"/>
  <c r="X24" i="25" s="1"/>
  <c r="X31" i="25" s="1"/>
  <c r="X33" i="25" s="1"/>
  <c r="X36" i="25" s="1"/>
  <c r="L80" i="26"/>
  <c r="L78" i="26"/>
  <c r="Y41" i="26"/>
  <c r="L41" i="26" s="1"/>
  <c r="Y64" i="26"/>
  <c r="L64" i="26" s="1"/>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Y65" i="26" l="1"/>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Y20" i="25" l="1"/>
  <c r="L42" i="26"/>
  <c r="Y21" i="25"/>
  <c r="L21" i="25" s="1"/>
  <c r="L65" i="26"/>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Y31" i="25" s="1"/>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L24" i="25" l="1"/>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<sst xmlns="http://schemas.openxmlformats.org/spreadsheetml/2006/main" count="563" uniqueCount="273">
  <si>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</si>
  <si>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</si>
  <si>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</si>
  <si>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</si>
  <si>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</si>
  <si>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</si>
  <si>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</si>
  <si>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</si>
  <si>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</si>
  <si>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</si>
  <si>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</si>
  <si>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</si>
  <si>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</si>
  <si>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</si>
  <si>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</si>
  <si>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</si>
  <si>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</si>
  <si>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</si>
  <si>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</si>
  <si>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</si>
  <si>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</si>
  <si>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</si>
  <si>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</si>
  <si>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</si>
  <si>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</si>
  <si>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</si>
  <si>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</si>
  <si>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</si>
  <si>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</si>
  <si>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</si>
  <si>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</si>
  <si>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</si>
  <si>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</si>
  <si>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</si>
  <si>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</si>
  <si>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</si>
  <si>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</si>
  <si>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</si>
  <si>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</si>
  <si>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</si>
  <si>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</si>
  <si>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</si>
  <si>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</si>
  <si>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</si>
  <si>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</si>
  <si>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</si>
  <si>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</si>
  <si>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</si>
  <si>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</si>
  <si>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</si>
  <si>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</si>
  <si>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</si>
  <si>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</si>
  <si>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</si>
  <si>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</si>
  <si>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</si>
  <si>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</si>
  <si>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</si>
  <si>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</si>
  <si>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</si>
  <si>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</si>
  <si>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</si>
  <si>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</si>
  <si>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</si>
  <si>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</si>
  <si>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</si>
  <si>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</si>
  <si>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</si>
  <si>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</si>
  <si>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</si>
  <si>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</si>
  <si>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</si>
  <si>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</si>
  <si>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</si>
  <si>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</si>
  <si>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</si>
  <si>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</si>
  <si>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</si>
  <si>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</si>
  <si>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</si>
  <si>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</si>
  <si>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</si>
  <si>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</si>
  <si>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</si>
  <si>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</si>
  <si>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</si>
  <si>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</si>
  <si>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</si>
  <si>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</si>
  <si>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</si>
  <si>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</si>
  <si>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</si>
  <si>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</si>
  <si>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</si>
  <si>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</si>
  <si>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</si>
  <si>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</si>
  <si>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</si>
  <si>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</si>
  <si>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</si>
  <si>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</si>
  <si>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</si>
  <si>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</si>
  <si>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</si>
  <si>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</si>
  <si>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</si>
  <si>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</si>
  <si>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</si>
  <si>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</si>
  <si>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</si>
  <si>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</si>
  <si>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</si>
  <si>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</si>
  <si>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</si>
  <si>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</si>
  <si>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</si>
  <si>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</si>
  <si>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</si>
  <si>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</si>
  <si>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</si>
  <si>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</si>
  <si>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</si>
  <si>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</si>
  <si>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</si>
  <si>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</si>
  <si>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</si>
  <si>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</si>
  <si>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</si>
  <si>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</si>
  <si>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</si>
  <si>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</si>
  <si>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</si>
  <si>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</si>
  <si>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</si>
  <si>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</si>
  <si>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</si>
  <si>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</si>
  <si>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</si>
  <si>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</si>
  <si>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</si>
  <si>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</si>
  <si>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</si>
  <si>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</si>
  <si>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</si>
  <si>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</si>
  <si>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</si>
  <si>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</si>
  <si>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</si>
  <si>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</si>
  <si>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</si>
  <si>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</si>
  <si>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</si>
  <si>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</si>
  <si>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</si>
  <si>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</si>
  <si>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</si>
  <si>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</si>
  <si>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</si>
  <si>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</si>
  <si>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</si>
  <si>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</si>
  <si>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</si>
  <si>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</si>
  <si>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</si>
  <si>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</si>
  <si>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</si>
  <si>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</si>
  <si>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</si>
  <si>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</si>
  <si>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</si>
  <si>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</si>
  <si>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</si>
  <si>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</si>
  <si>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</si>
  <si>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</si>
  <si>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</si>
  <si>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</si>
  <si>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</si>
  <si>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</si>
  <si>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</si>
  <si>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</si>
  <si>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</si>
  <si>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</si>
  <si>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</si>
  <si>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</si>
  <si>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</si>
  <si>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</si>
  <si>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</si>
  <si>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</si>
  <si>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</si>
  <si>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</si>
  <si>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</si>
  <si>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</si>
  <si>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</si>
  <si>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</si>
  <si>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</si>
  <si>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</si>
  <si>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</si>
  <si>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</si>
  <si>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</si>
  <si>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</si>
  <si>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</si>
  <si>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</si>
  <si>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</si>
  <si>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</si>
  <si>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</si>
  <si>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</si>
  <si>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</si>
  <si>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</si>
  <si>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</si>
  <si>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</si>
  <si>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</si>
  <si>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</si>
  <si>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</si>
  <si>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</si>
  <si>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</si>
  <si>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</si>
  <si>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</si>
  <si>
    <t>1つ当たり材料費・加工費</t>
    <rPh sb="2" eb="3">
      <t>ア</t>
    </rPh>
    <rPh sb="5" eb="8">
      <t>ザイリョウヒ</t>
    </rPh>
    <rPh sb="9" eb="11">
      <t>カコウ</t>
    </rPh>
    <rPh sb="11" eb="12">
      <t>ヒ</t>
    </rPh>
    <phoneticPr fontId="3"/>
  </si>
  <si>
    <t>1つ当たり労務費</t>
    <rPh sb="2" eb="3">
      <t>ア</t>
    </rPh>
    <rPh sb="5" eb="8">
      <t>ロウムヒ</t>
    </rPh>
    <phoneticPr fontId="3"/>
  </si>
  <si>
    <t>土地賃借料年額</t>
    <rPh sb="0" eb="2">
      <t>トチ</t>
    </rPh>
    <rPh sb="2" eb="5">
      <t>チンシャクリョウ</t>
    </rPh>
    <rPh sb="5" eb="7">
      <t>ネンガク</t>
    </rPh>
    <phoneticPr fontId="3"/>
  </si>
  <si>
    <t>建設期間フラグ</t>
    <rPh sb="0" eb="2">
      <t>ケンセツ</t>
    </rPh>
    <rPh sb="2" eb="4">
      <t>キカン</t>
    </rPh>
    <phoneticPr fontId="3"/>
  </si>
  <si>
    <t>プロジェクト期間フラグ</t>
    <rPh sb="6" eb="8">
      <t>キカン</t>
    </rPh>
    <phoneticPr fontId="3"/>
  </si>
  <si>
    <t>建設開始日</t>
    <rPh sb="0" eb="2">
      <t>ケンセツ</t>
    </rPh>
    <rPh sb="2" eb="4">
      <t>カイシ</t>
    </rPh>
    <rPh sb="4" eb="5">
      <t>ヒ</t>
    </rPh>
    <phoneticPr fontId="3"/>
  </si>
  <si>
    <t>建設終了日</t>
    <rPh sb="0" eb="2">
      <t>ケンセツ</t>
    </rPh>
    <rPh sb="2" eb="4">
      <t>シュウリョウ</t>
    </rPh>
    <rPh sb="4" eb="5">
      <t>ヒ</t>
    </rPh>
    <phoneticPr fontId="3"/>
  </si>
  <si>
    <t>UrbanRevenue.A.Ca</t>
    <phoneticPr fontId="3"/>
  </si>
  <si>
    <t>InitialSalesVolume.In</t>
    <phoneticPr fontId="3"/>
  </si>
  <si>
    <t>OperationPeriodFlag.A.Ca</t>
    <phoneticPr fontId="3"/>
  </si>
  <si>
    <t>LocalRevenue.A.Ca</t>
    <phoneticPr fontId="3"/>
  </si>
  <si>
    <t>SalesCommisionFee.A.Ca</t>
    <phoneticPr fontId="3"/>
  </si>
  <si>
    <t>MaterialCost.A.Ca</t>
    <phoneticPr fontId="3"/>
  </si>
  <si>
    <t>LaborCost.A.Ca</t>
    <phoneticPr fontId="3"/>
  </si>
  <si>
    <t>LandLeaseCost.A.Ca</t>
    <phoneticPr fontId="3"/>
  </si>
  <si>
    <t>OperationStartFlag.A.Ca</t>
    <phoneticPr fontId="3"/>
  </si>
  <si>
    <t>SalesVolumeGrowthNumber.In</t>
    <phoneticPr fontId="3"/>
  </si>
  <si>
    <t>UrbanRatio.In</t>
    <phoneticPr fontId="3"/>
  </si>
  <si>
    <t>InitialSalesPrice.Urban.In</t>
    <phoneticPr fontId="3"/>
  </si>
  <si>
    <t>InitialSalesPrice.Local.In</t>
    <phoneticPr fontId="3"/>
  </si>
  <si>
    <t>SalesPriceGrowthRate.Urban.In</t>
    <phoneticPr fontId="3"/>
  </si>
  <si>
    <t>SalesPriceGrowthRate.Local.In</t>
    <phoneticPr fontId="3"/>
  </si>
  <si>
    <t>ConstructionStartDate.In</t>
    <phoneticPr fontId="3"/>
  </si>
  <si>
    <t>ConstructionEndDate.In</t>
    <phoneticPr fontId="3"/>
  </si>
  <si>
    <t>OperationStartDate.In</t>
    <phoneticPr fontId="3"/>
  </si>
  <si>
    <t>OperationEndDate.In</t>
    <phoneticPr fontId="3"/>
  </si>
  <si>
    <t>SalesCommissionRate.In</t>
    <phoneticPr fontId="3"/>
  </si>
  <si>
    <t>MaterialCostPerVolume.In</t>
    <phoneticPr fontId="3"/>
  </si>
  <si>
    <t>LaborCostPerVolume.In</t>
    <phoneticPr fontId="3"/>
  </si>
  <si>
    <t>AnnualLandLeaseCost.In</t>
    <phoneticPr fontId="3"/>
  </si>
  <si>
    <t>TotalSalesVolume.A.Ca</t>
    <phoneticPr fontId="3"/>
  </si>
  <si>
    <t>TotalRevenue.A.Out</t>
    <phoneticPr fontId="3"/>
  </si>
  <si>
    <t>課税標準額</t>
    <rPh sb="0" eb="2">
      <t>カゼイ</t>
    </rPh>
    <rPh sb="2" eb="4">
      <t>ヒョウジュン</t>
    </rPh>
    <rPh sb="4" eb="5">
      <t>ガク</t>
    </rPh>
    <phoneticPr fontId="3"/>
  </si>
  <si>
    <t>固定資産税率</t>
    <rPh sb="0" eb="2">
      <t>コテイ</t>
    </rPh>
    <rPh sb="2" eb="4">
      <t>シサン</t>
    </rPh>
    <rPh sb="4" eb="6">
      <t>ゼイリツ</t>
    </rPh>
    <phoneticPr fontId="3"/>
  </si>
  <si>
    <t>スタッフ給与</t>
    <rPh sb="4" eb="6">
      <t>キュウヨ</t>
    </rPh>
    <phoneticPr fontId="3"/>
  </si>
  <si>
    <t>責任者給与</t>
    <rPh sb="0" eb="3">
      <t>セキニンシャ</t>
    </rPh>
    <rPh sb="3" eb="5">
      <t>キュウヨ</t>
    </rPh>
    <phoneticPr fontId="3"/>
  </si>
  <si>
    <t>合計</t>
    <rPh sb="0" eb="2">
      <t>ゴウケイ</t>
    </rPh>
    <phoneticPr fontId="3"/>
  </si>
  <si>
    <t>1人当たり給与</t>
    <rPh sb="0" eb="2">
      <t>ヒトリ</t>
    </rPh>
    <rPh sb="2" eb="3">
      <t>ア</t>
    </rPh>
    <rPh sb="5" eb="7">
      <t>キュウヨ</t>
    </rPh>
    <phoneticPr fontId="3"/>
  </si>
  <si>
    <t>人数</t>
    <rPh sb="0" eb="2">
      <t>ニンズウ</t>
    </rPh>
    <phoneticPr fontId="3"/>
  </si>
  <si>
    <t>給与年額</t>
    <rPh sb="0" eb="2">
      <t>キュウヨ</t>
    </rPh>
    <rPh sb="2" eb="4">
      <t>ネンガク</t>
    </rPh>
    <phoneticPr fontId="3"/>
  </si>
  <si>
    <t>ManagementCost.A.Ca</t>
    <phoneticPr fontId="3"/>
  </si>
  <si>
    <t>PropertyTaxRate.In</t>
    <phoneticPr fontId="3"/>
  </si>
  <si>
    <t>スタッフ1人当たり給与</t>
    <rPh sb="4" eb="6">
      <t>ヒトリ</t>
    </rPh>
    <rPh sb="6" eb="7">
      <t>ア</t>
    </rPh>
    <rPh sb="9" eb="11">
      <t>キュウヨ</t>
    </rPh>
    <phoneticPr fontId="3"/>
  </si>
  <si>
    <t>スタッフ人数</t>
    <rPh sb="4" eb="6">
      <t>ニンズウ</t>
    </rPh>
    <phoneticPr fontId="3"/>
  </si>
  <si>
    <t>責任者1人当たり給与</t>
    <rPh sb="0" eb="3">
      <t>セキニンシャ</t>
    </rPh>
    <rPh sb="3" eb="5">
      <t>ヒトリ</t>
    </rPh>
    <rPh sb="5" eb="6">
      <t>ア</t>
    </rPh>
    <rPh sb="8" eb="10">
      <t>キュウヨ</t>
    </rPh>
    <phoneticPr fontId="3"/>
  </si>
  <si>
    <t>責任者人数</t>
    <rPh sb="0" eb="3">
      <t>セキニンシャ</t>
    </rPh>
    <rPh sb="3" eb="5">
      <t>ニンズウ</t>
    </rPh>
    <phoneticPr fontId="3"/>
  </si>
  <si>
    <t>SalaryPerPerson.Staff.In</t>
    <phoneticPr fontId="3"/>
  </si>
  <si>
    <t>NumberOfPeople.Staff.In</t>
    <phoneticPr fontId="3"/>
  </si>
  <si>
    <t>SalaryPerPerson.Manager.In</t>
  </si>
  <si>
    <t>NumberOfPeople.Manager.In</t>
  </si>
  <si>
    <t>PropertyTaxCost.A.Ca</t>
    <phoneticPr fontId="3"/>
  </si>
  <si>
    <t>工場稼働経費年額</t>
    <rPh sb="0" eb="2">
      <t>コウジョウ</t>
    </rPh>
    <rPh sb="2" eb="4">
      <t>カドウ</t>
    </rPh>
    <rPh sb="4" eb="6">
      <t>ケイヒ</t>
    </rPh>
    <rPh sb="6" eb="8">
      <t>ネンガク</t>
    </rPh>
    <phoneticPr fontId="3"/>
  </si>
  <si>
    <t>FactoryOperationCost.A.Ca</t>
    <phoneticPr fontId="3"/>
  </si>
  <si>
    <t>AnnualFactoryOperationCost.In</t>
    <phoneticPr fontId="3"/>
  </si>
  <si>
    <t>ProjectPeriodFlag.A.Ca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</si>
</sst>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8">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
      <patternFill patternType="solid">
        <fgColor rgb="FFE7FAFA"/>
        <bgColor indexed="64"/>
      </patternFill>
    </fill>
    <fill>
      <patternFill patternType="solid">
        <fgColor rgb="FFE1E6F2"/>
        <bgColor indexed="64"/>
      </patternFill>
    </fill>
    <fill>
      <patternFill patternType="solid">
        <fgColor rgb="FFD3E0E0"/>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93">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9" fillId="0" borderId="3" xfId="20" applyNumberFormat="1" applyFont="1" applyFill="1" applyBorder="1" applyAlignment="1">
      <alignment vertical="center" wrapText="1"/>
    </xf>
    <xf numFmtId="0" fontId="23" fillId="0" borderId="12" xfId="2" applyAlignment="1">
      <alignment vertical="center" shrinkToFit="1"/>
    </xf>
    <xf numFmtId="0" fontId="0" fillId="0" borderId="0" xfId="0" applyAlignment="1">
      <alignment vertical="center" shrinkToFit="1"/>
    </xf>
    <xf numFmtId="0" fontId="11" fillId="0" borderId="0" xfId="0" applyFont="1" applyAlignment="1">
      <alignment vertical="center" shrinkToFit="1"/>
    </xf>
    <xf numFmtId="0" fontId="4" fillId="2" borderId="0" xfId="1" applyAlignment="1">
      <alignment vertical="center" shrinkToFit="1"/>
    </xf>
    <xf numFmtId="176" fontId="8" fillId="0" borderId="0" xfId="14" applyAlignment="1">
      <alignment vertical="center" shrinkToFit="1"/>
    </xf>
    <xf numFmtId="176" fontId="8" fillId="0" borderId="3" xfId="14" applyBorder="1" applyAlignment="1">
      <alignment vertical="center" shrinkToFit="1"/>
    </xf>
    <xf numFmtId="181" fontId="0" fillId="0" borderId="0" xfId="20" applyNumberFormat="1" applyFont="1" applyFill="1">
      <alignment vertical="center"/>
    </xf>
    <xf numFmtId="181" fontId="10" fillId="0" borderId="3" xfId="0" applyNumberFormat="1" applyFont="1" applyBorder="1">
      <alignment vertical="center"/>
    </xf>
    <xf numFmtId="176" fontId="22" fillId="15" borderId="2" xfId="6" applyNumberFormat="1" applyFill="1">
      <alignment vertical="center"/>
    </xf>
    <xf numFmtId="177" fontId="22" fillId="16" borderId="2" xfId="23" applyNumberFormat="1" applyFill="1">
      <alignment vertical="center"/>
    </xf>
    <xf numFmtId="0" fontId="10" fillId="17" borderId="2" xfId="0" applyFont="1" applyFill="1" applyBorder="1" applyAlignment="1">
      <alignment horizontal="center" vertical="center" wrapText="1"/>
    </xf>
    <xf numFmtId="180" fontId="22" fillId="15" borderId="2" xfId="6" applyNumberFormat="1" applyFill="1">
      <alignment vertical="center"/>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1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92" t="s">
        <v>136</v>
      </c>
      <c r="D21" s="92"/>
      <c r="E21" s="92"/>
      <c r="F21" s="92"/>
      <c r="G21" s="92"/>
      <c r="H21" s="92"/>
      <c r="I21" s="92"/>
      <c r="J21" s="92"/>
      <c r="K21" s="92"/>
      <c r="L21" s="25"/>
    </row>
    <row r="22" spans="2:12" x14ac:dyDescent="0.35">
      <c r="B22" s="24"/>
      <c r="C22" s="92"/>
      <c r="D22" s="92"/>
      <c r="E22" s="92"/>
      <c r="F22" s="92"/>
      <c r="G22" s="92"/>
      <c r="H22" s="92"/>
      <c r="I22" s="92"/>
      <c r="J22" s="92"/>
      <c r="K22" s="92"/>
      <c r="L22" s="25"/>
    </row>
    <row r="23" spans="2:12" x14ac:dyDescent="0.35">
      <c r="B23" s="24"/>
      <c r="C23" s="92"/>
      <c r="D23" s="92"/>
      <c r="E23" s="92"/>
      <c r="F23" s="92"/>
      <c r="G23" s="92"/>
      <c r="H23" s="92"/>
      <c r="I23" s="92"/>
      <c r="J23" s="92"/>
      <c r="K23" s="92"/>
      <c r="L23" s="25"/>
    </row>
    <row r="24" spans="2:12" x14ac:dyDescent="0.35">
      <c r="B24" s="24"/>
      <c r="C24" s="92"/>
      <c r="D24" s="92"/>
      <c r="E24" s="92"/>
      <c r="F24" s="92"/>
      <c r="G24" s="92"/>
      <c r="H24" s="92"/>
      <c r="I24" s="92"/>
      <c r="J24" s="92"/>
      <c r="K24" s="92"/>
      <c r="L24" s="25"/>
    </row>
    <row r="25" spans="2:12" x14ac:dyDescent="0.35">
      <c r="B25" s="24"/>
      <c r="C25" s="92"/>
      <c r="D25" s="92"/>
      <c r="E25" s="92"/>
      <c r="F25" s="92"/>
      <c r="G25" s="92"/>
      <c r="H25" s="92"/>
      <c r="I25" s="92"/>
      <c r="J25" s="92"/>
      <c r="K25" s="92"/>
      <c r="L25" s="25"/>
    </row>
    <row r="26" spans="2:12" x14ac:dyDescent="0.35">
      <c r="B26" s="24"/>
      <c r="C26" s="92"/>
      <c r="D26" s="92"/>
      <c r="E26" s="92"/>
      <c r="F26" s="92"/>
      <c r="G26" s="92"/>
      <c r="H26" s="92"/>
      <c r="I26" s="92"/>
      <c r="J26" s="92"/>
      <c r="K26" s="92"/>
      <c r="L26" s="25"/>
    </row>
    <row r="27" spans="2:12" x14ac:dyDescent="0.35">
      <c r="B27" s="24"/>
      <c r="C27" s="92"/>
      <c r="D27" s="92"/>
      <c r="E27" s="92"/>
      <c r="F27" s="92"/>
      <c r="G27" s="92"/>
      <c r="H27" s="92"/>
      <c r="I27" s="92"/>
      <c r="J27" s="92"/>
      <c r="K27" s="92"/>
      <c r="L27" s="25"/>
    </row>
    <row r="28" spans="2:12" x14ac:dyDescent="0.35">
      <c r="B28" s="24"/>
      <c r="C28" s="92"/>
      <c r="D28" s="92"/>
      <c r="E28" s="92"/>
      <c r="F28" s="92"/>
      <c r="G28" s="92"/>
      <c r="H28" s="92"/>
      <c r="I28" s="92"/>
      <c r="J28" s="92"/>
      <c r="K28" s="92"/>
      <c r="L28" s="25"/>
    </row>
    <row r="29" spans="2:12" x14ac:dyDescent="0.35">
      <c r="B29" s="24"/>
      <c r="C29" s="92"/>
      <c r="D29" s="92"/>
      <c r="E29" s="92"/>
      <c r="F29" s="92"/>
      <c r="G29" s="92"/>
      <c r="H29" s="92"/>
      <c r="I29" s="92"/>
      <c r="J29" s="92"/>
      <c r="K29" s="92"/>
      <c r="L29" s="25"/>
    </row>
    <row r="30" spans="2:12" x14ac:dyDescent="0.35">
      <c r="B30" s="24"/>
      <c r="C30" s="92"/>
      <c r="D30" s="92"/>
      <c r="E30" s="92"/>
      <c r="F30" s="92"/>
      <c r="G30" s="92"/>
      <c r="H30" s="92"/>
      <c r="I30" s="92"/>
      <c r="J30" s="92"/>
      <c r="K30" s="92"/>
      <c r="L30" s="25"/>
    </row>
    <row r="31" spans="2:12" x14ac:dyDescent="0.35">
      <c r="B31" s="24"/>
      <c r="C31" s="92"/>
      <c r="D31" s="92"/>
      <c r="E31" s="92"/>
      <c r="F31" s="92"/>
      <c r="G31" s="92"/>
      <c r="H31" s="92"/>
      <c r="I31" s="92"/>
      <c r="J31" s="92"/>
      <c r="K31" s="92"/>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17" priority="25" stopIfTrue="1" operator="equal">
      <formula>TRUE</formula>
    </cfRule>
    <cfRule type="cellIs" dxfId="316" priority="26" stopIfTrue="1" operator="equal">
      <formula>FALSE</formula>
    </cfRule>
  </conditionalFormatting>
  <conditionalFormatting sqref="J3">
    <cfRule type="cellIs" dxfId="315" priority="22" operator="equal">
      <formula>"CHECK"</formula>
    </cfRule>
    <cfRule type="cellIs" dxfId="314" priority="23" stopIfTrue="1" operator="equal">
      <formula>"OK"</formula>
    </cfRule>
    <cfRule type="cellIs" dxfId="313" priority="24" stopIfTrue="1" operator="equal">
      <formula>"ERROR"</formula>
    </cfRule>
  </conditionalFormatting>
  <conditionalFormatting sqref="S18">
    <cfRule type="cellIs" dxfId="312" priority="31" stopIfTrue="1" operator="equal">
      <formula>TRUE</formula>
    </cfRule>
    <cfRule type="cellIs" dxfId="311" priority="32" stopIfTrue="1" operator="equal">
      <formula>FALSE</formula>
    </cfRule>
  </conditionalFormatting>
  <conditionalFormatting sqref="S17">
    <cfRule type="cellIs" dxfId="310" priority="19" operator="equal">
      <formula>"CHECK"</formula>
    </cfRule>
    <cfRule type="cellIs" dxfId="309" priority="20" stopIfTrue="1" operator="equal">
      <formula>"OK"</formula>
    </cfRule>
    <cfRule type="cellIs" dxfId="308" priority="21" stopIfTrue="1" operator="equal">
      <formula>"ERROR"</formula>
    </cfRule>
  </conditionalFormatting>
  <conditionalFormatting sqref="T33:T34">
    <cfRule type="cellIs" dxfId="307" priority="13" stopIfTrue="1" operator="equal">
      <formula>TRUE</formula>
    </cfRule>
    <cfRule type="cellIs" dxfId="306" priority="14" stopIfTrue="1" operator="equal">
      <formula>FALSE</formula>
    </cfRule>
  </conditionalFormatting>
  <conditionalFormatting sqref="T35">
    <cfRule type="cellIs" dxfId="305" priority="15" stopIfTrue="1" operator="equal">
      <formula>TRUE</formula>
    </cfRule>
    <cfRule type="cellIs" dxfId="304" priority="16" stopIfTrue="1" operator="equal">
      <formula>FALSE</formula>
    </cfRule>
  </conditionalFormatting>
  <conditionalFormatting sqref="T36">
    <cfRule type="cellIs" dxfId="303" priority="17" stopIfTrue="1" operator="equal">
      <formula>TRUE</formula>
    </cfRule>
    <cfRule type="cellIs" dxfId="302"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activeCell="O26" sqref="O26"/>
    </sheetView>
  </sheetViews>
  <sheetFormatPr defaultColWidth="0" defaultRowHeight="15.75" zeroHeight="1" x14ac:dyDescent="0.35"/>
  <cols>
    <col min="1" max="3" width="2.5703125" customWidth="1"/>
    <col min="4" max="4" width="30.7109375" customWidth="1"/>
    <col min="5" max="9" width="1.5703125" customWidth="1"/>
    <col min="10" max="11" width="11.5703125" customWidth="1"/>
    <col min="12" max="12" width="11.5703125" style="81" customWidth="1"/>
    <col min="13" max="13" width="11.5703125" customWidth="1"/>
    <col min="14" max="14" width="3.5703125" customWidth="1"/>
    <col min="15" max="15" width="11.5703125" style="58" customWidth="1"/>
    <col min="16" max="25" width="11.5703125" customWidth="1"/>
    <col min="26" max="26" width="40.570312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8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82" t="s">
        <v>13</v>
      </c>
      <c r="M14" s="6" t="s">
        <v>14</v>
      </c>
      <c r="N14" s="6"/>
    </row>
    <row r="15" spans="1:25" s="60" customFormat="1" ht="19.5" x14ac:dyDescent="0.35">
      <c r="A15" s="60" t="s">
        <v>153</v>
      </c>
      <c r="L15" s="83"/>
      <c r="O15" s="64"/>
    </row>
    <row r="16" spans="1:25" s="10" customFormat="1" ht="20.25" thickBot="1" x14ac:dyDescent="0.4">
      <c r="A16" s="10" t="s">
        <v>154</v>
      </c>
      <c r="L16" s="80"/>
      <c r="O16" s="59"/>
    </row>
    <row r="17" spans="2:26" x14ac:dyDescent="0.35"/>
    <row r="18" spans="2:26" x14ac:dyDescent="0.35"/>
    <row r="19" spans="2:26" ht="19.5" x14ac:dyDescent="0.35">
      <c r="B19" s="39" t="s">
        <v>156</v>
      </c>
    </row>
    <row r="20" spans="2:26" x14ac:dyDescent="0.35">
      <c r="D20" t="s">
        <v>159</v>
      </c>
      <c r="K20" s="43" t="str">
        <f t="shared" ref="K20:K36" si="5">CurrencyUnit.In</f>
        <v>JPY'000</v>
      </c>
      <c r="L20" s="84">
        <f t="shared" ref="L20:L36" si="6">SUM(O20:Y20)</f>
        <v>4252329.3695999999</v>
      </c>
      <c r="N20" s="70"/>
      <c r="O20" s="70">
        <f>UrbanRevenue.A.Ca</f>
        <v>0</v>
      </c>
      <c r="P20" s="70">
        <f>UrbanRevenue.A.Ca</f>
        <v>0</v>
      </c>
      <c r="Q20" s="70">
        <f t="shared" ref="Q20:Y20" si="7">UrbanRevenue.A.Ca</f>
        <v>650000</v>
      </c>
      <c r="R20" s="70">
        <f t="shared" si="7"/>
        <v>743600</v>
      </c>
      <c r="S20" s="70">
        <f t="shared" si="7"/>
        <v>843648</v>
      </c>
      <c r="T20" s="70">
        <f t="shared" si="7"/>
        <v>950510.08000000007</v>
      </c>
      <c r="U20" s="70">
        <f t="shared" si="7"/>
        <v>1064571.2896</v>
      </c>
      <c r="V20" s="70">
        <f t="shared" si="7"/>
        <v>0</v>
      </c>
      <c r="W20" s="70">
        <f t="shared" si="7"/>
        <v>0</v>
      </c>
      <c r="X20" s="70">
        <f t="shared" si="7"/>
        <v>0</v>
      </c>
      <c r="Y20" s="70">
        <f t="shared" si="7"/>
        <v>0</v>
      </c>
      <c r="Z20" s="70"/>
    </row>
    <row r="21" spans="2:26" x14ac:dyDescent="0.35">
      <c r="D21" t="s">
        <v>160</v>
      </c>
      <c r="K21" s="43" t="str">
        <f t="shared" si="5"/>
        <v>JPY'000</v>
      </c>
      <c r="L21" s="84">
        <f t="shared" si="6"/>
        <v>2770926.3134765625</v>
      </c>
      <c r="O21" s="70">
        <f t="shared" ref="O21:Y21" si="8">LocalRevenue.A.Ca</f>
        <v>0</v>
      </c>
      <c r="P21" s="70">
        <f t="shared" si="8"/>
        <v>0</v>
      </c>
      <c r="Q21" s="70">
        <f t="shared" si="8"/>
        <v>437500</v>
      </c>
      <c r="R21" s="70">
        <f t="shared" si="8"/>
        <v>493281.24999999994</v>
      </c>
      <c r="S21" s="70">
        <f t="shared" si="8"/>
        <v>551578.125</v>
      </c>
      <c r="T21" s="70">
        <f t="shared" si="8"/>
        <v>612481.54296875</v>
      </c>
      <c r="U21" s="70">
        <f t="shared" si="8"/>
        <v>676085.3955078125</v>
      </c>
      <c r="V21" s="70">
        <f t="shared" si="8"/>
        <v>0</v>
      </c>
      <c r="W21" s="70">
        <f t="shared" si="8"/>
        <v>0</v>
      </c>
      <c r="X21" s="70">
        <f t="shared" si="8"/>
        <v>0</v>
      </c>
      <c r="Y21" s="70">
        <f t="shared" si="8"/>
        <v>0</v>
      </c>
    </row>
    <row r="22" spans="2:26" x14ac:dyDescent="0.35">
      <c r="D22" s="4" t="s">
        <v>167</v>
      </c>
      <c r="E22" s="5"/>
      <c r="F22" s="5"/>
      <c r="G22" s="5"/>
      <c r="H22" s="5"/>
      <c r="I22" s="5"/>
      <c r="J22" s="5"/>
      <c r="K22" s="45" t="str">
        <f t="shared" si="5"/>
        <v>JPY'000</v>
      </c>
      <c r="L22" s="85">
        <f t="shared" si="6"/>
        <v>7023255.6830765624</v>
      </c>
      <c r="M22" s="5"/>
      <c r="N22" s="5"/>
      <c r="O22" s="67">
        <f t="shared" ref="O22:V22" si="9">SUM(O20:O21)</f>
        <v>0</v>
      </c>
      <c r="P22" s="67">
        <f t="shared" si="9"/>
        <v>0</v>
      </c>
      <c r="Q22" s="67">
        <f t="shared" si="9"/>
        <v>1087500</v>
      </c>
      <c r="R22" s="67">
        <f t="shared" si="9"/>
        <v>1236881.25</v>
      </c>
      <c r="S22" s="67">
        <f t="shared" si="9"/>
        <v>1395226.125</v>
      </c>
      <c r="T22" s="67">
        <f t="shared" si="9"/>
        <v>1562991.6229687501</v>
      </c>
      <c r="U22" s="67">
        <f t="shared" si="9"/>
        <v>1740656.6851078125</v>
      </c>
      <c r="V22" s="67">
        <f t="shared" si="9"/>
        <v>0</v>
      </c>
      <c r="W22" s="67">
        <f t="shared" ref="W22:Y22" si="10">SUM(W20:W21)</f>
        <v>0</v>
      </c>
      <c r="X22" s="67">
        <f t="shared" si="10"/>
        <v>0</v>
      </c>
      <c r="Y22" s="67">
        <f t="shared" si="10"/>
        <v>0</v>
      </c>
      <c r="Z22" s="9" t="s">
        <v>249</v>
      </c>
    </row>
    <row r="23" spans="2:26" x14ac:dyDescent="0.35">
      <c r="D23" t="s">
        <v>164</v>
      </c>
      <c r="K23" s="43" t="str">
        <f t="shared" si="5"/>
        <v>JPY'000</v>
      </c>
      <c r="L23" s="84">
        <f t="shared" si="6"/>
        <v>-210697.67049229686</v>
      </c>
      <c r="O23" s="70">
        <f t="shared" ref="O23:Y23" si="11">0-SalesCommisionFee.A.Ca</f>
        <v>0</v>
      </c>
      <c r="P23" s="70">
        <f t="shared" si="11"/>
        <v>0</v>
      </c>
      <c r="Q23" s="70">
        <f t="shared" si="11"/>
        <v>-32625</v>
      </c>
      <c r="R23" s="70">
        <f t="shared" si="11"/>
        <v>-37106.4375</v>
      </c>
      <c r="S23" s="70">
        <f t="shared" si="11"/>
        <v>-41856.783749999995</v>
      </c>
      <c r="T23" s="70">
        <f t="shared" si="11"/>
        <v>-46889.7486890625</v>
      </c>
      <c r="U23" s="70">
        <f t="shared" si="11"/>
        <v>-52219.700553234376</v>
      </c>
      <c r="V23" s="70">
        <f t="shared" si="11"/>
        <v>0</v>
      </c>
      <c r="W23" s="70">
        <f t="shared" si="11"/>
        <v>0</v>
      </c>
      <c r="X23" s="70">
        <f t="shared" si="11"/>
        <v>0</v>
      </c>
      <c r="Y23" s="70">
        <f t="shared" si="11"/>
        <v>0</v>
      </c>
    </row>
    <row r="24" spans="2:26" x14ac:dyDescent="0.35">
      <c r="D24" s="4" t="s">
        <v>168</v>
      </c>
      <c r="E24" s="5"/>
      <c r="F24" s="5"/>
      <c r="G24" s="5"/>
      <c r="H24" s="5"/>
      <c r="I24" s="5"/>
      <c r="J24" s="5"/>
      <c r="K24" s="45" t="str">
        <f t="shared" si="5"/>
        <v>JPY'000</v>
      </c>
      <c r="L24" s="85">
        <f t="shared" si="6"/>
        <v>6812558.0125842653</v>
      </c>
      <c r="M24" s="5"/>
      <c r="N24" s="5"/>
      <c r="O24" s="67">
        <f t="shared" ref="O24:V24" si="12">SUM(O22:O23)</f>
        <v>0</v>
      </c>
      <c r="P24" s="67">
        <f t="shared" si="12"/>
        <v>0</v>
      </c>
      <c r="Q24" s="67">
        <f t="shared" si="12"/>
        <v>1054875</v>
      </c>
      <c r="R24" s="67">
        <f t="shared" si="12"/>
        <v>1199774.8125</v>
      </c>
      <c r="S24" s="67">
        <f t="shared" si="12"/>
        <v>1353369.3412500001</v>
      </c>
      <c r="T24" s="67">
        <f t="shared" si="12"/>
        <v>1516101.8742796876</v>
      </c>
      <c r="U24" s="67">
        <f t="shared" si="12"/>
        <v>1688436.9845545781</v>
      </c>
      <c r="V24" s="67">
        <f t="shared" si="12"/>
        <v>0</v>
      </c>
      <c r="W24" s="67">
        <f t="shared" ref="W24" si="13">SUM(W22:W23)</f>
        <v>0</v>
      </c>
      <c r="X24" s="67">
        <f t="shared" ref="X24" si="14">SUM(X22:X23)</f>
        <v>0</v>
      </c>
      <c r="Y24" s="67">
        <f t="shared" ref="Y24" si="15">SUM(Y22:Y23)</f>
        <v>0</v>
      </c>
    </row>
    <row r="25" spans="2:26" x14ac:dyDescent="0.35">
      <c r="D25" t="s">
        <v>161</v>
      </c>
      <c r="K25" s="43" t="str">
        <f t="shared" si="5"/>
        <v>JPY'000</v>
      </c>
      <c r="L25" s="84">
        <f t="shared" si="6"/>
        <v>-2400000</v>
      </c>
      <c r="O25" s="70">
        <f t="shared" ref="O25:Y25" si="16">0-MaterialCost.A.Ca</f>
        <v>0</v>
      </c>
      <c r="P25" s="70">
        <f t="shared" si="16"/>
        <v>0</v>
      </c>
      <c r="Q25" s="70">
        <f t="shared" si="16"/>
        <v>-400000</v>
      </c>
      <c r="R25" s="70">
        <f t="shared" si="16"/>
        <v>-440000</v>
      </c>
      <c r="S25" s="70">
        <f t="shared" si="16"/>
        <v>-480000</v>
      </c>
      <c r="T25" s="70">
        <f t="shared" si="16"/>
        <v>-520000</v>
      </c>
      <c r="U25" s="70">
        <f t="shared" si="16"/>
        <v>-560000</v>
      </c>
      <c r="V25" s="70">
        <f t="shared" si="16"/>
        <v>0</v>
      </c>
      <c r="W25" s="70">
        <f t="shared" si="16"/>
        <v>0</v>
      </c>
      <c r="X25" s="70">
        <f t="shared" si="16"/>
        <v>0</v>
      </c>
      <c r="Y25" s="70">
        <f t="shared" si="16"/>
        <v>0</v>
      </c>
    </row>
    <row r="26" spans="2:26" x14ac:dyDescent="0.35">
      <c r="D26" t="s">
        <v>162</v>
      </c>
      <c r="K26" s="43" t="str">
        <f t="shared" si="5"/>
        <v>JPY'000</v>
      </c>
      <c r="L26" s="84">
        <f t="shared" si="6"/>
        <v>-1500000</v>
      </c>
      <c r="O26" s="70">
        <f t="shared" ref="O26:Y26" si="17">0-LaborCost.A.Ca</f>
        <v>0</v>
      </c>
      <c r="P26" s="70">
        <f t="shared" si="17"/>
        <v>0</v>
      </c>
      <c r="Q26" s="70">
        <f t="shared" si="17"/>
        <v>-250000</v>
      </c>
      <c r="R26" s="70">
        <f t="shared" si="17"/>
        <v>-275000</v>
      </c>
      <c r="S26" s="70">
        <f t="shared" si="17"/>
        <v>-300000</v>
      </c>
      <c r="T26" s="70">
        <f t="shared" si="17"/>
        <v>-325000</v>
      </c>
      <c r="U26" s="70">
        <f t="shared" si="17"/>
        <v>-350000</v>
      </c>
      <c r="V26" s="70">
        <f t="shared" si="17"/>
        <v>0</v>
      </c>
      <c r="W26" s="70">
        <f t="shared" si="17"/>
        <v>0</v>
      </c>
      <c r="X26" s="70">
        <f t="shared" si="17"/>
        <v>0</v>
      </c>
      <c r="Y26" s="70">
        <f t="shared" si="17"/>
        <v>0</v>
      </c>
    </row>
    <row r="27" spans="2:26" x14ac:dyDescent="0.35">
      <c r="D27" t="s">
        <v>163</v>
      </c>
      <c r="K27" s="43" t="str">
        <f t="shared" si="5"/>
        <v>JPY'000</v>
      </c>
      <c r="L27" s="84">
        <f t="shared" si="6"/>
        <v>-600000</v>
      </c>
      <c r="O27" s="70">
        <f t="shared" ref="O27:Y27" si="18">0-LandLeaseCost.A.Ca</f>
        <v>0</v>
      </c>
      <c r="P27" s="70">
        <f t="shared" si="18"/>
        <v>-100000</v>
      </c>
      <c r="Q27" s="70">
        <f t="shared" si="18"/>
        <v>-100000</v>
      </c>
      <c r="R27" s="70">
        <f t="shared" si="18"/>
        <v>-100000</v>
      </c>
      <c r="S27" s="70">
        <f t="shared" si="18"/>
        <v>-100000</v>
      </c>
      <c r="T27" s="70">
        <f t="shared" si="18"/>
        <v>-100000</v>
      </c>
      <c r="U27" s="70">
        <f t="shared" si="18"/>
        <v>-100000</v>
      </c>
      <c r="V27" s="70">
        <f t="shared" si="18"/>
        <v>0</v>
      </c>
      <c r="W27" s="70">
        <f t="shared" si="18"/>
        <v>0</v>
      </c>
      <c r="X27" s="70">
        <f t="shared" si="18"/>
        <v>0</v>
      </c>
      <c r="Y27" s="70">
        <f t="shared" si="18"/>
        <v>0</v>
      </c>
    </row>
    <row r="28" spans="2:26" x14ac:dyDescent="0.35">
      <c r="D28" t="s">
        <v>170</v>
      </c>
      <c r="K28" s="43" t="str">
        <f t="shared" si="5"/>
        <v>JPY'000</v>
      </c>
      <c r="L28" s="84">
        <f t="shared" si="6"/>
        <v>-7000</v>
      </c>
      <c r="O28" s="70">
        <f t="shared" ref="O28:Y28" si="19">0-PropertyTaxCost.A.Ca</f>
        <v>0</v>
      </c>
      <c r="P28" s="70">
        <f t="shared" si="19"/>
        <v>0</v>
      </c>
      <c r="Q28" s="70">
        <f t="shared" si="19"/>
        <v>-1400</v>
      </c>
      <c r="R28" s="70">
        <f t="shared" si="19"/>
        <v>-1400</v>
      </c>
      <c r="S28" s="70">
        <f t="shared" si="19"/>
        <v>-1400</v>
      </c>
      <c r="T28" s="70">
        <f t="shared" si="19"/>
        <v>-1400</v>
      </c>
      <c r="U28" s="70">
        <f t="shared" si="19"/>
        <v>-1400</v>
      </c>
      <c r="V28" s="70">
        <f t="shared" si="19"/>
        <v>0</v>
      </c>
      <c r="W28" s="70">
        <f t="shared" si="19"/>
        <v>0</v>
      </c>
      <c r="X28" s="70">
        <f t="shared" si="19"/>
        <v>0</v>
      </c>
      <c r="Y28" s="70">
        <f t="shared" si="19"/>
        <v>0</v>
      </c>
    </row>
    <row r="29" spans="2:26" x14ac:dyDescent="0.35">
      <c r="D29" t="s">
        <v>165</v>
      </c>
      <c r="K29" s="43" t="str">
        <f t="shared" si="5"/>
        <v>JPY'000</v>
      </c>
      <c r="L29" s="84">
        <f t="shared" si="6"/>
        <v>-195000</v>
      </c>
      <c r="O29" s="70">
        <f t="shared" ref="O29:Y29" si="20">0-ManagementCost.A.Ca</f>
        <v>0</v>
      </c>
      <c r="P29" s="70">
        <f t="shared" si="20"/>
        <v>0</v>
      </c>
      <c r="Q29" s="70">
        <f t="shared" si="20"/>
        <v>-39000</v>
      </c>
      <c r="R29" s="70">
        <f t="shared" si="20"/>
        <v>-39000</v>
      </c>
      <c r="S29" s="70">
        <f t="shared" si="20"/>
        <v>-39000</v>
      </c>
      <c r="T29" s="70">
        <f t="shared" si="20"/>
        <v>-39000</v>
      </c>
      <c r="U29" s="70">
        <f t="shared" si="20"/>
        <v>-39000</v>
      </c>
      <c r="V29" s="70">
        <f t="shared" si="20"/>
        <v>0</v>
      </c>
      <c r="W29" s="70">
        <f t="shared" si="20"/>
        <v>0</v>
      </c>
      <c r="X29" s="70">
        <f t="shared" si="20"/>
        <v>0</v>
      </c>
      <c r="Y29" s="70">
        <f t="shared" si="20"/>
        <v>0</v>
      </c>
    </row>
    <row r="30" spans="2:26" x14ac:dyDescent="0.35">
      <c r="D30" t="s">
        <v>166</v>
      </c>
      <c r="K30" s="43" t="str">
        <f t="shared" si="5"/>
        <v>JPY'000</v>
      </c>
      <c r="L30" s="84">
        <f t="shared" si="6"/>
        <v>-1000000</v>
      </c>
      <c r="O30" s="70">
        <f t="shared" ref="O30:Y30" si="21">0-FactoryOperationCost.A.Ca</f>
        <v>0</v>
      </c>
      <c r="P30" s="70">
        <f t="shared" si="21"/>
        <v>0</v>
      </c>
      <c r="Q30" s="70">
        <f t="shared" si="21"/>
        <v>-200000</v>
      </c>
      <c r="R30" s="70">
        <f t="shared" si="21"/>
        <v>-200000</v>
      </c>
      <c r="S30" s="70">
        <f t="shared" si="21"/>
        <v>-200000</v>
      </c>
      <c r="T30" s="70">
        <f t="shared" si="21"/>
        <v>-200000</v>
      </c>
      <c r="U30" s="70">
        <f t="shared" si="21"/>
        <v>-200000</v>
      </c>
      <c r="V30" s="70">
        <f t="shared" si="21"/>
        <v>0</v>
      </c>
      <c r="W30" s="70">
        <f t="shared" si="21"/>
        <v>0</v>
      </c>
      <c r="X30" s="70">
        <f t="shared" si="21"/>
        <v>0</v>
      </c>
      <c r="Y30" s="70">
        <f t="shared" si="21"/>
        <v>0</v>
      </c>
    </row>
    <row r="31" spans="2:26" x14ac:dyDescent="0.35">
      <c r="D31" s="4" t="s">
        <v>171</v>
      </c>
      <c r="E31" s="5"/>
      <c r="F31" s="5"/>
      <c r="G31" s="5"/>
      <c r="H31" s="5"/>
      <c r="I31" s="5"/>
      <c r="J31" s="5"/>
      <c r="K31" s="45" t="str">
        <f t="shared" si="5"/>
        <v>JPY'000</v>
      </c>
      <c r="L31" s="85">
        <f t="shared" si="6"/>
        <v>1110558.0125842658</v>
      </c>
      <c r="M31" s="5"/>
      <c r="N31" s="5"/>
      <c r="O31" s="67">
        <f t="shared" ref="O31:T31" si="22">SUM(O24:O30)</f>
        <v>0</v>
      </c>
      <c r="P31" s="67">
        <f t="shared" si="22"/>
        <v>-100000</v>
      </c>
      <c r="Q31" s="67">
        <f t="shared" si="22"/>
        <v>64475</v>
      </c>
      <c r="R31" s="67">
        <f t="shared" si="22"/>
        <v>144374.8125</v>
      </c>
      <c r="S31" s="67">
        <f t="shared" si="22"/>
        <v>232969.34125000006</v>
      </c>
      <c r="T31" s="67">
        <f t="shared" si="22"/>
        <v>330701.87427968765</v>
      </c>
      <c r="U31" s="67">
        <f t="shared" ref="U31:Y31" si="23">SUM(U24:U30)</f>
        <v>438036.98455457808</v>
      </c>
      <c r="V31" s="67">
        <f t="shared" si="23"/>
        <v>0</v>
      </c>
      <c r="W31" s="67">
        <f t="shared" si="23"/>
        <v>0</v>
      </c>
      <c r="X31" s="67">
        <f t="shared" si="23"/>
        <v>0</v>
      </c>
      <c r="Y31" s="67">
        <f t="shared" si="23"/>
        <v>0</v>
      </c>
    </row>
    <row r="32" spans="2:26" x14ac:dyDescent="0.35">
      <c r="D32" t="s">
        <v>169</v>
      </c>
      <c r="K32" s="43" t="str">
        <f t="shared" si="5"/>
        <v>JPY'000</v>
      </c>
      <c r="L32" s="84">
        <f t="shared" si="6"/>
        <v>0</v>
      </c>
      <c r="O32" s="66">
        <v>0</v>
      </c>
      <c r="P32" s="57">
        <v>0</v>
      </c>
      <c r="Q32" s="57">
        <v>0</v>
      </c>
      <c r="R32" s="57">
        <v>0</v>
      </c>
      <c r="S32" s="57">
        <v>0</v>
      </c>
      <c r="T32" s="57">
        <v>0</v>
      </c>
      <c r="U32" s="57">
        <v>0</v>
      </c>
      <c r="V32" s="57">
        <v>0</v>
      </c>
      <c r="W32" s="57">
        <v>0</v>
      </c>
      <c r="X32" s="57">
        <v>0</v>
      </c>
      <c r="Y32" s="57">
        <v>0</v>
      </c>
    </row>
    <row r="33" spans="2:25" x14ac:dyDescent="0.35">
      <c r="D33" s="4" t="s">
        <v>157</v>
      </c>
      <c r="E33" s="5"/>
      <c r="F33" s="5"/>
      <c r="G33" s="5"/>
      <c r="H33" s="5"/>
      <c r="I33" s="5"/>
      <c r="J33" s="5"/>
      <c r="K33" s="45" t="str">
        <f t="shared" si="5"/>
        <v>JPY'000</v>
      </c>
      <c r="L33" s="85">
        <f t="shared" si="6"/>
        <v>1110558.0125842658</v>
      </c>
      <c r="M33" s="5"/>
      <c r="N33" s="5"/>
      <c r="O33" s="67">
        <f>SUM(O31:O32)</f>
        <v>0</v>
      </c>
      <c r="P33" s="67">
        <f>SUM(P31:P32)</f>
        <v>-100000</v>
      </c>
      <c r="Q33" s="67">
        <f>SUM(Q31:Q32)</f>
        <v>64475</v>
      </c>
      <c r="R33" s="67">
        <f t="shared" ref="R33" si="24">SUM(R31:R32)</f>
        <v>144374.8125</v>
      </c>
      <c r="S33" s="67">
        <f t="shared" ref="S33" si="25">SUM(S31:S32)</f>
        <v>232969.34125000006</v>
      </c>
      <c r="T33" s="67">
        <f t="shared" ref="T33" si="26">SUM(T31:T32)</f>
        <v>330701.87427968765</v>
      </c>
      <c r="U33" s="67">
        <f t="shared" ref="U33" si="27">SUM(U31:U32)</f>
        <v>438036.98455457808</v>
      </c>
      <c r="V33" s="67">
        <f t="shared" ref="V33" si="28">SUM(V31:V32)</f>
        <v>0</v>
      </c>
      <c r="W33" s="67">
        <f t="shared" ref="W33" si="29">SUM(W31:W32)</f>
        <v>0</v>
      </c>
      <c r="X33" s="67">
        <f t="shared" ref="X33" si="30">SUM(X31:X32)</f>
        <v>0</v>
      </c>
      <c r="Y33" s="67">
        <f t="shared" ref="Y33" si="31">SUM(Y31:Y32)</f>
        <v>0</v>
      </c>
    </row>
    <row r="34" spans="2:25" x14ac:dyDescent="0.35">
      <c r="D34" t="s">
        <v>178</v>
      </c>
      <c r="K34" s="43" t="str">
        <f t="shared" si="5"/>
        <v>JPY'000</v>
      </c>
      <c r="L34" s="84">
        <f t="shared" si="6"/>
        <v>0</v>
      </c>
      <c r="O34" s="66">
        <v>0</v>
      </c>
      <c r="P34" s="57">
        <v>0</v>
      </c>
      <c r="Q34" s="57">
        <v>0</v>
      </c>
      <c r="R34" s="57">
        <v>0</v>
      </c>
      <c r="S34" s="57">
        <v>0</v>
      </c>
      <c r="T34" s="57">
        <v>0</v>
      </c>
      <c r="U34" s="57">
        <v>0</v>
      </c>
      <c r="V34" s="57">
        <v>0</v>
      </c>
      <c r="W34" s="57">
        <v>0</v>
      </c>
      <c r="X34" s="57">
        <v>0</v>
      </c>
      <c r="Y34" s="57">
        <v>0</v>
      </c>
    </row>
    <row r="35" spans="2:25" x14ac:dyDescent="0.35">
      <c r="D35" t="s">
        <v>179</v>
      </c>
      <c r="K35" s="43" t="str">
        <f t="shared" si="5"/>
        <v>JPY'000</v>
      </c>
      <c r="L35" s="84">
        <f t="shared" si="6"/>
        <v>0</v>
      </c>
      <c r="O35" s="66">
        <v>0</v>
      </c>
      <c r="P35" s="57">
        <v>0</v>
      </c>
      <c r="Q35" s="57">
        <v>0</v>
      </c>
      <c r="R35" s="57">
        <v>0</v>
      </c>
      <c r="S35" s="57">
        <v>0</v>
      </c>
      <c r="T35" s="57">
        <v>0</v>
      </c>
      <c r="U35" s="57">
        <v>0</v>
      </c>
      <c r="V35" s="57">
        <v>0</v>
      </c>
      <c r="W35" s="57">
        <v>0</v>
      </c>
      <c r="X35" s="57">
        <v>0</v>
      </c>
      <c r="Y35" s="57">
        <v>0</v>
      </c>
    </row>
    <row r="36" spans="2:25" x14ac:dyDescent="0.35">
      <c r="D36" s="4" t="s">
        <v>158</v>
      </c>
      <c r="E36" s="5"/>
      <c r="F36" s="5"/>
      <c r="G36" s="5"/>
      <c r="H36" s="5"/>
      <c r="I36" s="5"/>
      <c r="J36" s="5"/>
      <c r="K36" s="45" t="str">
        <f t="shared" si="5"/>
        <v>JPY'000</v>
      </c>
      <c r="L36" s="85">
        <f t="shared" si="6"/>
        <v>1110558.0125842658</v>
      </c>
      <c r="M36" s="5"/>
      <c r="N36" s="5"/>
      <c r="O36" s="67">
        <f>SUM(O33:O35)</f>
        <v>0</v>
      </c>
      <c r="P36" s="67">
        <f t="shared" ref="P36:Y36" si="32">SUM(P33:P35)</f>
        <v>-100000</v>
      </c>
      <c r="Q36" s="67">
        <f>SUM(Q33:Q35)</f>
        <v>64475</v>
      </c>
      <c r="R36" s="67">
        <f>SUM(R33:R35)</f>
        <v>144374.8125</v>
      </c>
      <c r="S36" s="67">
        <f>SUM(S33:S35)</f>
        <v>232969.34125000006</v>
      </c>
      <c r="T36" s="67">
        <f>SUM(T33:T35)</f>
        <v>330701.87427968765</v>
      </c>
      <c r="U36" s="67">
        <f>SUM(U33:U35)</f>
        <v>438036.98455457808</v>
      </c>
      <c r="V36" s="67">
        <f t="shared" si="32"/>
        <v>0</v>
      </c>
      <c r="W36" s="67">
        <f t="shared" si="32"/>
        <v>0</v>
      </c>
      <c r="X36" s="67">
        <f t="shared" si="32"/>
        <v>0</v>
      </c>
      <c r="Y36" s="67">
        <f t="shared" si="32"/>
        <v>0</v>
      </c>
    </row>
    <row r="37" spans="2:25" x14ac:dyDescent="0.35"/>
    <row r="38" spans="2:25" ht="19.5" x14ac:dyDescent="0.35">
      <c r="B38" s="39" t="s">
        <v>172</v>
      </c>
    </row>
    <row r="39" spans="2:25" x14ac:dyDescent="0.35">
      <c r="C39" s="8" t="s">
        <v>175</v>
      </c>
    </row>
    <row r="40" spans="2:25" x14ac:dyDescent="0.35">
      <c r="D40" t="s">
        <v>173</v>
      </c>
      <c r="K40" s="43" t="str">
        <f t="shared" ref="K40:K44" si="33">CurrencyUnit.In</f>
        <v>JPY'000</v>
      </c>
      <c r="L40" s="8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33"/>
        <v>JPY'000</v>
      </c>
      <c r="L41" s="8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33"/>
        <v>JPY'000</v>
      </c>
      <c r="L42" s="8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33"/>
        <v>JPY'000</v>
      </c>
      <c r="L43" s="8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33"/>
        <v>JPY'000</v>
      </c>
      <c r="L44" s="8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34">CurrencyUnit.In</f>
        <v>JPY'000</v>
      </c>
      <c r="L45" s="85"/>
      <c r="M45" s="5"/>
      <c r="N45" s="5"/>
      <c r="O45" s="67">
        <f>SUM(O40:O44)</f>
        <v>500</v>
      </c>
      <c r="P45" s="67">
        <f>SUM(P40:P44)</f>
        <v>500</v>
      </c>
      <c r="Q45" s="67">
        <f>SUM(Q40:Q44)</f>
        <v>500</v>
      </c>
      <c r="R45" s="67">
        <f>SUM(R40:R44)</f>
        <v>500</v>
      </c>
      <c r="S45" s="67">
        <f>SUM(S40:S44)</f>
        <v>500</v>
      </c>
      <c r="T45" s="67">
        <f t="shared" ref="T45:Y45" si="35">SUM(T40:T44)</f>
        <v>500</v>
      </c>
      <c r="U45" s="67">
        <f t="shared" si="35"/>
        <v>500</v>
      </c>
      <c r="V45" s="67">
        <f t="shared" si="35"/>
        <v>500</v>
      </c>
      <c r="W45" s="67">
        <f t="shared" si="35"/>
        <v>500</v>
      </c>
      <c r="X45" s="67">
        <f t="shared" si="35"/>
        <v>500</v>
      </c>
      <c r="Y45" s="67">
        <f t="shared" si="35"/>
        <v>500</v>
      </c>
    </row>
    <row r="46" spans="2:25" x14ac:dyDescent="0.35"/>
    <row r="47" spans="2:25" x14ac:dyDescent="0.35">
      <c r="C47" s="8" t="s">
        <v>182</v>
      </c>
    </row>
    <row r="48" spans="2:25" x14ac:dyDescent="0.35">
      <c r="D48" t="s">
        <v>180</v>
      </c>
      <c r="K48" s="43" t="str">
        <f t="shared" ref="K48:K51" si="36">CurrencyUnit.In</f>
        <v>JPY'000</v>
      </c>
      <c r="L48" s="8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36"/>
        <v>JPY'000</v>
      </c>
      <c r="L49" s="84"/>
      <c r="O49" s="68"/>
      <c r="P49" s="69"/>
      <c r="Q49" s="69"/>
      <c r="R49" s="69"/>
      <c r="S49" s="69"/>
      <c r="T49" s="69"/>
      <c r="U49" s="69"/>
      <c r="V49" s="69"/>
      <c r="W49" s="69"/>
      <c r="X49" s="69"/>
      <c r="Y49" s="69"/>
    </row>
    <row r="50" spans="1:49" x14ac:dyDescent="0.35">
      <c r="D50" t="s">
        <v>181</v>
      </c>
      <c r="K50" s="43" t="str">
        <f t="shared" si="36"/>
        <v>JPY'000</v>
      </c>
      <c r="L50" s="8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36"/>
        <v>JPY'000</v>
      </c>
      <c r="L51" s="85"/>
      <c r="M51" s="5"/>
      <c r="N51" s="5"/>
      <c r="O51" s="67">
        <f>SUM(O48:O50)</f>
        <v>200</v>
      </c>
      <c r="P51" s="67">
        <f>SUM(P48:P50)</f>
        <v>200</v>
      </c>
      <c r="Q51" s="67">
        <f>SUM(Q48:Q50)</f>
        <v>200</v>
      </c>
      <c r="R51" s="67">
        <f>SUM(R48:R50)</f>
        <v>200</v>
      </c>
      <c r="S51" s="67">
        <f t="shared" ref="S51:Y51" si="37">SUM(S48:S50)</f>
        <v>200</v>
      </c>
      <c r="T51" s="67">
        <f t="shared" si="37"/>
        <v>200</v>
      </c>
      <c r="U51" s="67">
        <f t="shared" si="37"/>
        <v>200</v>
      </c>
      <c r="V51" s="67">
        <f t="shared" si="37"/>
        <v>200</v>
      </c>
      <c r="W51" s="67">
        <f t="shared" si="37"/>
        <v>200</v>
      </c>
      <c r="X51" s="67">
        <f t="shared" si="37"/>
        <v>200</v>
      </c>
      <c r="Y51" s="67">
        <f t="shared" si="37"/>
        <v>200</v>
      </c>
    </row>
    <row r="52" spans="1:49" x14ac:dyDescent="0.35"/>
    <row r="53" spans="1:49" x14ac:dyDescent="0.35">
      <c r="C53" s="8" t="s">
        <v>184</v>
      </c>
    </row>
    <row r="54" spans="1:49" x14ac:dyDescent="0.35">
      <c r="D54" t="s">
        <v>185</v>
      </c>
      <c r="K54" s="43" t="str">
        <f t="shared" ref="K54:K56" si="38">CurrencyUnit.In</f>
        <v>JPY'000</v>
      </c>
      <c r="L54" s="8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8"/>
        <v>JPY'000</v>
      </c>
      <c r="L55" s="8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8"/>
        <v>JPY'000</v>
      </c>
      <c r="L56" s="85"/>
      <c r="M56" s="5"/>
      <c r="N56" s="5"/>
      <c r="O56" s="67">
        <f>SUM(O54:O55)</f>
        <v>200</v>
      </c>
      <c r="P56" s="67">
        <f>SUM(P54:P55)</f>
        <v>200</v>
      </c>
      <c r="Q56" s="67">
        <f>SUM(Q54:Q55)</f>
        <v>200</v>
      </c>
      <c r="R56" s="67">
        <f t="shared" ref="R56:Y56" si="39">SUM(R54:R55)</f>
        <v>200</v>
      </c>
      <c r="S56" s="67">
        <f t="shared" si="39"/>
        <v>200</v>
      </c>
      <c r="T56" s="67">
        <f t="shared" si="39"/>
        <v>200</v>
      </c>
      <c r="U56" s="67">
        <f t="shared" si="39"/>
        <v>200</v>
      </c>
      <c r="V56" s="67">
        <f t="shared" si="39"/>
        <v>200</v>
      </c>
      <c r="W56" s="67">
        <f t="shared" si="39"/>
        <v>200</v>
      </c>
      <c r="X56" s="67">
        <f t="shared" si="39"/>
        <v>200</v>
      </c>
      <c r="Y56" s="67">
        <f t="shared" si="39"/>
        <v>200</v>
      </c>
    </row>
    <row r="57" spans="1:49" x14ac:dyDescent="0.35"/>
    <row r="58" spans="1:49" x14ac:dyDescent="0.35"/>
    <row r="59" spans="1:49" ht="20.25" thickBot="1" x14ac:dyDescent="0.4">
      <c r="A59" s="10" t="s">
        <v>51</v>
      </c>
      <c r="B59" s="10"/>
      <c r="C59" s="10"/>
      <c r="D59" s="10"/>
      <c r="E59" s="10"/>
      <c r="F59" s="10"/>
      <c r="G59" s="10"/>
      <c r="H59" s="10"/>
      <c r="I59" s="10"/>
      <c r="J59" s="10"/>
      <c r="K59" s="10"/>
      <c r="L59" s="8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301" priority="38">
      <formula>O5="Fcst"</formula>
    </cfRule>
    <cfRule type="expression" dxfId="300" priority="39">
      <formula>O5="Act"</formula>
    </cfRule>
  </conditionalFormatting>
  <conditionalFormatting sqref="J4">
    <cfRule type="expression" dxfId="299" priority="36">
      <formula>J4=TRUE</formula>
    </cfRule>
    <cfRule type="expression" dxfId="298" priority="37">
      <formula>J4=FALSE</formula>
    </cfRule>
  </conditionalFormatting>
  <conditionalFormatting sqref="J3">
    <cfRule type="cellIs" dxfId="297" priority="33" operator="equal">
      <formula>"CHECK"</formula>
    </cfRule>
    <cfRule type="cellIs" dxfId="296" priority="34" stopIfTrue="1" operator="equal">
      <formula>"OK"</formula>
    </cfRule>
    <cfRule type="cellIs" dxfId="295" priority="35" stopIfTrue="1" operator="equal">
      <formula>"ERROR"</formula>
    </cfRule>
  </conditionalFormatting>
  <conditionalFormatting sqref="X5">
    <cfRule type="expression" dxfId="294" priority="15">
      <formula>X5="Fcst"</formula>
    </cfRule>
    <cfRule type="expression" dxfId="293" priority="16">
      <formula>X5="Act"</formula>
    </cfRule>
  </conditionalFormatting>
  <conditionalFormatting sqref="V5:W5">
    <cfRule type="expression" dxfId="292" priority="13">
      <formula>V5="Fcst"</formula>
    </cfRule>
    <cfRule type="expression" dxfId="291" priority="14">
      <formula>V5="Act"</formula>
    </cfRule>
  </conditionalFormatting>
  <conditionalFormatting sqref="W5">
    <cfRule type="expression" dxfId="290" priority="11">
      <formula>W5="Fcst"</formula>
    </cfRule>
    <cfRule type="expression" dxfId="289" priority="12">
      <formula>W5="Act"</formula>
    </cfRule>
  </conditionalFormatting>
  <conditionalFormatting sqref="U5">
    <cfRule type="expression" dxfId="288" priority="9">
      <formula>U5="Fcst"</formula>
    </cfRule>
    <cfRule type="expression" dxfId="287" priority="10">
      <formula>U5="Act"</formula>
    </cfRule>
  </conditionalFormatting>
  <conditionalFormatting sqref="T5">
    <cfRule type="expression" dxfId="286" priority="7">
      <formula>T5="Fcst"</formula>
    </cfRule>
    <cfRule type="expression" dxfId="285" priority="8">
      <formula>T5="Act"</formula>
    </cfRule>
  </conditionalFormatting>
  <conditionalFormatting sqref="R5:S5">
    <cfRule type="expression" dxfId="284" priority="5">
      <formula>R5="Fcst"</formula>
    </cfRule>
    <cfRule type="expression" dxfId="283" priority="6">
      <formula>R5="Act"</formula>
    </cfRule>
  </conditionalFormatting>
  <conditionalFormatting sqref="S5">
    <cfRule type="expression" dxfId="282" priority="3">
      <formula>S5="Fcst"</formula>
    </cfRule>
    <cfRule type="expression" dxfId="281" priority="4">
      <formula>S5="Act"</formula>
    </cfRule>
  </conditionalFormatting>
  <conditionalFormatting sqref="Q5">
    <cfRule type="expression" dxfId="280" priority="1">
      <formula>Q5="Fcst"</formula>
    </cfRule>
    <cfRule type="expression" dxfId="279"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138"/>
  <sheetViews>
    <sheetView showGridLines="0" tabSelected="1" zoomScaleNormal="100" workbookViewId="0">
      <pane xSplit="14" ySplit="14" topLeftCell="O78" activePane="bottomRight" state="frozen"/>
      <selection pane="topRight" activeCell="O1" sqref="O1"/>
      <selection pane="bottomLeft" activeCell="A15" sqref="A15"/>
      <selection pane="bottomRight" activeCell="O90" sqref="O90"/>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40.570312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AND(J15:J138,TRUE)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90" t="str">
        <f t="shared" ref="O5:Y5" si="1">PeriodLabel.A.Ca</f>
        <v>Fcst</v>
      </c>
      <c r="P5" s="90" t="str">
        <f t="shared" si="1"/>
        <v>Fcst</v>
      </c>
      <c r="Q5" s="90" t="str">
        <f t="shared" si="1"/>
        <v>Fcst</v>
      </c>
      <c r="R5" s="90" t="str">
        <f t="shared" si="1"/>
        <v>Fcst</v>
      </c>
      <c r="S5" s="90" t="str">
        <f t="shared" si="1"/>
        <v>Fcst</v>
      </c>
      <c r="T5" s="90" t="str">
        <f t="shared" si="1"/>
        <v>Fcst</v>
      </c>
      <c r="U5" s="90" t="str">
        <f t="shared" si="1"/>
        <v>Fcst</v>
      </c>
      <c r="V5" s="90" t="str">
        <f t="shared" si="1"/>
        <v>Fcst</v>
      </c>
      <c r="W5" s="90" t="str">
        <f t="shared" si="1"/>
        <v>Fcst</v>
      </c>
      <c r="X5" s="90" t="str">
        <f t="shared" si="1"/>
        <v>Fcst</v>
      </c>
      <c r="Y5" s="90"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6" ht="15.75" x14ac:dyDescent="0.35"/>
    <row r="18" spans="2:26" ht="15.75" x14ac:dyDescent="0.35"/>
    <row r="19" spans="2:26" ht="19.5" x14ac:dyDescent="0.35">
      <c r="B19" s="39" t="s">
        <v>188</v>
      </c>
    </row>
    <row r="20" spans="2:26" ht="15.75" x14ac:dyDescent="0.35">
      <c r="C20" s="8" t="s">
        <v>195</v>
      </c>
    </row>
    <row r="21" spans="2:26" ht="15.75" x14ac:dyDescent="0.35">
      <c r="D21" t="s">
        <v>199</v>
      </c>
      <c r="K21" s="43" t="s">
        <v>8</v>
      </c>
      <c r="L21" s="44"/>
      <c r="O21" s="14" t="b">
        <f t="shared" ref="O21:Y21" si="5">OperationStartFlag.A.Ca</f>
        <v>0</v>
      </c>
      <c r="P21" s="14" t="b">
        <f t="shared" si="5"/>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6" ht="15.75" x14ac:dyDescent="0.35">
      <c r="D22" t="s">
        <v>200</v>
      </c>
      <c r="K22" s="43" t="s">
        <v>8</v>
      </c>
      <c r="L22" s="44"/>
      <c r="O22" s="14" t="b">
        <f t="shared" ref="O22:Y22" si="6">OperationPeriodFlag.A.Ca</f>
        <v>0</v>
      </c>
      <c r="P22" s="14" t="b">
        <f t="shared" si="6"/>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6" ht="15.75" x14ac:dyDescent="0.35">
      <c r="D23" t="s">
        <v>197</v>
      </c>
      <c r="K23" s="43" t="s">
        <v>44</v>
      </c>
      <c r="L23" s="44"/>
      <c r="M23" s="73">
        <f>InitialSalesVolume.In</f>
        <v>5000</v>
      </c>
    </row>
    <row r="24" spans="2:26" ht="15.75" x14ac:dyDescent="0.35">
      <c r="D24" t="s">
        <v>198</v>
      </c>
      <c r="K24" s="43" t="s">
        <v>44</v>
      </c>
      <c r="L24" s="44"/>
      <c r="M24" s="86">
        <f>SalesVolumeGrowthNumber.In</f>
        <v>500</v>
      </c>
    </row>
    <row r="25" spans="2:26" ht="15.75" x14ac:dyDescent="0.35">
      <c r="D25" s="4" t="s">
        <v>195</v>
      </c>
      <c r="E25" s="5"/>
      <c r="F25" s="5"/>
      <c r="G25" s="5"/>
      <c r="H25" s="5"/>
      <c r="I25" s="5"/>
      <c r="J25" s="5"/>
      <c r="K25" s="45" t="s">
        <v>191</v>
      </c>
      <c r="L25" s="46"/>
      <c r="M25" s="5"/>
      <c r="N25" s="88">
        <v>0</v>
      </c>
      <c r="O25" s="67">
        <f t="shared" ref="O25:U25" si="7">IF(O21,$M23,IF(O22,N25+$M24,0))</f>
        <v>0</v>
      </c>
      <c r="P25" s="67">
        <f t="shared" si="7"/>
        <v>0</v>
      </c>
      <c r="Q25" s="67">
        <f t="shared" si="7"/>
        <v>5000</v>
      </c>
      <c r="R25" s="67">
        <f t="shared" si="7"/>
        <v>5500</v>
      </c>
      <c r="S25" s="67">
        <f t="shared" si="7"/>
        <v>6000</v>
      </c>
      <c r="T25" s="67">
        <f t="shared" si="7"/>
        <v>6500</v>
      </c>
      <c r="U25" s="67">
        <f t="shared" si="7"/>
        <v>7000</v>
      </c>
      <c r="V25" s="67">
        <f t="shared" ref="V25:Y25" si="8">IF(V21,$M23,IF(V22,U25+$M24,0))</f>
        <v>0</v>
      </c>
      <c r="W25" s="67">
        <f t="shared" si="8"/>
        <v>0</v>
      </c>
      <c r="X25" s="67">
        <f t="shared" si="8"/>
        <v>0</v>
      </c>
      <c r="Y25" s="67">
        <f t="shared" si="8"/>
        <v>0</v>
      </c>
      <c r="Z25" s="9" t="s">
        <v>248</v>
      </c>
    </row>
    <row r="26" spans="2:26" ht="15.75" x14ac:dyDescent="0.35"/>
    <row r="27" spans="2:26" ht="15.75" x14ac:dyDescent="0.35">
      <c r="C27" s="8" t="s">
        <v>190</v>
      </c>
    </row>
    <row r="28" spans="2:26" ht="15.75" x14ac:dyDescent="0.35">
      <c r="D28" t="s">
        <v>195</v>
      </c>
      <c r="K28" s="43" t="s">
        <v>44</v>
      </c>
      <c r="L28" s="44">
        <f>SUM(O28:Y28)</f>
        <v>30000</v>
      </c>
      <c r="O28" s="70">
        <f>O25</f>
        <v>0</v>
      </c>
      <c r="P28" s="70">
        <f t="shared" ref="P28:Y28" si="9">P25</f>
        <v>0</v>
      </c>
      <c r="Q28" s="70">
        <f t="shared" si="9"/>
        <v>5000</v>
      </c>
      <c r="R28" s="70">
        <f t="shared" si="9"/>
        <v>5500</v>
      </c>
      <c r="S28" s="70">
        <f t="shared" si="9"/>
        <v>6000</v>
      </c>
      <c r="T28" s="70">
        <f t="shared" si="9"/>
        <v>6500</v>
      </c>
      <c r="U28" s="70">
        <f t="shared" si="9"/>
        <v>7000</v>
      </c>
      <c r="V28" s="70">
        <f t="shared" si="9"/>
        <v>0</v>
      </c>
      <c r="W28" s="70">
        <f t="shared" si="9"/>
        <v>0</v>
      </c>
      <c r="X28" s="70">
        <f t="shared" si="9"/>
        <v>0</v>
      </c>
      <c r="Y28" s="70">
        <f t="shared" si="9"/>
        <v>0</v>
      </c>
    </row>
    <row r="29" spans="2:26" ht="15.75" x14ac:dyDescent="0.35">
      <c r="D29" t="s">
        <v>196</v>
      </c>
      <c r="K29" s="43" t="s">
        <v>194</v>
      </c>
      <c r="L29" s="44"/>
      <c r="M29" s="74">
        <f>UrbanRatio.In</f>
        <v>0.65</v>
      </c>
    </row>
    <row r="30" spans="2:26" ht="15.75" x14ac:dyDescent="0.35">
      <c r="D30" s="4" t="s">
        <v>190</v>
      </c>
      <c r="E30" s="5"/>
      <c r="F30" s="5"/>
      <c r="G30" s="5"/>
      <c r="H30" s="5"/>
      <c r="I30" s="5"/>
      <c r="J30" s="5"/>
      <c r="K30" s="45" t="s">
        <v>44</v>
      </c>
      <c r="L30" s="46">
        <f>SUM(O30:Y30)</f>
        <v>19500</v>
      </c>
      <c r="M30" s="5"/>
      <c r="N30" s="5"/>
      <c r="O30" s="67">
        <f>O28*$M29</f>
        <v>0</v>
      </c>
      <c r="P30" s="67">
        <f>P28*$M29</f>
        <v>0</v>
      </c>
      <c r="Q30" s="67">
        <f>Q28*$M29</f>
        <v>3250</v>
      </c>
      <c r="R30" s="67">
        <f>R28*$M29</f>
        <v>3575</v>
      </c>
      <c r="S30" s="67">
        <f>S28*$M29</f>
        <v>3900</v>
      </c>
      <c r="T30" s="67">
        <f t="shared" ref="T30:V30" si="10">T28*$M29</f>
        <v>4225</v>
      </c>
      <c r="U30" s="67">
        <f t="shared" si="10"/>
        <v>4550</v>
      </c>
      <c r="V30" s="67">
        <f t="shared" si="10"/>
        <v>0</v>
      </c>
      <c r="W30" s="67">
        <f t="shared" ref="W30:Y30" si="11">W28*$M29</f>
        <v>0</v>
      </c>
      <c r="X30" s="67">
        <f t="shared" si="11"/>
        <v>0</v>
      </c>
      <c r="Y30" s="67">
        <f t="shared" si="11"/>
        <v>0</v>
      </c>
    </row>
    <row r="31" spans="2:26" ht="15.75" x14ac:dyDescent="0.35"/>
    <row r="32" spans="2:26" ht="15.75" x14ac:dyDescent="0.35">
      <c r="C32" s="8" t="s">
        <v>189</v>
      </c>
    </row>
    <row r="33" spans="2:26" ht="15.75" x14ac:dyDescent="0.35">
      <c r="D33" t="s">
        <v>199</v>
      </c>
      <c r="K33" s="43" t="s">
        <v>8</v>
      </c>
      <c r="L33" s="44"/>
      <c r="O33" s="14" t="b">
        <f t="shared" ref="O33:Y33" si="12">OperationStartFlag.A.Ca</f>
        <v>0</v>
      </c>
      <c r="P33" s="14" t="b">
        <f t="shared" si="12"/>
        <v>0</v>
      </c>
      <c r="Q33" s="14" t="b">
        <f t="shared" si="12"/>
        <v>1</v>
      </c>
      <c r="R33" s="14" t="b">
        <f t="shared" si="12"/>
        <v>0</v>
      </c>
      <c r="S33" s="14" t="b">
        <f t="shared" si="12"/>
        <v>0</v>
      </c>
      <c r="T33" s="14" t="b">
        <f t="shared" si="12"/>
        <v>0</v>
      </c>
      <c r="U33" s="14" t="b">
        <f t="shared" si="12"/>
        <v>0</v>
      </c>
      <c r="V33" s="14" t="b">
        <f t="shared" si="12"/>
        <v>0</v>
      </c>
      <c r="W33" s="14" t="b">
        <f t="shared" si="12"/>
        <v>0</v>
      </c>
      <c r="X33" s="14" t="b">
        <f t="shared" si="12"/>
        <v>0</v>
      </c>
      <c r="Y33" s="14" t="b">
        <f t="shared" si="12"/>
        <v>0</v>
      </c>
    </row>
    <row r="34" spans="2:26" ht="15.75" x14ac:dyDescent="0.35">
      <c r="D34" t="s">
        <v>200</v>
      </c>
      <c r="K34" s="43" t="s">
        <v>8</v>
      </c>
      <c r="L34" s="44"/>
      <c r="O34" s="14" t="b">
        <f t="shared" ref="O34:Y34" si="13">OperationPeriodFlag.A.Ca</f>
        <v>0</v>
      </c>
      <c r="P34" s="14" t="b">
        <f t="shared" si="13"/>
        <v>0</v>
      </c>
      <c r="Q34" s="14" t="b">
        <f t="shared" si="13"/>
        <v>1</v>
      </c>
      <c r="R34" s="14" t="b">
        <f t="shared" si="13"/>
        <v>1</v>
      </c>
      <c r="S34" s="14" t="b">
        <f t="shared" si="13"/>
        <v>1</v>
      </c>
      <c r="T34" s="14" t="b">
        <f t="shared" si="13"/>
        <v>1</v>
      </c>
      <c r="U34" s="14" t="b">
        <f t="shared" si="13"/>
        <v>1</v>
      </c>
      <c r="V34" s="14" t="b">
        <f t="shared" si="13"/>
        <v>0</v>
      </c>
      <c r="W34" s="14" t="b">
        <f t="shared" si="13"/>
        <v>0</v>
      </c>
      <c r="X34" s="14" t="b">
        <f t="shared" si="13"/>
        <v>0</v>
      </c>
      <c r="Y34" s="14" t="b">
        <f t="shared" si="13"/>
        <v>0</v>
      </c>
    </row>
    <row r="35" spans="2:26" ht="15.75" x14ac:dyDescent="0.35">
      <c r="D35" t="s">
        <v>192</v>
      </c>
      <c r="K35" s="43" t="str">
        <f t="shared" ref="K35:K37" si="14">CurrencyUnit.In</f>
        <v>JPY'000</v>
      </c>
      <c r="L35" s="44"/>
      <c r="M35" s="73">
        <f>InitialSalesPrice.Urban.In</f>
        <v>200</v>
      </c>
    </row>
    <row r="36" spans="2:26" ht="15.75" x14ac:dyDescent="0.35">
      <c r="D36" t="s">
        <v>193</v>
      </c>
      <c r="K36" s="43" t="s">
        <v>194</v>
      </c>
      <c r="L36" s="44"/>
      <c r="M36" s="74">
        <f>SalesPriceGrowthRate.Urban.In</f>
        <v>0.04</v>
      </c>
    </row>
    <row r="37" spans="2:26" ht="15.75" x14ac:dyDescent="0.35">
      <c r="D37" s="4" t="s">
        <v>189</v>
      </c>
      <c r="E37" s="5"/>
      <c r="F37" s="5"/>
      <c r="G37" s="5"/>
      <c r="H37" s="5"/>
      <c r="I37" s="5"/>
      <c r="J37" s="5"/>
      <c r="K37" s="45" t="str">
        <f t="shared" si="14"/>
        <v>JPY'000</v>
      </c>
      <c r="L37" s="46"/>
      <c r="M37" s="5"/>
      <c r="N37" s="88">
        <v>0</v>
      </c>
      <c r="O37" s="67">
        <f t="shared" ref="O37:T37" si="15">IF(O33,$M35,IF(O34,N37*(1+$M36),0))</f>
        <v>0</v>
      </c>
      <c r="P37" s="67">
        <f t="shared" si="15"/>
        <v>0</v>
      </c>
      <c r="Q37" s="67">
        <f t="shared" si="15"/>
        <v>200</v>
      </c>
      <c r="R37" s="67">
        <f t="shared" si="15"/>
        <v>208</v>
      </c>
      <c r="S37" s="67">
        <f t="shared" si="15"/>
        <v>216.32</v>
      </c>
      <c r="T37" s="67">
        <f t="shared" si="15"/>
        <v>224.97280000000001</v>
      </c>
      <c r="U37" s="67">
        <f t="shared" ref="U37:V37" si="16">IF(U33,$M35,IF(U34,T37*(1+$M36),0))</f>
        <v>233.97171200000003</v>
      </c>
      <c r="V37" s="67">
        <f t="shared" si="16"/>
        <v>0</v>
      </c>
      <c r="W37" s="67">
        <f t="shared" ref="W37:Y37" si="17">IF(W33,$M35,IF(W34,V37*(1+$M36),0))</f>
        <v>0</v>
      </c>
      <c r="X37" s="67">
        <f t="shared" si="17"/>
        <v>0</v>
      </c>
      <c r="Y37" s="67">
        <f t="shared" si="17"/>
        <v>0</v>
      </c>
    </row>
    <row r="38" spans="2:26" ht="15.75" x14ac:dyDescent="0.35"/>
    <row r="39" spans="2:26" ht="15.75" x14ac:dyDescent="0.35">
      <c r="C39" s="8" t="s">
        <v>188</v>
      </c>
    </row>
    <row r="40" spans="2:26" ht="15.75" x14ac:dyDescent="0.35">
      <c r="D40" t="s">
        <v>189</v>
      </c>
      <c r="K40" s="43" t="str">
        <f t="shared" ref="K40:K42" si="18">CurrencyUnit.In</f>
        <v>JPY'000</v>
      </c>
      <c r="L40" s="44"/>
      <c r="O40" s="70">
        <f t="shared" ref="O40:Y40" si="19">O37</f>
        <v>0</v>
      </c>
      <c r="P40" s="70">
        <f t="shared" si="19"/>
        <v>0</v>
      </c>
      <c r="Q40" s="70">
        <f t="shared" si="19"/>
        <v>200</v>
      </c>
      <c r="R40" s="70">
        <f t="shared" si="19"/>
        <v>208</v>
      </c>
      <c r="S40" s="70">
        <f t="shared" si="19"/>
        <v>216.32</v>
      </c>
      <c r="T40" s="70">
        <f t="shared" si="19"/>
        <v>224.97280000000001</v>
      </c>
      <c r="U40" s="70">
        <f t="shared" si="19"/>
        <v>233.97171200000003</v>
      </c>
      <c r="V40" s="70">
        <f t="shared" si="19"/>
        <v>0</v>
      </c>
      <c r="W40" s="70">
        <f t="shared" si="19"/>
        <v>0</v>
      </c>
      <c r="X40" s="70">
        <f t="shared" si="19"/>
        <v>0</v>
      </c>
      <c r="Y40" s="70">
        <f t="shared" si="19"/>
        <v>0</v>
      </c>
    </row>
    <row r="41" spans="2:26" ht="15.75" x14ac:dyDescent="0.35">
      <c r="D41" t="s">
        <v>190</v>
      </c>
      <c r="K41" s="43" t="s">
        <v>44</v>
      </c>
      <c r="L41" s="44">
        <f>SUM(O41:Y41)</f>
        <v>19500</v>
      </c>
      <c r="O41" s="70">
        <f t="shared" ref="O41:Y41" si="20">O30</f>
        <v>0</v>
      </c>
      <c r="P41" s="70">
        <f t="shared" si="20"/>
        <v>0</v>
      </c>
      <c r="Q41" s="70">
        <f t="shared" si="20"/>
        <v>3250</v>
      </c>
      <c r="R41" s="70">
        <f t="shared" si="20"/>
        <v>3575</v>
      </c>
      <c r="S41" s="70">
        <f t="shared" si="20"/>
        <v>3900</v>
      </c>
      <c r="T41" s="70">
        <f t="shared" si="20"/>
        <v>4225</v>
      </c>
      <c r="U41" s="70">
        <f t="shared" si="20"/>
        <v>4550</v>
      </c>
      <c r="V41" s="70">
        <f t="shared" si="20"/>
        <v>0</v>
      </c>
      <c r="W41" s="70">
        <f t="shared" si="20"/>
        <v>0</v>
      </c>
      <c r="X41" s="70">
        <f t="shared" si="20"/>
        <v>0</v>
      </c>
      <c r="Y41" s="70">
        <f t="shared" si="20"/>
        <v>0</v>
      </c>
    </row>
    <row r="42" spans="2:26" ht="15.75" x14ac:dyDescent="0.35">
      <c r="D42" s="4" t="s">
        <v>188</v>
      </c>
      <c r="E42" s="5"/>
      <c r="F42" s="5"/>
      <c r="G42" s="5"/>
      <c r="H42" s="5"/>
      <c r="I42" s="5"/>
      <c r="J42" s="5"/>
      <c r="K42" s="45" t="str">
        <f t="shared" si="18"/>
        <v>JPY'000</v>
      </c>
      <c r="L42" s="46">
        <f>SUM(O42:Y42)</f>
        <v>4252329.3695999999</v>
      </c>
      <c r="M42" s="5"/>
      <c r="N42" s="5"/>
      <c r="O42" s="67">
        <f>O40*O41</f>
        <v>0</v>
      </c>
      <c r="P42" s="67">
        <f>P40*P41</f>
        <v>0</v>
      </c>
      <c r="Q42" s="67">
        <f>Q40*Q41</f>
        <v>650000</v>
      </c>
      <c r="R42" s="67">
        <f>R40*R41</f>
        <v>743600</v>
      </c>
      <c r="S42" s="67">
        <f>S40*S41</f>
        <v>843648</v>
      </c>
      <c r="T42" s="67">
        <f t="shared" ref="T42:Y42" si="21">T40*T41</f>
        <v>950510.08000000007</v>
      </c>
      <c r="U42" s="67">
        <f t="shared" si="21"/>
        <v>1064571.2896</v>
      </c>
      <c r="V42" s="67">
        <f t="shared" si="21"/>
        <v>0</v>
      </c>
      <c r="W42" s="67">
        <f t="shared" si="21"/>
        <v>0</v>
      </c>
      <c r="X42" s="67">
        <f t="shared" si="21"/>
        <v>0</v>
      </c>
      <c r="Y42" s="67">
        <f t="shared" si="21"/>
        <v>0</v>
      </c>
      <c r="Z42" s="9" t="s">
        <v>225</v>
      </c>
    </row>
    <row r="43" spans="2:26" ht="15.75" x14ac:dyDescent="0.35"/>
    <row r="44" spans="2:26" ht="19.5" x14ac:dyDescent="0.35">
      <c r="B44" s="39" t="s">
        <v>204</v>
      </c>
    </row>
    <row r="45" spans="2:26" ht="15.75" x14ac:dyDescent="0.35">
      <c r="C45" s="8" t="s">
        <v>206</v>
      </c>
    </row>
    <row r="46" spans="2:26" ht="15.75" x14ac:dyDescent="0.35">
      <c r="D46" s="78" t="s">
        <v>213</v>
      </c>
      <c r="K46" s="43" t="s">
        <v>194</v>
      </c>
      <c r="L46" s="44"/>
      <c r="M46" s="89">
        <v>1</v>
      </c>
    </row>
    <row r="47" spans="2:26" ht="15.75" x14ac:dyDescent="0.35">
      <c r="D47" t="s">
        <v>196</v>
      </c>
      <c r="K47" s="43" t="s">
        <v>194</v>
      </c>
      <c r="L47" s="44"/>
      <c r="M47" s="74">
        <f>0-UrbanRatio.In</f>
        <v>-0.65</v>
      </c>
    </row>
    <row r="48" spans="2:26" ht="15.75" x14ac:dyDescent="0.35">
      <c r="D48" s="4" t="s">
        <v>206</v>
      </c>
      <c r="E48" s="5"/>
      <c r="F48" s="5"/>
      <c r="G48" s="5"/>
      <c r="H48" s="5"/>
      <c r="I48" s="5"/>
      <c r="J48" s="5"/>
      <c r="K48" s="45" t="s">
        <v>214</v>
      </c>
      <c r="L48" s="46"/>
      <c r="M48" s="79">
        <f>SUM(M46:M47)</f>
        <v>0.35</v>
      </c>
    </row>
    <row r="49" spans="3:25" ht="15.75" x14ac:dyDescent="0.35"/>
    <row r="50" spans="3:25" ht="15.75" x14ac:dyDescent="0.35">
      <c r="C50" s="8" t="s">
        <v>207</v>
      </c>
    </row>
    <row r="51" spans="3:25" ht="15.75" x14ac:dyDescent="0.35">
      <c r="D51" t="s">
        <v>195</v>
      </c>
      <c r="K51" s="43" t="s">
        <v>44</v>
      </c>
      <c r="L51" s="44">
        <f>SUM(O51:Y51)</f>
        <v>30000</v>
      </c>
      <c r="O51" s="70">
        <f t="shared" ref="O51:Y51" si="22">TotalSalesVolume.A.Ca</f>
        <v>0</v>
      </c>
      <c r="P51" s="70">
        <f t="shared" si="22"/>
        <v>0</v>
      </c>
      <c r="Q51" s="70">
        <f t="shared" si="22"/>
        <v>5000</v>
      </c>
      <c r="R51" s="70">
        <f t="shared" si="22"/>
        <v>5500</v>
      </c>
      <c r="S51" s="70">
        <f t="shared" si="22"/>
        <v>6000</v>
      </c>
      <c r="T51" s="70">
        <f t="shared" si="22"/>
        <v>6500</v>
      </c>
      <c r="U51" s="70">
        <f t="shared" si="22"/>
        <v>7000</v>
      </c>
      <c r="V51" s="70">
        <f t="shared" si="22"/>
        <v>0</v>
      </c>
      <c r="W51" s="70">
        <f t="shared" si="22"/>
        <v>0</v>
      </c>
      <c r="X51" s="70">
        <f t="shared" si="22"/>
        <v>0</v>
      </c>
      <c r="Y51" s="70">
        <f t="shared" si="22"/>
        <v>0</v>
      </c>
    </row>
    <row r="52" spans="3:25" ht="15.75" x14ac:dyDescent="0.35">
      <c r="D52" t="s">
        <v>206</v>
      </c>
      <c r="K52" s="43" t="s">
        <v>194</v>
      </c>
      <c r="L52" s="44"/>
      <c r="M52" s="74">
        <f>M48</f>
        <v>0.35</v>
      </c>
    </row>
    <row r="53" spans="3:25" ht="15.75" x14ac:dyDescent="0.35">
      <c r="D53" s="4" t="s">
        <v>207</v>
      </c>
      <c r="E53" s="5"/>
      <c r="F53" s="5"/>
      <c r="G53" s="5"/>
      <c r="H53" s="5"/>
      <c r="I53" s="5"/>
      <c r="J53" s="5"/>
      <c r="K53" s="45" t="s">
        <v>44</v>
      </c>
      <c r="L53" s="46">
        <f>SUM(O53:Y53)</f>
        <v>10500</v>
      </c>
      <c r="M53" s="5"/>
      <c r="N53" s="5"/>
      <c r="O53" s="67">
        <f>O51*$M52</f>
        <v>0</v>
      </c>
      <c r="P53" s="67">
        <f>P51*$M52</f>
        <v>0</v>
      </c>
      <c r="Q53" s="67">
        <f>Q51*$M52</f>
        <v>1750</v>
      </c>
      <c r="R53" s="67">
        <f>R51*$M52</f>
        <v>1924.9999999999998</v>
      </c>
      <c r="S53" s="67">
        <f t="shared" ref="S53:Y53" si="23">S51*$M52</f>
        <v>2100</v>
      </c>
      <c r="T53" s="67">
        <f t="shared" si="23"/>
        <v>2275</v>
      </c>
      <c r="U53" s="67">
        <f t="shared" si="23"/>
        <v>2450</v>
      </c>
      <c r="V53" s="67">
        <f t="shared" si="23"/>
        <v>0</v>
      </c>
      <c r="W53" s="67">
        <f t="shared" si="23"/>
        <v>0</v>
      </c>
      <c r="X53" s="67">
        <f t="shared" si="23"/>
        <v>0</v>
      </c>
      <c r="Y53" s="67">
        <f t="shared" si="23"/>
        <v>0</v>
      </c>
    </row>
    <row r="54" spans="3:25" ht="15.75" x14ac:dyDescent="0.35"/>
    <row r="55" spans="3:25" ht="15.75" x14ac:dyDescent="0.35">
      <c r="C55" s="8" t="s">
        <v>205</v>
      </c>
    </row>
    <row r="56" spans="3:25" ht="15.75" x14ac:dyDescent="0.35">
      <c r="D56" t="s">
        <v>199</v>
      </c>
      <c r="K56" s="43" t="s">
        <v>8</v>
      </c>
      <c r="L56" s="44"/>
      <c r="O56" s="14" t="b">
        <f t="shared" ref="O56:Y56" si="24">OperationStartFlag.A.Ca</f>
        <v>0</v>
      </c>
      <c r="P56" s="14" t="b">
        <f t="shared" si="24"/>
        <v>0</v>
      </c>
      <c r="Q56" s="14" t="b">
        <f t="shared" si="24"/>
        <v>1</v>
      </c>
      <c r="R56" s="14" t="b">
        <f t="shared" si="24"/>
        <v>0</v>
      </c>
      <c r="S56" s="14" t="b">
        <f t="shared" si="24"/>
        <v>0</v>
      </c>
      <c r="T56" s="14" t="b">
        <f t="shared" si="24"/>
        <v>0</v>
      </c>
      <c r="U56" s="14" t="b">
        <f t="shared" si="24"/>
        <v>0</v>
      </c>
      <c r="V56" s="14" t="b">
        <f t="shared" si="24"/>
        <v>0</v>
      </c>
      <c r="W56" s="14" t="b">
        <f t="shared" si="24"/>
        <v>0</v>
      </c>
      <c r="X56" s="14" t="b">
        <f t="shared" si="24"/>
        <v>0</v>
      </c>
      <c r="Y56" s="14" t="b">
        <f t="shared" si="24"/>
        <v>0</v>
      </c>
    </row>
    <row r="57" spans="3:25" ht="15.75" x14ac:dyDescent="0.35">
      <c r="D57" t="s">
        <v>200</v>
      </c>
      <c r="K57" s="43" t="s">
        <v>8</v>
      </c>
      <c r="L57" s="44"/>
      <c r="O57" s="14" t="b">
        <f t="shared" ref="O57:Y57" si="25">OperationPeriodFlag.A.Ca</f>
        <v>0</v>
      </c>
      <c r="P57" s="14" t="b">
        <f t="shared" si="25"/>
        <v>0</v>
      </c>
      <c r="Q57" s="14" t="b">
        <f t="shared" si="25"/>
        <v>1</v>
      </c>
      <c r="R57" s="14" t="b">
        <f t="shared" si="25"/>
        <v>1</v>
      </c>
      <c r="S57" s="14" t="b">
        <f t="shared" si="25"/>
        <v>1</v>
      </c>
      <c r="T57" s="14" t="b">
        <f t="shared" si="25"/>
        <v>1</v>
      </c>
      <c r="U57" s="14" t="b">
        <f t="shared" si="25"/>
        <v>1</v>
      </c>
      <c r="V57" s="14" t="b">
        <f t="shared" si="25"/>
        <v>0</v>
      </c>
      <c r="W57" s="14" t="b">
        <f t="shared" si="25"/>
        <v>0</v>
      </c>
      <c r="X57" s="14" t="b">
        <f t="shared" si="25"/>
        <v>0</v>
      </c>
      <c r="Y57" s="14" t="b">
        <f t="shared" si="25"/>
        <v>0</v>
      </c>
    </row>
    <row r="58" spans="3:25" ht="15.75" x14ac:dyDescent="0.35">
      <c r="D58" t="s">
        <v>192</v>
      </c>
      <c r="K58" s="43" t="str">
        <f t="shared" ref="K58:K60" si="26">CurrencyUnit.In</f>
        <v>JPY'000</v>
      </c>
      <c r="L58" s="44"/>
      <c r="M58" s="73">
        <f>InitialSalesPrice.Local.In</f>
        <v>250</v>
      </c>
    </row>
    <row r="59" spans="3:25" ht="15.75" x14ac:dyDescent="0.35">
      <c r="D59" t="s">
        <v>193</v>
      </c>
      <c r="K59" s="43" t="s">
        <v>194</v>
      </c>
      <c r="L59" s="44"/>
      <c r="M59" s="74">
        <f>SalesPriceGrowthRate.Local.In</f>
        <v>2.5000000000000001E-2</v>
      </c>
    </row>
    <row r="60" spans="3:25" ht="15.75" x14ac:dyDescent="0.35">
      <c r="D60" s="4" t="s">
        <v>205</v>
      </c>
      <c r="E60" s="5"/>
      <c r="F60" s="5"/>
      <c r="G60" s="5"/>
      <c r="H60" s="5"/>
      <c r="I60" s="5"/>
      <c r="J60" s="5"/>
      <c r="K60" s="45" t="str">
        <f t="shared" si="26"/>
        <v>JPY'000</v>
      </c>
      <c r="L60" s="46"/>
      <c r="M60" s="5"/>
      <c r="N60" s="88">
        <v>0</v>
      </c>
      <c r="O60" s="67">
        <f t="shared" ref="O60:T60" si="27">IF(O56,$M58,IF(O57,N60*(1+$M59),0))</f>
        <v>0</v>
      </c>
      <c r="P60" s="67">
        <f t="shared" si="27"/>
        <v>0</v>
      </c>
      <c r="Q60" s="67">
        <f t="shared" si="27"/>
        <v>250</v>
      </c>
      <c r="R60" s="67">
        <f t="shared" si="27"/>
        <v>256.25</v>
      </c>
      <c r="S60" s="67">
        <f t="shared" si="27"/>
        <v>262.65625</v>
      </c>
      <c r="T60" s="67">
        <f t="shared" si="27"/>
        <v>269.22265625</v>
      </c>
      <c r="U60" s="67">
        <f t="shared" ref="U60:Y60" si="28">IF(U56,$M58,IF(U57,T60*(1+$M59),0))</f>
        <v>275.95322265624998</v>
      </c>
      <c r="V60" s="67">
        <f t="shared" si="28"/>
        <v>0</v>
      </c>
      <c r="W60" s="67">
        <f t="shared" si="28"/>
        <v>0</v>
      </c>
      <c r="X60" s="67">
        <f t="shared" si="28"/>
        <v>0</v>
      </c>
      <c r="Y60" s="67">
        <f t="shared" si="28"/>
        <v>0</v>
      </c>
    </row>
    <row r="61" spans="3:25" ht="15.75" x14ac:dyDescent="0.35"/>
    <row r="62" spans="3:25" ht="15.75" x14ac:dyDescent="0.35">
      <c r="C62" s="8" t="s">
        <v>208</v>
      </c>
      <c r="N62" t="s">
        <v>215</v>
      </c>
    </row>
    <row r="63" spans="3:25" ht="15.75" x14ac:dyDescent="0.35">
      <c r="D63" t="s">
        <v>205</v>
      </c>
      <c r="K63" s="43" t="str">
        <f t="shared" ref="K63:K65" si="29">CurrencyUnit.In</f>
        <v>JPY'000</v>
      </c>
      <c r="L63" s="44"/>
      <c r="O63" s="70">
        <f t="shared" ref="O63:Y63" si="30">O60</f>
        <v>0</v>
      </c>
      <c r="P63" s="70">
        <f t="shared" si="30"/>
        <v>0</v>
      </c>
      <c r="Q63" s="70">
        <f t="shared" si="30"/>
        <v>250</v>
      </c>
      <c r="R63" s="70">
        <f t="shared" si="30"/>
        <v>256.25</v>
      </c>
      <c r="S63" s="70">
        <f t="shared" si="30"/>
        <v>262.65625</v>
      </c>
      <c r="T63" s="70">
        <f t="shared" si="30"/>
        <v>269.22265625</v>
      </c>
      <c r="U63" s="70">
        <f t="shared" si="30"/>
        <v>275.95322265624998</v>
      </c>
      <c r="V63" s="70">
        <f t="shared" si="30"/>
        <v>0</v>
      </c>
      <c r="W63" s="70">
        <f t="shared" si="30"/>
        <v>0</v>
      </c>
      <c r="X63" s="70">
        <f t="shared" si="30"/>
        <v>0</v>
      </c>
      <c r="Y63" s="70">
        <f t="shared" si="30"/>
        <v>0</v>
      </c>
    </row>
    <row r="64" spans="3:25" ht="15.75" x14ac:dyDescent="0.35">
      <c r="D64" t="s">
        <v>207</v>
      </c>
      <c r="K64" s="43" t="s">
        <v>44</v>
      </c>
      <c r="L64" s="44">
        <f>SUM(O64:Y64)</f>
        <v>10500</v>
      </c>
      <c r="O64" s="70">
        <f t="shared" ref="O64:Y64" si="31">O53</f>
        <v>0</v>
      </c>
      <c r="P64" s="70">
        <f t="shared" si="31"/>
        <v>0</v>
      </c>
      <c r="Q64" s="70">
        <f t="shared" si="31"/>
        <v>1750</v>
      </c>
      <c r="R64" s="70">
        <f t="shared" si="31"/>
        <v>1924.9999999999998</v>
      </c>
      <c r="S64" s="70">
        <f t="shared" si="31"/>
        <v>2100</v>
      </c>
      <c r="T64" s="70">
        <f t="shared" si="31"/>
        <v>2275</v>
      </c>
      <c r="U64" s="70">
        <f t="shared" si="31"/>
        <v>2450</v>
      </c>
      <c r="V64" s="70">
        <f t="shared" si="31"/>
        <v>0</v>
      </c>
      <c r="W64" s="70">
        <f t="shared" si="31"/>
        <v>0</v>
      </c>
      <c r="X64" s="70">
        <f t="shared" si="31"/>
        <v>0</v>
      </c>
      <c r="Y64" s="70">
        <f t="shared" si="31"/>
        <v>0</v>
      </c>
    </row>
    <row r="65" spans="2:26" ht="15.75" x14ac:dyDescent="0.35">
      <c r="D65" s="4" t="s">
        <v>208</v>
      </c>
      <c r="E65" s="5"/>
      <c r="F65" s="5"/>
      <c r="G65" s="5"/>
      <c r="H65" s="5"/>
      <c r="I65" s="5"/>
      <c r="J65" s="5"/>
      <c r="K65" s="45" t="str">
        <f t="shared" si="29"/>
        <v>JPY'000</v>
      </c>
      <c r="L65" s="46">
        <f>SUM(O65:Y65)</f>
        <v>2770926.3134765625</v>
      </c>
      <c r="M65" s="5"/>
      <c r="N65" s="5"/>
      <c r="O65" s="67">
        <f>O63*O64</f>
        <v>0</v>
      </c>
      <c r="P65" s="67">
        <f>P63*P64</f>
        <v>0</v>
      </c>
      <c r="Q65" s="67">
        <f>Q63*Q64</f>
        <v>437500</v>
      </c>
      <c r="R65" s="67">
        <f>R63*R64</f>
        <v>493281.24999999994</v>
      </c>
      <c r="S65" s="67">
        <f t="shared" ref="S65:Y65" si="32">S63*S64</f>
        <v>551578.125</v>
      </c>
      <c r="T65" s="67">
        <f t="shared" si="32"/>
        <v>612481.54296875</v>
      </c>
      <c r="U65" s="67">
        <f t="shared" si="32"/>
        <v>676085.3955078125</v>
      </c>
      <c r="V65" s="67">
        <f t="shared" si="32"/>
        <v>0</v>
      </c>
      <c r="W65" s="67">
        <f t="shared" si="32"/>
        <v>0</v>
      </c>
      <c r="X65" s="67">
        <f t="shared" si="32"/>
        <v>0</v>
      </c>
      <c r="Y65" s="67">
        <f t="shared" si="32"/>
        <v>0</v>
      </c>
      <c r="Z65" s="9" t="s">
        <v>228</v>
      </c>
    </row>
    <row r="66" spans="2:26" ht="15.75" x14ac:dyDescent="0.35"/>
    <row r="67" spans="2:26" ht="19.5" x14ac:dyDescent="0.35">
      <c r="B67" s="39" t="s">
        <v>164</v>
      </c>
    </row>
    <row r="68" spans="2:26" ht="15.75" x14ac:dyDescent="0.35">
      <c r="D68" t="s">
        <v>167</v>
      </c>
      <c r="K68" s="43" t="s">
        <v>217</v>
      </c>
      <c r="L68" s="44">
        <f>SUM(O68:Y68)</f>
        <v>7023255.6830765624</v>
      </c>
      <c r="O68" s="70">
        <f t="shared" ref="O68:Y68" si="33">TotalRevenue.A.Out</f>
        <v>0</v>
      </c>
      <c r="P68" s="70">
        <f t="shared" si="33"/>
        <v>0</v>
      </c>
      <c r="Q68" s="70">
        <f t="shared" si="33"/>
        <v>1087500</v>
      </c>
      <c r="R68" s="70">
        <f t="shared" si="33"/>
        <v>1236881.25</v>
      </c>
      <c r="S68" s="70">
        <f t="shared" si="33"/>
        <v>1395226.125</v>
      </c>
      <c r="T68" s="70">
        <f t="shared" si="33"/>
        <v>1562991.6229687501</v>
      </c>
      <c r="U68" s="70">
        <f t="shared" si="33"/>
        <v>1740656.6851078125</v>
      </c>
      <c r="V68" s="70">
        <f t="shared" si="33"/>
        <v>0</v>
      </c>
      <c r="W68" s="70">
        <f t="shared" si="33"/>
        <v>0</v>
      </c>
      <c r="X68" s="70">
        <f t="shared" si="33"/>
        <v>0</v>
      </c>
      <c r="Y68" s="70">
        <f t="shared" si="33"/>
        <v>0</v>
      </c>
    </row>
    <row r="69" spans="2:26" ht="15.75" x14ac:dyDescent="0.35">
      <c r="D69" t="s">
        <v>216</v>
      </c>
      <c r="K69" s="43" t="s">
        <v>194</v>
      </c>
      <c r="L69" s="44"/>
      <c r="M69" s="74">
        <f>SalesCommissionRate.In</f>
        <v>0.03</v>
      </c>
    </row>
    <row r="70" spans="2:26" ht="15.75" x14ac:dyDescent="0.35">
      <c r="D70" s="4" t="s">
        <v>164</v>
      </c>
      <c r="E70" s="5"/>
      <c r="F70" s="5"/>
      <c r="G70" s="5"/>
      <c r="H70" s="5"/>
      <c r="I70" s="5"/>
      <c r="J70" s="5"/>
      <c r="K70" s="45" t="s">
        <v>217</v>
      </c>
      <c r="L70" s="46">
        <f>SUM(O70:Y70)</f>
        <v>210697.67049229686</v>
      </c>
      <c r="M70" s="5"/>
      <c r="N70" s="5"/>
      <c r="O70" s="67">
        <f>O68*$M69</f>
        <v>0</v>
      </c>
      <c r="P70" s="67">
        <f>P68*$M69</f>
        <v>0</v>
      </c>
      <c r="Q70" s="67">
        <f>Q68*$M69</f>
        <v>32625</v>
      </c>
      <c r="R70" s="67">
        <f>R68*$M69</f>
        <v>37106.4375</v>
      </c>
      <c r="S70" s="67">
        <f t="shared" ref="S70:X70" si="34">S68*$M69</f>
        <v>41856.783749999995</v>
      </c>
      <c r="T70" s="67">
        <f t="shared" si="34"/>
        <v>46889.7486890625</v>
      </c>
      <c r="U70" s="67">
        <f t="shared" si="34"/>
        <v>52219.700553234376</v>
      </c>
      <c r="V70" s="67">
        <f t="shared" si="34"/>
        <v>0</v>
      </c>
      <c r="W70" s="67">
        <f t="shared" si="34"/>
        <v>0</v>
      </c>
      <c r="X70" s="67">
        <f t="shared" si="34"/>
        <v>0</v>
      </c>
      <c r="Y70" s="67">
        <f t="shared" ref="Y70" si="35">Y68*$M69</f>
        <v>0</v>
      </c>
      <c r="Z70" s="9" t="s">
        <v>229</v>
      </c>
    </row>
    <row r="71" spans="2:26" ht="15.75" x14ac:dyDescent="0.35"/>
    <row r="72" spans="2:26" ht="19.5" x14ac:dyDescent="0.35">
      <c r="B72" s="39" t="s">
        <v>161</v>
      </c>
    </row>
    <row r="73" spans="2:26" ht="15.75" x14ac:dyDescent="0.35">
      <c r="D73" t="s">
        <v>195</v>
      </c>
      <c r="K73" s="43" t="s">
        <v>44</v>
      </c>
      <c r="L73" s="44">
        <f>SUM(O73:Y73)</f>
        <v>30000</v>
      </c>
      <c r="O73" s="70">
        <f>O25</f>
        <v>0</v>
      </c>
      <c r="P73" s="70">
        <f t="shared" ref="P73:Y73" si="36">P25</f>
        <v>0</v>
      </c>
      <c r="Q73" s="70">
        <f t="shared" si="36"/>
        <v>5000</v>
      </c>
      <c r="R73" s="70">
        <f t="shared" si="36"/>
        <v>5500</v>
      </c>
      <c r="S73" s="70">
        <f t="shared" si="36"/>
        <v>6000</v>
      </c>
      <c r="T73" s="70">
        <f t="shared" si="36"/>
        <v>6500</v>
      </c>
      <c r="U73" s="70">
        <f t="shared" si="36"/>
        <v>7000</v>
      </c>
      <c r="V73" s="70">
        <f t="shared" si="36"/>
        <v>0</v>
      </c>
      <c r="W73" s="70">
        <f t="shared" si="36"/>
        <v>0</v>
      </c>
      <c r="X73" s="70">
        <f t="shared" si="36"/>
        <v>0</v>
      </c>
      <c r="Y73" s="70">
        <f t="shared" si="36"/>
        <v>0</v>
      </c>
    </row>
    <row r="74" spans="2:26" ht="15.75" x14ac:dyDescent="0.35">
      <c r="D74" t="s">
        <v>218</v>
      </c>
      <c r="K74" s="43" t="s">
        <v>217</v>
      </c>
      <c r="L74" s="44"/>
      <c r="M74" s="73">
        <f>_xlfn.SINGLE(LaborCostPerVolume.In)</f>
        <v>80</v>
      </c>
    </row>
    <row r="75" spans="2:26" ht="15.75" x14ac:dyDescent="0.35">
      <c r="D75" s="4" t="s">
        <v>161</v>
      </c>
      <c r="E75" s="5"/>
      <c r="F75" s="5"/>
      <c r="G75" s="5"/>
      <c r="H75" s="5"/>
      <c r="I75" s="5"/>
      <c r="J75" s="5"/>
      <c r="K75" s="45" t="s">
        <v>217</v>
      </c>
      <c r="L75" s="46">
        <f>SUM(O75:Y75)</f>
        <v>2400000</v>
      </c>
      <c r="M75" s="5"/>
      <c r="N75" s="5"/>
      <c r="O75" s="67">
        <f t="shared" ref="O75:Y75" si="37">O73*$M74</f>
        <v>0</v>
      </c>
      <c r="P75" s="67">
        <f t="shared" si="37"/>
        <v>0</v>
      </c>
      <c r="Q75" s="67">
        <f t="shared" si="37"/>
        <v>400000</v>
      </c>
      <c r="R75" s="67">
        <f t="shared" si="37"/>
        <v>440000</v>
      </c>
      <c r="S75" s="67">
        <f t="shared" si="37"/>
        <v>480000</v>
      </c>
      <c r="T75" s="67">
        <f t="shared" si="37"/>
        <v>520000</v>
      </c>
      <c r="U75" s="67">
        <f t="shared" si="37"/>
        <v>560000</v>
      </c>
      <c r="V75" s="67">
        <f t="shared" si="37"/>
        <v>0</v>
      </c>
      <c r="W75" s="67">
        <f t="shared" si="37"/>
        <v>0</v>
      </c>
      <c r="X75" s="67">
        <f t="shared" si="37"/>
        <v>0</v>
      </c>
      <c r="Y75" s="67">
        <f t="shared" si="37"/>
        <v>0</v>
      </c>
      <c r="Z75" s="9" t="s">
        <v>230</v>
      </c>
    </row>
    <row r="76" spans="2:26" ht="15.75" x14ac:dyDescent="0.35"/>
    <row r="77" spans="2:26" ht="19.5" x14ac:dyDescent="0.35">
      <c r="B77" s="39" t="s">
        <v>162</v>
      </c>
    </row>
    <row r="78" spans="2:26" ht="15.75" x14ac:dyDescent="0.35">
      <c r="D78" t="s">
        <v>195</v>
      </c>
      <c r="K78" s="43" t="s">
        <v>44</v>
      </c>
      <c r="L78" s="44">
        <f>SUM(O78:Y78)</f>
        <v>30000</v>
      </c>
      <c r="O78" s="70">
        <f>O25</f>
        <v>0</v>
      </c>
      <c r="P78" s="70">
        <f t="shared" ref="P78:Y78" si="38">P25</f>
        <v>0</v>
      </c>
      <c r="Q78" s="70">
        <f t="shared" si="38"/>
        <v>5000</v>
      </c>
      <c r="R78" s="70">
        <f t="shared" si="38"/>
        <v>5500</v>
      </c>
      <c r="S78" s="70">
        <f t="shared" si="38"/>
        <v>6000</v>
      </c>
      <c r="T78" s="70">
        <f t="shared" si="38"/>
        <v>6500</v>
      </c>
      <c r="U78" s="70">
        <f t="shared" si="38"/>
        <v>7000</v>
      </c>
      <c r="V78" s="70">
        <f t="shared" si="38"/>
        <v>0</v>
      </c>
      <c r="W78" s="70">
        <f t="shared" si="38"/>
        <v>0</v>
      </c>
      <c r="X78" s="70">
        <f t="shared" si="38"/>
        <v>0</v>
      </c>
      <c r="Y78" s="70">
        <f t="shared" si="38"/>
        <v>0</v>
      </c>
    </row>
    <row r="79" spans="2:26" ht="15.75" x14ac:dyDescent="0.35">
      <c r="D79" t="s">
        <v>219</v>
      </c>
      <c r="K79" s="43" t="s">
        <v>217</v>
      </c>
      <c r="L79" s="44"/>
      <c r="M79" s="73">
        <f>MaterialCostPerVolume.In</f>
        <v>50</v>
      </c>
    </row>
    <row r="80" spans="2:26" ht="15.75" x14ac:dyDescent="0.35">
      <c r="D80" s="4" t="s">
        <v>162</v>
      </c>
      <c r="E80" s="5"/>
      <c r="F80" s="5"/>
      <c r="G80" s="5"/>
      <c r="H80" s="5"/>
      <c r="I80" s="5"/>
      <c r="J80" s="5"/>
      <c r="K80" s="45" t="s">
        <v>217</v>
      </c>
      <c r="L80" s="46">
        <f>SUM(O80:Y80)</f>
        <v>1500000</v>
      </c>
      <c r="M80" s="5"/>
      <c r="N80" s="5"/>
      <c r="O80" s="67">
        <f t="shared" ref="O80:Y80" si="39">O78*$M79</f>
        <v>0</v>
      </c>
      <c r="P80" s="67">
        <f t="shared" si="39"/>
        <v>0</v>
      </c>
      <c r="Q80" s="67">
        <f t="shared" si="39"/>
        <v>250000</v>
      </c>
      <c r="R80" s="67">
        <f t="shared" si="39"/>
        <v>275000</v>
      </c>
      <c r="S80" s="67">
        <f t="shared" si="39"/>
        <v>300000</v>
      </c>
      <c r="T80" s="67">
        <f t="shared" si="39"/>
        <v>325000</v>
      </c>
      <c r="U80" s="67">
        <f t="shared" si="39"/>
        <v>350000</v>
      </c>
      <c r="V80" s="67">
        <f t="shared" si="39"/>
        <v>0</v>
      </c>
      <c r="W80" s="67">
        <f t="shared" si="39"/>
        <v>0</v>
      </c>
      <c r="X80" s="67">
        <f t="shared" si="39"/>
        <v>0</v>
      </c>
      <c r="Y80" s="67">
        <f t="shared" si="39"/>
        <v>0</v>
      </c>
      <c r="Z80" s="9" t="s">
        <v>231</v>
      </c>
    </row>
    <row r="81" spans="2:26" ht="15.75" x14ac:dyDescent="0.35"/>
    <row r="82" spans="2:26" ht="19.5" x14ac:dyDescent="0.35">
      <c r="B82" s="39" t="s">
        <v>163</v>
      </c>
    </row>
    <row r="83" spans="2:26" ht="15.75" x14ac:dyDescent="0.35">
      <c r="D83" t="s">
        <v>222</v>
      </c>
      <c r="K83" s="43" t="s">
        <v>8</v>
      </c>
      <c r="L83" s="44"/>
      <c r="O83" s="14" t="b">
        <f t="shared" ref="O83:Y83" si="40">ProjectPeriodFlag.A.Ca</f>
        <v>0</v>
      </c>
      <c r="P83" s="14" t="b">
        <f t="shared" si="40"/>
        <v>1</v>
      </c>
      <c r="Q83" s="14" t="b">
        <f t="shared" si="40"/>
        <v>1</v>
      </c>
      <c r="R83" s="14" t="b">
        <f t="shared" si="40"/>
        <v>1</v>
      </c>
      <c r="S83" s="14" t="b">
        <f t="shared" si="40"/>
        <v>1</v>
      </c>
      <c r="T83" s="14" t="b">
        <f t="shared" si="40"/>
        <v>1</v>
      </c>
      <c r="U83" s="14" t="b">
        <f t="shared" si="40"/>
        <v>1</v>
      </c>
      <c r="V83" s="14" t="b">
        <f t="shared" si="40"/>
        <v>0</v>
      </c>
      <c r="W83" s="14" t="b">
        <f t="shared" si="40"/>
        <v>0</v>
      </c>
      <c r="X83" s="14" t="b">
        <f t="shared" si="40"/>
        <v>0</v>
      </c>
      <c r="Y83" s="14" t="b">
        <f t="shared" si="40"/>
        <v>0</v>
      </c>
    </row>
    <row r="84" spans="2:26" ht="15.75" x14ac:dyDescent="0.35">
      <c r="D84" t="s">
        <v>220</v>
      </c>
      <c r="K84" s="43" t="s">
        <v>217</v>
      </c>
      <c r="L84" s="44"/>
      <c r="M84" s="73">
        <f>AnnualLandLeaseCost.In</f>
        <v>100000</v>
      </c>
    </row>
    <row r="85" spans="2:26" ht="15.75" x14ac:dyDescent="0.35">
      <c r="D85" s="4" t="s">
        <v>163</v>
      </c>
      <c r="E85" s="5"/>
      <c r="F85" s="5"/>
      <c r="G85" s="5"/>
      <c r="H85" s="5"/>
      <c r="I85" s="5"/>
      <c r="J85" s="5"/>
      <c r="K85" s="45" t="s">
        <v>217</v>
      </c>
      <c r="L85" s="46">
        <f>SUM(O85:Y85)</f>
        <v>600000</v>
      </c>
      <c r="M85" s="5"/>
      <c r="N85" s="5"/>
      <c r="O85" s="67">
        <f>IF(O83,$M84,0)</f>
        <v>0</v>
      </c>
      <c r="P85" s="67">
        <f>IF(P83,$M84,0)</f>
        <v>100000</v>
      </c>
      <c r="Q85" s="67">
        <f>IF(Q83,$M84,0)</f>
        <v>100000</v>
      </c>
      <c r="R85" s="67">
        <f>IF(R83,$M84,0)</f>
        <v>100000</v>
      </c>
      <c r="S85" s="67">
        <f>IF(S83,$M84,0)</f>
        <v>100000</v>
      </c>
      <c r="T85" s="67">
        <f t="shared" ref="T85:Y85" si="41">IF(T83,$M84,0)</f>
        <v>100000</v>
      </c>
      <c r="U85" s="67">
        <f t="shared" si="41"/>
        <v>100000</v>
      </c>
      <c r="V85" s="67">
        <f t="shared" si="41"/>
        <v>0</v>
      </c>
      <c r="W85" s="67">
        <f t="shared" si="41"/>
        <v>0</v>
      </c>
      <c r="X85" s="67">
        <f t="shared" si="41"/>
        <v>0</v>
      </c>
      <c r="Y85" s="67">
        <f t="shared" si="41"/>
        <v>0</v>
      </c>
      <c r="Z85" s="9" t="s">
        <v>232</v>
      </c>
    </row>
    <row r="86" spans="2:26" ht="15.75" x14ac:dyDescent="0.35"/>
    <row r="87" spans="2:26" ht="19.5" x14ac:dyDescent="0.35">
      <c r="B87" s="39" t="s">
        <v>170</v>
      </c>
    </row>
    <row r="88" spans="2:26" ht="15.75" x14ac:dyDescent="0.35">
      <c r="D88" t="s">
        <v>250</v>
      </c>
      <c r="K88" s="43" t="s">
        <v>44</v>
      </c>
      <c r="L88" s="44"/>
      <c r="O88" s="66">
        <v>0</v>
      </c>
      <c r="P88" s="66">
        <v>0</v>
      </c>
      <c r="Q88" s="66">
        <v>100000</v>
      </c>
      <c r="R88" s="66">
        <v>100000</v>
      </c>
      <c r="S88" s="66">
        <v>100000</v>
      </c>
      <c r="T88" s="66">
        <v>100000</v>
      </c>
      <c r="U88" s="66">
        <v>100000</v>
      </c>
      <c r="V88" s="66">
        <v>0</v>
      </c>
      <c r="W88" s="66">
        <v>0</v>
      </c>
      <c r="X88" s="66">
        <v>0</v>
      </c>
      <c r="Y88" s="66">
        <v>0</v>
      </c>
    </row>
    <row r="89" spans="2:26" ht="15.75" x14ac:dyDescent="0.35">
      <c r="D89" t="s">
        <v>251</v>
      </c>
      <c r="K89" s="43" t="s">
        <v>194</v>
      </c>
      <c r="L89" s="44"/>
      <c r="M89" s="74">
        <f>PropertyTaxRate.In</f>
        <v>1.4E-2</v>
      </c>
    </row>
    <row r="90" spans="2:26" ht="15.75" x14ac:dyDescent="0.35">
      <c r="D90" s="4" t="s">
        <v>170</v>
      </c>
      <c r="E90" s="5"/>
      <c r="F90" s="5"/>
      <c r="G90" s="5"/>
      <c r="H90" s="5"/>
      <c r="I90" s="5"/>
      <c r="J90" s="5"/>
      <c r="K90" s="45" t="s">
        <v>44</v>
      </c>
      <c r="L90" s="46">
        <f>SUM(O90:Y90)</f>
        <v>7000</v>
      </c>
      <c r="M90" s="5"/>
      <c r="N90" s="5"/>
      <c r="O90" s="67">
        <f t="shared" ref="O90:U90" si="42">O88*$M89</f>
        <v>0</v>
      </c>
      <c r="P90" s="67">
        <f t="shared" si="42"/>
        <v>0</v>
      </c>
      <c r="Q90" s="67">
        <f t="shared" si="42"/>
        <v>1400</v>
      </c>
      <c r="R90" s="67">
        <f t="shared" si="42"/>
        <v>1400</v>
      </c>
      <c r="S90" s="67">
        <f t="shared" si="42"/>
        <v>1400</v>
      </c>
      <c r="T90" s="67">
        <f t="shared" si="42"/>
        <v>1400</v>
      </c>
      <c r="U90" s="67">
        <f t="shared" si="42"/>
        <v>1400</v>
      </c>
      <c r="V90" s="67">
        <f t="shared" ref="V90:Y90" si="43">V88*$M89</f>
        <v>0</v>
      </c>
      <c r="W90" s="67">
        <f t="shared" si="43"/>
        <v>0</v>
      </c>
      <c r="X90" s="67">
        <f t="shared" si="43"/>
        <v>0</v>
      </c>
      <c r="Y90" s="67">
        <f t="shared" si="43"/>
        <v>0</v>
      </c>
      <c r="Z90" s="9" t="s">
        <v>268</v>
      </c>
    </row>
    <row r="91" spans="2:26" ht="15.75" x14ac:dyDescent="0.35"/>
    <row r="92" spans="2:26" ht="19.5" x14ac:dyDescent="0.35">
      <c r="B92" s="39" t="s">
        <v>165</v>
      </c>
    </row>
    <row r="93" spans="2:26" ht="15.75" x14ac:dyDescent="0.35">
      <c r="C93" s="8" t="s">
        <v>252</v>
      </c>
      <c r="N93" t="s">
        <v>215</v>
      </c>
    </row>
    <row r="94" spans="2:26" ht="15.75" x14ac:dyDescent="0.35">
      <c r="D94" t="s">
        <v>255</v>
      </c>
      <c r="K94" s="43" t="s">
        <v>217</v>
      </c>
      <c r="L94" s="44"/>
      <c r="M94" s="73">
        <f>SalaryPerPerson.Staff.In</f>
        <v>6000</v>
      </c>
    </row>
    <row r="95" spans="2:26" ht="15.75" x14ac:dyDescent="0.35">
      <c r="D95" t="s">
        <v>256</v>
      </c>
      <c r="K95" s="43" t="s">
        <v>217</v>
      </c>
      <c r="L95" s="44"/>
      <c r="M95" s="73">
        <f>NumberOfPeople.Staff.In</f>
        <v>5</v>
      </c>
    </row>
    <row r="96" spans="2:26" ht="15.75" x14ac:dyDescent="0.35">
      <c r="D96" s="4" t="s">
        <v>257</v>
      </c>
      <c r="E96" s="5"/>
      <c r="F96" s="5"/>
      <c r="G96" s="5"/>
      <c r="H96" s="5"/>
      <c r="I96" s="5"/>
      <c r="J96" s="5"/>
      <c r="K96" s="45" t="s">
        <v>217</v>
      </c>
      <c r="L96" s="46"/>
      <c r="M96" s="87">
        <f>M94*M95</f>
        <v>30000</v>
      </c>
    </row>
    <row r="97" spans="2:26" ht="15.75" x14ac:dyDescent="0.35">
      <c r="D97" t="s">
        <v>200</v>
      </c>
      <c r="K97" s="43" t="s">
        <v>8</v>
      </c>
      <c r="L97" s="44"/>
      <c r="O97" s="14" t="b">
        <f t="shared" ref="O97:Y97" si="44">OperationPeriodFlag.A.Ca</f>
        <v>0</v>
      </c>
      <c r="P97" s="14" t="b">
        <f t="shared" si="44"/>
        <v>0</v>
      </c>
      <c r="Q97" s="14" t="b">
        <f t="shared" si="44"/>
        <v>1</v>
      </c>
      <c r="R97" s="14" t="b">
        <f t="shared" si="44"/>
        <v>1</v>
      </c>
      <c r="S97" s="14" t="b">
        <f t="shared" si="44"/>
        <v>1</v>
      </c>
      <c r="T97" s="14" t="b">
        <f t="shared" si="44"/>
        <v>1</v>
      </c>
      <c r="U97" s="14" t="b">
        <f t="shared" si="44"/>
        <v>1</v>
      </c>
      <c r="V97" s="14" t="b">
        <f t="shared" si="44"/>
        <v>0</v>
      </c>
      <c r="W97" s="14" t="b">
        <f t="shared" si="44"/>
        <v>0</v>
      </c>
      <c r="X97" s="14" t="b">
        <f t="shared" si="44"/>
        <v>0</v>
      </c>
      <c r="Y97" s="14" t="b">
        <f t="shared" si="44"/>
        <v>0</v>
      </c>
    </row>
    <row r="98" spans="2:26" ht="15.75" x14ac:dyDescent="0.35">
      <c r="D98" s="4" t="s">
        <v>252</v>
      </c>
      <c r="E98" s="5"/>
      <c r="F98" s="5"/>
      <c r="G98" s="5"/>
      <c r="H98" s="5"/>
      <c r="I98" s="5"/>
      <c r="J98" s="5"/>
      <c r="K98" s="45" t="s">
        <v>217</v>
      </c>
      <c r="L98" s="46">
        <f>SUM(O98:Y98)</f>
        <v>150000</v>
      </c>
      <c r="M98" s="5"/>
      <c r="N98" s="5"/>
      <c r="O98" s="67">
        <f>IF(O97,$M96,0)</f>
        <v>0</v>
      </c>
      <c r="P98" s="67">
        <f>IF(P97,$M96,0)</f>
        <v>0</v>
      </c>
      <c r="Q98" s="67">
        <f>IF(Q97,$M96,0)</f>
        <v>30000</v>
      </c>
      <c r="R98" s="67">
        <f>IF(R97,$M96,0)</f>
        <v>30000</v>
      </c>
      <c r="S98" s="67">
        <f t="shared" ref="S98:U98" si="45">IF(S97,$M96,0)</f>
        <v>30000</v>
      </c>
      <c r="T98" s="67">
        <f t="shared" si="45"/>
        <v>30000</v>
      </c>
      <c r="U98" s="67">
        <f t="shared" si="45"/>
        <v>30000</v>
      </c>
      <c r="V98" s="67">
        <f t="shared" ref="V98:Y98" si="46">IF(V97,$M96,0)</f>
        <v>0</v>
      </c>
      <c r="W98" s="67">
        <f t="shared" si="46"/>
        <v>0</v>
      </c>
      <c r="X98" s="67">
        <f t="shared" si="46"/>
        <v>0</v>
      </c>
      <c r="Y98" s="67">
        <f t="shared" si="46"/>
        <v>0</v>
      </c>
    </row>
    <row r="99" spans="2:26" ht="15.75" x14ac:dyDescent="0.35"/>
    <row r="100" spans="2:26" ht="15.75" x14ac:dyDescent="0.35">
      <c r="C100" s="8" t="s">
        <v>253</v>
      </c>
      <c r="N100" t="s">
        <v>215</v>
      </c>
    </row>
    <row r="101" spans="2:26" ht="15.75" x14ac:dyDescent="0.35">
      <c r="D101" t="s">
        <v>255</v>
      </c>
      <c r="K101" s="43" t="s">
        <v>217</v>
      </c>
      <c r="L101" s="44"/>
      <c r="M101" s="73">
        <f>SalaryPerPerson.Manager.In</f>
        <v>9000</v>
      </c>
    </row>
    <row r="102" spans="2:26" ht="15.75" x14ac:dyDescent="0.35">
      <c r="D102" t="s">
        <v>256</v>
      </c>
      <c r="K102" s="43" t="s">
        <v>217</v>
      </c>
      <c r="L102" s="44"/>
      <c r="M102" s="73">
        <f>NumberOfPeople.Manager.In</f>
        <v>1</v>
      </c>
    </row>
    <row r="103" spans="2:26" ht="15.75" x14ac:dyDescent="0.35">
      <c r="D103" s="4" t="s">
        <v>257</v>
      </c>
      <c r="E103" s="5"/>
      <c r="F103" s="5"/>
      <c r="G103" s="5"/>
      <c r="H103" s="5"/>
      <c r="I103" s="5"/>
      <c r="J103" s="5"/>
      <c r="K103" s="45" t="s">
        <v>217</v>
      </c>
      <c r="L103" s="46"/>
      <c r="M103" s="87">
        <f>M101*M102</f>
        <v>9000</v>
      </c>
    </row>
    <row r="104" spans="2:26" ht="15.75" x14ac:dyDescent="0.35">
      <c r="D104" t="s">
        <v>200</v>
      </c>
      <c r="K104" s="43" t="s">
        <v>8</v>
      </c>
      <c r="L104" s="44"/>
      <c r="O104" s="14" t="b">
        <f t="shared" ref="O104:Y104" si="47">OperationPeriodFlag.A.Ca</f>
        <v>0</v>
      </c>
      <c r="P104" s="14" t="b">
        <f t="shared" si="47"/>
        <v>0</v>
      </c>
      <c r="Q104" s="14" t="b">
        <f t="shared" si="47"/>
        <v>1</v>
      </c>
      <c r="R104" s="14" t="b">
        <f t="shared" si="47"/>
        <v>1</v>
      </c>
      <c r="S104" s="14" t="b">
        <f t="shared" si="47"/>
        <v>1</v>
      </c>
      <c r="T104" s="14" t="b">
        <f t="shared" si="47"/>
        <v>1</v>
      </c>
      <c r="U104" s="14" t="b">
        <f t="shared" si="47"/>
        <v>1</v>
      </c>
      <c r="V104" s="14" t="b">
        <f t="shared" si="47"/>
        <v>0</v>
      </c>
      <c r="W104" s="14" t="b">
        <f t="shared" si="47"/>
        <v>0</v>
      </c>
      <c r="X104" s="14" t="b">
        <f t="shared" si="47"/>
        <v>0</v>
      </c>
      <c r="Y104" s="14" t="b">
        <f t="shared" si="47"/>
        <v>0</v>
      </c>
    </row>
    <row r="105" spans="2:26" ht="15.75" x14ac:dyDescent="0.35">
      <c r="D105" s="4" t="s">
        <v>253</v>
      </c>
      <c r="E105" s="5"/>
      <c r="F105" s="5"/>
      <c r="G105" s="5"/>
      <c r="H105" s="5"/>
      <c r="I105" s="5"/>
      <c r="J105" s="5"/>
      <c r="K105" s="45" t="s">
        <v>217</v>
      </c>
      <c r="L105" s="46">
        <f>SUM(O105:Y105)</f>
        <v>45000</v>
      </c>
      <c r="M105" s="5"/>
      <c r="N105" s="5"/>
      <c r="O105" s="67">
        <f>IF(O104,$M103,0)</f>
        <v>0</v>
      </c>
      <c r="P105" s="67">
        <f>IF(P104,$M103,0)</f>
        <v>0</v>
      </c>
      <c r="Q105" s="67">
        <f>IF(Q104,$M103,0)</f>
        <v>9000</v>
      </c>
      <c r="R105" s="67">
        <f t="shared" ref="R105:U105" si="48">IF(R104,$M103,0)</f>
        <v>9000</v>
      </c>
      <c r="S105" s="67">
        <f t="shared" si="48"/>
        <v>9000</v>
      </c>
      <c r="T105" s="67">
        <f t="shared" si="48"/>
        <v>9000</v>
      </c>
      <c r="U105" s="67">
        <f t="shared" si="48"/>
        <v>9000</v>
      </c>
      <c r="V105" s="67">
        <f t="shared" ref="V105" si="49">IF(V104,$M103,0)</f>
        <v>0</v>
      </c>
      <c r="W105" s="67">
        <f t="shared" ref="W105" si="50">IF(W104,$M103,0)</f>
        <v>0</v>
      </c>
      <c r="X105" s="67">
        <f t="shared" ref="X105" si="51">IF(X104,$M103,0)</f>
        <v>0</v>
      </c>
      <c r="Y105" s="67">
        <f t="shared" ref="Y105" si="52">IF(Y104,$M103,0)</f>
        <v>0</v>
      </c>
    </row>
    <row r="106" spans="2:26" ht="15.75" x14ac:dyDescent="0.35"/>
    <row r="107" spans="2:26" ht="15.75" x14ac:dyDescent="0.35">
      <c r="C107" s="8" t="s">
        <v>165</v>
      </c>
      <c r="N107" t="s">
        <v>215</v>
      </c>
    </row>
    <row r="108" spans="2:26" ht="15.75" x14ac:dyDescent="0.35">
      <c r="D108" t="s">
        <v>252</v>
      </c>
      <c r="K108" s="43" t="s">
        <v>217</v>
      </c>
      <c r="L108" s="44">
        <f>SUM(O108:Y108)</f>
        <v>150000</v>
      </c>
      <c r="O108" s="70">
        <f>O98</f>
        <v>0</v>
      </c>
      <c r="P108" s="70">
        <f t="shared" ref="P108:Y108" si="53">P98</f>
        <v>0</v>
      </c>
      <c r="Q108" s="70">
        <f t="shared" si="53"/>
        <v>30000</v>
      </c>
      <c r="R108" s="70">
        <f t="shared" si="53"/>
        <v>30000</v>
      </c>
      <c r="S108" s="70">
        <f t="shared" si="53"/>
        <v>30000</v>
      </c>
      <c r="T108" s="70">
        <f t="shared" si="53"/>
        <v>30000</v>
      </c>
      <c r="U108" s="70">
        <f t="shared" si="53"/>
        <v>30000</v>
      </c>
      <c r="V108" s="70">
        <f t="shared" si="53"/>
        <v>0</v>
      </c>
      <c r="W108" s="70">
        <f t="shared" si="53"/>
        <v>0</v>
      </c>
      <c r="X108" s="70">
        <f t="shared" si="53"/>
        <v>0</v>
      </c>
      <c r="Y108" s="70">
        <f t="shared" si="53"/>
        <v>0</v>
      </c>
    </row>
    <row r="109" spans="2:26" ht="15.75" x14ac:dyDescent="0.35">
      <c r="D109" t="s">
        <v>253</v>
      </c>
      <c r="K109" s="43" t="s">
        <v>217</v>
      </c>
      <c r="L109" s="44">
        <f>SUM(O109:Y109)</f>
        <v>45000</v>
      </c>
      <c r="O109" s="70">
        <f>O105</f>
        <v>0</v>
      </c>
      <c r="P109" s="70">
        <f t="shared" ref="P109:Y109" si="54">P105</f>
        <v>0</v>
      </c>
      <c r="Q109" s="70">
        <f t="shared" si="54"/>
        <v>9000</v>
      </c>
      <c r="R109" s="70">
        <f t="shared" si="54"/>
        <v>9000</v>
      </c>
      <c r="S109" s="70">
        <f t="shared" si="54"/>
        <v>9000</v>
      </c>
      <c r="T109" s="70">
        <f t="shared" si="54"/>
        <v>9000</v>
      </c>
      <c r="U109" s="70">
        <f t="shared" si="54"/>
        <v>9000</v>
      </c>
      <c r="V109" s="70">
        <f t="shared" si="54"/>
        <v>0</v>
      </c>
      <c r="W109" s="70">
        <f t="shared" si="54"/>
        <v>0</v>
      </c>
      <c r="X109" s="70">
        <f t="shared" si="54"/>
        <v>0</v>
      </c>
      <c r="Y109" s="70">
        <f t="shared" si="54"/>
        <v>0</v>
      </c>
    </row>
    <row r="110" spans="2:26" ht="15.75" x14ac:dyDescent="0.35">
      <c r="D110" s="4" t="s">
        <v>254</v>
      </c>
      <c r="E110" s="5"/>
      <c r="F110" s="5"/>
      <c r="G110" s="5"/>
      <c r="H110" s="5"/>
      <c r="I110" s="5"/>
      <c r="J110" s="5"/>
      <c r="K110" s="45" t="s">
        <v>217</v>
      </c>
      <c r="L110" s="46">
        <f>SUM(O110:Y110)</f>
        <v>195000</v>
      </c>
      <c r="M110" s="5"/>
      <c r="N110" s="5"/>
      <c r="O110" s="67">
        <f>SUM(O108:O109)</f>
        <v>0</v>
      </c>
      <c r="P110" s="67">
        <f>SUM(P108:P109)</f>
        <v>0</v>
      </c>
      <c r="Q110" s="67">
        <f>SUM(Q108:Q109)</f>
        <v>39000</v>
      </c>
      <c r="R110" s="67">
        <f>SUM(R108:R109)</f>
        <v>39000</v>
      </c>
      <c r="S110" s="67">
        <f>SUM(S108:S109)</f>
        <v>39000</v>
      </c>
      <c r="T110" s="67">
        <f t="shared" ref="T110:Y110" si="55">SUM(T108:T109)</f>
        <v>39000</v>
      </c>
      <c r="U110" s="67">
        <f t="shared" si="55"/>
        <v>39000</v>
      </c>
      <c r="V110" s="67">
        <f t="shared" si="55"/>
        <v>0</v>
      </c>
      <c r="W110" s="67">
        <f t="shared" si="55"/>
        <v>0</v>
      </c>
      <c r="X110" s="67">
        <f t="shared" si="55"/>
        <v>0</v>
      </c>
      <c r="Y110" s="67">
        <f t="shared" si="55"/>
        <v>0</v>
      </c>
      <c r="Z110" s="9" t="s">
        <v>258</v>
      </c>
    </row>
    <row r="111" spans="2:26" ht="15.75" x14ac:dyDescent="0.35"/>
    <row r="112" spans="2:26" ht="19.5" x14ac:dyDescent="0.35">
      <c r="B112" s="39" t="s">
        <v>166</v>
      </c>
    </row>
    <row r="113" spans="2:26" ht="15.75" x14ac:dyDescent="0.35">
      <c r="D113" t="s">
        <v>200</v>
      </c>
      <c r="K113" s="43" t="s">
        <v>8</v>
      </c>
      <c r="L113" s="44"/>
      <c r="O113" s="14" t="b">
        <f t="shared" ref="O113:Y113" si="56">OperationPeriodFlag.A.Ca</f>
        <v>0</v>
      </c>
      <c r="P113" s="14" t="b">
        <f t="shared" si="56"/>
        <v>0</v>
      </c>
      <c r="Q113" s="14" t="b">
        <f t="shared" si="56"/>
        <v>1</v>
      </c>
      <c r="R113" s="14" t="b">
        <f t="shared" si="56"/>
        <v>1</v>
      </c>
      <c r="S113" s="14" t="b">
        <f t="shared" si="56"/>
        <v>1</v>
      </c>
      <c r="T113" s="14" t="b">
        <f t="shared" si="56"/>
        <v>1</v>
      </c>
      <c r="U113" s="14" t="b">
        <f t="shared" si="56"/>
        <v>1</v>
      </c>
      <c r="V113" s="14" t="b">
        <f t="shared" si="56"/>
        <v>0</v>
      </c>
      <c r="W113" s="14" t="b">
        <f t="shared" si="56"/>
        <v>0</v>
      </c>
      <c r="X113" s="14" t="b">
        <f t="shared" si="56"/>
        <v>0</v>
      </c>
      <c r="Y113" s="14" t="b">
        <f t="shared" si="56"/>
        <v>0</v>
      </c>
    </row>
    <row r="114" spans="2:26" ht="15.75" x14ac:dyDescent="0.35">
      <c r="D114" t="s">
        <v>269</v>
      </c>
      <c r="K114" s="43" t="s">
        <v>217</v>
      </c>
      <c r="L114" s="44"/>
      <c r="M114" s="73">
        <f>AnnualFactoryOperationCost.In</f>
        <v>200000</v>
      </c>
    </row>
    <row r="115" spans="2:26" ht="15.75" x14ac:dyDescent="0.35">
      <c r="D115" s="4" t="s">
        <v>166</v>
      </c>
      <c r="E115" s="5"/>
      <c r="F115" s="5"/>
      <c r="G115" s="5"/>
      <c r="H115" s="5"/>
      <c r="I115" s="5"/>
      <c r="J115" s="5"/>
      <c r="K115" s="45" t="s">
        <v>217</v>
      </c>
      <c r="L115" s="46">
        <f>SUM(O115:Y115)</f>
        <v>1000000</v>
      </c>
      <c r="M115" s="5"/>
      <c r="N115" s="5"/>
      <c r="O115" s="67">
        <f>IF(O113,$M114,0)</f>
        <v>0</v>
      </c>
      <c r="P115" s="67">
        <f>IF(P113,$M114,0)</f>
        <v>0</v>
      </c>
      <c r="Q115" s="67">
        <f>IF(Q113,$M114,0)</f>
        <v>200000</v>
      </c>
      <c r="R115" s="67">
        <f>IF(R113,$M114,0)</f>
        <v>200000</v>
      </c>
      <c r="S115" s="67">
        <f t="shared" ref="S115:T115" si="57">IF(S113,$M114,0)</f>
        <v>200000</v>
      </c>
      <c r="T115" s="67">
        <f t="shared" si="57"/>
        <v>200000</v>
      </c>
      <c r="U115" s="67">
        <f t="shared" ref="U115:Y115" si="58">IF(U113,$M114,0)</f>
        <v>200000</v>
      </c>
      <c r="V115" s="67">
        <f t="shared" si="58"/>
        <v>0</v>
      </c>
      <c r="W115" s="67">
        <f t="shared" si="58"/>
        <v>0</v>
      </c>
      <c r="X115" s="67">
        <f t="shared" si="58"/>
        <v>0</v>
      </c>
      <c r="Y115" s="67">
        <f t="shared" si="58"/>
        <v>0</v>
      </c>
      <c r="Z115" s="9" t="s">
        <v>270</v>
      </c>
    </row>
    <row r="116" spans="2:26" ht="15.75" x14ac:dyDescent="0.35"/>
    <row r="117" spans="2:26" ht="19.5" x14ac:dyDescent="0.35">
      <c r="B117" s="39" t="s">
        <v>201</v>
      </c>
    </row>
    <row r="118" spans="2:26" ht="15.75" x14ac:dyDescent="0.35">
      <c r="C118" s="8" t="s">
        <v>199</v>
      </c>
    </row>
    <row r="119" spans="2:26" ht="15.75" x14ac:dyDescent="0.35">
      <c r="D119" t="s">
        <v>202</v>
      </c>
      <c r="K119" s="43" t="s">
        <v>11</v>
      </c>
      <c r="M119" s="77">
        <f>OperationStartDate.In</f>
        <v>44197</v>
      </c>
    </row>
    <row r="120" spans="2:26" ht="15.75" x14ac:dyDescent="0.35">
      <c r="D120" t="s">
        <v>199</v>
      </c>
      <c r="K120" s="43" t="s">
        <v>8</v>
      </c>
      <c r="L120" s="44"/>
      <c r="O120" s="14" t="b">
        <f>AND(O$6&lt;=$M119,$M119&lt;=O$7)</f>
        <v>0</v>
      </c>
      <c r="P120" s="14" t="b">
        <f t="shared" ref="P120:Y120" si="59">AND(P$6&lt;=$M119,$M119&lt;=P$7)</f>
        <v>0</v>
      </c>
      <c r="Q120" s="14" t="b">
        <f t="shared" si="59"/>
        <v>1</v>
      </c>
      <c r="R120" s="14" t="b">
        <f t="shared" si="59"/>
        <v>0</v>
      </c>
      <c r="S120" s="14" t="b">
        <f t="shared" si="59"/>
        <v>0</v>
      </c>
      <c r="T120" s="14" t="b">
        <f t="shared" si="59"/>
        <v>0</v>
      </c>
      <c r="U120" s="14" t="b">
        <f t="shared" si="59"/>
        <v>0</v>
      </c>
      <c r="V120" s="14" t="b">
        <f t="shared" si="59"/>
        <v>0</v>
      </c>
      <c r="W120" s="14" t="b">
        <f t="shared" si="59"/>
        <v>0</v>
      </c>
      <c r="X120" s="14" t="b">
        <f t="shared" si="59"/>
        <v>0</v>
      </c>
      <c r="Y120" s="14" t="b">
        <f t="shared" si="59"/>
        <v>0</v>
      </c>
      <c r="Z120" s="9" t="s">
        <v>233</v>
      </c>
    </row>
    <row r="121" spans="2:26" ht="15.75" x14ac:dyDescent="0.35"/>
    <row r="122" spans="2:26" ht="15.75" x14ac:dyDescent="0.35">
      <c r="C122" s="8" t="s">
        <v>221</v>
      </c>
    </row>
    <row r="123" spans="2:26" ht="15.75" x14ac:dyDescent="0.35">
      <c r="D123" t="s">
        <v>223</v>
      </c>
      <c r="K123" s="43" t="s">
        <v>11</v>
      </c>
      <c r="M123" s="77">
        <f>ConstructionStartDate.In</f>
        <v>43831</v>
      </c>
    </row>
    <row r="124" spans="2:26" ht="15.75" x14ac:dyDescent="0.35">
      <c r="D124" t="s">
        <v>224</v>
      </c>
      <c r="K124" s="43" t="s">
        <v>11</v>
      </c>
      <c r="M124" s="77">
        <f>ConstructionEndDate.In</f>
        <v>44196</v>
      </c>
    </row>
    <row r="125" spans="2:26" ht="15.75" x14ac:dyDescent="0.35">
      <c r="D125" t="s">
        <v>221</v>
      </c>
      <c r="K125" s="43" t="s">
        <v>8</v>
      </c>
      <c r="L125" s="44"/>
      <c r="O125" s="14" t="b">
        <f t="shared" ref="O125:Y125" si="60">AND(O$6&lt;=$M124,$M123&lt;=O$7)</f>
        <v>0</v>
      </c>
      <c r="P125" s="14" t="b">
        <f t="shared" si="60"/>
        <v>1</v>
      </c>
      <c r="Q125" s="14" t="b">
        <f t="shared" si="60"/>
        <v>0</v>
      </c>
      <c r="R125" s="14" t="b">
        <f t="shared" si="60"/>
        <v>0</v>
      </c>
      <c r="S125" s="14" t="b">
        <f t="shared" si="60"/>
        <v>0</v>
      </c>
      <c r="T125" s="14" t="b">
        <f t="shared" si="60"/>
        <v>0</v>
      </c>
      <c r="U125" s="14" t="b">
        <f t="shared" si="60"/>
        <v>0</v>
      </c>
      <c r="V125" s="14" t="b">
        <f t="shared" si="60"/>
        <v>0</v>
      </c>
      <c r="W125" s="14" t="b">
        <f t="shared" si="60"/>
        <v>0</v>
      </c>
      <c r="X125" s="14" t="b">
        <f t="shared" si="60"/>
        <v>0</v>
      </c>
      <c r="Y125" s="14" t="b">
        <f t="shared" si="60"/>
        <v>0</v>
      </c>
    </row>
    <row r="126" spans="2:26" ht="15.75" x14ac:dyDescent="0.35"/>
    <row r="127" spans="2:26" ht="15.75" x14ac:dyDescent="0.35">
      <c r="C127" s="8" t="s">
        <v>200</v>
      </c>
    </row>
    <row r="128" spans="2:26" ht="15.75" x14ac:dyDescent="0.35">
      <c r="D128" t="s">
        <v>202</v>
      </c>
      <c r="K128" s="43" t="s">
        <v>11</v>
      </c>
      <c r="M128" s="77">
        <f>OperationStartDate.In</f>
        <v>44197</v>
      </c>
    </row>
    <row r="129" spans="1:49" ht="15.75" x14ac:dyDescent="0.35">
      <c r="D129" t="s">
        <v>203</v>
      </c>
      <c r="K129" s="43" t="s">
        <v>11</v>
      </c>
      <c r="M129" s="77">
        <f>OperationEndDate.In</f>
        <v>46022</v>
      </c>
      <c r="P129" s="58"/>
      <c r="Q129" s="58"/>
      <c r="R129" s="58"/>
      <c r="S129" s="58"/>
      <c r="T129" s="58"/>
      <c r="U129" s="58"/>
      <c r="V129" s="58"/>
      <c r="W129" s="58"/>
      <c r="X129" s="58"/>
      <c r="Y129" s="58"/>
    </row>
    <row r="130" spans="1:49" ht="15.75" x14ac:dyDescent="0.35">
      <c r="D130" t="s">
        <v>200</v>
      </c>
      <c r="K130" s="43" t="s">
        <v>8</v>
      </c>
      <c r="L130" s="44"/>
      <c r="O130" s="14" t="b">
        <f t="shared" ref="O130:Y130" si="61">AND(PeriodFrom.A.Ca&lt;=$M129,$M128&lt;=PeriodTo.A.Ca)</f>
        <v>0</v>
      </c>
      <c r="P130" s="14" t="b">
        <f t="shared" si="61"/>
        <v>0</v>
      </c>
      <c r="Q130" s="14" t="b">
        <f t="shared" si="61"/>
        <v>1</v>
      </c>
      <c r="R130" s="14" t="b">
        <f t="shared" si="61"/>
        <v>1</v>
      </c>
      <c r="S130" s="14" t="b">
        <f t="shared" si="61"/>
        <v>1</v>
      </c>
      <c r="T130" s="14" t="b">
        <f t="shared" si="61"/>
        <v>1</v>
      </c>
      <c r="U130" s="14" t="b">
        <f t="shared" si="61"/>
        <v>1</v>
      </c>
      <c r="V130" s="14" t="b">
        <f t="shared" si="61"/>
        <v>0</v>
      </c>
      <c r="W130" s="14" t="b">
        <f t="shared" si="61"/>
        <v>0</v>
      </c>
      <c r="X130" s="14" t="b">
        <f t="shared" si="61"/>
        <v>0</v>
      </c>
      <c r="Y130" s="14" t="b">
        <f t="shared" si="61"/>
        <v>0</v>
      </c>
      <c r="Z130" s="9" t="s">
        <v>227</v>
      </c>
    </row>
    <row r="131" spans="1:49" ht="15.75" x14ac:dyDescent="0.35"/>
    <row r="132" spans="1:49" ht="15.75" x14ac:dyDescent="0.35">
      <c r="C132" s="8" t="s">
        <v>222</v>
      </c>
    </row>
    <row r="133" spans="1:49" ht="15.75" x14ac:dyDescent="0.35">
      <c r="D133" t="s">
        <v>221</v>
      </c>
      <c r="K133" s="43" t="s">
        <v>8</v>
      </c>
      <c r="L133" s="44"/>
      <c r="O133" s="14" t="b">
        <f>O125</f>
        <v>0</v>
      </c>
      <c r="P133" s="14" t="b">
        <f t="shared" ref="P133:Y133" si="62">P125</f>
        <v>1</v>
      </c>
      <c r="Q133" s="14" t="b">
        <f t="shared" si="62"/>
        <v>0</v>
      </c>
      <c r="R133" s="14" t="b">
        <f t="shared" si="62"/>
        <v>0</v>
      </c>
      <c r="S133" s="14" t="b">
        <f t="shared" si="62"/>
        <v>0</v>
      </c>
      <c r="T133" s="14" t="b">
        <f t="shared" si="62"/>
        <v>0</v>
      </c>
      <c r="U133" s="14" t="b">
        <f t="shared" si="62"/>
        <v>0</v>
      </c>
      <c r="V133" s="14" t="b">
        <f t="shared" si="62"/>
        <v>0</v>
      </c>
      <c r="W133" s="14" t="b">
        <f t="shared" si="62"/>
        <v>0</v>
      </c>
      <c r="X133" s="14" t="b">
        <f t="shared" si="62"/>
        <v>0</v>
      </c>
      <c r="Y133" s="14" t="b">
        <f t="shared" si="62"/>
        <v>0</v>
      </c>
    </row>
    <row r="134" spans="1:49" ht="15.75" x14ac:dyDescent="0.35">
      <c r="D134" t="s">
        <v>200</v>
      </c>
      <c r="K134" s="43" t="s">
        <v>8</v>
      </c>
      <c r="L134" s="44"/>
      <c r="O134" s="14" t="b">
        <f t="shared" ref="O134:Y134" si="63">O$130</f>
        <v>0</v>
      </c>
      <c r="P134" s="14" t="b">
        <f t="shared" si="63"/>
        <v>0</v>
      </c>
      <c r="Q134" s="14" t="b">
        <f t="shared" si="63"/>
        <v>1</v>
      </c>
      <c r="R134" s="14" t="b">
        <f t="shared" si="63"/>
        <v>1</v>
      </c>
      <c r="S134" s="14" t="b">
        <f t="shared" si="63"/>
        <v>1</v>
      </c>
      <c r="T134" s="14" t="b">
        <f t="shared" si="63"/>
        <v>1</v>
      </c>
      <c r="U134" s="14" t="b">
        <f t="shared" si="63"/>
        <v>1</v>
      </c>
      <c r="V134" s="14" t="b">
        <f t="shared" si="63"/>
        <v>0</v>
      </c>
      <c r="W134" s="14" t="b">
        <f t="shared" si="63"/>
        <v>0</v>
      </c>
      <c r="X134" s="14" t="b">
        <f t="shared" si="63"/>
        <v>0</v>
      </c>
      <c r="Y134" s="14" t="b">
        <f t="shared" si="63"/>
        <v>0</v>
      </c>
    </row>
    <row r="135" spans="1:49" ht="15.75" x14ac:dyDescent="0.35">
      <c r="D135" t="s">
        <v>222</v>
      </c>
      <c r="K135" s="43" t="s">
        <v>8</v>
      </c>
      <c r="L135" s="44"/>
      <c r="O135" s="14" t="b">
        <f>OR(O133:O134)</f>
        <v>0</v>
      </c>
      <c r="P135" s="14" t="b">
        <f t="shared" ref="P135" si="64">OR(P133:P134)</f>
        <v>1</v>
      </c>
      <c r="Q135" s="14" t="b">
        <f t="shared" ref="Q135" si="65">OR(Q133:Q134)</f>
        <v>1</v>
      </c>
      <c r="R135" s="14" t="b">
        <f t="shared" ref="R135" si="66">OR(R133:R134)</f>
        <v>1</v>
      </c>
      <c r="S135" s="14" t="b">
        <f t="shared" ref="S135" si="67">OR(S133:S134)</f>
        <v>1</v>
      </c>
      <c r="T135" s="14" t="b">
        <f t="shared" ref="T135" si="68">OR(T133:T134)</f>
        <v>1</v>
      </c>
      <c r="U135" s="14" t="b">
        <f t="shared" ref="U135" si="69">OR(U133:U134)</f>
        <v>1</v>
      </c>
      <c r="V135" s="14" t="b">
        <f t="shared" ref="V135" si="70">OR(V133:V134)</f>
        <v>0</v>
      </c>
      <c r="W135" s="14" t="b">
        <f t="shared" ref="W135" si="71">OR(W133:W134)</f>
        <v>0</v>
      </c>
      <c r="X135" s="14" t="b">
        <f t="shared" ref="X135" si="72">OR(X133:X134)</f>
        <v>0</v>
      </c>
      <c r="Y135" s="14" t="b">
        <f t="shared" ref="Y135" si="73">OR(Y133:Y134)</f>
        <v>0</v>
      </c>
      <c r="Z135" s="9" t="s">
        <v>272</v>
      </c>
    </row>
    <row r="136" spans="1:49" ht="15.75" x14ac:dyDescent="0.35">
      <c r="O136" s="58" t="s">
        <v>215</v>
      </c>
    </row>
    <row r="137" spans="1:49" ht="15.75" x14ac:dyDescent="0.35"/>
    <row r="138" spans="1:49" ht="20.25" thickBot="1" x14ac:dyDescent="0.4">
      <c r="A138" s="10" t="s">
        <v>51</v>
      </c>
      <c r="B138" s="10"/>
      <c r="C138" s="10"/>
      <c r="D138" s="10"/>
      <c r="E138" s="10"/>
      <c r="F138" s="10"/>
      <c r="G138" s="10"/>
      <c r="H138" s="10"/>
      <c r="I138" s="10"/>
      <c r="J138" s="10"/>
      <c r="K138" s="10"/>
      <c r="L138" s="10"/>
      <c r="M138" s="10"/>
      <c r="N138" s="10"/>
      <c r="O138" s="59"/>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row>
  </sheetData>
  <phoneticPr fontId="3"/>
  <conditionalFormatting sqref="O5:Y5">
    <cfRule type="expression" dxfId="278" priority="74">
      <formula>O5="Fcst"</formula>
    </cfRule>
    <cfRule type="expression" dxfId="277" priority="75">
      <formula>O5="Act"</formula>
    </cfRule>
  </conditionalFormatting>
  <conditionalFormatting sqref="J4">
    <cfRule type="expression" dxfId="276" priority="72">
      <formula>J4=TRUE</formula>
    </cfRule>
    <cfRule type="expression" dxfId="275" priority="73">
      <formula>J4=FALSE</formula>
    </cfRule>
  </conditionalFormatting>
  <conditionalFormatting sqref="J3">
    <cfRule type="cellIs" dxfId="274" priority="69" operator="equal">
      <formula>"CHECK"</formula>
    </cfRule>
    <cfRule type="cellIs" dxfId="273" priority="70" stopIfTrue="1" operator="equal">
      <formula>"OK"</formula>
    </cfRule>
    <cfRule type="cellIs" dxfId="272" priority="71" stopIfTrue="1" operator="equal">
      <formula>"ERROR"</formula>
    </cfRule>
  </conditionalFormatting>
  <conditionalFormatting sqref="X5">
    <cfRule type="expression" dxfId="271" priority="67">
      <formula>X5="Fcst"</formula>
    </cfRule>
    <cfRule type="expression" dxfId="270" priority="68">
      <formula>X5="Act"</formula>
    </cfRule>
  </conditionalFormatting>
  <conditionalFormatting sqref="V5:W5">
    <cfRule type="expression" dxfId="269" priority="65">
      <formula>V5="Fcst"</formula>
    </cfRule>
    <cfRule type="expression" dxfId="268" priority="66">
      <formula>V5="Act"</formula>
    </cfRule>
  </conditionalFormatting>
  <conditionalFormatting sqref="W5">
    <cfRule type="expression" dxfId="267" priority="63">
      <formula>W5="Fcst"</formula>
    </cfRule>
    <cfRule type="expression" dxfId="266" priority="64">
      <formula>W5="Act"</formula>
    </cfRule>
  </conditionalFormatting>
  <conditionalFormatting sqref="U5">
    <cfRule type="expression" dxfId="265" priority="61">
      <formula>U5="Fcst"</formula>
    </cfRule>
    <cfRule type="expression" dxfId="264" priority="62">
      <formula>U5="Act"</formula>
    </cfRule>
  </conditionalFormatting>
  <conditionalFormatting sqref="T5">
    <cfRule type="expression" dxfId="263" priority="59">
      <formula>T5="Fcst"</formula>
    </cfRule>
    <cfRule type="expression" dxfId="262" priority="60">
      <formula>T5="Act"</formula>
    </cfRule>
  </conditionalFormatting>
  <conditionalFormatting sqref="R5:S5">
    <cfRule type="expression" dxfId="261" priority="57">
      <formula>R5="Fcst"</formula>
    </cfRule>
    <cfRule type="expression" dxfId="260" priority="58">
      <formula>R5="Act"</formula>
    </cfRule>
  </conditionalFormatting>
  <conditionalFormatting sqref="S5">
    <cfRule type="expression" dxfId="259" priority="55">
      <formula>S5="Fcst"</formula>
    </cfRule>
    <cfRule type="expression" dxfId="258" priority="56">
      <formula>S5="Act"</formula>
    </cfRule>
  </conditionalFormatting>
  <conditionalFormatting sqref="Q5">
    <cfRule type="expression" dxfId="257" priority="53">
      <formula>Q5="Fcst"</formula>
    </cfRule>
    <cfRule type="expression" dxfId="256" priority="54">
      <formula>Q5="Act"</formula>
    </cfRule>
  </conditionalFormatting>
  <conditionalFormatting sqref="O120:Y120">
    <cfRule type="cellIs" dxfId="255" priority="51" stopIfTrue="1" operator="equal">
      <formula>TRUE</formula>
    </cfRule>
    <cfRule type="cellIs" dxfId="254" priority="52" stopIfTrue="1" operator="equal">
      <formula>FALSE</formula>
    </cfRule>
  </conditionalFormatting>
  <conditionalFormatting sqref="O21:Y21">
    <cfRule type="cellIs" dxfId="253" priority="49" stopIfTrue="1" operator="equal">
      <formula>TRUE</formula>
    </cfRule>
    <cfRule type="cellIs" dxfId="252" priority="50" stopIfTrue="1" operator="equal">
      <formula>FALSE</formula>
    </cfRule>
  </conditionalFormatting>
  <conditionalFormatting sqref="O130:Y130">
    <cfRule type="cellIs" dxfId="251" priority="43" stopIfTrue="1" operator="equal">
      <formula>TRUE</formula>
    </cfRule>
    <cfRule type="cellIs" dxfId="250" priority="44" stopIfTrue="1" operator="equal">
      <formula>FALSE</formula>
    </cfRule>
  </conditionalFormatting>
  <conditionalFormatting sqref="O22:Y22">
    <cfRule type="cellIs" dxfId="249" priority="41" stopIfTrue="1" operator="equal">
      <formula>TRUE</formula>
    </cfRule>
    <cfRule type="cellIs" dxfId="248" priority="42" stopIfTrue="1" operator="equal">
      <formula>FALSE</formula>
    </cfRule>
  </conditionalFormatting>
  <conditionalFormatting sqref="O83:Y83">
    <cfRule type="cellIs" dxfId="247" priority="25" stopIfTrue="1" operator="equal">
      <formula>TRUE</formula>
    </cfRule>
    <cfRule type="cellIs" dxfId="246" priority="26" stopIfTrue="1" operator="equal">
      <formula>FALSE</formula>
    </cfRule>
  </conditionalFormatting>
  <conditionalFormatting sqref="O134:Y134">
    <cfRule type="cellIs" dxfId="245" priority="23" stopIfTrue="1" operator="equal">
      <formula>TRUE</formula>
    </cfRule>
    <cfRule type="cellIs" dxfId="244" priority="24" stopIfTrue="1" operator="equal">
      <formula>FALSE</formula>
    </cfRule>
  </conditionalFormatting>
  <conditionalFormatting sqref="O135:Y135">
    <cfRule type="cellIs" dxfId="243" priority="21" stopIfTrue="1" operator="equal">
      <formula>TRUE</formula>
    </cfRule>
    <cfRule type="cellIs" dxfId="242" priority="22" stopIfTrue="1" operator="equal">
      <formula>FALSE</formula>
    </cfRule>
  </conditionalFormatting>
  <conditionalFormatting sqref="O125:Y125">
    <cfRule type="cellIs" dxfId="241" priority="19" stopIfTrue="1" operator="equal">
      <formula>TRUE</formula>
    </cfRule>
    <cfRule type="cellIs" dxfId="240" priority="20" stopIfTrue="1" operator="equal">
      <formula>FALSE</formula>
    </cfRule>
  </conditionalFormatting>
  <conditionalFormatting sqref="O133:Y133">
    <cfRule type="cellIs" dxfId="239" priority="17" stopIfTrue="1" operator="equal">
      <formula>TRUE</formula>
    </cfRule>
    <cfRule type="cellIs" dxfId="238" priority="18" stopIfTrue="1" operator="equal">
      <formula>FALSE</formula>
    </cfRule>
  </conditionalFormatting>
  <conditionalFormatting sqref="O33:Y33">
    <cfRule type="cellIs" dxfId="237" priority="15" stopIfTrue="1" operator="equal">
      <formula>TRUE</formula>
    </cfRule>
    <cfRule type="cellIs" dxfId="236" priority="16" stopIfTrue="1" operator="equal">
      <formula>FALSE</formula>
    </cfRule>
  </conditionalFormatting>
  <conditionalFormatting sqref="O34:Y34">
    <cfRule type="cellIs" dxfId="235" priority="13" stopIfTrue="1" operator="equal">
      <formula>TRUE</formula>
    </cfRule>
    <cfRule type="cellIs" dxfId="234" priority="14" stopIfTrue="1" operator="equal">
      <formula>FALSE</formula>
    </cfRule>
  </conditionalFormatting>
  <conditionalFormatting sqref="O56:Y56">
    <cfRule type="cellIs" dxfId="233" priority="11" stopIfTrue="1" operator="equal">
      <formula>TRUE</formula>
    </cfRule>
    <cfRule type="cellIs" dxfId="232" priority="12" stopIfTrue="1" operator="equal">
      <formula>FALSE</formula>
    </cfRule>
  </conditionalFormatting>
  <conditionalFormatting sqref="O57:Y57">
    <cfRule type="cellIs" dxfId="231" priority="9" stopIfTrue="1" operator="equal">
      <formula>TRUE</formula>
    </cfRule>
    <cfRule type="cellIs" dxfId="230" priority="10" stopIfTrue="1" operator="equal">
      <formula>FALSE</formula>
    </cfRule>
  </conditionalFormatting>
  <conditionalFormatting sqref="O97:Y97">
    <cfRule type="cellIs" dxfId="229" priority="7" stopIfTrue="1" operator="equal">
      <formula>TRUE</formula>
    </cfRule>
    <cfRule type="cellIs" dxfId="228" priority="8" stopIfTrue="1" operator="equal">
      <formula>FALSE</formula>
    </cfRule>
  </conditionalFormatting>
  <conditionalFormatting sqref="O104:Y104">
    <cfRule type="cellIs" dxfId="227" priority="5" stopIfTrue="1" operator="equal">
      <formula>TRUE</formula>
    </cfRule>
    <cfRule type="cellIs" dxfId="226" priority="6" stopIfTrue="1" operator="equal">
      <formula>FALSE</formula>
    </cfRule>
  </conditionalFormatting>
  <conditionalFormatting sqref="O113:Y113">
    <cfRule type="cellIs" dxfId="225" priority="1" stopIfTrue="1" operator="equal">
      <formula>TRUE</formula>
    </cfRule>
    <cfRule type="cellIs" dxfId="224" priority="2"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3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58"/>
  <sheetViews>
    <sheetView showGridLines="0" zoomScaleNormal="100" workbookViewId="0">
      <pane xSplit="14" ySplit="14" topLeftCell="O15" activePane="bottomRight" state="frozen"/>
      <selection pane="topRight" activeCell="O1" sqref="O1"/>
      <selection pane="bottomLeft" activeCell="A15" sqref="A15"/>
      <selection pane="bottomRight" activeCell="M44" sqref="M44"/>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AND(J15:J48,TRUE)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14" ht="15.75" x14ac:dyDescent="0.35"/>
    <row r="18" spans="4:14" ht="15.75" x14ac:dyDescent="0.35"/>
    <row r="19" spans="4:14" ht="15.75" x14ac:dyDescent="0.35">
      <c r="D19" t="s">
        <v>197</v>
      </c>
      <c r="K19" s="43" t="s">
        <v>44</v>
      </c>
      <c r="L19" s="44"/>
      <c r="M19" s="71">
        <v>5000</v>
      </c>
      <c r="N19" s="9" t="s">
        <v>226</v>
      </c>
    </row>
    <row r="20" spans="4:14" ht="15.75" x14ac:dyDescent="0.35">
      <c r="D20" t="s">
        <v>198</v>
      </c>
      <c r="K20" s="43" t="s">
        <v>44</v>
      </c>
      <c r="L20" s="44"/>
      <c r="M20" s="75">
        <v>500</v>
      </c>
      <c r="N20" s="9" t="s">
        <v>234</v>
      </c>
    </row>
    <row r="21" spans="4:14" ht="15.75" x14ac:dyDescent="0.35">
      <c r="D21" t="s">
        <v>196</v>
      </c>
      <c r="K21" s="43" t="s">
        <v>194</v>
      </c>
      <c r="L21" s="44"/>
      <c r="M21" s="72">
        <v>0.65</v>
      </c>
      <c r="N21" s="9" t="s">
        <v>235</v>
      </c>
    </row>
    <row r="22" spans="4:14" ht="15.75" x14ac:dyDescent="0.35">
      <c r="D22" t="s">
        <v>209</v>
      </c>
      <c r="K22" s="43" t="str">
        <f t="shared" ref="K22" si="5">CurrencyUnit.In</f>
        <v>JPY'000</v>
      </c>
      <c r="L22" s="44"/>
      <c r="M22" s="71">
        <v>200</v>
      </c>
      <c r="N22" s="9" t="s">
        <v>236</v>
      </c>
    </row>
    <row r="23" spans="4:14" ht="15.75" x14ac:dyDescent="0.35">
      <c r="D23" t="s">
        <v>210</v>
      </c>
      <c r="K23" s="43" t="s">
        <v>194</v>
      </c>
      <c r="L23" s="44"/>
      <c r="M23" s="72">
        <v>0.04</v>
      </c>
      <c r="N23" s="9" t="s">
        <v>238</v>
      </c>
    </row>
    <row r="24" spans="4:14" ht="15.75" x14ac:dyDescent="0.35"/>
    <row r="25" spans="4:14" ht="15.75" x14ac:dyDescent="0.35">
      <c r="D25" t="s">
        <v>223</v>
      </c>
      <c r="K25" s="43" t="s">
        <v>11</v>
      </c>
      <c r="M25" s="76">
        <v>43831</v>
      </c>
      <c r="N25" s="9" t="s">
        <v>240</v>
      </c>
    </row>
    <row r="26" spans="4:14" ht="15.75" x14ac:dyDescent="0.35">
      <c r="D26" t="s">
        <v>224</v>
      </c>
      <c r="K26" s="43" t="s">
        <v>11</v>
      </c>
      <c r="M26" s="76">
        <v>44196</v>
      </c>
      <c r="N26" s="9" t="s">
        <v>241</v>
      </c>
    </row>
    <row r="27" spans="4:14" ht="15.75" x14ac:dyDescent="0.35">
      <c r="D27" t="s">
        <v>202</v>
      </c>
      <c r="K27" s="43" t="s">
        <v>11</v>
      </c>
      <c r="M27" s="76">
        <v>44197</v>
      </c>
      <c r="N27" s="9" t="s">
        <v>242</v>
      </c>
    </row>
    <row r="28" spans="4:14" ht="15.75" x14ac:dyDescent="0.35">
      <c r="D28" t="s">
        <v>203</v>
      </c>
      <c r="K28" s="43" t="s">
        <v>11</v>
      </c>
      <c r="M28" s="76">
        <v>46022</v>
      </c>
      <c r="N28" s="9" t="s">
        <v>243</v>
      </c>
    </row>
    <row r="29" spans="4:14" ht="15.75" x14ac:dyDescent="0.35"/>
    <row r="30" spans="4:14" ht="15.75" x14ac:dyDescent="0.35">
      <c r="D30" t="s">
        <v>211</v>
      </c>
      <c r="K30" s="43" t="str">
        <f t="shared" ref="K30" si="6">CurrencyUnit.In</f>
        <v>JPY'000</v>
      </c>
      <c r="L30" s="44"/>
      <c r="M30" s="71">
        <v>250</v>
      </c>
      <c r="N30" s="9" t="s">
        <v>237</v>
      </c>
    </row>
    <row r="31" spans="4:14" ht="15.75" x14ac:dyDescent="0.35">
      <c r="D31" t="s">
        <v>212</v>
      </c>
      <c r="K31" s="43" t="s">
        <v>194</v>
      </c>
      <c r="L31" s="44"/>
      <c r="M31" s="72">
        <v>2.5000000000000001E-2</v>
      </c>
      <c r="N31" s="9" t="s">
        <v>239</v>
      </c>
    </row>
    <row r="32" spans="4:14" ht="15.75" x14ac:dyDescent="0.35"/>
    <row r="33" spans="1:49" ht="15.75" x14ac:dyDescent="0.35">
      <c r="D33" t="s">
        <v>216</v>
      </c>
      <c r="K33" s="43" t="s">
        <v>194</v>
      </c>
      <c r="L33" s="44"/>
      <c r="M33" s="72">
        <v>0.03</v>
      </c>
      <c r="N33" s="9" t="s">
        <v>244</v>
      </c>
    </row>
    <row r="34" spans="1:49" ht="15.75" x14ac:dyDescent="0.35"/>
    <row r="35" spans="1:49" ht="15.75" x14ac:dyDescent="0.35">
      <c r="D35" t="s">
        <v>218</v>
      </c>
      <c r="K35" s="43" t="s">
        <v>217</v>
      </c>
      <c r="L35" s="44"/>
      <c r="M35" s="71">
        <v>50</v>
      </c>
      <c r="N35" s="9" t="s">
        <v>245</v>
      </c>
    </row>
    <row r="36" spans="1:49" ht="15.75" x14ac:dyDescent="0.35">
      <c r="D36" t="s">
        <v>219</v>
      </c>
      <c r="K36" s="43" t="s">
        <v>217</v>
      </c>
      <c r="L36" s="44"/>
      <c r="M36" s="71">
        <v>80</v>
      </c>
      <c r="N36" s="9" t="s">
        <v>246</v>
      </c>
    </row>
    <row r="37" spans="1:49" ht="15.75" x14ac:dyDescent="0.35">
      <c r="D37" t="s">
        <v>220</v>
      </c>
      <c r="K37" s="43" t="s">
        <v>217</v>
      </c>
      <c r="L37" s="44"/>
      <c r="M37" s="71">
        <v>100000</v>
      </c>
      <c r="N37" s="9" t="s">
        <v>247</v>
      </c>
    </row>
    <row r="38" spans="1:49" ht="15.75" x14ac:dyDescent="0.35">
      <c r="D38" t="s">
        <v>269</v>
      </c>
      <c r="K38" s="43" t="s">
        <v>217</v>
      </c>
      <c r="L38" s="44"/>
      <c r="M38" s="71">
        <v>200000</v>
      </c>
      <c r="N38" s="9" t="s">
        <v>271</v>
      </c>
    </row>
    <row r="39" spans="1:49" ht="15.75" x14ac:dyDescent="0.35"/>
    <row r="40" spans="1:49" ht="15.75" x14ac:dyDescent="0.35">
      <c r="D40" t="s">
        <v>251</v>
      </c>
      <c r="K40" s="43" t="s">
        <v>194</v>
      </c>
      <c r="L40" s="44"/>
      <c r="M40" s="72">
        <v>1.4E-2</v>
      </c>
      <c r="N40" s="9" t="s">
        <v>259</v>
      </c>
    </row>
    <row r="41" spans="1:49" ht="15.75" x14ac:dyDescent="0.35"/>
    <row r="42" spans="1:49" ht="15.75" x14ac:dyDescent="0.35">
      <c r="D42" t="s">
        <v>260</v>
      </c>
      <c r="K42" s="43" t="s">
        <v>217</v>
      </c>
      <c r="L42" s="44"/>
      <c r="M42" s="71">
        <v>6000</v>
      </c>
      <c r="N42" s="9" t="s">
        <v>264</v>
      </c>
    </row>
    <row r="43" spans="1:49" ht="15.75" x14ac:dyDescent="0.35">
      <c r="D43" t="s">
        <v>261</v>
      </c>
      <c r="K43" s="43" t="s">
        <v>217</v>
      </c>
      <c r="L43" s="44"/>
      <c r="M43" s="71">
        <v>5</v>
      </c>
      <c r="N43" s="9" t="s">
        <v>265</v>
      </c>
    </row>
    <row r="44" spans="1:49" ht="15.75" x14ac:dyDescent="0.35">
      <c r="D44" t="s">
        <v>262</v>
      </c>
      <c r="K44" s="43" t="s">
        <v>217</v>
      </c>
      <c r="L44" s="44"/>
      <c r="M44" s="71">
        <v>9000</v>
      </c>
      <c r="N44" s="9" t="s">
        <v>266</v>
      </c>
    </row>
    <row r="45" spans="1:49" ht="15.75" x14ac:dyDescent="0.35">
      <c r="D45" t="s">
        <v>263</v>
      </c>
      <c r="K45" s="43" t="s">
        <v>217</v>
      </c>
      <c r="L45" s="44"/>
      <c r="M45" s="71">
        <v>1</v>
      </c>
      <c r="N45" s="9" t="s">
        <v>267</v>
      </c>
    </row>
    <row r="46" spans="1:49" ht="15.75" x14ac:dyDescent="0.35"/>
    <row r="47" spans="1:49" ht="15.75" x14ac:dyDescent="0.35"/>
    <row r="48" spans="1:49" ht="20.25" thickBot="1" x14ac:dyDescent="0.4">
      <c r="A48" s="10" t="s">
        <v>51</v>
      </c>
      <c r="B48" s="10"/>
      <c r="C48" s="10"/>
      <c r="D48" s="10"/>
      <c r="E48" s="10"/>
      <c r="F48" s="10"/>
      <c r="G48" s="10"/>
      <c r="H48" s="10"/>
      <c r="I48" s="10"/>
      <c r="J48" s="10"/>
      <c r="K48" s="10"/>
      <c r="L48" s="10"/>
      <c r="M48" s="10"/>
      <c r="N48" s="10"/>
      <c r="O48" s="59"/>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row>
    <row r="57" ht="15" customHeight="1" x14ac:dyDescent="0.35"/>
    <row r="58" ht="15" customHeight="1" x14ac:dyDescent="0.35"/>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3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35" sqref="M35"/>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91">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102</vt:i4>
      </vt:variant>
    </vt:vector>
  </HeadingPairs>
  <TitlesOfParts>
    <vt:vector size="109"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AnnualFactoryOperationCost.In</vt:lpstr>
      <vt:lpstr>AnnualLandLeaseCost.In</vt:lpstr>
      <vt:lpstr>Check.Master</vt:lpstr>
      <vt:lpstr>ClientName.In</vt:lpstr>
      <vt:lpstr>ConstructionEndDate.In</vt:lpstr>
      <vt:lpstr>ConstructionStartDate.In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FactoryOperationCost.A.Ca</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InitialSalesPrice.Local.In</vt:lpstr>
      <vt:lpstr>InitialSalesPrice.Urban.In</vt:lpstr>
      <vt:lpstr>InitialSalesVolume.In</vt:lpstr>
      <vt:lpstr>LaborCost.A.Ca</vt:lpstr>
      <vt:lpstr>LaborCostPerVolume.In</vt:lpstr>
      <vt:lpstr>LandLeaseCost.A.Ca</vt:lpstr>
      <vt:lpstr>LocalRevenue.A.Ca</vt:lpstr>
      <vt:lpstr>ManagementCost.A.Ca</vt:lpstr>
      <vt:lpstr>MaterialCost.A.Ca</vt:lpstr>
      <vt:lpstr>MaterialCostPerVolume.In</vt:lpstr>
      <vt:lpstr>Million.In</vt:lpstr>
      <vt:lpstr>ModelName.In</vt:lpstr>
      <vt:lpstr>ModelStartDate.In</vt:lpstr>
      <vt:lpstr>ModelStatus.In</vt:lpstr>
      <vt:lpstr>MonthPeriodNo.M.Ca</vt:lpstr>
      <vt:lpstr>NumberOfPeople.Manager.In</vt:lpstr>
      <vt:lpstr>NumberOfPeople.Staff.In</vt:lpstr>
      <vt:lpstr>OperationEndDate.In</vt:lpstr>
      <vt:lpstr>OperationPeriodFlag.A.Ca</vt:lpstr>
      <vt:lpstr>OperationStartDate.In</vt:lpstr>
      <vt:lpstr>OperationStartFlag.A.Ca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ProjectPeriodFlag.A.Ca</vt:lpstr>
      <vt:lpstr>PropertyTaxCost.A.Ca</vt:lpstr>
      <vt:lpstr>PropertyTaxRate.In</vt:lpstr>
      <vt:lpstr>QuarterCounter.M.Ca</vt:lpstr>
      <vt:lpstr>QuarterEndFlag.M.Ca</vt:lpstr>
      <vt:lpstr>QuarterLabel.M.Ca</vt:lpstr>
      <vt:lpstr>QuarterLabel.Q.Ca</vt:lpstr>
      <vt:lpstr>QuarterPeriodNo.M.Ca</vt:lpstr>
      <vt:lpstr>QuarterPeriodNo.Q.Ca</vt:lpstr>
      <vt:lpstr>SalaryPerPerson.Manager.In</vt:lpstr>
      <vt:lpstr>SalaryPerPerson.Staff.In</vt:lpstr>
      <vt:lpstr>SalesCommisionFee.A.Ca</vt:lpstr>
      <vt:lpstr>SalesCommissionRate.In</vt:lpstr>
      <vt:lpstr>SalesPriceGrowthRate.Local.In</vt:lpstr>
      <vt:lpstr>SalesPriceGrowthRate.Urban.In</vt:lpstr>
      <vt:lpstr>SalesVolumeGrowthNumber.In</vt:lpstr>
      <vt:lpstr>Thousand.In</vt:lpstr>
      <vt:lpstr>TotalRevenue.A.Out</vt:lpstr>
      <vt:lpstr>TotalSalesVolume.A.Ca</vt:lpstr>
      <vt:lpstr>UrbanRatio.In</vt:lpstr>
      <vt:lpstr>UrbanRevenue.A.Ca</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2022-12-12T08:15:30Z</dcterms:modified>
</cp:coreProperties>
</file>