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📋 Cover" sheetId="1" state="visible" r:id="rId3"/>
    <sheet name="⚙️ Config" sheetId="2" state="visible" r:id="rId4"/>
    <sheet name="📊 Rep Data" sheetId="3" state="visible" r:id="rId5"/>
    <sheet name="🎯 Flat Rate" sheetId="4" state="visible" r:id="rId6"/>
    <sheet name="📈 Tiered Plan" sheetId="5" state="visible" r:id="rId7"/>
    <sheet name="🎁 Bonuses &amp; Adj." sheetId="6" state="visible" r:id="rId8"/>
    <sheet name="💰 Payout Summary" sheetId="7" state="visible" r:id="rId9"/>
    <sheet name="📉 Dashboard" sheetId="8" state="visible" r:id="rId10"/>
    <sheet name="🔍 Audit Log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<sst xmlns="http://schemas.openxmlformats.org/spreadsheetml/2006/main" count="748" uniqueCount="390">
  <si>
    <t xml:space="preserve">SALES COMMISSION MANAGEMENT SPREADSHEET</t>
  </si>
  <si>
    <t xml:space="preserve">Free Template by Everstage  |  Built for RevOps &amp; Sales Teams</t>
  </si>
  <si>
    <t xml:space="preserve">📌  HOW TO USE THIS TEMPLATE</t>
  </si>
  <si>
    <t xml:space="preserve">Step 1</t>
  </si>
  <si>
    <t xml:space="preserve">⚙️  Config</t>
  </si>
  <si>
    <t xml:space="preserve">Go to the '⚙️ Config' sheet. Enter your plan name, period, reps, quota, and commission rates. All blue cells are editable inputs.</t>
  </si>
  <si>
    <t xml:space="preserve">Step 2</t>
  </si>
  <si>
    <t xml:space="preserve">📊 Rep Data</t>
  </si>
  <si>
    <t xml:space="preserve">Enter each rep's deals, deal sizes, and deal stages in the '📊 Rep Data' sheet. Add as many rows as needed.</t>
  </si>
  <si>
    <t xml:space="preserve">Step 3</t>
  </si>
  <si>
    <t xml:space="preserve">🎯 Flat Rate</t>
  </si>
  <si>
    <t xml:space="preserve">The '🎯 Flat Rate' sheet auto-calculates commissions for a single flat-rate plan. Review and verify.</t>
  </si>
  <si>
    <t xml:space="preserve">Step 4</t>
  </si>
  <si>
    <t xml:space="preserve">📈 Tiered Plan</t>
  </si>
  <si>
    <t xml:space="preserve">The '📈 Tiered Plan' sheet applies tiered/accelerator logic — higher earnings as reps exceed quota milestones.</t>
  </si>
  <si>
    <t xml:space="preserve">Step 5</t>
  </si>
  <si>
    <t xml:space="preserve">🎁 Bonuses</t>
  </si>
  <si>
    <t xml:space="preserve">The '🎁 Bonuses &amp; Adj.' sheet handles SPIFs, clawbacks, draws, deductions, and mid-cycle rep changes.</t>
  </si>
  <si>
    <t xml:space="preserve">Step 6</t>
  </si>
  <si>
    <t xml:space="preserve">💰 Payout Summary</t>
  </si>
  <si>
    <t xml:space="preserve">The '💰 Payout Summary' sheet consolidates everything: base + commission + bonus − clawbacks = final payout.</t>
  </si>
  <si>
    <t xml:space="preserve">Step 7</t>
  </si>
  <si>
    <t xml:space="preserve">📉 Dashboard</t>
  </si>
  <si>
    <t xml:space="preserve">The '📉 Dashboard' sheet gives leadership a visual snapshot of attainment, earnings, and plan efficiency.</t>
  </si>
  <si>
    <t xml:space="preserve">🎨  COLOR LEGEND</t>
  </si>
  <si>
    <t xml:space="preserve">SAMPLE</t>
  </si>
  <si>
    <t xml:space="preserve">Blue text on yellow = INPUT cell (you edit these)</t>
  </si>
  <si>
    <t xml:space="preserve">Gray background = calculated/formula cell (do not edit)</t>
  </si>
  <si>
    <t xml:space="preserve">Green text = cross-sheet link</t>
  </si>
  <si>
    <t xml:space="preserve">Red/orange = warning or negative value (clawback / miss)</t>
  </si>
  <si>
    <t xml:space="preserve">⚙️  COMMISSION PLAN CONFIGURATION</t>
  </si>
  <si>
    <t xml:space="preserve">A.  PLAN BASICS</t>
  </si>
  <si>
    <t xml:space="preserve">Plan Name</t>
  </si>
  <si>
    <t xml:space="preserve">Q3 2026 AE Commission Plan</t>
  </si>
  <si>
    <t xml:space="preserve">Commission Period</t>
  </si>
  <si>
    <t xml:space="preserve">Q3 2026  (Jul – Sep 2026)</t>
  </si>
  <si>
    <t xml:space="preserve">Currency</t>
  </si>
  <si>
    <t xml:space="preserve">USD</t>
  </si>
  <si>
    <t xml:space="preserve">Fiscal Year</t>
  </si>
  <si>
    <t xml:space="preserve">FY2026</t>
  </si>
  <si>
    <t xml:space="preserve">Comp Plan Version</t>
  </si>
  <si>
    <t xml:space="preserve">v1.0</t>
  </si>
  <si>
    <t xml:space="preserve">Plan Owner (RevOps)</t>
  </si>
  <si>
    <t xml:space="preserve">Revenue Operations</t>
  </si>
  <si>
    <t xml:space="preserve">B.  REP ROSTER &amp; QUOTAS</t>
  </si>
  <si>
    <t xml:space="preserve">Rep ID</t>
  </si>
  <si>
    <t xml:space="preserve">Rep Name</t>
  </si>
  <si>
    <t xml:space="preserve">Role / Segment</t>
  </si>
  <si>
    <t xml:space="preserve">Region</t>
  </si>
  <si>
    <t xml:space="preserve">Manager</t>
  </si>
  <si>
    <t xml:space="preserve">Annual Quota ($)</t>
  </si>
  <si>
    <t xml:space="preserve">Period Quota ($)</t>
  </si>
  <si>
    <t xml:space="preserve">On-Target Earnings ($)</t>
  </si>
  <si>
    <t xml:space="preserve">Base Salary ($)</t>
  </si>
  <si>
    <t xml:space="preserve">Target Comm ($)</t>
  </si>
  <si>
    <t xml:space="preserve">R001</t>
  </si>
  <si>
    <t xml:space="preserve">Alex Johnson</t>
  </si>
  <si>
    <t xml:space="preserve">AE – Mid Market</t>
  </si>
  <si>
    <t xml:space="preserve">APAC</t>
  </si>
  <si>
    <t xml:space="preserve">Sarah Lee</t>
  </si>
  <si>
    <t xml:space="preserve">R002</t>
  </si>
  <si>
    <t xml:space="preserve">Priya Sharma</t>
  </si>
  <si>
    <t xml:space="preserve">AE – Enterprise</t>
  </si>
  <si>
    <t xml:space="preserve">R003</t>
  </si>
  <si>
    <t xml:space="preserve">Marcus Williams</t>
  </si>
  <si>
    <t xml:space="preserve">AE – SMB</t>
  </si>
  <si>
    <t xml:space="preserve">North America</t>
  </si>
  <si>
    <t xml:space="preserve">Tom Chen</t>
  </si>
  <si>
    <t xml:space="preserve">R004</t>
  </si>
  <si>
    <t xml:space="preserve">Lena Fischer</t>
  </si>
  <si>
    <t xml:space="preserve">EMEA</t>
  </si>
  <si>
    <t xml:space="preserve">R005</t>
  </si>
  <si>
    <t xml:space="preserve">Raj Patel</t>
  </si>
  <si>
    <t xml:space="preserve">BDR</t>
  </si>
  <si>
    <t xml:space="preserve">R006</t>
  </si>
  <si>
    <t xml:space="preserve">Sophie Martin</t>
  </si>
  <si>
    <t xml:space="preserve">R007</t>
  </si>
  <si>
    <t xml:space="preserve">David Kim</t>
  </si>
  <si>
    <t xml:space="preserve">R008</t>
  </si>
  <si>
    <t xml:space="preserve">Nadia Okonkwo</t>
  </si>
  <si>
    <t xml:space="preserve">SE / Pre-Sales</t>
  </si>
  <si>
    <t xml:space="preserve">C.  FLAT-RATE COMMISSION STRUCTURE</t>
  </si>
  <si>
    <t xml:space="preserve">Base Comm Rate</t>
  </si>
  <si>
    <t xml:space="preserve">Notes</t>
  </si>
  <si>
    <t xml:space="preserve">8% of ARR closed</t>
  </si>
  <si>
    <t xml:space="preserve">7% of ARR closed</t>
  </si>
  <si>
    <t xml:space="preserve">6% of ARR closed</t>
  </si>
  <si>
    <t xml:space="preserve">4% of pipeline sourced (SQL stage+)</t>
  </si>
  <si>
    <t xml:space="preserve">2.5% of influenced ARR</t>
  </si>
  <si>
    <t xml:space="preserve">Renewals</t>
  </si>
  <si>
    <t xml:space="preserve">3% of renewed ARR</t>
  </si>
  <si>
    <t xml:space="preserve">Channel / Partner</t>
  </si>
  <si>
    <t xml:space="preserve">5% of partner-sourced ARR</t>
  </si>
  <si>
    <t xml:space="preserve">D.  TIERED COMMISSION RATE TABLE  (% of Quota Attained → Rate)</t>
  </si>
  <si>
    <t xml:space="preserve">Tier</t>
  </si>
  <si>
    <t xml:space="preserve">Attainment From</t>
  </si>
  <si>
    <t xml:space="preserve">Attainment To</t>
  </si>
  <si>
    <t xml:space="preserve">Comm Rate</t>
  </si>
  <si>
    <t xml:space="preserve">Accelerator Label</t>
  </si>
  <si>
    <t xml:space="preserve">Tier 0 – Ramp</t>
  </si>
  <si>
    <t xml:space="preserve">No Accelerator</t>
  </si>
  <si>
    <t xml:space="preserve">Below threshold – 2% only</t>
  </si>
  <si>
    <t xml:space="preserve">Tier 1 – Base</t>
  </si>
  <si>
    <t xml:space="preserve">0.7x</t>
  </si>
  <si>
    <t xml:space="preserve">50-74% quota: 5%</t>
  </si>
  <si>
    <t xml:space="preserve">Tier 2 – Target</t>
  </si>
  <si>
    <t xml:space="preserve">1.0x</t>
  </si>
  <si>
    <t xml:space="preserve">75-99% quota: 7%</t>
  </si>
  <si>
    <t xml:space="preserve">Tier 3 – Quota</t>
  </si>
  <si>
    <t xml:space="preserve">1.3x Accelerator</t>
  </si>
  <si>
    <t xml:space="preserve">100-124%: 9%</t>
  </si>
  <si>
    <t xml:space="preserve">Tier 4 – Over</t>
  </si>
  <si>
    <t xml:space="preserve">1.6x Accelerator</t>
  </si>
  <si>
    <t xml:space="preserve">125-149%: 11%</t>
  </si>
  <si>
    <t xml:space="preserve">Tier 5 – Kicker</t>
  </si>
  <si>
    <t xml:space="preserve">2.0x Kicker</t>
  </si>
  <si>
    <t xml:space="preserve">150%+: 14% uncapped</t>
  </si>
  <si>
    <t xml:space="preserve">E.  BONUS &amp; SPIF TYPES</t>
  </si>
  <si>
    <t xml:space="preserve">Bonus Type</t>
  </si>
  <si>
    <t xml:space="preserve">Trigger Condition</t>
  </si>
  <si>
    <t xml:space="preserve">Amount / Rate</t>
  </si>
  <si>
    <t xml:space="preserve">Cap ($)</t>
  </si>
  <si>
    <t xml:space="preserve">Active?</t>
  </si>
  <si>
    <t xml:space="preserve">President's Club Bonus</t>
  </si>
  <si>
    <t xml:space="preserve">≥150% quota attainment</t>
  </si>
  <si>
    <t xml:space="preserve">YES</t>
  </si>
  <si>
    <t xml:space="preserve">New Logo SPIF</t>
  </si>
  <si>
    <t xml:space="preserve">First deal with new account</t>
  </si>
  <si>
    <t xml:space="preserve">Multi-Year Deal Bonus</t>
  </si>
  <si>
    <t xml:space="preserve">3yr+ contract signed</t>
  </si>
  <si>
    <t xml:space="preserve">Product Mix Bonus</t>
  </si>
  <si>
    <t xml:space="preserve">≥30% from strategic products</t>
  </si>
  <si>
    <t xml:space="preserve">Quarterly Ramp Bonus</t>
  </si>
  <si>
    <t xml:space="preserve">Ramp rep hits 50%+ in Q1</t>
  </si>
  <si>
    <t xml:space="preserve">Referral Bonus</t>
  </si>
  <si>
    <t xml:space="preserve">Customer referral → close</t>
  </si>
  <si>
    <t xml:space="preserve">NO</t>
  </si>
  <si>
    <t xml:space="preserve">📊  REP DEAL DATA  —  Enter individual closed deals below</t>
  </si>
  <si>
    <t xml:space="preserve">Deal ID</t>
  </si>
  <si>
    <t xml:space="preserve">Account Name</t>
  </si>
  <si>
    <t xml:space="preserve">Deal Stage</t>
  </si>
  <si>
    <t xml:space="preserve">Deal Type</t>
  </si>
  <si>
    <t xml:space="preserve">Product Line</t>
  </si>
  <si>
    <t xml:space="preserve">Close Date</t>
  </si>
  <si>
    <t xml:space="preserve">ARR ($)</t>
  </si>
  <si>
    <t xml:space="preserve">Deal Term (Yrs)</t>
  </si>
  <si>
    <t xml:space="preserve">TCV ($)</t>
  </si>
  <si>
    <t xml:space="preserve">Multi-Year?</t>
  </si>
  <si>
    <t xml:space="preserve">New Logo?</t>
  </si>
  <si>
    <t xml:space="preserve">Strategic Product?</t>
  </si>
  <si>
    <t xml:space="preserve">Eligible for Comm?</t>
  </si>
  <si>
    <t xml:space="preserve">D001</t>
  </si>
  <si>
    <t xml:space="preserve">Velocity Corp</t>
  </si>
  <si>
    <t xml:space="preserve">Closed Won</t>
  </si>
  <si>
    <t xml:space="preserve">New Business</t>
  </si>
  <si>
    <t xml:space="preserve">Core Platform</t>
  </si>
  <si>
    <t xml:space="preserve">2026-07-05</t>
  </si>
  <si>
    <t xml:space="preserve">D002</t>
  </si>
  <si>
    <t xml:space="preserve">Momentum Tech</t>
  </si>
  <si>
    <t xml:space="preserve">Expansion</t>
  </si>
  <si>
    <t xml:space="preserve">2026-07-18</t>
  </si>
  <si>
    <t xml:space="preserve">D003</t>
  </si>
  <si>
    <t xml:space="preserve">Apex Enterprises</t>
  </si>
  <si>
    <t xml:space="preserve">Strategic Suite</t>
  </si>
  <si>
    <t xml:space="preserve">2026-07-22</t>
  </si>
  <si>
    <t xml:space="preserve">Multi-yr</t>
  </si>
  <si>
    <t xml:space="preserve">D004</t>
  </si>
  <si>
    <t xml:space="preserve">Nexus Global</t>
  </si>
  <si>
    <t xml:space="preserve">2026-08-01</t>
  </si>
  <si>
    <t xml:space="preserve">D005</t>
  </si>
  <si>
    <t xml:space="preserve">Swift SMB</t>
  </si>
  <si>
    <t xml:space="preserve">SMB Suite</t>
  </si>
  <si>
    <t xml:space="preserve">2026-08-10</t>
  </si>
  <si>
    <t xml:space="preserve">D006</t>
  </si>
  <si>
    <t xml:space="preserve">Pixel Agency</t>
  </si>
  <si>
    <t xml:space="preserve">Renewal</t>
  </si>
  <si>
    <t xml:space="preserve">2026-08-15</t>
  </si>
  <si>
    <t xml:space="preserve">D007</t>
  </si>
  <si>
    <t xml:space="preserve">EuroLogic GmbH</t>
  </si>
  <si>
    <t xml:space="preserve">2026-08-20</t>
  </si>
  <si>
    <t xml:space="preserve">EMEA Enterprise</t>
  </si>
  <si>
    <t xml:space="preserve">D008</t>
  </si>
  <si>
    <t xml:space="preserve">Techwave BV</t>
  </si>
  <si>
    <t xml:space="preserve">2026-08-25</t>
  </si>
  <si>
    <t xml:space="preserve">D009</t>
  </si>
  <si>
    <t xml:space="preserve">GrowthCo</t>
  </si>
  <si>
    <t xml:space="preserve">2026-09-01</t>
  </si>
  <si>
    <t xml:space="preserve">BDR sourced</t>
  </si>
  <si>
    <t xml:space="preserve">D010</t>
  </si>
  <si>
    <t xml:space="preserve">ScaleUp Inc</t>
  </si>
  <si>
    <t xml:space="preserve">2026-09-05</t>
  </si>
  <si>
    <t xml:space="preserve">D011</t>
  </si>
  <si>
    <t xml:space="preserve">Omni Retail EU</t>
  </si>
  <si>
    <t xml:space="preserve">2026-09-10</t>
  </si>
  <si>
    <t xml:space="preserve">Big deal</t>
  </si>
  <si>
    <t xml:space="preserve">D012</t>
  </si>
  <si>
    <t xml:space="preserve">LogisPro GmbH</t>
  </si>
  <si>
    <t xml:space="preserve">2026-09-15</t>
  </si>
  <si>
    <t xml:space="preserve">D013</t>
  </si>
  <si>
    <t xml:space="preserve">Acorn SMB</t>
  </si>
  <si>
    <t xml:space="preserve">2026-09-18</t>
  </si>
  <si>
    <t xml:space="preserve">D014</t>
  </si>
  <si>
    <t xml:space="preserve">Brisk Apps</t>
  </si>
  <si>
    <t xml:space="preserve">Closed Lost</t>
  </si>
  <si>
    <t xml:space="preserve">2026-09-20</t>
  </si>
  <si>
    <t xml:space="preserve">Lost – no comm</t>
  </si>
  <si>
    <t xml:space="preserve">D015</t>
  </si>
  <si>
    <t xml:space="preserve">Influenced</t>
  </si>
  <si>
    <t xml:space="preserve">SE Influence</t>
  </si>
  <si>
    <t xml:space="preserve">TOTALS</t>
  </si>
  <si>
    <t xml:space="preserve">🎯  FLAT-RATE COMMISSION CALCULATOR</t>
  </si>
  <si>
    <t xml:space="preserve">Commission = Eligible ARR × Role-Based Flat Rate  (from Config Sheet C)</t>
  </si>
  <si>
    <t xml:space="preserve">Eligible ARR ($)</t>
  </si>
  <si>
    <t xml:space="preserve">Flat Comm Rate</t>
  </si>
  <si>
    <t xml:space="preserve">Gross Commission ($)</t>
  </si>
  <si>
    <t xml:space="preserve">Quota Attainment</t>
  </si>
  <si>
    <t xml:space="preserve">Above / Below Quota ($)</t>
  </si>
  <si>
    <t xml:space="preserve">Commission Status</t>
  </si>
  <si>
    <t xml:space="preserve">TEAM TOTAL</t>
  </si>
  <si>
    <t xml:space="preserve">📈  TIERED COMMISSION CALCULATOR  (with Accelerators)</t>
  </si>
  <si>
    <t xml:space="preserve">Commission is calculated per tier bucket — different rates apply to ARR in each attainment band</t>
  </si>
  <si>
    <t xml:space="preserve">⚙️  TIER REFERENCE  (from Config Sheet D — update rates in Config)</t>
  </si>
  <si>
    <t xml:space="preserve">From %</t>
  </si>
  <si>
    <t xml:space="preserve">To %</t>
  </si>
  <si>
    <t xml:space="preserve">Rate</t>
  </si>
  <si>
    <t xml:space="preserve">Label</t>
  </si>
  <si>
    <t xml:space="preserve">Tier 0</t>
  </si>
  <si>
    <t xml:space="preserve">0%</t>
  </si>
  <si>
    <t xml:space="preserve">49%</t>
  </si>
  <si>
    <t xml:space="preserve">2.0%</t>
  </si>
  <si>
    <t xml:space="preserve">Ramp</t>
  </si>
  <si>
    <t xml:space="preserve">Tier 1</t>
  </si>
  <si>
    <t xml:space="preserve">50%</t>
  </si>
  <si>
    <t xml:space="preserve">74%</t>
  </si>
  <si>
    <t xml:space="preserve">5.0%</t>
  </si>
  <si>
    <t xml:space="preserve">Base</t>
  </si>
  <si>
    <t xml:space="preserve">Tier 2</t>
  </si>
  <si>
    <t xml:space="preserve">75%</t>
  </si>
  <si>
    <t xml:space="preserve">99%</t>
  </si>
  <si>
    <t xml:space="preserve">7.0%</t>
  </si>
  <si>
    <t xml:space="preserve">Target</t>
  </si>
  <si>
    <t xml:space="preserve">Tier 3</t>
  </si>
  <si>
    <t xml:space="preserve">100%</t>
  </si>
  <si>
    <t xml:space="preserve">124%</t>
  </si>
  <si>
    <t xml:space="preserve">9.0%</t>
  </si>
  <si>
    <t xml:space="preserve">1.3x Accel</t>
  </si>
  <si>
    <t xml:space="preserve">Tier 4</t>
  </si>
  <si>
    <t xml:space="preserve">125%</t>
  </si>
  <si>
    <t xml:space="preserve">149%</t>
  </si>
  <si>
    <t xml:space="preserve">11.0%</t>
  </si>
  <si>
    <t xml:space="preserve">1.6x Accel</t>
  </si>
  <si>
    <t xml:space="preserve">Tier 5</t>
  </si>
  <si>
    <t xml:space="preserve">150%</t>
  </si>
  <si>
    <t xml:space="preserve">+∞</t>
  </si>
  <si>
    <t xml:space="preserve">14.0%</t>
  </si>
  <si>
    <t xml:space="preserve">📊  PER-REP TIERED COMMISSION BREAKDOWN</t>
  </si>
  <si>
    <t xml:space="preserve">Role</t>
  </si>
  <si>
    <t xml:space="preserve">Attainment %</t>
  </si>
  <si>
    <t xml:space="preserve">T0 Comm ($)</t>
  </si>
  <si>
    <t xml:space="preserve">T1 Comm ($)</t>
  </si>
  <si>
    <t xml:space="preserve">T2 Comm ($)</t>
  </si>
  <si>
    <t xml:space="preserve">T3 Comm ($)</t>
  </si>
  <si>
    <t xml:space="preserve">T4 Comm ($)</t>
  </si>
  <si>
    <t xml:space="preserve">T5 Comm ($)</t>
  </si>
  <si>
    <t xml:space="preserve">Total Tiered Comm ($)</t>
  </si>
  <si>
    <t xml:space="preserve">Active Tier</t>
  </si>
  <si>
    <t xml:space="preserve">vs Flat Rate Δ ($)</t>
  </si>
  <si>
    <t xml:space="preserve">🎁  BONUSES, SPIFS, CLAWBACKS &amp; MID-CYCLE ADJUSTMENTS</t>
  </si>
  <si>
    <t xml:space="preserve">A.  INDIVIDUAL BONUSES &amp; SPIFs</t>
  </si>
  <si>
    <t xml:space="preserve">Trigger Met?</t>
  </si>
  <si>
    <t xml:space="preserve">Deal / Reference</t>
  </si>
  <si>
    <t xml:space="preserve">Gross Bonus ($)</t>
  </si>
  <si>
    <t xml:space="preserve">Applied Bonus ($)</t>
  </si>
  <si>
    <t xml:space="preserve">Pay Period</t>
  </si>
  <si>
    <t xml:space="preserve">D001 – Velocity Corp</t>
  </si>
  <si>
    <t xml:space="preserve">Q3 Jul</t>
  </si>
  <si>
    <t xml:space="preserve">New logo deal</t>
  </si>
  <si>
    <t xml:space="preserve">D003 – Apex Enterprises</t>
  </si>
  <si>
    <t xml:space="preserve">3yr deal</t>
  </si>
  <si>
    <t xml:space="preserve">N/A – missed 50% thresh</t>
  </si>
  <si>
    <t xml:space="preserve">—</t>
  </si>
  <si>
    <t xml:space="preserve">Did not hit 50%</t>
  </si>
  <si>
    <t xml:space="preserve">D007 – EuroLogic GmbH</t>
  </si>
  <si>
    <t xml:space="preserve">Q3 Aug</t>
  </si>
  <si>
    <t xml:space="preserve">≥150% attainment</t>
  </si>
  <si>
    <t xml:space="preserve">Q3 Sep</t>
  </si>
  <si>
    <t xml:space="preserve">D011 – Omni Retail EU</t>
  </si>
  <si>
    <t xml:space="preserve">D013 – Acorn SMB</t>
  </si>
  <si>
    <t xml:space="preserve">TOTAL BONUSES</t>
  </si>
  <si>
    <t xml:space="preserve">B.  CLAWBACKS &amp; DEDUCTIONS</t>
  </si>
  <si>
    <t xml:space="preserve">Reason</t>
  </si>
  <si>
    <t xml:space="preserve">Original Deal</t>
  </si>
  <si>
    <t xml:space="preserve">Original Comm Paid ($)</t>
  </si>
  <si>
    <t xml:space="preserve">% to Claw Back</t>
  </si>
  <si>
    <t xml:space="preserve">Clawback Amount ($)</t>
  </si>
  <si>
    <t xml:space="preserve">Applied Period</t>
  </si>
  <si>
    <t xml:space="preserve">Status</t>
  </si>
  <si>
    <t xml:space="preserve">Deal churned within 90 days</t>
  </si>
  <si>
    <t xml:space="preserve">PENDING</t>
  </si>
  <si>
    <t xml:space="preserve">Customer cancelled</t>
  </si>
  <si>
    <t xml:space="preserve">Contract downgrade</t>
  </si>
  <si>
    <t xml:space="preserve">APPLIED</t>
  </si>
  <si>
    <t xml:space="preserve">Downgraded 50%</t>
  </si>
  <si>
    <t xml:space="preserve">Invoice unpaid &gt; 60 days</t>
  </si>
  <si>
    <t xml:space="preserve">Finance hold</t>
  </si>
  <si>
    <t xml:space="preserve">TOTAL CLAWBACKS</t>
  </si>
  <si>
    <t xml:space="preserve">C.  MID-CYCLE CHANGES  (Quota Adjustments, Transfers, Leaves)</t>
  </si>
  <si>
    <t xml:space="preserve">Change Type</t>
  </si>
  <si>
    <t xml:space="preserve">Effective Date</t>
  </si>
  <si>
    <t xml:space="preserve">Days in Period (Pre)</t>
  </si>
  <si>
    <t xml:space="preserve">Days in Period (Post)</t>
  </si>
  <si>
    <t xml:space="preserve">Original Quota ($)</t>
  </si>
  <si>
    <t xml:space="preserve">Adjusted Quota ($)</t>
  </si>
  <si>
    <t xml:space="preserve">Proration Factor</t>
  </si>
  <si>
    <t xml:space="preserve">Parental Leave</t>
  </si>
  <si>
    <t xml:space="preserve">Pro-rated 61/92 days</t>
  </si>
  <si>
    <t xml:space="preserve">Territory Expansion</t>
  </si>
  <si>
    <t xml:space="preserve">Quota increase mid-Q</t>
  </si>
  <si>
    <t xml:space="preserve">💰  FINAL PAYOUT SUMMARY  —  Q3 2026</t>
  </si>
  <si>
    <t xml:space="preserve">Formula: Final Payout = Base Salary (period) + Tiered Commission + Applied Bonuses − Clawbacks</t>
  </si>
  <si>
    <t xml:space="preserve">Flat Comm ($)</t>
  </si>
  <si>
    <t xml:space="preserve">Tiered Comm ($)</t>
  </si>
  <si>
    <t xml:space="preserve">Applied Bonuses ($)</t>
  </si>
  <si>
    <t xml:space="preserve">Clawbacks ($)</t>
  </si>
  <si>
    <t xml:space="preserve">Net Commission ($)</t>
  </si>
  <si>
    <t xml:space="preserve">Base Salary (period) ($)</t>
  </si>
  <si>
    <t xml:space="preserve">Total Payout ($)</t>
  </si>
  <si>
    <t xml:space="preserve">OTE ($)</t>
  </si>
  <si>
    <t xml:space="preserve">% of OTE</t>
  </si>
  <si>
    <t xml:space="preserve">Payout Status</t>
  </si>
  <si>
    <t xml:space="preserve">📊  PLAN EFFICIENCY METRICS</t>
  </si>
  <si>
    <t xml:space="preserve">Total Eligible ARR</t>
  </si>
  <si>
    <t xml:space="preserve">Total Commission Paid</t>
  </si>
  <si>
    <t xml:space="preserve">Total Bonuses Paid</t>
  </si>
  <si>
    <t xml:space="preserve">Total Clawbacks</t>
  </si>
  <si>
    <t xml:space="preserve">Effective Comm Rate</t>
  </si>
  <si>
    <t xml:space="preserve">Commission / OTE Ratio</t>
  </si>
  <si>
    <t xml:space="preserve">Reps At/Above Quota</t>
  </si>
  <si>
    <t xml:space="preserve">Reps Below Quota</t>
  </si>
  <si>
    <t xml:space="preserve">📉  COMMISSION DASHBOARD  —  Q3 2026  |  Leadership View</t>
  </si>
  <si>
    <t xml:space="preserve">Total ARR Booked</t>
  </si>
  <si>
    <t xml:space="preserve">Team Attainment</t>
  </si>
  <si>
    <t xml:space="preserve">Total Commission</t>
  </si>
  <si>
    <t xml:space="preserve">Total Bonuses</t>
  </si>
  <si>
    <t xml:space="preserve">📊  REP ATTAINMENT LEADERBOARD</t>
  </si>
  <si>
    <t xml:space="preserve">Rank</t>
  </si>
  <si>
    <t xml:space="preserve">Quota ($)</t>
  </si>
  <si>
    <t xml:space="preserve">ARR Booked ($)</t>
  </si>
  <si>
    <t xml:space="preserve">🏥  PLAN HEALTH INDICATORS</t>
  </si>
  <si>
    <t xml:space="preserve">Reps At/Above 100% Quota</t>
  </si>
  <si>
    <t xml:space="preserve">Reps Below 75% Quota</t>
  </si>
  <si>
    <t xml:space="preserve">Effective Commission Rate</t>
  </si>
  <si>
    <t xml:space="preserve">Comm Cost as % of ARR</t>
  </si>
  <si>
    <t xml:space="preserve">Total Clawback Exposure</t>
  </si>
  <si>
    <t xml:space="preserve">Pending Clawbacks</t>
  </si>
  <si>
    <t xml:space="preserve">🔍  AUDIT LOG  —  Changes, Disputes &amp; Approvals</t>
  </si>
  <si>
    <t xml:space="preserve">Log ID</t>
  </si>
  <si>
    <t xml:space="preserve">Date</t>
  </si>
  <si>
    <t xml:space="preserve">Old Value</t>
  </si>
  <si>
    <t xml:space="preserve">New Value</t>
  </si>
  <si>
    <t xml:space="preserve">Changed By</t>
  </si>
  <si>
    <t xml:space="preserve">Approved By</t>
  </si>
  <si>
    <t xml:space="preserve">Notes / Reason</t>
  </si>
  <si>
    <t xml:space="preserve">A001</t>
  </si>
  <si>
    <t xml:space="preserve">2026-07-10</t>
  </si>
  <si>
    <t xml:space="preserve">Quota Adjustment</t>
  </si>
  <si>
    <t xml:space="preserve">$90,000</t>
  </si>
  <si>
    <t xml:space="preserve">$46,154</t>
  </si>
  <si>
    <t xml:space="preserve">VP Sales</t>
  </si>
  <si>
    <t xml:space="preserve">Parental leave pro-ration</t>
  </si>
  <si>
    <t xml:space="preserve">A002</t>
  </si>
  <si>
    <t xml:space="preserve">Quota Increase</t>
  </si>
  <si>
    <t xml:space="preserve">$60,000</t>
  </si>
  <si>
    <t xml:space="preserve">$72,000</t>
  </si>
  <si>
    <t xml:space="preserve">Territory expansion effective Aug 1</t>
  </si>
  <si>
    <t xml:space="preserve">A003</t>
  </si>
  <si>
    <t xml:space="preserve">Clawback Initiated</t>
  </si>
  <si>
    <t xml:space="preserve">$0</t>
  </si>
  <si>
    <t xml:space="preserve">$3,570</t>
  </si>
  <si>
    <t xml:space="preserve">Finance</t>
  </si>
  <si>
    <t xml:space="preserve">CFO</t>
  </si>
  <si>
    <t xml:space="preserve">D001 Velocity Corp churned</t>
  </si>
  <si>
    <t xml:space="preserve">A004</t>
  </si>
  <si>
    <t xml:space="preserve">2026-09-12</t>
  </si>
  <si>
    <t xml:space="preserve">$2,100</t>
  </si>
  <si>
    <t xml:space="preserve">D013 invoice unpaid 60d</t>
  </si>
  <si>
    <t xml:space="preserve">A005</t>
  </si>
  <si>
    <t xml:space="preserve">President's Club Bonus Added</t>
  </si>
  <si>
    <t xml:space="preserve">$5,000</t>
  </si>
  <si>
    <t xml:space="preserve">Confirmed ≥150% attainment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</si>
</sst>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"/>
    <numFmt numFmtId="166" formatCode="0.0%"/>
    <numFmt numFmtId="167" formatCode="0%"/>
    <numFmt numFmtId="168" formatCode="\$#,##0.##"/>
    <numFmt numFmtId="169" formatCode="\$#,##0;&quot;($&quot;#,##0\);\-"/>
    <numFmt numFmtId="170" formatCode="\$#,##0"/>
    <numFmt numFmtId="171" formatCode="0.00%"/>
    <numFmt numFmtId="172" formatCode="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10"/>
      <color rgb="FF40404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375623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FFFFFF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F5496"/>
        <bgColor rgb="FF1F3864"/>
      </patternFill>
    </fill>
    <fill>
      <patternFill patternType="solid">
        <fgColor rgb="FF4472C4"/>
        <bgColor rgb="FF666699"/>
      </patternFill>
    </fill>
    <fill>
      <patternFill patternType="solid">
        <fgColor rgb="FFBDD7EE"/>
        <bgColor rgb="FFBFBFBF"/>
      </patternFill>
    </fill>
    <fill>
      <patternFill patternType="solid">
        <fgColor rgb="FFF2F2F2"/>
        <bgColor rgb="FFE2EFDA"/>
      </patternFill>
    </fill>
    <fill>
      <patternFill patternType="solid">
        <fgColor rgb="FFFFFACD"/>
        <bgColor rgb="FFF2F2F2"/>
      </patternFill>
    </fill>
    <fill>
      <patternFill patternType="solid">
        <fgColor rgb="FFE2EFDA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FCE4D6"/>
        <bgColor rgb="FFF2F2F2"/>
      </patternFill>
    </fill>
    <fill>
      <patternFill patternType="solid">
        <fgColor rgb="FFFFCCCC"/>
        <bgColor rgb="FFFCE4D6"/>
      </patternFill>
    </fill>
    <fill>
      <patternFill patternType="solid">
        <fgColor rgb="FFC00000"/>
        <bgColor rgb="FF800000"/>
      </patternFill>
    </fill>
    <fill>
      <patternFill patternType="solid">
        <fgColor rgb="FF375623"/>
        <bgColor rgb="FF404040"/>
      </patternFill>
    </fill>
    <fill>
      <patternFill patternType="solid">
        <fgColor rgb="FFC55A11"/>
        <bgColor rgb="FFED7D31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72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7030A0"/>
      <rgbColor rgb="FFFFFACD"/>
      <rgbColor rgb="FFF2F2F2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CE4D6"/>
      <rgbColor rgb="FFA9D18E"/>
      <rgbColor rgb="FFFF99CC"/>
      <rgbColor rgb="FFCC99FF"/>
      <rgbColor rgb="FFFFCCCC"/>
      <rgbColor rgb="FF4472C4"/>
      <rgbColor rgb="FF33CCCC"/>
      <rgbColor rgb="FF99CC00"/>
      <rgbColor rgb="FFFFC000"/>
      <rgbColor rgb="FFFF9900"/>
      <rgbColor rgb="FFED7D31"/>
      <rgbColor rgb="FF666699"/>
      <rgbColor rgb="FF70AD47"/>
      <rgbColor rgb="FF1F3864"/>
      <rgbColor rgb="FF339966"/>
      <rgbColor rgb="FF003300"/>
      <rgbColor rgb="FF375623"/>
      <rgbColor rgb="FF833C00"/>
      <rgbColor rgb="FFC55A11"/>
      <rgbColor rgb="FF2F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tru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0"/>
    <col collapsed="false" customWidth="true" hidden="false" outlineLevel="0" max="3" min="3" style="1" width="16"/>
    <col collapsed="false" customWidth="true" hidden="false" outlineLevel="0" max="10" min="4" style="1" width="14"/>
  </cols>
  <sheetData>
    <row r="1" customFormat="false" ht="9.75" hidden="false" customHeight="true" outlineLevel="0" collapsed="false"/>
    <row r="2" customFormat="false" ht="60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30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5" customFormat="false" ht="24.75" hidden="false" customHeight="true" outlineLevel="0" collapsed="false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customFormat="false" ht="18" hidden="false" customHeight="true" outlineLevel="0" collapsed="false"/>
    <row r="7" customFormat="false" ht="30" hidden="false" customHeight="true" outlineLevel="0" collapsed="false">
      <c r="A7" s="5" t="s">
        <v>3</v>
      </c>
      <c r="B7" s="6" t="s">
        <v>4</v>
      </c>
      <c r="C7" s="7" t="s">
        <v>5</v>
      </c>
      <c r="D7" s="7"/>
      <c r="E7" s="7"/>
      <c r="F7" s="7"/>
      <c r="G7" s="7"/>
      <c r="H7" s="7"/>
      <c r="I7" s="7"/>
      <c r="J7" s="7"/>
    </row>
    <row r="8" customFormat="false" ht="30" hidden="false" customHeight="true" outlineLevel="0" collapsed="false">
      <c r="A8" s="5" t="s">
        <v>6</v>
      </c>
      <c r="B8" s="6" t="s">
        <v>7</v>
      </c>
      <c r="C8" s="7" t="s">
        <v>8</v>
      </c>
      <c r="D8" s="7"/>
      <c r="E8" s="7"/>
      <c r="F8" s="7"/>
      <c r="G8" s="7"/>
      <c r="H8" s="7"/>
      <c r="I8" s="7"/>
      <c r="J8" s="7"/>
    </row>
    <row r="9" customFormat="false" ht="30" hidden="false" customHeight="true" outlineLevel="0" collapsed="false">
      <c r="A9" s="5" t="s">
        <v>9</v>
      </c>
      <c r="B9" s="6" t="s">
        <v>10</v>
      </c>
      <c r="C9" s="7" t="s">
        <v>11</v>
      </c>
      <c r="D9" s="7"/>
      <c r="E9" s="7"/>
      <c r="F9" s="7"/>
      <c r="G9" s="7"/>
      <c r="H9" s="7"/>
      <c r="I9" s="7"/>
      <c r="J9" s="7"/>
    </row>
    <row r="10" customFormat="false" ht="30" hidden="false" customHeight="true" outlineLevel="0" collapsed="false">
      <c r="A10" s="5" t="s">
        <v>12</v>
      </c>
      <c r="B10" s="6" t="s">
        <v>13</v>
      </c>
      <c r="C10" s="7" t="s">
        <v>14</v>
      </c>
      <c r="D10" s="7"/>
      <c r="E10" s="7"/>
      <c r="F10" s="7"/>
      <c r="G10" s="7"/>
      <c r="H10" s="7"/>
      <c r="I10" s="7"/>
      <c r="J10" s="7"/>
    </row>
    <row r="11" customFormat="false" ht="30" hidden="false" customHeight="true" outlineLevel="0" collapsed="false">
      <c r="A11" s="5" t="s">
        <v>15</v>
      </c>
      <c r="B11" s="6" t="s">
        <v>16</v>
      </c>
      <c r="C11" s="7" t="s">
        <v>17</v>
      </c>
      <c r="D11" s="7"/>
      <c r="E11" s="7"/>
      <c r="F11" s="7"/>
      <c r="G11" s="7"/>
      <c r="H11" s="7"/>
      <c r="I11" s="7"/>
      <c r="J11" s="7"/>
    </row>
    <row r="12" customFormat="false" ht="30" hidden="false" customHeight="true" outlineLevel="0" collapsed="false">
      <c r="A12" s="5" t="s">
        <v>18</v>
      </c>
      <c r="B12" s="6" t="s">
        <v>19</v>
      </c>
      <c r="C12" s="7" t="s">
        <v>20</v>
      </c>
      <c r="D12" s="7"/>
      <c r="E12" s="7"/>
      <c r="F12" s="7"/>
      <c r="G12" s="7"/>
      <c r="H12" s="7"/>
      <c r="I12" s="7"/>
      <c r="J12" s="7"/>
    </row>
    <row r="13" customFormat="false" ht="30" hidden="false" customHeight="true" outlineLevel="0" collapsed="false">
      <c r="A13" s="5" t="s">
        <v>21</v>
      </c>
      <c r="B13" s="6" t="s">
        <v>22</v>
      </c>
      <c r="C13" s="7" t="s">
        <v>23</v>
      </c>
      <c r="D13" s="7"/>
      <c r="E13" s="7"/>
      <c r="F13" s="7"/>
      <c r="G13" s="7"/>
      <c r="H13" s="7"/>
      <c r="I13" s="7"/>
      <c r="J13" s="7"/>
    </row>
    <row r="15" customFormat="false" ht="18" hidden="false" customHeight="true" outlineLevel="0" collapsed="false"/>
    <row r="16" customFormat="false" ht="15" hidden="false" customHeight="true" outlineLevel="0" collapsed="false">
      <c r="A16" s="3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customFormat="false" ht="21.75" hidden="false" customHeight="true" outlineLevel="0" collapsed="false">
      <c r="A17" s="8" t="s">
        <v>25</v>
      </c>
      <c r="B17" s="8"/>
      <c r="C17" s="9" t="s">
        <v>26</v>
      </c>
      <c r="D17" s="9"/>
      <c r="E17" s="9"/>
      <c r="F17" s="9"/>
      <c r="G17" s="9"/>
      <c r="H17" s="9"/>
      <c r="I17" s="9"/>
      <c r="J17" s="9"/>
    </row>
    <row r="18" customFormat="false" ht="21.75" hidden="false" customHeight="true" outlineLevel="0" collapsed="false">
      <c r="A18" s="10" t="s">
        <v>25</v>
      </c>
      <c r="B18" s="10"/>
      <c r="C18" s="9" t="s">
        <v>27</v>
      </c>
      <c r="D18" s="9"/>
      <c r="E18" s="9"/>
      <c r="F18" s="9"/>
      <c r="G18" s="9"/>
      <c r="H18" s="9"/>
      <c r="I18" s="9"/>
      <c r="J18" s="9"/>
    </row>
    <row r="19" customFormat="false" ht="21.75" hidden="false" customHeight="true" outlineLevel="0" collapsed="false">
      <c r="A19" s="11" t="s">
        <v>25</v>
      </c>
      <c r="B19" s="11"/>
      <c r="C19" s="9" t="s">
        <v>28</v>
      </c>
      <c r="D19" s="9"/>
      <c r="E19" s="9"/>
      <c r="F19" s="9"/>
      <c r="G19" s="9"/>
      <c r="H19" s="9"/>
      <c r="I19" s="9"/>
      <c r="J19" s="9"/>
    </row>
    <row r="20" customFormat="false" ht="21.75" hidden="false" customHeight="true" outlineLevel="0" collapsed="false">
      <c r="A20" s="12" t="s">
        <v>25</v>
      </c>
      <c r="B20" s="12"/>
      <c r="C20" s="9" t="s">
        <v>29</v>
      </c>
      <c r="D20" s="9"/>
      <c r="E20" s="9"/>
      <c r="F20" s="9"/>
      <c r="G20" s="9"/>
      <c r="H20" s="9"/>
      <c r="I20" s="9"/>
      <c r="J20" s="9"/>
    </row>
  </sheetData>
  <mergeCells count="19">
    <mergeCell ref="A2:J2"/>
    <mergeCell ref="A3:J3"/>
    <mergeCell ref="A5:J5"/>
    <mergeCell ref="C7:J7"/>
    <mergeCell ref="C8:J8"/>
    <mergeCell ref="C9:J9"/>
    <mergeCell ref="C10:J10"/>
    <mergeCell ref="C11:J11"/>
    <mergeCell ref="C12:J12"/>
    <mergeCell ref="C13:J13"/>
    <mergeCell ref="A16:J16"/>
    <mergeCell ref="A17:B17"/>
    <mergeCell ref="C17:J17"/>
    <mergeCell ref="A18:B18"/>
    <mergeCell ref="C18:J18"/>
    <mergeCell ref="A19:B19"/>
    <mergeCell ref="C19:J19"/>
    <mergeCell ref="A20:B20"/>
    <mergeCell ref="C20:J20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472C4"/>
    <pageSetUpPr fitToPage="true"/>
  </sheetPr>
  <dimension ref="A1:J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22"/>
    <col collapsed="false" customWidth="true" hidden="false" outlineLevel="0" max="3" min="3" style="1" width="20"/>
    <col collapsed="false" customWidth="true" hidden="false" outlineLevel="0" max="5" min="4" style="1" width="18"/>
    <col collapsed="false" customWidth="true" hidden="false" outlineLevel="0" max="6" min="6" style="1" width="22"/>
    <col collapsed="false" customWidth="true" hidden="false" outlineLevel="0" max="8" min="7" style="1" width="14"/>
  </cols>
  <sheetData>
    <row r="1" customFormat="false" ht="17.25" hidden="false" customHeight="true" outlineLevel="0" collapsed="false">
      <c r="A1" s="13" t="s">
        <v>30</v>
      </c>
      <c r="B1" s="13"/>
      <c r="C1" s="13"/>
      <c r="D1" s="13"/>
      <c r="E1" s="13"/>
      <c r="F1" s="13"/>
      <c r="G1" s="13"/>
      <c r="H1" s="13"/>
    </row>
    <row r="3" customFormat="false" ht="15" hidden="false" customHeight="true" outlineLevel="0" collapsed="false">
      <c r="A3" s="14" t="s">
        <v>31</v>
      </c>
      <c r="B3" s="14"/>
      <c r="C3" s="14"/>
      <c r="D3" s="14"/>
      <c r="E3" s="14"/>
      <c r="F3" s="14"/>
      <c r="G3" s="14"/>
      <c r="H3" s="14"/>
    </row>
    <row r="4" customFormat="false" ht="15" hidden="false" customHeight="true" outlineLevel="0" collapsed="false">
      <c r="A4" s="15" t="s">
        <v>32</v>
      </c>
      <c r="B4" s="15"/>
      <c r="C4" s="16" t="s">
        <v>33</v>
      </c>
      <c r="D4" s="16"/>
      <c r="E4" s="16"/>
      <c r="F4" s="16"/>
      <c r="G4" s="16"/>
      <c r="H4" s="16"/>
    </row>
    <row r="5" customFormat="false" ht="15" hidden="false" customHeight="true" outlineLevel="0" collapsed="false">
      <c r="A5" s="15" t="s">
        <v>34</v>
      </c>
      <c r="B5" s="15"/>
      <c r="C5" s="16" t="s">
        <v>35</v>
      </c>
      <c r="D5" s="16"/>
      <c r="E5" s="16"/>
      <c r="F5" s="16"/>
      <c r="G5" s="16"/>
      <c r="H5" s="16"/>
    </row>
    <row r="6" customFormat="false" ht="15" hidden="false" customHeight="true" outlineLevel="0" collapsed="false">
      <c r="A6" s="15" t="s">
        <v>36</v>
      </c>
      <c r="B6" s="15"/>
      <c r="C6" s="16" t="s">
        <v>37</v>
      </c>
      <c r="D6" s="16"/>
      <c r="E6" s="16"/>
      <c r="F6" s="16"/>
      <c r="G6" s="16"/>
      <c r="H6" s="16"/>
    </row>
    <row r="7" customFormat="false" ht="15" hidden="false" customHeight="true" outlineLevel="0" collapsed="false">
      <c r="A7" s="15" t="s">
        <v>38</v>
      </c>
      <c r="B7" s="15"/>
      <c r="C7" s="16" t="s">
        <v>39</v>
      </c>
      <c r="D7" s="16"/>
      <c r="E7" s="16"/>
      <c r="F7" s="16"/>
      <c r="G7" s="16"/>
      <c r="H7" s="16"/>
    </row>
    <row r="8" customFormat="false" ht="15" hidden="false" customHeight="true" outlineLevel="0" collapsed="false">
      <c r="A8" s="15" t="s">
        <v>40</v>
      </c>
      <c r="B8" s="15"/>
      <c r="C8" s="16" t="s">
        <v>41</v>
      </c>
      <c r="D8" s="16"/>
      <c r="E8" s="16"/>
      <c r="F8" s="16"/>
      <c r="G8" s="16"/>
      <c r="H8" s="16"/>
    </row>
    <row r="9" customFormat="false" ht="15" hidden="false" customHeight="true" outlineLevel="0" collapsed="false">
      <c r="A9" s="15" t="s">
        <v>42</v>
      </c>
      <c r="B9" s="15"/>
      <c r="C9" s="16" t="s">
        <v>43</v>
      </c>
      <c r="D9" s="16"/>
      <c r="E9" s="16"/>
      <c r="F9" s="16"/>
      <c r="G9" s="16"/>
      <c r="H9" s="16"/>
    </row>
    <row r="10" customFormat="false" ht="9.75" hidden="false" customHeight="true" outlineLevel="0" collapsed="false"/>
    <row r="11" customFormat="false" ht="15" hidden="false" customHeight="true" outlineLevel="0" collapsed="false">
      <c r="A11" s="14" t="s">
        <v>44</v>
      </c>
      <c r="B11" s="14"/>
      <c r="C11" s="14"/>
      <c r="D11" s="14"/>
      <c r="E11" s="14"/>
      <c r="F11" s="14"/>
      <c r="G11" s="14"/>
      <c r="H11" s="14"/>
    </row>
    <row r="12" customFormat="false" ht="39" hidden="false" customHeight="true" outlineLevel="0" collapsed="false">
      <c r="A12" s="17" t="s">
        <v>45</v>
      </c>
      <c r="B12" s="17" t="s">
        <v>46</v>
      </c>
      <c r="C12" s="17" t="s">
        <v>47</v>
      </c>
      <c r="D12" s="17" t="s">
        <v>48</v>
      </c>
      <c r="E12" s="17" t="s">
        <v>49</v>
      </c>
      <c r="F12" s="17" t="s">
        <v>50</v>
      </c>
      <c r="G12" s="17" t="s">
        <v>51</v>
      </c>
      <c r="H12" s="17" t="s">
        <v>52</v>
      </c>
      <c r="I12" s="17" t="s">
        <v>53</v>
      </c>
      <c r="J12" s="17" t="s">
        <v>54</v>
      </c>
    </row>
    <row r="13" customFormat="false" ht="19.5" hidden="false" customHeight="true" outlineLevel="0" collapsed="false">
      <c r="A13" s="16" t="s">
        <v>55</v>
      </c>
      <c r="B13" s="16" t="s">
        <v>56</v>
      </c>
      <c r="C13" s="16" t="s">
        <v>57</v>
      </c>
      <c r="D13" s="16" t="s">
        <v>58</v>
      </c>
      <c r="E13" s="16" t="s">
        <v>59</v>
      </c>
      <c r="F13" s="18" t="n">
        <v>600000</v>
      </c>
      <c r="G13" s="18" t="n">
        <v>150000</v>
      </c>
      <c r="H13" s="18" t="n">
        <v>120000</v>
      </c>
      <c r="I13" s="18" t="n">
        <v>60000</v>
      </c>
      <c r="J13" s="18" t="n">
        <v>60000</v>
      </c>
    </row>
    <row r="14" customFormat="false" ht="19.5" hidden="false" customHeight="true" outlineLevel="0" collapsed="false">
      <c r="A14" s="16" t="s">
        <v>60</v>
      </c>
      <c r="B14" s="16" t="s">
        <v>61</v>
      </c>
      <c r="C14" s="16" t="s">
        <v>62</v>
      </c>
      <c r="D14" s="16" t="s">
        <v>58</v>
      </c>
      <c r="E14" s="16" t="s">
        <v>59</v>
      </c>
      <c r="F14" s="18" t="n">
        <v>900000</v>
      </c>
      <c r="G14" s="18" t="n">
        <v>225000</v>
      </c>
      <c r="H14" s="18" t="n">
        <v>150000</v>
      </c>
      <c r="I14" s="18" t="n">
        <v>70000</v>
      </c>
      <c r="J14" s="18" t="n">
        <v>80000</v>
      </c>
    </row>
    <row r="15" customFormat="false" ht="19.5" hidden="false" customHeight="true" outlineLevel="0" collapsed="false">
      <c r="A15" s="16" t="s">
        <v>63</v>
      </c>
      <c r="B15" s="16" t="s">
        <v>64</v>
      </c>
      <c r="C15" s="16" t="s">
        <v>65</v>
      </c>
      <c r="D15" s="16" t="s">
        <v>66</v>
      </c>
      <c r="E15" s="16" t="s">
        <v>67</v>
      </c>
      <c r="F15" s="18" t="n">
        <v>360000</v>
      </c>
      <c r="G15" s="18" t="n">
        <v>90000</v>
      </c>
      <c r="H15" s="18" t="n">
        <v>90000</v>
      </c>
      <c r="I15" s="18" t="n">
        <v>50000</v>
      </c>
      <c r="J15" s="18" t="n">
        <v>40000</v>
      </c>
    </row>
    <row r="16" customFormat="false" ht="19.5" hidden="false" customHeight="true" outlineLevel="0" collapsed="false">
      <c r="A16" s="16" t="s">
        <v>68</v>
      </c>
      <c r="B16" s="16" t="s">
        <v>69</v>
      </c>
      <c r="C16" s="16" t="s">
        <v>57</v>
      </c>
      <c r="D16" s="16" t="s">
        <v>70</v>
      </c>
      <c r="E16" s="16" t="s">
        <v>59</v>
      </c>
      <c r="F16" s="18" t="n">
        <v>600000</v>
      </c>
      <c r="G16" s="18" t="n">
        <v>150000</v>
      </c>
      <c r="H16" s="18" t="n">
        <v>120000</v>
      </c>
      <c r="I16" s="18" t="n">
        <v>60000</v>
      </c>
      <c r="J16" s="18" t="n">
        <v>60000</v>
      </c>
    </row>
    <row r="17" customFormat="false" ht="19.5" hidden="false" customHeight="true" outlineLevel="0" collapsed="false">
      <c r="A17" s="16" t="s">
        <v>71</v>
      </c>
      <c r="B17" s="16" t="s">
        <v>72</v>
      </c>
      <c r="C17" s="16" t="s">
        <v>73</v>
      </c>
      <c r="D17" s="16" t="s">
        <v>58</v>
      </c>
      <c r="E17" s="16" t="s">
        <v>67</v>
      </c>
      <c r="F17" s="18" t="n">
        <v>240000</v>
      </c>
      <c r="G17" s="18" t="n">
        <v>60000</v>
      </c>
      <c r="H17" s="18" t="n">
        <v>72000</v>
      </c>
      <c r="I17" s="18" t="n">
        <v>45000</v>
      </c>
      <c r="J17" s="18" t="n">
        <v>27000</v>
      </c>
    </row>
    <row r="18" customFormat="false" ht="19.5" hidden="false" customHeight="true" outlineLevel="0" collapsed="false">
      <c r="A18" s="16" t="s">
        <v>74</v>
      </c>
      <c r="B18" s="16" t="s">
        <v>75</v>
      </c>
      <c r="C18" s="16" t="s">
        <v>62</v>
      </c>
      <c r="D18" s="16" t="s">
        <v>70</v>
      </c>
      <c r="E18" s="16" t="s">
        <v>67</v>
      </c>
      <c r="F18" s="18" t="n">
        <v>900000</v>
      </c>
      <c r="G18" s="18" t="n">
        <v>225000</v>
      </c>
      <c r="H18" s="18" t="n">
        <v>150000</v>
      </c>
      <c r="I18" s="18" t="n">
        <v>70000</v>
      </c>
      <c r="J18" s="18" t="n">
        <v>80000</v>
      </c>
    </row>
    <row r="19" customFormat="false" ht="19.5" hidden="false" customHeight="true" outlineLevel="0" collapsed="false">
      <c r="A19" s="16" t="s">
        <v>76</v>
      </c>
      <c r="B19" s="16" t="s">
        <v>77</v>
      </c>
      <c r="C19" s="16" t="s">
        <v>65</v>
      </c>
      <c r="D19" s="16" t="s">
        <v>66</v>
      </c>
      <c r="E19" s="16" t="s">
        <v>67</v>
      </c>
      <c r="F19" s="18" t="n">
        <v>360000</v>
      </c>
      <c r="G19" s="18" t="n">
        <v>90000</v>
      </c>
      <c r="H19" s="18" t="n">
        <v>90000</v>
      </c>
      <c r="I19" s="18" t="n">
        <v>50000</v>
      </c>
      <c r="J19" s="18" t="n">
        <v>40000</v>
      </c>
    </row>
    <row r="20" customFormat="false" ht="19.5" hidden="false" customHeight="true" outlineLevel="0" collapsed="false">
      <c r="A20" s="16" t="s">
        <v>78</v>
      </c>
      <c r="B20" s="16" t="s">
        <v>79</v>
      </c>
      <c r="C20" s="16" t="s">
        <v>80</v>
      </c>
      <c r="D20" s="16" t="s">
        <v>58</v>
      </c>
      <c r="E20" s="16" t="s">
        <v>59</v>
      </c>
      <c r="F20" s="18" t="n">
        <v>480000</v>
      </c>
      <c r="G20" s="18" t="n">
        <v>120000</v>
      </c>
      <c r="H20" s="18" t="n">
        <v>100000</v>
      </c>
      <c r="I20" s="18" t="n">
        <v>55000</v>
      </c>
      <c r="J20" s="18" t="n">
        <v>45000</v>
      </c>
    </row>
    <row r="21" customFormat="false" ht="9.75" hidden="false" customHeight="true" outlineLevel="0" collapsed="false"/>
    <row r="22" customFormat="false" ht="15" hidden="false" customHeight="true" outlineLevel="0" collapsed="false">
      <c r="A22" s="14" t="s">
        <v>81</v>
      </c>
      <c r="B22" s="14"/>
      <c r="C22" s="14"/>
      <c r="D22" s="14"/>
      <c r="E22" s="14"/>
      <c r="F22" s="14"/>
      <c r="G22" s="14"/>
      <c r="H22" s="14"/>
    </row>
    <row r="23" customFormat="false" ht="15" hidden="false" customHeight="true" outlineLevel="0" collapsed="false">
      <c r="A23" s="19" t="s">
        <v>47</v>
      </c>
      <c r="B23" s="19" t="s">
        <v>82</v>
      </c>
      <c r="C23" s="17" t="s">
        <v>83</v>
      </c>
      <c r="D23" s="17"/>
      <c r="E23" s="17"/>
    </row>
    <row r="24" customFormat="false" ht="15" hidden="false" customHeight="true" outlineLevel="0" collapsed="false">
      <c r="A24" s="16" t="s">
        <v>62</v>
      </c>
      <c r="B24" s="20" t="n">
        <v>0.08</v>
      </c>
      <c r="C24" s="16" t="s">
        <v>84</v>
      </c>
      <c r="D24" s="16"/>
      <c r="E24" s="16"/>
    </row>
    <row r="25" customFormat="false" ht="15" hidden="false" customHeight="true" outlineLevel="0" collapsed="false">
      <c r="A25" s="16" t="s">
        <v>57</v>
      </c>
      <c r="B25" s="20" t="n">
        <v>0.07</v>
      </c>
      <c r="C25" s="16" t="s">
        <v>85</v>
      </c>
      <c r="D25" s="16"/>
      <c r="E25" s="16"/>
    </row>
    <row r="26" customFormat="false" ht="15" hidden="false" customHeight="true" outlineLevel="0" collapsed="false">
      <c r="A26" s="16" t="s">
        <v>65</v>
      </c>
      <c r="B26" s="20" t="n">
        <v>0.06</v>
      </c>
      <c r="C26" s="16" t="s">
        <v>86</v>
      </c>
      <c r="D26" s="16"/>
      <c r="E26" s="16"/>
    </row>
    <row r="27" customFormat="false" ht="15" hidden="false" customHeight="true" outlineLevel="0" collapsed="false">
      <c r="A27" s="16" t="s">
        <v>73</v>
      </c>
      <c r="B27" s="20" t="n">
        <v>0.04</v>
      </c>
      <c r="C27" s="16" t="s">
        <v>87</v>
      </c>
      <c r="D27" s="16"/>
      <c r="E27" s="16"/>
    </row>
    <row r="28" customFormat="false" ht="15" hidden="false" customHeight="true" outlineLevel="0" collapsed="false">
      <c r="A28" s="16" t="s">
        <v>80</v>
      </c>
      <c r="B28" s="20" t="n">
        <v>0.025</v>
      </c>
      <c r="C28" s="16" t="s">
        <v>88</v>
      </c>
      <c r="D28" s="16"/>
      <c r="E28" s="16"/>
    </row>
    <row r="29" customFormat="false" ht="15" hidden="false" customHeight="true" outlineLevel="0" collapsed="false">
      <c r="A29" s="16" t="s">
        <v>89</v>
      </c>
      <c r="B29" s="20" t="n">
        <v>0.03</v>
      </c>
      <c r="C29" s="16" t="s">
        <v>90</v>
      </c>
      <c r="D29" s="16"/>
      <c r="E29" s="16"/>
    </row>
    <row r="30" customFormat="false" ht="15" hidden="false" customHeight="true" outlineLevel="0" collapsed="false">
      <c r="A30" s="16" t="s">
        <v>91</v>
      </c>
      <c r="B30" s="20" t="n">
        <v>0.05</v>
      </c>
      <c r="C30" s="16" t="s">
        <v>92</v>
      </c>
      <c r="D30" s="16"/>
      <c r="E30" s="16"/>
    </row>
    <row r="31" customFormat="false" ht="9.75" hidden="false" customHeight="true" outlineLevel="0" collapsed="false"/>
    <row r="32" customFormat="false" ht="15" hidden="false" customHeight="true" outlineLevel="0" collapsed="false">
      <c r="A32" s="14" t="s">
        <v>93</v>
      </c>
      <c r="B32" s="14"/>
      <c r="C32" s="14"/>
      <c r="D32" s="14"/>
      <c r="E32" s="14"/>
      <c r="F32" s="14"/>
      <c r="G32" s="14"/>
      <c r="H32" s="14"/>
    </row>
    <row r="33" customFormat="false" ht="15" hidden="false" customHeight="true" outlineLevel="0" collapsed="false">
      <c r="A33" s="19" t="s">
        <v>94</v>
      </c>
      <c r="B33" s="19" t="s">
        <v>95</v>
      </c>
      <c r="C33" s="19" t="s">
        <v>96</v>
      </c>
      <c r="D33" s="19" t="s">
        <v>97</v>
      </c>
      <c r="E33" s="19" t="s">
        <v>98</v>
      </c>
      <c r="F33" s="19" t="s">
        <v>83</v>
      </c>
      <c r="G33" s="19"/>
      <c r="H33" s="19"/>
    </row>
    <row r="34" customFormat="false" ht="15" hidden="false" customHeight="true" outlineLevel="0" collapsed="false">
      <c r="A34" s="21" t="s">
        <v>99</v>
      </c>
      <c r="B34" s="22" t="n">
        <v>0</v>
      </c>
      <c r="C34" s="22" t="n">
        <v>0.49</v>
      </c>
      <c r="D34" s="23" t="n">
        <v>0.02</v>
      </c>
      <c r="E34" s="21" t="s">
        <v>100</v>
      </c>
      <c r="F34" s="21" t="s">
        <v>101</v>
      </c>
      <c r="G34" s="21"/>
      <c r="H34" s="21"/>
    </row>
    <row r="35" customFormat="false" ht="15" hidden="false" customHeight="true" outlineLevel="0" collapsed="false">
      <c r="A35" s="16" t="s">
        <v>102</v>
      </c>
      <c r="B35" s="24" t="n">
        <v>0.5</v>
      </c>
      <c r="C35" s="24" t="n">
        <v>0.74</v>
      </c>
      <c r="D35" s="20" t="n">
        <v>0.05</v>
      </c>
      <c r="E35" s="16" t="s">
        <v>103</v>
      </c>
      <c r="F35" s="16" t="s">
        <v>104</v>
      </c>
      <c r="G35" s="16"/>
      <c r="H35" s="16"/>
    </row>
    <row r="36" customFormat="false" ht="15" hidden="false" customHeight="true" outlineLevel="0" collapsed="false">
      <c r="A36" s="25" t="s">
        <v>105</v>
      </c>
      <c r="B36" s="26" t="n">
        <v>0.75</v>
      </c>
      <c r="C36" s="26" t="n">
        <v>0.99</v>
      </c>
      <c r="D36" s="27" t="n">
        <v>0.07</v>
      </c>
      <c r="E36" s="25" t="s">
        <v>106</v>
      </c>
      <c r="F36" s="25" t="s">
        <v>107</v>
      </c>
      <c r="G36" s="25"/>
      <c r="H36" s="25"/>
    </row>
    <row r="37" customFormat="false" ht="15" hidden="false" customHeight="true" outlineLevel="0" collapsed="false">
      <c r="A37" s="28" t="s">
        <v>108</v>
      </c>
      <c r="B37" s="29" t="n">
        <v>1</v>
      </c>
      <c r="C37" s="29" t="n">
        <v>1.24</v>
      </c>
      <c r="D37" s="30" t="n">
        <v>0.09</v>
      </c>
      <c r="E37" s="28" t="s">
        <v>109</v>
      </c>
      <c r="F37" s="28" t="s">
        <v>110</v>
      </c>
      <c r="G37" s="28"/>
      <c r="H37" s="28"/>
    </row>
    <row r="38" customFormat="false" ht="15" hidden="false" customHeight="true" outlineLevel="0" collapsed="false">
      <c r="A38" s="31" t="s">
        <v>111</v>
      </c>
      <c r="B38" s="32" t="n">
        <v>1.25</v>
      </c>
      <c r="C38" s="32" t="n">
        <v>1.49</v>
      </c>
      <c r="D38" s="33" t="n">
        <v>0.11</v>
      </c>
      <c r="E38" s="31" t="s">
        <v>112</v>
      </c>
      <c r="F38" s="31" t="s">
        <v>113</v>
      </c>
      <c r="G38" s="31"/>
      <c r="H38" s="31"/>
    </row>
    <row r="39" customFormat="false" ht="15" hidden="false" customHeight="true" outlineLevel="0" collapsed="false">
      <c r="A39" s="34" t="s">
        <v>114</v>
      </c>
      <c r="B39" s="35" t="n">
        <v>1.5</v>
      </c>
      <c r="C39" s="35" t="n">
        <v>9.99</v>
      </c>
      <c r="D39" s="36" t="n">
        <v>0.14</v>
      </c>
      <c r="E39" s="34" t="s">
        <v>115</v>
      </c>
      <c r="F39" s="34" t="s">
        <v>116</v>
      </c>
      <c r="G39" s="34"/>
      <c r="H39" s="34"/>
    </row>
    <row r="40" customFormat="false" ht="9.75" hidden="false" customHeight="true" outlineLevel="0" collapsed="false"/>
    <row r="41" customFormat="false" ht="15" hidden="false" customHeight="true" outlineLevel="0" collapsed="false">
      <c r="A41" s="14" t="s">
        <v>117</v>
      </c>
      <c r="B41" s="14"/>
      <c r="C41" s="14"/>
      <c r="D41" s="14"/>
      <c r="E41" s="14"/>
      <c r="F41" s="14"/>
      <c r="G41" s="14"/>
      <c r="H41" s="14"/>
    </row>
    <row r="42" customFormat="false" ht="15" hidden="false" customHeight="true" outlineLevel="0" collapsed="false">
      <c r="A42" s="19" t="s">
        <v>118</v>
      </c>
      <c r="B42" s="19" t="s">
        <v>119</v>
      </c>
      <c r="C42" s="19" t="s">
        <v>120</v>
      </c>
      <c r="D42" s="19" t="s">
        <v>121</v>
      </c>
      <c r="E42" s="19" t="s">
        <v>122</v>
      </c>
      <c r="F42" s="19"/>
      <c r="G42" s="19"/>
      <c r="H42" s="19"/>
    </row>
    <row r="43" customFormat="false" ht="15" hidden="false" customHeight="true" outlineLevel="0" collapsed="false">
      <c r="A43" s="16" t="s">
        <v>123</v>
      </c>
      <c r="B43" s="16" t="s">
        <v>124</v>
      </c>
      <c r="C43" s="37" t="n">
        <v>5000</v>
      </c>
      <c r="D43" s="18" t="n">
        <v>5000</v>
      </c>
      <c r="E43" s="16" t="s">
        <v>125</v>
      </c>
      <c r="F43" s="16"/>
      <c r="G43" s="16"/>
      <c r="H43" s="16"/>
    </row>
    <row r="44" customFormat="false" ht="15" hidden="false" customHeight="true" outlineLevel="0" collapsed="false">
      <c r="A44" s="16" t="s">
        <v>126</v>
      </c>
      <c r="B44" s="16" t="s">
        <v>127</v>
      </c>
      <c r="C44" s="37" t="n">
        <v>1000</v>
      </c>
      <c r="D44" s="18" t="n">
        <v>5000</v>
      </c>
      <c r="E44" s="16" t="s">
        <v>125</v>
      </c>
      <c r="F44" s="16"/>
      <c r="G44" s="16"/>
      <c r="H44" s="16"/>
    </row>
    <row r="45" customFormat="false" ht="15" hidden="false" customHeight="true" outlineLevel="0" collapsed="false">
      <c r="A45" s="16" t="s">
        <v>128</v>
      </c>
      <c r="B45" s="16" t="s">
        <v>129</v>
      </c>
      <c r="C45" s="37" t="n">
        <v>2000</v>
      </c>
      <c r="D45" s="18" t="n">
        <v>10000</v>
      </c>
      <c r="E45" s="16" t="s">
        <v>125</v>
      </c>
      <c r="F45" s="16"/>
      <c r="G45" s="16"/>
      <c r="H45" s="16"/>
    </row>
    <row r="46" customFormat="false" ht="15" hidden="false" customHeight="true" outlineLevel="0" collapsed="false">
      <c r="A46" s="16" t="s">
        <v>130</v>
      </c>
      <c r="B46" s="16" t="s">
        <v>131</v>
      </c>
      <c r="C46" s="37" t="n">
        <v>0.01</v>
      </c>
      <c r="D46" s="18" t="n">
        <v>3000</v>
      </c>
      <c r="E46" s="16" t="s">
        <v>125</v>
      </c>
      <c r="F46" s="16"/>
      <c r="G46" s="16"/>
      <c r="H46" s="16"/>
    </row>
    <row r="47" customFormat="false" ht="15" hidden="false" customHeight="true" outlineLevel="0" collapsed="false">
      <c r="A47" s="16" t="s">
        <v>132</v>
      </c>
      <c r="B47" s="16" t="s">
        <v>133</v>
      </c>
      <c r="C47" s="37" t="n">
        <v>2500</v>
      </c>
      <c r="D47" s="18" t="n">
        <v>2500</v>
      </c>
      <c r="E47" s="16" t="s">
        <v>125</v>
      </c>
      <c r="F47" s="16"/>
      <c r="G47" s="16"/>
      <c r="H47" s="16"/>
    </row>
    <row r="48" customFormat="false" ht="15" hidden="false" customHeight="true" outlineLevel="0" collapsed="false">
      <c r="A48" s="16" t="s">
        <v>134</v>
      </c>
      <c r="B48" s="16" t="s">
        <v>135</v>
      </c>
      <c r="C48" s="37" t="n">
        <v>500</v>
      </c>
      <c r="D48" s="18" t="n">
        <v>2000</v>
      </c>
      <c r="E48" s="16" t="s">
        <v>136</v>
      </c>
      <c r="F48" s="16"/>
      <c r="G48" s="16"/>
      <c r="H48" s="16"/>
    </row>
  </sheetData>
  <mergeCells count="40">
    <mergeCell ref="A1:H1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1:H11"/>
    <mergeCell ref="A22:H22"/>
    <mergeCell ref="C23:E23"/>
    <mergeCell ref="C24:E24"/>
    <mergeCell ref="C25:E25"/>
    <mergeCell ref="C26:E26"/>
    <mergeCell ref="C27:E27"/>
    <mergeCell ref="C28:E28"/>
    <mergeCell ref="C29:E29"/>
    <mergeCell ref="C30:E30"/>
    <mergeCell ref="A32:H32"/>
    <mergeCell ref="F33:H33"/>
    <mergeCell ref="F34:H34"/>
    <mergeCell ref="F35:H35"/>
    <mergeCell ref="F36:H36"/>
    <mergeCell ref="F37:H37"/>
    <mergeCell ref="F38:H38"/>
    <mergeCell ref="F39:H39"/>
    <mergeCell ref="A41:H41"/>
    <mergeCell ref="E42:H42"/>
    <mergeCell ref="E43:H43"/>
    <mergeCell ref="E44:H44"/>
    <mergeCell ref="E45:H45"/>
    <mergeCell ref="E46:H46"/>
    <mergeCell ref="E47:H47"/>
    <mergeCell ref="E48:H48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0AD47"/>
    <pageSetUpPr fitToPage="true"/>
  </sheetPr>
  <dimension ref="A1:P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7"/>
    <col collapsed="false" customWidth="true" hidden="false" outlineLevel="0" max="3" min="3" style="1" width="18"/>
    <col collapsed="false" customWidth="true" hidden="false" outlineLevel="0" max="4" min="4" style="1" width="22"/>
    <col collapsed="false" customWidth="true" hidden="false" outlineLevel="0" max="5" min="5" style="1" width="14"/>
    <col collapsed="false" customWidth="true" hidden="false" outlineLevel="0" max="6" min="6" style="1" width="16"/>
    <col collapsed="false" customWidth="true" hidden="false" outlineLevel="0" max="7" min="7" style="1" width="17"/>
    <col collapsed="false" customWidth="true" hidden="false" outlineLevel="0" max="9" min="8" style="1" width="13"/>
    <col collapsed="false" customWidth="true" hidden="false" outlineLevel="0" max="10" min="10" style="1" width="12"/>
    <col collapsed="false" customWidth="true" hidden="false" outlineLevel="0" max="11" min="11" style="1" width="14"/>
    <col collapsed="false" customWidth="true" hidden="false" outlineLevel="0" max="13" min="12" style="1" width="11"/>
    <col collapsed="false" customWidth="true" hidden="false" outlineLevel="0" max="14" min="14" style="1" width="16"/>
    <col collapsed="false" customWidth="true" hidden="false" outlineLevel="0" max="15" min="15" style="1" width="18"/>
    <col collapsed="false" customWidth="true" hidden="false" outlineLevel="0" max="16" min="16" style="1" width="15"/>
  </cols>
  <sheetData>
    <row r="1" customFormat="false" ht="15.75" hidden="false" customHeight="true" outlineLevel="0" collapsed="false">
      <c r="A1" s="38" t="s">
        <v>137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customFormat="false" ht="34.5" hidden="false" customHeight="true" outlineLevel="0" collapsed="false">
      <c r="A2" s="17" t="s">
        <v>138</v>
      </c>
      <c r="B2" s="17" t="s">
        <v>45</v>
      </c>
      <c r="C2" s="17" t="s">
        <v>46</v>
      </c>
      <c r="D2" s="17" t="s">
        <v>139</v>
      </c>
      <c r="E2" s="17" t="s">
        <v>140</v>
      </c>
      <c r="F2" s="17" t="s">
        <v>141</v>
      </c>
      <c r="G2" s="17" t="s">
        <v>142</v>
      </c>
      <c r="H2" s="17" t="s">
        <v>143</v>
      </c>
      <c r="I2" s="17" t="s">
        <v>144</v>
      </c>
      <c r="J2" s="17" t="s">
        <v>145</v>
      </c>
      <c r="K2" s="17" t="s">
        <v>146</v>
      </c>
      <c r="L2" s="17" t="s">
        <v>147</v>
      </c>
      <c r="M2" s="17" t="s">
        <v>148</v>
      </c>
      <c r="N2" s="17" t="s">
        <v>149</v>
      </c>
      <c r="O2" s="17" t="s">
        <v>83</v>
      </c>
      <c r="P2" s="17" t="s">
        <v>150</v>
      </c>
    </row>
    <row r="3" customFormat="false" ht="18" hidden="false" customHeight="true" outlineLevel="0" collapsed="false">
      <c r="A3" s="16" t="s">
        <v>151</v>
      </c>
      <c r="B3" s="16" t="s">
        <v>55</v>
      </c>
      <c r="C3" s="16" t="s">
        <v>56</v>
      </c>
      <c r="D3" s="16" t="s">
        <v>152</v>
      </c>
      <c r="E3" s="16" t="s">
        <v>153</v>
      </c>
      <c r="F3" s="16" t="s">
        <v>154</v>
      </c>
      <c r="G3" s="16" t="s">
        <v>155</v>
      </c>
      <c r="H3" s="16" t="s">
        <v>156</v>
      </c>
      <c r="I3" s="18" t="n">
        <v>85000</v>
      </c>
      <c r="J3" s="16" t="n">
        <v>1</v>
      </c>
      <c r="K3" s="18" t="n">
        <v>85000</v>
      </c>
      <c r="L3" s="16" t="s">
        <v>136</v>
      </c>
      <c r="M3" s="16" t="s">
        <v>125</v>
      </c>
      <c r="N3" s="16" t="s">
        <v>136</v>
      </c>
      <c r="O3" s="16"/>
      <c r="P3" s="28" t="s">
        <v>125</v>
      </c>
    </row>
    <row r="4" customFormat="false" ht="18" hidden="false" customHeight="true" outlineLevel="0" collapsed="false">
      <c r="A4" s="16" t="s">
        <v>157</v>
      </c>
      <c r="B4" s="16" t="s">
        <v>55</v>
      </c>
      <c r="C4" s="16" t="s">
        <v>56</v>
      </c>
      <c r="D4" s="16" t="s">
        <v>158</v>
      </c>
      <c r="E4" s="16" t="s">
        <v>153</v>
      </c>
      <c r="F4" s="16" t="s">
        <v>159</v>
      </c>
      <c r="G4" s="16" t="s">
        <v>155</v>
      </c>
      <c r="H4" s="16" t="s">
        <v>160</v>
      </c>
      <c r="I4" s="18" t="n">
        <v>120000</v>
      </c>
      <c r="J4" s="16" t="n">
        <v>3</v>
      </c>
      <c r="K4" s="18" t="n">
        <v>360000</v>
      </c>
      <c r="L4" s="16" t="s">
        <v>125</v>
      </c>
      <c r="M4" s="16" t="s">
        <v>136</v>
      </c>
      <c r="N4" s="16" t="s">
        <v>136</v>
      </c>
      <c r="O4" s="16"/>
      <c r="P4" s="28" t="s">
        <v>125</v>
      </c>
    </row>
    <row r="5" customFormat="false" ht="18" hidden="false" customHeight="true" outlineLevel="0" collapsed="false">
      <c r="A5" s="16" t="s">
        <v>161</v>
      </c>
      <c r="B5" s="16" t="s">
        <v>60</v>
      </c>
      <c r="C5" s="16" t="s">
        <v>61</v>
      </c>
      <c r="D5" s="16" t="s">
        <v>162</v>
      </c>
      <c r="E5" s="16" t="s">
        <v>153</v>
      </c>
      <c r="F5" s="16" t="s">
        <v>154</v>
      </c>
      <c r="G5" s="16" t="s">
        <v>163</v>
      </c>
      <c r="H5" s="16" t="s">
        <v>164</v>
      </c>
      <c r="I5" s="18" t="n">
        <v>210000</v>
      </c>
      <c r="J5" s="16" t="n">
        <v>2</v>
      </c>
      <c r="K5" s="18" t="n">
        <v>420000</v>
      </c>
      <c r="L5" s="16" t="s">
        <v>125</v>
      </c>
      <c r="M5" s="16" t="s">
        <v>125</v>
      </c>
      <c r="N5" s="16" t="s">
        <v>125</v>
      </c>
      <c r="O5" s="16" t="s">
        <v>165</v>
      </c>
      <c r="P5" s="28" t="s">
        <v>125</v>
      </c>
    </row>
    <row r="6" customFormat="false" ht="18" hidden="false" customHeight="true" outlineLevel="0" collapsed="false">
      <c r="A6" s="16" t="s">
        <v>166</v>
      </c>
      <c r="B6" s="16" t="s">
        <v>60</v>
      </c>
      <c r="C6" s="16" t="s">
        <v>61</v>
      </c>
      <c r="D6" s="16" t="s">
        <v>167</v>
      </c>
      <c r="E6" s="16" t="s">
        <v>153</v>
      </c>
      <c r="F6" s="16" t="s">
        <v>154</v>
      </c>
      <c r="G6" s="16" t="s">
        <v>155</v>
      </c>
      <c r="H6" s="16" t="s">
        <v>168</v>
      </c>
      <c r="I6" s="18" t="n">
        <v>95000</v>
      </c>
      <c r="J6" s="16" t="n">
        <v>1</v>
      </c>
      <c r="K6" s="18" t="n">
        <v>95000</v>
      </c>
      <c r="L6" s="16" t="s">
        <v>136</v>
      </c>
      <c r="M6" s="16" t="s">
        <v>125</v>
      </c>
      <c r="N6" s="16" t="s">
        <v>136</v>
      </c>
      <c r="O6" s="16"/>
      <c r="P6" s="28" t="s">
        <v>125</v>
      </c>
    </row>
    <row r="7" customFormat="false" ht="18" hidden="false" customHeight="true" outlineLevel="0" collapsed="false">
      <c r="A7" s="16" t="s">
        <v>169</v>
      </c>
      <c r="B7" s="16" t="s">
        <v>63</v>
      </c>
      <c r="C7" s="16" t="s">
        <v>64</v>
      </c>
      <c r="D7" s="16" t="s">
        <v>170</v>
      </c>
      <c r="E7" s="16" t="s">
        <v>153</v>
      </c>
      <c r="F7" s="16" t="s">
        <v>154</v>
      </c>
      <c r="G7" s="16" t="s">
        <v>171</v>
      </c>
      <c r="H7" s="16" t="s">
        <v>172</v>
      </c>
      <c r="I7" s="18" t="n">
        <v>30000</v>
      </c>
      <c r="J7" s="16" t="n">
        <v>1</v>
      </c>
      <c r="K7" s="18" t="n">
        <v>30000</v>
      </c>
      <c r="L7" s="16" t="s">
        <v>136</v>
      </c>
      <c r="M7" s="16" t="s">
        <v>125</v>
      </c>
      <c r="N7" s="16" t="s">
        <v>136</v>
      </c>
      <c r="O7" s="16"/>
      <c r="P7" s="28" t="s">
        <v>125</v>
      </c>
    </row>
    <row r="8" customFormat="false" ht="18" hidden="false" customHeight="true" outlineLevel="0" collapsed="false">
      <c r="A8" s="16" t="s">
        <v>173</v>
      </c>
      <c r="B8" s="16" t="s">
        <v>63</v>
      </c>
      <c r="C8" s="16" t="s">
        <v>64</v>
      </c>
      <c r="D8" s="16" t="s">
        <v>174</v>
      </c>
      <c r="E8" s="16" t="s">
        <v>153</v>
      </c>
      <c r="F8" s="16" t="s">
        <v>175</v>
      </c>
      <c r="G8" s="16" t="s">
        <v>155</v>
      </c>
      <c r="H8" s="16" t="s">
        <v>176</v>
      </c>
      <c r="I8" s="18" t="n">
        <v>24000</v>
      </c>
      <c r="J8" s="16" t="n">
        <v>1</v>
      </c>
      <c r="K8" s="18" t="n">
        <v>24000</v>
      </c>
      <c r="L8" s="16" t="s">
        <v>136</v>
      </c>
      <c r="M8" s="16" t="s">
        <v>136</v>
      </c>
      <c r="N8" s="16" t="s">
        <v>136</v>
      </c>
      <c r="O8" s="16" t="s">
        <v>175</v>
      </c>
      <c r="P8" s="28" t="s">
        <v>125</v>
      </c>
    </row>
    <row r="9" customFormat="false" ht="18" hidden="false" customHeight="true" outlineLevel="0" collapsed="false">
      <c r="A9" s="16" t="s">
        <v>177</v>
      </c>
      <c r="B9" s="16" t="s">
        <v>68</v>
      </c>
      <c r="C9" s="16" t="s">
        <v>69</v>
      </c>
      <c r="D9" s="16" t="s">
        <v>178</v>
      </c>
      <c r="E9" s="16" t="s">
        <v>153</v>
      </c>
      <c r="F9" s="16" t="s">
        <v>154</v>
      </c>
      <c r="G9" s="16" t="s">
        <v>163</v>
      </c>
      <c r="H9" s="16" t="s">
        <v>179</v>
      </c>
      <c r="I9" s="18" t="n">
        <v>140000</v>
      </c>
      <c r="J9" s="16" t="n">
        <v>3</v>
      </c>
      <c r="K9" s="18" t="n">
        <v>420000</v>
      </c>
      <c r="L9" s="16" t="s">
        <v>125</v>
      </c>
      <c r="M9" s="16" t="s">
        <v>125</v>
      </c>
      <c r="N9" s="16" t="s">
        <v>125</v>
      </c>
      <c r="O9" s="16" t="s">
        <v>180</v>
      </c>
      <c r="P9" s="28" t="s">
        <v>125</v>
      </c>
    </row>
    <row r="10" customFormat="false" ht="18" hidden="false" customHeight="true" outlineLevel="0" collapsed="false">
      <c r="A10" s="16" t="s">
        <v>181</v>
      </c>
      <c r="B10" s="16" t="s">
        <v>68</v>
      </c>
      <c r="C10" s="16" t="s">
        <v>69</v>
      </c>
      <c r="D10" s="16" t="s">
        <v>182</v>
      </c>
      <c r="E10" s="16" t="s">
        <v>153</v>
      </c>
      <c r="F10" s="16" t="s">
        <v>159</v>
      </c>
      <c r="G10" s="16" t="s">
        <v>155</v>
      </c>
      <c r="H10" s="16" t="s">
        <v>183</v>
      </c>
      <c r="I10" s="18" t="n">
        <v>55000</v>
      </c>
      <c r="J10" s="16" t="n">
        <v>1</v>
      </c>
      <c r="K10" s="18" t="n">
        <v>55000</v>
      </c>
      <c r="L10" s="16" t="s">
        <v>136</v>
      </c>
      <c r="M10" s="16" t="s">
        <v>136</v>
      </c>
      <c r="N10" s="16" t="s">
        <v>136</v>
      </c>
      <c r="O10" s="16"/>
      <c r="P10" s="28" t="s">
        <v>125</v>
      </c>
    </row>
    <row r="11" customFormat="false" ht="18" hidden="false" customHeight="true" outlineLevel="0" collapsed="false">
      <c r="A11" s="16" t="s">
        <v>184</v>
      </c>
      <c r="B11" s="16" t="s">
        <v>71</v>
      </c>
      <c r="C11" s="16" t="s">
        <v>72</v>
      </c>
      <c r="D11" s="16" t="s">
        <v>185</v>
      </c>
      <c r="E11" s="16" t="s">
        <v>153</v>
      </c>
      <c r="F11" s="16" t="s">
        <v>154</v>
      </c>
      <c r="G11" s="16" t="s">
        <v>171</v>
      </c>
      <c r="H11" s="16" t="s">
        <v>186</v>
      </c>
      <c r="I11" s="18" t="n">
        <v>18000</v>
      </c>
      <c r="J11" s="16" t="n">
        <v>1</v>
      </c>
      <c r="K11" s="18" t="n">
        <v>18000</v>
      </c>
      <c r="L11" s="16" t="s">
        <v>136</v>
      </c>
      <c r="M11" s="16" t="s">
        <v>125</v>
      </c>
      <c r="N11" s="16" t="s">
        <v>136</v>
      </c>
      <c r="O11" s="16" t="s">
        <v>187</v>
      </c>
      <c r="P11" s="28" t="s">
        <v>125</v>
      </c>
    </row>
    <row r="12" customFormat="false" ht="18" hidden="false" customHeight="true" outlineLevel="0" collapsed="false">
      <c r="A12" s="16" t="s">
        <v>188</v>
      </c>
      <c r="B12" s="16" t="s">
        <v>71</v>
      </c>
      <c r="C12" s="16" t="s">
        <v>72</v>
      </c>
      <c r="D12" s="16" t="s">
        <v>189</v>
      </c>
      <c r="E12" s="16" t="s">
        <v>153</v>
      </c>
      <c r="F12" s="16" t="s">
        <v>154</v>
      </c>
      <c r="G12" s="16" t="s">
        <v>155</v>
      </c>
      <c r="H12" s="16" t="s">
        <v>190</v>
      </c>
      <c r="I12" s="18" t="n">
        <v>22000</v>
      </c>
      <c r="J12" s="16" t="n">
        <v>1</v>
      </c>
      <c r="K12" s="18" t="n">
        <v>22000</v>
      </c>
      <c r="L12" s="16" t="s">
        <v>136</v>
      </c>
      <c r="M12" s="16" t="s">
        <v>125</v>
      </c>
      <c r="N12" s="16" t="s">
        <v>136</v>
      </c>
      <c r="O12" s="16"/>
      <c r="P12" s="28" t="s">
        <v>125</v>
      </c>
    </row>
    <row r="13" customFormat="false" ht="18" hidden="false" customHeight="true" outlineLevel="0" collapsed="false">
      <c r="A13" s="16" t="s">
        <v>191</v>
      </c>
      <c r="B13" s="16" t="s">
        <v>74</v>
      </c>
      <c r="C13" s="16" t="s">
        <v>75</v>
      </c>
      <c r="D13" s="16" t="s">
        <v>192</v>
      </c>
      <c r="E13" s="16" t="s">
        <v>153</v>
      </c>
      <c r="F13" s="16" t="s">
        <v>154</v>
      </c>
      <c r="G13" s="16" t="s">
        <v>163</v>
      </c>
      <c r="H13" s="16" t="s">
        <v>193</v>
      </c>
      <c r="I13" s="18" t="n">
        <v>275000</v>
      </c>
      <c r="J13" s="16" t="n">
        <v>2</v>
      </c>
      <c r="K13" s="18" t="n">
        <v>550000</v>
      </c>
      <c r="L13" s="16" t="s">
        <v>125</v>
      </c>
      <c r="M13" s="16" t="s">
        <v>125</v>
      </c>
      <c r="N13" s="16" t="s">
        <v>125</v>
      </c>
      <c r="O13" s="16" t="s">
        <v>194</v>
      </c>
      <c r="P13" s="28" t="s">
        <v>125</v>
      </c>
    </row>
    <row r="14" customFormat="false" ht="18" hidden="false" customHeight="true" outlineLevel="0" collapsed="false">
      <c r="A14" s="16" t="s">
        <v>195</v>
      </c>
      <c r="B14" s="16" t="s">
        <v>74</v>
      </c>
      <c r="C14" s="16" t="s">
        <v>75</v>
      </c>
      <c r="D14" s="16" t="s">
        <v>196</v>
      </c>
      <c r="E14" s="16" t="s">
        <v>153</v>
      </c>
      <c r="F14" s="16" t="s">
        <v>159</v>
      </c>
      <c r="G14" s="16" t="s">
        <v>155</v>
      </c>
      <c r="H14" s="16" t="s">
        <v>197</v>
      </c>
      <c r="I14" s="18" t="n">
        <v>80000</v>
      </c>
      <c r="J14" s="16" t="n">
        <v>1</v>
      </c>
      <c r="K14" s="18" t="n">
        <v>80000</v>
      </c>
      <c r="L14" s="16" t="s">
        <v>136</v>
      </c>
      <c r="M14" s="16" t="s">
        <v>136</v>
      </c>
      <c r="N14" s="16" t="s">
        <v>136</v>
      </c>
      <c r="O14" s="16"/>
      <c r="P14" s="28" t="s">
        <v>125</v>
      </c>
    </row>
    <row r="15" customFormat="false" ht="18" hidden="false" customHeight="true" outlineLevel="0" collapsed="false">
      <c r="A15" s="16" t="s">
        <v>198</v>
      </c>
      <c r="B15" s="16" t="s">
        <v>76</v>
      </c>
      <c r="C15" s="16" t="s">
        <v>77</v>
      </c>
      <c r="D15" s="16" t="s">
        <v>199</v>
      </c>
      <c r="E15" s="16" t="s">
        <v>153</v>
      </c>
      <c r="F15" s="16" t="s">
        <v>154</v>
      </c>
      <c r="G15" s="16" t="s">
        <v>171</v>
      </c>
      <c r="H15" s="16" t="s">
        <v>200</v>
      </c>
      <c r="I15" s="18" t="n">
        <v>35000</v>
      </c>
      <c r="J15" s="16" t="n">
        <v>1</v>
      </c>
      <c r="K15" s="18" t="n">
        <v>35000</v>
      </c>
      <c r="L15" s="16" t="s">
        <v>136</v>
      </c>
      <c r="M15" s="16" t="s">
        <v>125</v>
      </c>
      <c r="N15" s="16" t="s">
        <v>136</v>
      </c>
      <c r="O15" s="16"/>
      <c r="P15" s="28" t="s">
        <v>125</v>
      </c>
    </row>
    <row r="16" customFormat="false" ht="18" hidden="false" customHeight="true" outlineLevel="0" collapsed="false">
      <c r="A16" s="16" t="s">
        <v>201</v>
      </c>
      <c r="B16" s="16" t="s">
        <v>76</v>
      </c>
      <c r="C16" s="16" t="s">
        <v>77</v>
      </c>
      <c r="D16" s="16" t="s">
        <v>202</v>
      </c>
      <c r="E16" s="16" t="s">
        <v>203</v>
      </c>
      <c r="F16" s="16" t="s">
        <v>154</v>
      </c>
      <c r="G16" s="16" t="s">
        <v>155</v>
      </c>
      <c r="H16" s="16" t="s">
        <v>204</v>
      </c>
      <c r="I16" s="18" t="n">
        <v>0</v>
      </c>
      <c r="J16" s="16" t="n">
        <v>0</v>
      </c>
      <c r="K16" s="18" t="n">
        <v>0</v>
      </c>
      <c r="L16" s="16" t="s">
        <v>136</v>
      </c>
      <c r="M16" s="16" t="s">
        <v>136</v>
      </c>
      <c r="N16" s="16" t="s">
        <v>136</v>
      </c>
      <c r="O16" s="16" t="s">
        <v>205</v>
      </c>
      <c r="P16" s="34" t="s">
        <v>136</v>
      </c>
    </row>
    <row r="17" customFormat="false" ht="18" hidden="false" customHeight="true" outlineLevel="0" collapsed="false">
      <c r="A17" s="16" t="s">
        <v>206</v>
      </c>
      <c r="B17" s="16" t="s">
        <v>78</v>
      </c>
      <c r="C17" s="16" t="s">
        <v>79</v>
      </c>
      <c r="D17" s="16" t="s">
        <v>162</v>
      </c>
      <c r="E17" s="16" t="s">
        <v>153</v>
      </c>
      <c r="F17" s="16" t="s">
        <v>207</v>
      </c>
      <c r="G17" s="16" t="s">
        <v>163</v>
      </c>
      <c r="H17" s="16" t="s">
        <v>164</v>
      </c>
      <c r="I17" s="18" t="n">
        <v>210000</v>
      </c>
      <c r="J17" s="16" t="n">
        <v>2</v>
      </c>
      <c r="K17" s="18" t="n">
        <v>420000</v>
      </c>
      <c r="L17" s="16" t="s">
        <v>125</v>
      </c>
      <c r="M17" s="16" t="s">
        <v>136</v>
      </c>
      <c r="N17" s="16" t="s">
        <v>125</v>
      </c>
      <c r="O17" s="16" t="s">
        <v>208</v>
      </c>
      <c r="P17" s="28" t="s">
        <v>125</v>
      </c>
    </row>
    <row r="18" customFormat="false" ht="19.5" hidden="false" customHeight="true" outlineLevel="0" collapsed="false">
      <c r="A18" s="39" t="s">
        <v>209</v>
      </c>
      <c r="B18" s="39"/>
      <c r="C18" s="39"/>
      <c r="D18" s="39"/>
      <c r="E18" s="39"/>
      <c r="F18" s="39"/>
      <c r="G18" s="39"/>
      <c r="H18" s="39"/>
      <c r="I18" s="40" t="n">
        <f aca="false">SUMIF(P3:P17,"YES",I3:I17)</f>
        <v>1399000</v>
      </c>
      <c r="K18" s="40" t="n">
        <f aca="false">SUMIF(P3:P17,"YES",K3:K17)</f>
        <v>2614000</v>
      </c>
    </row>
  </sheetData>
  <mergeCells count="2">
    <mergeCell ref="A1:P1"/>
    <mergeCell ref="A18:H18"/>
  </mergeCells>
  <dataValidations count="1">
    <dataValidation allowBlank="true" errorStyle="stop" operator="between" showDropDown="false" showErrorMessage="false" showInputMessage="false" sqref="P3:P17" type="list">
      <formula1>"YES,NO"</formula1>
      <formula2>0</formula2>
    </dataValidation>
  </dataValidation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D7D31"/>
    <pageSetUpPr fitToPage="true"/>
  </sheetPr>
  <dimension ref="A1:L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3" min="2" style="1" width="20"/>
    <col collapsed="false" customWidth="true" hidden="false" outlineLevel="0" max="5" min="4" style="1" width="16"/>
    <col collapsed="false" customWidth="true" hidden="false" outlineLevel="0" max="6" min="6" style="1" width="14"/>
    <col collapsed="false" customWidth="true" hidden="false" outlineLevel="0" max="7" min="7" style="1" width="18"/>
    <col collapsed="false" customWidth="true" hidden="false" outlineLevel="0" max="8" min="8" style="1" width="16"/>
    <col collapsed="false" customWidth="true" hidden="false" outlineLevel="0" max="9" min="9" style="1" width="18"/>
    <col collapsed="false" customWidth="true" hidden="false" outlineLevel="0" max="10" min="10" style="1" width="22"/>
    <col collapsed="false" customWidth="true" hidden="false" outlineLevel="0" max="11" min="11" style="1" width="20"/>
  </cols>
  <sheetData>
    <row r="1" customFormat="false" ht="15.75" hidden="false" customHeight="true" outlineLevel="0" collapsed="false">
      <c r="A1" s="38" t="s">
        <v>210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customFormat="false" ht="15" hidden="false" customHeight="true" outlineLevel="0" collapsed="false">
      <c r="A2" s="41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4" customFormat="false" ht="34.5" hidden="false" customHeight="true" outlineLevel="0" collapsed="false">
      <c r="A4" s="17" t="s">
        <v>45</v>
      </c>
      <c r="B4" s="17" t="s">
        <v>46</v>
      </c>
      <c r="C4" s="17" t="s">
        <v>47</v>
      </c>
      <c r="D4" s="17" t="s">
        <v>51</v>
      </c>
      <c r="E4" s="17" t="s">
        <v>212</v>
      </c>
      <c r="F4" s="17" t="s">
        <v>213</v>
      </c>
      <c r="G4" s="17" t="s">
        <v>214</v>
      </c>
      <c r="H4" s="17" t="s">
        <v>215</v>
      </c>
      <c r="I4" s="17" t="s">
        <v>216</v>
      </c>
      <c r="J4" s="17" t="s">
        <v>217</v>
      </c>
      <c r="K4" s="17" t="s">
        <v>83</v>
      </c>
    </row>
    <row r="5" customFormat="false" ht="21.75" hidden="false" customHeight="true" outlineLevel="0" collapsed="false">
      <c r="A5" s="42" t="s">
        <v>55</v>
      </c>
      <c r="B5" s="43" t="s">
        <v>56</v>
      </c>
      <c r="C5" s="43" t="s">
        <v>57</v>
      </c>
      <c r="D5" s="44" t="n">
        <v>150000</v>
      </c>
      <c r="E5" s="45" t="n">
        <f aca="false">SUMIFS('📊 Rep Data'!I:I,'📊 Rep Data'!B:B,A5,'📊 Rep Data'!P:P,"YES")</f>
        <v>205000</v>
      </c>
      <c r="F5" s="46" t="n">
        <v>0.07</v>
      </c>
      <c r="G5" s="47" t="n">
        <f aca="false">E5*F5</f>
        <v>14350</v>
      </c>
      <c r="H5" s="48" t="n">
        <f aca="false">IFERROR(E5/D5,0)</f>
        <v>1.36666666666667</v>
      </c>
      <c r="I5" s="49" t="n">
        <f aca="false">E5-D5</f>
        <v>55000</v>
      </c>
      <c r="J5" s="50" t="str">
        <f aca="false">IF(H5&gt;=1,"✅ At/Above Quota",IF(H5&gt;=0.75,"⚠️ Near Quota","❌ Below Quota"))</f>
        <v>✅ At/Above Quota</v>
      </c>
      <c r="K5" s="43"/>
    </row>
    <row r="6" customFormat="false" ht="21.75" hidden="false" customHeight="true" outlineLevel="0" collapsed="false">
      <c r="A6" s="42" t="s">
        <v>60</v>
      </c>
      <c r="B6" s="43" t="s">
        <v>61</v>
      </c>
      <c r="C6" s="43" t="s">
        <v>62</v>
      </c>
      <c r="D6" s="44" t="n">
        <v>225000</v>
      </c>
      <c r="E6" s="45" t="n">
        <f aca="false">SUMIFS('📊 Rep Data'!I:I,'📊 Rep Data'!B:B,A6,'📊 Rep Data'!P:P,"YES")</f>
        <v>305000</v>
      </c>
      <c r="F6" s="46" t="n">
        <v>0.08</v>
      </c>
      <c r="G6" s="47" t="n">
        <f aca="false">E6*F6</f>
        <v>24400</v>
      </c>
      <c r="H6" s="48" t="n">
        <f aca="false">IFERROR(E6/D6,0)</f>
        <v>1.35555555555556</v>
      </c>
      <c r="I6" s="49" t="n">
        <f aca="false">E6-D6</f>
        <v>80000</v>
      </c>
      <c r="J6" s="50" t="str">
        <f aca="false">IF(H6&gt;=1,"✅ At/Above Quota",IF(H6&gt;=0.75,"⚠️ Near Quota","❌ Below Quota"))</f>
        <v>✅ At/Above Quota</v>
      </c>
      <c r="K6" s="43"/>
    </row>
    <row r="7" customFormat="false" ht="21.75" hidden="false" customHeight="true" outlineLevel="0" collapsed="false">
      <c r="A7" s="42" t="s">
        <v>63</v>
      </c>
      <c r="B7" s="43" t="s">
        <v>64</v>
      </c>
      <c r="C7" s="43" t="s">
        <v>65</v>
      </c>
      <c r="D7" s="44" t="n">
        <v>90000</v>
      </c>
      <c r="E7" s="45" t="n">
        <f aca="false">SUMIFS('📊 Rep Data'!I:I,'📊 Rep Data'!B:B,A7,'📊 Rep Data'!P:P,"YES")</f>
        <v>54000</v>
      </c>
      <c r="F7" s="46" t="n">
        <v>0.06</v>
      </c>
      <c r="G7" s="47" t="n">
        <f aca="false">E7*F7</f>
        <v>3240</v>
      </c>
      <c r="H7" s="48" t="n">
        <f aca="false">IFERROR(E7/D7,0)</f>
        <v>0.6</v>
      </c>
      <c r="I7" s="49" t="n">
        <f aca="false">E7-D7</f>
        <v>-36000</v>
      </c>
      <c r="J7" s="50" t="str">
        <f aca="false">IF(H7&gt;=1,"✅ At/Above Quota",IF(H7&gt;=0.75,"⚠️ Near Quota","❌ Below Quota"))</f>
        <v>❌ Below Quota</v>
      </c>
      <c r="K7" s="43"/>
    </row>
    <row r="8" customFormat="false" ht="21.75" hidden="false" customHeight="true" outlineLevel="0" collapsed="false">
      <c r="A8" s="42" t="s">
        <v>68</v>
      </c>
      <c r="B8" s="43" t="s">
        <v>69</v>
      </c>
      <c r="C8" s="43" t="s">
        <v>57</v>
      </c>
      <c r="D8" s="44" t="n">
        <v>150000</v>
      </c>
      <c r="E8" s="45" t="n">
        <f aca="false">SUMIFS('📊 Rep Data'!I:I,'📊 Rep Data'!B:B,A8,'📊 Rep Data'!P:P,"YES")</f>
        <v>195000</v>
      </c>
      <c r="F8" s="46" t="n">
        <v>0.07</v>
      </c>
      <c r="G8" s="47" t="n">
        <f aca="false">E8*F8</f>
        <v>13650</v>
      </c>
      <c r="H8" s="48" t="n">
        <f aca="false">IFERROR(E8/D8,0)</f>
        <v>1.3</v>
      </c>
      <c r="I8" s="49" t="n">
        <f aca="false">E8-D8</f>
        <v>45000</v>
      </c>
      <c r="J8" s="50" t="str">
        <f aca="false">IF(H8&gt;=1,"✅ At/Above Quota",IF(H8&gt;=0.75,"⚠️ Near Quota","❌ Below Quota"))</f>
        <v>✅ At/Above Quota</v>
      </c>
      <c r="K8" s="43"/>
    </row>
    <row r="9" customFormat="false" ht="21.75" hidden="false" customHeight="true" outlineLevel="0" collapsed="false">
      <c r="A9" s="42" t="s">
        <v>71</v>
      </c>
      <c r="B9" s="43" t="s">
        <v>72</v>
      </c>
      <c r="C9" s="43" t="s">
        <v>73</v>
      </c>
      <c r="D9" s="44" t="n">
        <v>60000</v>
      </c>
      <c r="E9" s="45" t="n">
        <f aca="false">SUMIFS('📊 Rep Data'!I:I,'📊 Rep Data'!B:B,A9,'📊 Rep Data'!P:P,"YES")</f>
        <v>40000</v>
      </c>
      <c r="F9" s="46" t="n">
        <v>0.04</v>
      </c>
      <c r="G9" s="47" t="n">
        <f aca="false">E9*F9</f>
        <v>1600</v>
      </c>
      <c r="H9" s="48" t="n">
        <f aca="false">IFERROR(E9/D9,0)</f>
        <v>0.666666666666667</v>
      </c>
      <c r="I9" s="49" t="n">
        <f aca="false">E9-D9</f>
        <v>-20000</v>
      </c>
      <c r="J9" s="50" t="str">
        <f aca="false">IF(H9&gt;=1,"✅ At/Above Quota",IF(H9&gt;=0.75,"⚠️ Near Quota","❌ Below Quota"))</f>
        <v>❌ Below Quota</v>
      </c>
      <c r="K9" s="43"/>
    </row>
    <row r="10" customFormat="false" ht="21.75" hidden="false" customHeight="true" outlineLevel="0" collapsed="false">
      <c r="A10" s="42" t="s">
        <v>74</v>
      </c>
      <c r="B10" s="43" t="s">
        <v>75</v>
      </c>
      <c r="C10" s="43" t="s">
        <v>62</v>
      </c>
      <c r="D10" s="44" t="n">
        <v>225000</v>
      </c>
      <c r="E10" s="45" t="n">
        <f aca="false">SUMIFS('📊 Rep Data'!I:I,'📊 Rep Data'!B:B,A10,'📊 Rep Data'!P:P,"YES")</f>
        <v>355000</v>
      </c>
      <c r="F10" s="46" t="n">
        <v>0.08</v>
      </c>
      <c r="G10" s="47" t="n">
        <f aca="false">E10*F10</f>
        <v>28400</v>
      </c>
      <c r="H10" s="48" t="n">
        <f aca="false">IFERROR(E10/D10,0)</f>
        <v>1.57777777777778</v>
      </c>
      <c r="I10" s="49" t="n">
        <f aca="false">E10-D10</f>
        <v>130000</v>
      </c>
      <c r="J10" s="50" t="str">
        <f aca="false">IF(H10&gt;=1,"✅ At/Above Quota",IF(H10&gt;=0.75,"⚠️ Near Quota","❌ Below Quota"))</f>
        <v>✅ At/Above Quota</v>
      </c>
      <c r="K10" s="43"/>
    </row>
    <row r="11" customFormat="false" ht="21.75" hidden="false" customHeight="true" outlineLevel="0" collapsed="false">
      <c r="A11" s="42" t="s">
        <v>76</v>
      </c>
      <c r="B11" s="43" t="s">
        <v>77</v>
      </c>
      <c r="C11" s="43" t="s">
        <v>65</v>
      </c>
      <c r="D11" s="44" t="n">
        <v>90000</v>
      </c>
      <c r="E11" s="45" t="n">
        <f aca="false">SUMIFS('📊 Rep Data'!I:I,'📊 Rep Data'!B:B,A11,'📊 Rep Data'!P:P,"YES")</f>
        <v>35000</v>
      </c>
      <c r="F11" s="46" t="n">
        <v>0.06</v>
      </c>
      <c r="G11" s="47" t="n">
        <f aca="false">E11*F11</f>
        <v>2100</v>
      </c>
      <c r="H11" s="48" t="n">
        <f aca="false">IFERROR(E11/D11,0)</f>
        <v>0.388888888888889</v>
      </c>
      <c r="I11" s="49" t="n">
        <f aca="false">E11-D11</f>
        <v>-55000</v>
      </c>
      <c r="J11" s="50" t="str">
        <f aca="false">IF(H11&gt;=1,"✅ At/Above Quota",IF(H11&gt;=0.75,"⚠️ Near Quota","❌ Below Quota"))</f>
        <v>❌ Below Quota</v>
      </c>
      <c r="K11" s="43"/>
    </row>
    <row r="12" customFormat="false" ht="21.75" hidden="false" customHeight="true" outlineLevel="0" collapsed="false">
      <c r="A12" s="42" t="s">
        <v>78</v>
      </c>
      <c r="B12" s="43" t="s">
        <v>79</v>
      </c>
      <c r="C12" s="43" t="s">
        <v>80</v>
      </c>
      <c r="D12" s="44" t="n">
        <v>120000</v>
      </c>
      <c r="E12" s="45" t="n">
        <f aca="false">SUMIFS('📊 Rep Data'!I:I,'📊 Rep Data'!B:B,A12,'📊 Rep Data'!P:P,"YES")</f>
        <v>210000</v>
      </c>
      <c r="F12" s="46" t="n">
        <v>0.025</v>
      </c>
      <c r="G12" s="47" t="n">
        <f aca="false">E12*F12</f>
        <v>5250</v>
      </c>
      <c r="H12" s="48" t="n">
        <f aca="false">IFERROR(E12/D12,0)</f>
        <v>1.75</v>
      </c>
      <c r="I12" s="49" t="n">
        <f aca="false">E12-D12</f>
        <v>90000</v>
      </c>
      <c r="J12" s="50" t="str">
        <f aca="false">IF(H12&gt;=1,"✅ At/Above Quota",IF(H12&gt;=0.75,"⚠️ Near Quota","❌ Below Quota"))</f>
        <v>✅ At/Above Quota</v>
      </c>
      <c r="K12" s="43"/>
    </row>
    <row r="13" customFormat="false" ht="15" hidden="false" customHeight="true" outlineLevel="0" collapsed="false">
      <c r="A13" s="51" t="s">
        <v>218</v>
      </c>
      <c r="B13" s="51"/>
      <c r="C13" s="51"/>
      <c r="D13" s="40" t="n">
        <f aca="false">SUM(D5:D12)</f>
        <v>1110000</v>
      </c>
      <c r="E13" s="40" t="n">
        <f aca="false">SUM(E5:E12)</f>
        <v>1399000</v>
      </c>
      <c r="G13" s="47" t="n">
        <f aca="false">SUM(G5:G12)</f>
        <v>92990</v>
      </c>
      <c r="H13" s="52" t="n">
        <f aca="false">IFERROR(E13/D13,0)</f>
        <v>1.26036036036036</v>
      </c>
    </row>
  </sheetData>
  <mergeCells count="3">
    <mergeCell ref="A1:L1"/>
    <mergeCell ref="A2:L2"/>
    <mergeCell ref="A13:C13"/>
  </mergeCells>
  <conditionalFormatting sqref="H5:H12">
    <cfRule type="colorScale" priority="2">
      <colorScale>
        <cfvo type="num" val="0"/>
        <cfvo type="num" val="0.75"/>
        <cfvo type="num" val="1.5"/>
        <color rgb="FFFFCCCC"/>
        <color rgb="FFFFFF99"/>
        <color rgb="FFC6EFCE"/>
      </colorScale>
    </cfRule>
  </conditionalFormatting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true"/>
  </sheetPr>
  <dimension ref="A1:O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4" topLeftCell="A1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3" min="2" style="1" width="18"/>
    <col collapsed="false" customWidth="true" hidden="false" outlineLevel="0" max="5" min="4" style="1" width="16"/>
    <col collapsed="false" customWidth="true" hidden="false" outlineLevel="0" max="6" min="6" style="1" width="14"/>
    <col collapsed="false" customWidth="true" hidden="false" outlineLevel="0" max="12" min="7" style="1" width="13"/>
    <col collapsed="false" customWidth="true" hidden="false" outlineLevel="0" max="14" min="13" style="1" width="18"/>
    <col collapsed="false" customWidth="true" hidden="false" outlineLevel="0" max="15" min="15" style="1" width="16"/>
  </cols>
  <sheetData>
    <row r="1" customFormat="false" ht="15.75" hidden="false" customHeight="true" outlineLevel="0" collapsed="false">
      <c r="A1" s="38" t="s">
        <v>219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customFormat="false" ht="15" hidden="false" customHeight="true" outlineLevel="0" collapsed="false">
      <c r="A2" s="41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4" customFormat="false" ht="15" hidden="false" customHeight="true" outlineLevel="0" collapsed="false">
      <c r="A4" s="53" t="s">
        <v>221</v>
      </c>
      <c r="B4" s="53"/>
      <c r="C4" s="53"/>
      <c r="D4" s="53"/>
      <c r="E4" s="53"/>
      <c r="F4" s="53"/>
      <c r="G4" s="53"/>
      <c r="H4" s="53"/>
    </row>
    <row r="5" customFormat="false" ht="15" hidden="false" customHeight="true" outlineLevel="0" collapsed="false">
      <c r="A5" s="54" t="s">
        <v>94</v>
      </c>
      <c r="B5" s="54" t="s">
        <v>222</v>
      </c>
      <c r="C5" s="54" t="s">
        <v>223</v>
      </c>
      <c r="D5" s="54" t="s">
        <v>224</v>
      </c>
      <c r="E5" s="54" t="s">
        <v>225</v>
      </c>
    </row>
    <row r="6" customFormat="false" ht="15" hidden="false" customHeight="true" outlineLevel="0" collapsed="false">
      <c r="A6" s="55" t="s">
        <v>226</v>
      </c>
      <c r="B6" s="55" t="s">
        <v>227</v>
      </c>
      <c r="C6" s="55" t="s">
        <v>228</v>
      </c>
      <c r="D6" s="55" t="s">
        <v>229</v>
      </c>
      <c r="E6" s="55" t="s">
        <v>230</v>
      </c>
    </row>
    <row r="7" customFormat="false" ht="15" hidden="false" customHeight="true" outlineLevel="0" collapsed="false">
      <c r="A7" s="56" t="s">
        <v>231</v>
      </c>
      <c r="B7" s="56" t="s">
        <v>232</v>
      </c>
      <c r="C7" s="56" t="s">
        <v>233</v>
      </c>
      <c r="D7" s="56" t="s">
        <v>234</v>
      </c>
      <c r="E7" s="56" t="s">
        <v>235</v>
      </c>
    </row>
    <row r="8" customFormat="false" ht="15" hidden="false" customHeight="true" outlineLevel="0" collapsed="false">
      <c r="A8" s="57" t="s">
        <v>236</v>
      </c>
      <c r="B8" s="57" t="s">
        <v>237</v>
      </c>
      <c r="C8" s="57" t="s">
        <v>238</v>
      </c>
      <c r="D8" s="57" t="s">
        <v>239</v>
      </c>
      <c r="E8" s="57" t="s">
        <v>240</v>
      </c>
    </row>
    <row r="9" customFormat="false" ht="15" hidden="false" customHeight="true" outlineLevel="0" collapsed="false">
      <c r="A9" s="58" t="s">
        <v>241</v>
      </c>
      <c r="B9" s="58" t="s">
        <v>242</v>
      </c>
      <c r="C9" s="58" t="s">
        <v>243</v>
      </c>
      <c r="D9" s="58" t="s">
        <v>244</v>
      </c>
      <c r="E9" s="58" t="s">
        <v>245</v>
      </c>
    </row>
    <row r="10" customFormat="false" ht="15" hidden="false" customHeight="true" outlineLevel="0" collapsed="false">
      <c r="A10" s="59" t="s">
        <v>246</v>
      </c>
      <c r="B10" s="59" t="s">
        <v>247</v>
      </c>
      <c r="C10" s="59" t="s">
        <v>248</v>
      </c>
      <c r="D10" s="59" t="s">
        <v>249</v>
      </c>
      <c r="E10" s="59" t="s">
        <v>250</v>
      </c>
    </row>
    <row r="11" customFormat="false" ht="15" hidden="false" customHeight="true" outlineLevel="0" collapsed="false">
      <c r="A11" s="60" t="s">
        <v>251</v>
      </c>
      <c r="B11" s="60" t="s">
        <v>252</v>
      </c>
      <c r="C11" s="60" t="s">
        <v>253</v>
      </c>
      <c r="D11" s="60" t="s">
        <v>254</v>
      </c>
      <c r="E11" s="60" t="s">
        <v>115</v>
      </c>
    </row>
    <row r="12" customFormat="false" ht="9.75" hidden="false" customHeight="true" outlineLevel="0" collapsed="false"/>
    <row r="13" customFormat="false" ht="15" hidden="false" customHeight="true" outlineLevel="0" collapsed="false">
      <c r="A13" s="61" t="s">
        <v>255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</row>
    <row r="14" customFormat="false" ht="39.75" hidden="false" customHeight="true" outlineLevel="0" collapsed="false">
      <c r="A14" s="17" t="s">
        <v>45</v>
      </c>
      <c r="B14" s="17" t="s">
        <v>46</v>
      </c>
      <c r="C14" s="17" t="s">
        <v>256</v>
      </c>
      <c r="D14" s="17" t="s">
        <v>51</v>
      </c>
      <c r="E14" s="17" t="s">
        <v>212</v>
      </c>
      <c r="F14" s="17" t="s">
        <v>257</v>
      </c>
      <c r="G14" s="17" t="s">
        <v>258</v>
      </c>
      <c r="H14" s="17" t="s">
        <v>259</v>
      </c>
      <c r="I14" s="17" t="s">
        <v>260</v>
      </c>
      <c r="J14" s="17" t="s">
        <v>261</v>
      </c>
      <c r="K14" s="17" t="s">
        <v>262</v>
      </c>
      <c r="L14" s="17" t="s">
        <v>263</v>
      </c>
      <c r="M14" s="17" t="s">
        <v>264</v>
      </c>
      <c r="N14" s="17" t="s">
        <v>265</v>
      </c>
      <c r="O14" s="17" t="s">
        <v>266</v>
      </c>
    </row>
    <row r="15" customFormat="false" ht="21.75" hidden="false" customHeight="true" outlineLevel="0" collapsed="false">
      <c r="A15" s="42" t="s">
        <v>55</v>
      </c>
      <c r="B15" s="43" t="s">
        <v>56</v>
      </c>
      <c r="C15" s="43" t="s">
        <v>57</v>
      </c>
      <c r="D15" s="44" t="n">
        <v>150000</v>
      </c>
      <c r="E15" s="62" t="n">
        <f aca="false">'🎯 Flat Rate'!E5</f>
        <v>205000</v>
      </c>
      <c r="F15" s="48" t="n">
        <f aca="false">IFERROR(E15/D15,0)</f>
        <v>1.36666666666667</v>
      </c>
      <c r="G15" s="63" t="n">
        <f aca="false">MAX(0,MIN(E15,0.49*D15))*0.02</f>
        <v>1470</v>
      </c>
      <c r="H15" s="64" t="n">
        <f aca="false">MAX(0,MIN(E15,0.74*D15)-MIN(E15,0.49*D15))*0.05</f>
        <v>1875</v>
      </c>
      <c r="I15" s="45" t="n">
        <f aca="false">MAX(0,MIN(E15,0.99*D15)-MIN(E15,0.74*D15))*0.07</f>
        <v>2625</v>
      </c>
      <c r="J15" s="65" t="n">
        <f aca="false">MAX(0,MIN(E15,1.24*D15)-MIN(E15,0.99*D15))*0.09</f>
        <v>3375</v>
      </c>
      <c r="K15" s="66" t="n">
        <f aca="false">MAX(0,MIN(E15,1.49*D15)-MIN(E15,1.24*D15))*0.11</f>
        <v>2090</v>
      </c>
      <c r="L15" s="67" t="n">
        <f aca="false">MAX(0,E15-1.49*D15)*0.14</f>
        <v>0</v>
      </c>
      <c r="M15" s="47" t="n">
        <f aca="false">SUM(G15:L15)</f>
        <v>11435</v>
      </c>
      <c r="N15" s="50" t="str">
        <f aca="false">IF(F15&gt;=1.5,"🚀 T5 Kicker",IF(F15&gt;=1.25,"⚡ T4 Accel",IF(F15&gt;=1,"✅ T3 Quota",IF(F15&gt;=0.75,"🟡 T2 Target",IF(F15&gt;=0.5,"🟠 T1 Base","🔴 T0 Ramp")))))</f>
        <v>⚡ T4 Accel</v>
      </c>
      <c r="O15" s="49" t="n">
        <f aca="false">M15-'🎯 Flat Rate'!G5</f>
        <v>-2915</v>
      </c>
    </row>
    <row r="16" customFormat="false" ht="21.75" hidden="false" customHeight="true" outlineLevel="0" collapsed="false">
      <c r="A16" s="42" t="s">
        <v>60</v>
      </c>
      <c r="B16" s="43" t="s">
        <v>61</v>
      </c>
      <c r="C16" s="43" t="s">
        <v>62</v>
      </c>
      <c r="D16" s="44" t="n">
        <v>225000</v>
      </c>
      <c r="E16" s="62" t="n">
        <f aca="false">'🎯 Flat Rate'!E6</f>
        <v>305000</v>
      </c>
      <c r="F16" s="48" t="n">
        <f aca="false">IFERROR(E16/D16,0)</f>
        <v>1.35555555555556</v>
      </c>
      <c r="G16" s="63" t="n">
        <f aca="false">MAX(0,MIN(E16,0.49*D16))*0.02</f>
        <v>2205</v>
      </c>
      <c r="H16" s="64" t="n">
        <f aca="false">MAX(0,MIN(E16,0.74*D16)-MIN(E16,0.49*D16))*0.05</f>
        <v>2812.5</v>
      </c>
      <c r="I16" s="45" t="n">
        <f aca="false">MAX(0,MIN(E16,0.99*D16)-MIN(E16,0.74*D16))*0.07</f>
        <v>3937.5</v>
      </c>
      <c r="J16" s="65" t="n">
        <f aca="false">MAX(0,MIN(E16,1.24*D16)-MIN(E16,0.99*D16))*0.09</f>
        <v>5062.5</v>
      </c>
      <c r="K16" s="66" t="n">
        <f aca="false">MAX(0,MIN(E16,1.49*D16)-MIN(E16,1.24*D16))*0.11</f>
        <v>2860</v>
      </c>
      <c r="L16" s="67" t="n">
        <f aca="false">MAX(0,E16-1.49*D16)*0.14</f>
        <v>0</v>
      </c>
      <c r="M16" s="47" t="n">
        <f aca="false">SUM(G16:L16)</f>
        <v>16877.5</v>
      </c>
      <c r="N16" s="50" t="str">
        <f aca="false">IF(F16&gt;=1.5,"🚀 T5 Kicker",IF(F16&gt;=1.25,"⚡ T4 Accel",IF(F16&gt;=1,"✅ T3 Quota",IF(F16&gt;=0.75,"🟡 T2 Target",IF(F16&gt;=0.5,"🟠 T1 Base","🔴 T0 Ramp")))))</f>
        <v>⚡ T4 Accel</v>
      </c>
      <c r="O16" s="49" t="n">
        <f aca="false">M16-'🎯 Flat Rate'!G6</f>
        <v>-7522.5</v>
      </c>
    </row>
    <row r="17" customFormat="false" ht="21.75" hidden="false" customHeight="true" outlineLevel="0" collapsed="false">
      <c r="A17" s="42" t="s">
        <v>63</v>
      </c>
      <c r="B17" s="43" t="s">
        <v>64</v>
      </c>
      <c r="C17" s="43" t="s">
        <v>65</v>
      </c>
      <c r="D17" s="44" t="n">
        <v>90000</v>
      </c>
      <c r="E17" s="62" t="n">
        <f aca="false">'🎯 Flat Rate'!E7</f>
        <v>54000</v>
      </c>
      <c r="F17" s="48" t="n">
        <f aca="false">IFERROR(E17/D17,0)</f>
        <v>0.6</v>
      </c>
      <c r="G17" s="63" t="n">
        <f aca="false">MAX(0,MIN(E17,0.49*D17))*0.02</f>
        <v>882</v>
      </c>
      <c r="H17" s="64" t="n">
        <f aca="false">MAX(0,MIN(E17,0.74*D17)-MIN(E17,0.49*D17))*0.05</f>
        <v>495</v>
      </c>
      <c r="I17" s="45" t="n">
        <f aca="false">MAX(0,MIN(E17,0.99*D17)-MIN(E17,0.74*D17))*0.07</f>
        <v>0</v>
      </c>
      <c r="J17" s="65" t="n">
        <f aca="false">MAX(0,MIN(E17,1.24*D17)-MIN(E17,0.99*D17))*0.09</f>
        <v>0</v>
      </c>
      <c r="K17" s="66" t="n">
        <f aca="false">MAX(0,MIN(E17,1.49*D17)-MIN(E17,1.24*D17))*0.11</f>
        <v>0</v>
      </c>
      <c r="L17" s="67" t="n">
        <f aca="false">MAX(0,E17-1.49*D17)*0.14</f>
        <v>0</v>
      </c>
      <c r="M17" s="47" t="n">
        <f aca="false">SUM(G17:L17)</f>
        <v>1377</v>
      </c>
      <c r="N17" s="50" t="str">
        <f aca="false">IF(F17&gt;=1.5,"🚀 T5 Kicker",IF(F17&gt;=1.25,"⚡ T4 Accel",IF(F17&gt;=1,"✅ T3 Quota",IF(F17&gt;=0.75,"🟡 T2 Target",IF(F17&gt;=0.5,"🟠 T1 Base","🔴 T0 Ramp")))))</f>
        <v>🟠 T1 Base</v>
      </c>
      <c r="O17" s="49" t="n">
        <f aca="false">M17-'🎯 Flat Rate'!G7</f>
        <v>-1863</v>
      </c>
    </row>
    <row r="18" customFormat="false" ht="21.75" hidden="false" customHeight="true" outlineLevel="0" collapsed="false">
      <c r="A18" s="42" t="s">
        <v>68</v>
      </c>
      <c r="B18" s="43" t="s">
        <v>69</v>
      </c>
      <c r="C18" s="43" t="s">
        <v>57</v>
      </c>
      <c r="D18" s="44" t="n">
        <v>150000</v>
      </c>
      <c r="E18" s="62" t="n">
        <f aca="false">'🎯 Flat Rate'!E8</f>
        <v>195000</v>
      </c>
      <c r="F18" s="48" t="n">
        <f aca="false">IFERROR(E18/D18,0)</f>
        <v>1.3</v>
      </c>
      <c r="G18" s="63" t="n">
        <f aca="false">MAX(0,MIN(E18,0.49*D18))*0.02</f>
        <v>1470</v>
      </c>
      <c r="H18" s="64" t="n">
        <f aca="false">MAX(0,MIN(E18,0.74*D18)-MIN(E18,0.49*D18))*0.05</f>
        <v>1875</v>
      </c>
      <c r="I18" s="45" t="n">
        <f aca="false">MAX(0,MIN(E18,0.99*D18)-MIN(E18,0.74*D18))*0.07</f>
        <v>2625</v>
      </c>
      <c r="J18" s="65" t="n">
        <f aca="false">MAX(0,MIN(E18,1.24*D18)-MIN(E18,0.99*D18))*0.09</f>
        <v>3375</v>
      </c>
      <c r="K18" s="66" t="n">
        <f aca="false">MAX(0,MIN(E18,1.49*D18)-MIN(E18,1.24*D18))*0.11</f>
        <v>990</v>
      </c>
      <c r="L18" s="67" t="n">
        <f aca="false">MAX(0,E18-1.49*D18)*0.14</f>
        <v>0</v>
      </c>
      <c r="M18" s="47" t="n">
        <f aca="false">SUM(G18:L18)</f>
        <v>10335</v>
      </c>
      <c r="N18" s="50" t="str">
        <f aca="false">IF(F18&gt;=1.5,"🚀 T5 Kicker",IF(F18&gt;=1.25,"⚡ T4 Accel",IF(F18&gt;=1,"✅ T3 Quota",IF(F18&gt;=0.75,"🟡 T2 Target",IF(F18&gt;=0.5,"🟠 T1 Base","🔴 T0 Ramp")))))</f>
        <v>⚡ T4 Accel</v>
      </c>
      <c r="O18" s="49" t="n">
        <f aca="false">M18-'🎯 Flat Rate'!G8</f>
        <v>-3315</v>
      </c>
    </row>
    <row r="19" customFormat="false" ht="21.75" hidden="false" customHeight="true" outlineLevel="0" collapsed="false">
      <c r="A19" s="42" t="s">
        <v>71</v>
      </c>
      <c r="B19" s="43" t="s">
        <v>72</v>
      </c>
      <c r="C19" s="43" t="s">
        <v>73</v>
      </c>
      <c r="D19" s="44" t="n">
        <v>60000</v>
      </c>
      <c r="E19" s="62" t="n">
        <f aca="false">'🎯 Flat Rate'!E9</f>
        <v>40000</v>
      </c>
      <c r="F19" s="48" t="n">
        <f aca="false">IFERROR(E19/D19,0)</f>
        <v>0.666666666666667</v>
      </c>
      <c r="G19" s="63" t="n">
        <f aca="false">MAX(0,MIN(E19,0.49*D19))*0.02</f>
        <v>588</v>
      </c>
      <c r="H19" s="64" t="n">
        <f aca="false">MAX(0,MIN(E19,0.74*D19)-MIN(E19,0.49*D19))*0.05</f>
        <v>530</v>
      </c>
      <c r="I19" s="45" t="n">
        <f aca="false">MAX(0,MIN(E19,0.99*D19)-MIN(E19,0.74*D19))*0.07</f>
        <v>0</v>
      </c>
      <c r="J19" s="65" t="n">
        <f aca="false">MAX(0,MIN(E19,1.24*D19)-MIN(E19,0.99*D19))*0.09</f>
        <v>0</v>
      </c>
      <c r="K19" s="66" t="n">
        <f aca="false">MAX(0,MIN(E19,1.49*D19)-MIN(E19,1.24*D19))*0.11</f>
        <v>0</v>
      </c>
      <c r="L19" s="67" t="n">
        <f aca="false">MAX(0,E19-1.49*D19)*0.14</f>
        <v>0</v>
      </c>
      <c r="M19" s="47" t="n">
        <f aca="false">SUM(G19:L19)</f>
        <v>1118</v>
      </c>
      <c r="N19" s="50" t="str">
        <f aca="false">IF(F19&gt;=1.5,"🚀 T5 Kicker",IF(F19&gt;=1.25,"⚡ T4 Accel",IF(F19&gt;=1,"✅ T3 Quota",IF(F19&gt;=0.75,"🟡 T2 Target",IF(F19&gt;=0.5,"🟠 T1 Base","🔴 T0 Ramp")))))</f>
        <v>🟠 T1 Base</v>
      </c>
      <c r="O19" s="49" t="n">
        <f aca="false">M19-'🎯 Flat Rate'!G9</f>
        <v>-482</v>
      </c>
    </row>
    <row r="20" customFormat="false" ht="21.75" hidden="false" customHeight="true" outlineLevel="0" collapsed="false">
      <c r="A20" s="42" t="s">
        <v>74</v>
      </c>
      <c r="B20" s="43" t="s">
        <v>75</v>
      </c>
      <c r="C20" s="43" t="s">
        <v>62</v>
      </c>
      <c r="D20" s="44" t="n">
        <v>225000</v>
      </c>
      <c r="E20" s="62" t="n">
        <f aca="false">'🎯 Flat Rate'!E10</f>
        <v>355000</v>
      </c>
      <c r="F20" s="48" t="n">
        <f aca="false">IFERROR(E20/D20,0)</f>
        <v>1.57777777777778</v>
      </c>
      <c r="G20" s="63" t="n">
        <f aca="false">MAX(0,MIN(E20,0.49*D20))*0.02</f>
        <v>2205</v>
      </c>
      <c r="H20" s="64" t="n">
        <f aca="false">MAX(0,MIN(E20,0.74*D20)-MIN(E20,0.49*D20))*0.05</f>
        <v>2812.5</v>
      </c>
      <c r="I20" s="45" t="n">
        <f aca="false">MAX(0,MIN(E20,0.99*D20)-MIN(E20,0.74*D20))*0.07</f>
        <v>3937.5</v>
      </c>
      <c r="J20" s="65" t="n">
        <f aca="false">MAX(0,MIN(E20,1.24*D20)-MIN(E20,0.99*D20))*0.09</f>
        <v>5062.5</v>
      </c>
      <c r="K20" s="66" t="n">
        <f aca="false">MAX(0,MIN(E20,1.49*D20)-MIN(E20,1.24*D20))*0.11</f>
        <v>6187.5</v>
      </c>
      <c r="L20" s="67" t="n">
        <f aca="false">MAX(0,E20-1.49*D20)*0.14</f>
        <v>2765</v>
      </c>
      <c r="M20" s="47" t="n">
        <f aca="false">SUM(G20:L20)</f>
        <v>22970</v>
      </c>
      <c r="N20" s="50" t="str">
        <f aca="false">IF(F20&gt;=1.5,"🚀 T5 Kicker",IF(F20&gt;=1.25,"⚡ T4 Accel",IF(F20&gt;=1,"✅ T3 Quota",IF(F20&gt;=0.75,"🟡 T2 Target",IF(F20&gt;=0.5,"🟠 T1 Base","🔴 T0 Ramp")))))</f>
        <v>🚀 T5 Kicker</v>
      </c>
      <c r="O20" s="49" t="n">
        <f aca="false">M20-'🎯 Flat Rate'!G10</f>
        <v>-5430</v>
      </c>
    </row>
    <row r="21" customFormat="false" ht="21.75" hidden="false" customHeight="true" outlineLevel="0" collapsed="false">
      <c r="A21" s="42" t="s">
        <v>76</v>
      </c>
      <c r="B21" s="43" t="s">
        <v>77</v>
      </c>
      <c r="C21" s="43" t="s">
        <v>65</v>
      </c>
      <c r="D21" s="44" t="n">
        <v>90000</v>
      </c>
      <c r="E21" s="62" t="n">
        <f aca="false">'🎯 Flat Rate'!E11</f>
        <v>35000</v>
      </c>
      <c r="F21" s="48" t="n">
        <f aca="false">IFERROR(E21/D21,0)</f>
        <v>0.388888888888889</v>
      </c>
      <c r="G21" s="63" t="n">
        <f aca="false">MAX(0,MIN(E21,0.49*D21))*0.02</f>
        <v>700</v>
      </c>
      <c r="H21" s="64" t="n">
        <f aca="false">MAX(0,MIN(E21,0.74*D21)-MIN(E21,0.49*D21))*0.05</f>
        <v>0</v>
      </c>
      <c r="I21" s="45" t="n">
        <f aca="false">MAX(0,MIN(E21,0.99*D21)-MIN(E21,0.74*D21))*0.07</f>
        <v>0</v>
      </c>
      <c r="J21" s="65" t="n">
        <f aca="false">MAX(0,MIN(E21,1.24*D21)-MIN(E21,0.99*D21))*0.09</f>
        <v>0</v>
      </c>
      <c r="K21" s="66" t="n">
        <f aca="false">MAX(0,MIN(E21,1.49*D21)-MIN(E21,1.24*D21))*0.11</f>
        <v>0</v>
      </c>
      <c r="L21" s="67" t="n">
        <f aca="false">MAX(0,E21-1.49*D21)*0.14</f>
        <v>0</v>
      </c>
      <c r="M21" s="47" t="n">
        <f aca="false">SUM(G21:L21)</f>
        <v>700</v>
      </c>
      <c r="N21" s="50" t="str">
        <f aca="false">IF(F21&gt;=1.5,"🚀 T5 Kicker",IF(F21&gt;=1.25,"⚡ T4 Accel",IF(F21&gt;=1,"✅ T3 Quota",IF(F21&gt;=0.75,"🟡 T2 Target",IF(F21&gt;=0.5,"🟠 T1 Base","🔴 T0 Ramp")))))</f>
        <v>🔴 T0 Ramp</v>
      </c>
      <c r="O21" s="49" t="n">
        <f aca="false">M21-'🎯 Flat Rate'!G11</f>
        <v>-1400</v>
      </c>
    </row>
    <row r="22" customFormat="false" ht="21.75" hidden="false" customHeight="true" outlineLevel="0" collapsed="false">
      <c r="A22" s="42" t="s">
        <v>78</v>
      </c>
      <c r="B22" s="43" t="s">
        <v>79</v>
      </c>
      <c r="C22" s="43" t="s">
        <v>80</v>
      </c>
      <c r="D22" s="44" t="n">
        <v>120000</v>
      </c>
      <c r="E22" s="62" t="n">
        <f aca="false">'🎯 Flat Rate'!E12</f>
        <v>210000</v>
      </c>
      <c r="F22" s="48" t="n">
        <f aca="false">IFERROR(E22/D22,0)</f>
        <v>1.75</v>
      </c>
      <c r="G22" s="63" t="n">
        <f aca="false">MAX(0,MIN(E22,0.49*D22))*0.02</f>
        <v>1176</v>
      </c>
      <c r="H22" s="64" t="n">
        <f aca="false">MAX(0,MIN(E22,0.74*D22)-MIN(E22,0.49*D22))*0.05</f>
        <v>1500</v>
      </c>
      <c r="I22" s="45" t="n">
        <f aca="false">MAX(0,MIN(E22,0.99*D22)-MIN(E22,0.74*D22))*0.07</f>
        <v>2100</v>
      </c>
      <c r="J22" s="65" t="n">
        <f aca="false">MAX(0,MIN(E22,1.24*D22)-MIN(E22,0.99*D22))*0.09</f>
        <v>2700</v>
      </c>
      <c r="K22" s="66" t="n">
        <f aca="false">MAX(0,MIN(E22,1.49*D22)-MIN(E22,1.24*D22))*0.11</f>
        <v>3300</v>
      </c>
      <c r="L22" s="67" t="n">
        <f aca="false">MAX(0,E22-1.49*D22)*0.14</f>
        <v>4368</v>
      </c>
      <c r="M22" s="47" t="n">
        <f aca="false">SUM(G22:L22)</f>
        <v>15144</v>
      </c>
      <c r="N22" s="50" t="str">
        <f aca="false">IF(F22&gt;=1.5,"🚀 T5 Kicker",IF(F22&gt;=1.25,"⚡ T4 Accel",IF(F22&gt;=1,"✅ T3 Quota",IF(F22&gt;=0.75,"🟡 T2 Target",IF(F22&gt;=0.5,"🟠 T1 Base","🔴 T0 Ramp")))))</f>
        <v>🚀 T5 Kicker</v>
      </c>
      <c r="O22" s="49" t="n">
        <f aca="false">M22-'🎯 Flat Rate'!G12</f>
        <v>9894</v>
      </c>
    </row>
    <row r="23" customFormat="false" ht="15" hidden="false" customHeight="true" outlineLevel="0" collapsed="false">
      <c r="A23" s="51" t="s">
        <v>218</v>
      </c>
      <c r="B23" s="51"/>
      <c r="C23" s="51"/>
      <c r="D23" s="40" t="n">
        <f aca="false">SUM(D15:D22)</f>
        <v>1110000</v>
      </c>
      <c r="E23" s="40" t="n">
        <f aca="false">SUM(E15:E22)</f>
        <v>1399000</v>
      </c>
      <c r="G23" s="40" t="n">
        <f aca="false">SUM(G15:G22)</f>
        <v>10696</v>
      </c>
      <c r="H23" s="40" t="n">
        <f aca="false">SUM(H15:H22)</f>
        <v>11900</v>
      </c>
      <c r="I23" s="40" t="n">
        <f aca="false">SUM(I15:I22)</f>
        <v>15225</v>
      </c>
      <c r="J23" s="40" t="n">
        <f aca="false">SUM(J15:J22)</f>
        <v>19575</v>
      </c>
      <c r="K23" s="40" t="n">
        <f aca="false">SUM(K15:K22)</f>
        <v>15427.5</v>
      </c>
      <c r="L23" s="40" t="n">
        <f aca="false">SUM(L15:L22)</f>
        <v>7133</v>
      </c>
      <c r="M23" s="40" t="n">
        <f aca="false">SUM(M15:M22)</f>
        <v>79956.5</v>
      </c>
      <c r="O23" s="40" t="n">
        <f aca="false">SUM(O15:O22)</f>
        <v>-13033.5</v>
      </c>
    </row>
  </sheetData>
  <mergeCells count="5">
    <mergeCell ref="A1:O1"/>
    <mergeCell ref="A2:O2"/>
    <mergeCell ref="A4:H4"/>
    <mergeCell ref="A13:O13"/>
    <mergeCell ref="A23:C23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9D18E"/>
    <pageSetUpPr fitToPage="true"/>
  </sheetPr>
  <dimension ref="A1:N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8"/>
    <col collapsed="false" customWidth="true" hidden="false" outlineLevel="0" max="4" min="3" style="1" width="22"/>
    <col collapsed="false" customWidth="true" hidden="false" outlineLevel="0" max="6" min="5" style="1" width="14"/>
    <col collapsed="false" customWidth="true" hidden="false" outlineLevel="0" max="8" min="7" style="1" width="16"/>
    <col collapsed="false" customWidth="true" hidden="false" outlineLevel="0" max="9" min="9" style="1" width="14"/>
    <col collapsed="false" customWidth="true" hidden="false" outlineLevel="0" max="10" min="10" style="1" width="22"/>
    <col collapsed="false" customWidth="true" hidden="false" outlineLevel="0" max="14" min="11" style="1" width="12"/>
  </cols>
  <sheetData>
    <row r="1" customFormat="false" ht="15.75" hidden="false" customHeight="true" outlineLevel="0" collapsed="false">
      <c r="A1" s="38" t="s">
        <v>267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3" customFormat="false" ht="15" hidden="false" customHeight="true" outlineLevel="0" collapsed="false">
      <c r="A3" s="14" t="s">
        <v>268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customFormat="false" ht="26.25" hidden="false" customHeight="true" outlineLevel="0" collapsed="false">
      <c r="A4" s="17" t="s">
        <v>45</v>
      </c>
      <c r="B4" s="17" t="s">
        <v>46</v>
      </c>
      <c r="C4" s="17" t="s">
        <v>118</v>
      </c>
      <c r="D4" s="17" t="s">
        <v>269</v>
      </c>
      <c r="E4" s="17" t="s">
        <v>270</v>
      </c>
      <c r="F4" s="17" t="s">
        <v>271</v>
      </c>
      <c r="G4" s="17" t="s">
        <v>121</v>
      </c>
      <c r="H4" s="17" t="s">
        <v>272</v>
      </c>
      <c r="I4" s="17" t="s">
        <v>273</v>
      </c>
      <c r="J4" s="17" t="s">
        <v>83</v>
      </c>
    </row>
    <row r="5" customFormat="false" ht="19.5" hidden="false" customHeight="true" outlineLevel="0" collapsed="false">
      <c r="A5" s="16" t="s">
        <v>55</v>
      </c>
      <c r="B5" s="16" t="s">
        <v>56</v>
      </c>
      <c r="C5" s="16" t="s">
        <v>126</v>
      </c>
      <c r="D5" s="28" t="s">
        <v>125</v>
      </c>
      <c r="E5" s="16" t="s">
        <v>274</v>
      </c>
      <c r="F5" s="18" t="n">
        <v>1000</v>
      </c>
      <c r="G5" s="18" t="n">
        <v>5000</v>
      </c>
      <c r="H5" s="65" t="n">
        <f aca="false">IF(D5="YES",MIN(F5,G5),0)</f>
        <v>1000</v>
      </c>
      <c r="I5" s="16" t="s">
        <v>275</v>
      </c>
      <c r="J5" s="16" t="s">
        <v>276</v>
      </c>
    </row>
    <row r="6" customFormat="false" ht="19.5" hidden="false" customHeight="true" outlineLevel="0" collapsed="false">
      <c r="A6" s="16" t="s">
        <v>60</v>
      </c>
      <c r="B6" s="16" t="s">
        <v>61</v>
      </c>
      <c r="C6" s="16" t="s">
        <v>128</v>
      </c>
      <c r="D6" s="28" t="s">
        <v>125</v>
      </c>
      <c r="E6" s="16" t="s">
        <v>277</v>
      </c>
      <c r="F6" s="18" t="n">
        <v>2000</v>
      </c>
      <c r="G6" s="18" t="n">
        <v>10000</v>
      </c>
      <c r="H6" s="65" t="n">
        <f aca="false">IF(D6="YES",MIN(F6,G6),0)</f>
        <v>2000</v>
      </c>
      <c r="I6" s="16" t="s">
        <v>275</v>
      </c>
      <c r="J6" s="16" t="s">
        <v>278</v>
      </c>
    </row>
    <row r="7" customFormat="false" ht="19.5" hidden="false" customHeight="true" outlineLevel="0" collapsed="false">
      <c r="A7" s="16" t="s">
        <v>60</v>
      </c>
      <c r="B7" s="16" t="s">
        <v>61</v>
      </c>
      <c r="C7" s="16" t="s">
        <v>126</v>
      </c>
      <c r="D7" s="28" t="s">
        <v>125</v>
      </c>
      <c r="E7" s="16" t="s">
        <v>277</v>
      </c>
      <c r="F7" s="18" t="n">
        <v>1000</v>
      </c>
      <c r="G7" s="18" t="n">
        <v>5000</v>
      </c>
      <c r="H7" s="65" t="n">
        <f aca="false">IF(D7="YES",MIN(F7,G7),0)</f>
        <v>1000</v>
      </c>
      <c r="I7" s="16" t="s">
        <v>275</v>
      </c>
      <c r="J7" s="16"/>
    </row>
    <row r="8" customFormat="false" ht="19.5" hidden="false" customHeight="true" outlineLevel="0" collapsed="false">
      <c r="A8" s="16" t="s">
        <v>63</v>
      </c>
      <c r="B8" s="16" t="s">
        <v>64</v>
      </c>
      <c r="C8" s="16" t="s">
        <v>132</v>
      </c>
      <c r="D8" s="34" t="s">
        <v>136</v>
      </c>
      <c r="E8" s="16" t="s">
        <v>279</v>
      </c>
      <c r="F8" s="18" t="n">
        <v>2500</v>
      </c>
      <c r="G8" s="18" t="n">
        <v>2500</v>
      </c>
      <c r="H8" s="65" t="n">
        <f aca="false">IF(D8="YES",MIN(F8,G8),0)</f>
        <v>0</v>
      </c>
      <c r="I8" s="16" t="s">
        <v>280</v>
      </c>
      <c r="J8" s="16" t="s">
        <v>281</v>
      </c>
    </row>
    <row r="9" customFormat="false" ht="19.5" hidden="false" customHeight="true" outlineLevel="0" collapsed="false">
      <c r="A9" s="16" t="s">
        <v>68</v>
      </c>
      <c r="B9" s="16" t="s">
        <v>69</v>
      </c>
      <c r="C9" s="16" t="s">
        <v>126</v>
      </c>
      <c r="D9" s="28" t="s">
        <v>125</v>
      </c>
      <c r="E9" s="16" t="s">
        <v>282</v>
      </c>
      <c r="F9" s="18" t="n">
        <v>1000</v>
      </c>
      <c r="G9" s="18" t="n">
        <v>5000</v>
      </c>
      <c r="H9" s="65" t="n">
        <f aca="false">IF(D9="YES",MIN(F9,G9),0)</f>
        <v>1000</v>
      </c>
      <c r="I9" s="16" t="s">
        <v>283</v>
      </c>
      <c r="J9" s="16"/>
    </row>
    <row r="10" customFormat="false" ht="19.5" hidden="false" customHeight="true" outlineLevel="0" collapsed="false">
      <c r="A10" s="16" t="s">
        <v>68</v>
      </c>
      <c r="B10" s="16" t="s">
        <v>69</v>
      </c>
      <c r="C10" s="16" t="s">
        <v>128</v>
      </c>
      <c r="D10" s="28" t="s">
        <v>125</v>
      </c>
      <c r="E10" s="16" t="s">
        <v>282</v>
      </c>
      <c r="F10" s="18" t="n">
        <v>2000</v>
      </c>
      <c r="G10" s="18" t="n">
        <v>10000</v>
      </c>
      <c r="H10" s="65" t="n">
        <f aca="false">IF(D10="YES",MIN(F10,G10),0)</f>
        <v>2000</v>
      </c>
      <c r="I10" s="16" t="s">
        <v>283</v>
      </c>
      <c r="J10" s="16" t="s">
        <v>278</v>
      </c>
    </row>
    <row r="11" customFormat="false" ht="19.5" hidden="false" customHeight="true" outlineLevel="0" collapsed="false">
      <c r="A11" s="16" t="s">
        <v>74</v>
      </c>
      <c r="B11" s="16" t="s">
        <v>75</v>
      </c>
      <c r="C11" s="16" t="s">
        <v>123</v>
      </c>
      <c r="D11" s="28" t="s">
        <v>125</v>
      </c>
      <c r="E11" s="16" t="s">
        <v>284</v>
      </c>
      <c r="F11" s="18" t="n">
        <v>5000</v>
      </c>
      <c r="G11" s="18" t="n">
        <v>5000</v>
      </c>
      <c r="H11" s="65" t="n">
        <f aca="false">IF(D11="YES",MIN(F11,G11),0)</f>
        <v>5000</v>
      </c>
      <c r="I11" s="16" t="s">
        <v>285</v>
      </c>
      <c r="J11" s="16"/>
    </row>
    <row r="12" customFormat="false" ht="19.5" hidden="false" customHeight="true" outlineLevel="0" collapsed="false">
      <c r="A12" s="16" t="s">
        <v>74</v>
      </c>
      <c r="B12" s="16" t="s">
        <v>75</v>
      </c>
      <c r="C12" s="16" t="s">
        <v>128</v>
      </c>
      <c r="D12" s="28" t="s">
        <v>125</v>
      </c>
      <c r="E12" s="16" t="s">
        <v>286</v>
      </c>
      <c r="F12" s="18" t="n">
        <v>2000</v>
      </c>
      <c r="G12" s="18" t="n">
        <v>10000</v>
      </c>
      <c r="H12" s="65" t="n">
        <f aca="false">IF(D12="YES",MIN(F12,G12),0)</f>
        <v>2000</v>
      </c>
      <c r="I12" s="16" t="s">
        <v>285</v>
      </c>
      <c r="J12" s="16"/>
    </row>
    <row r="13" customFormat="false" ht="19.5" hidden="false" customHeight="true" outlineLevel="0" collapsed="false">
      <c r="A13" s="16" t="s">
        <v>76</v>
      </c>
      <c r="B13" s="16" t="s">
        <v>77</v>
      </c>
      <c r="C13" s="16" t="s">
        <v>126</v>
      </c>
      <c r="D13" s="28" t="s">
        <v>125</v>
      </c>
      <c r="E13" s="16" t="s">
        <v>287</v>
      </c>
      <c r="F13" s="18" t="n">
        <v>1000</v>
      </c>
      <c r="G13" s="18" t="n">
        <v>5000</v>
      </c>
      <c r="H13" s="65" t="n">
        <f aca="false">IF(D13="YES",MIN(F13,G13),0)</f>
        <v>1000</v>
      </c>
      <c r="I13" s="16" t="s">
        <v>285</v>
      </c>
      <c r="J13" s="16"/>
    </row>
    <row r="14" customFormat="false" ht="15" hidden="false" customHeight="true" outlineLevel="0" collapsed="false">
      <c r="A14" s="51" t="s">
        <v>288</v>
      </c>
      <c r="B14" s="51"/>
      <c r="C14" s="51"/>
      <c r="D14" s="51"/>
      <c r="E14" s="51"/>
      <c r="F14" s="40" t="n">
        <f aca="false">SUM(F5:F13)</f>
        <v>17500</v>
      </c>
      <c r="H14" s="47" t="n">
        <f aca="false">SUM(H5:H13)</f>
        <v>15000</v>
      </c>
    </row>
    <row r="15" customFormat="false" ht="12" hidden="false" customHeight="true" outlineLevel="0" collapsed="false"/>
    <row r="16" customFormat="false" ht="15" hidden="false" customHeight="true" outlineLevel="0" collapsed="false">
      <c r="A16" s="14" t="s">
        <v>289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customFormat="false" ht="39" hidden="false" customHeight="true" outlineLevel="0" collapsed="false">
      <c r="A17" s="68" t="s">
        <v>45</v>
      </c>
      <c r="B17" s="68" t="s">
        <v>46</v>
      </c>
      <c r="C17" s="68" t="s">
        <v>290</v>
      </c>
      <c r="D17" s="68" t="s">
        <v>291</v>
      </c>
      <c r="E17" s="68" t="s">
        <v>292</v>
      </c>
      <c r="F17" s="68" t="s">
        <v>293</v>
      </c>
      <c r="G17" s="68" t="s">
        <v>294</v>
      </c>
      <c r="H17" s="68" t="s">
        <v>295</v>
      </c>
      <c r="I17" s="68" t="s">
        <v>296</v>
      </c>
      <c r="J17" s="68" t="s">
        <v>83</v>
      </c>
    </row>
    <row r="18" customFormat="false" ht="19.5" hidden="false" customHeight="true" outlineLevel="0" collapsed="false">
      <c r="A18" s="34" t="s">
        <v>55</v>
      </c>
      <c r="B18" s="34" t="s">
        <v>56</v>
      </c>
      <c r="C18" s="34" t="s">
        <v>297</v>
      </c>
      <c r="D18" s="34" t="s">
        <v>151</v>
      </c>
      <c r="E18" s="69" t="n">
        <v>3570</v>
      </c>
      <c r="F18" s="35" t="n">
        <v>1</v>
      </c>
      <c r="G18" s="67" t="n">
        <f aca="false">E18*F18</f>
        <v>3570</v>
      </c>
      <c r="H18" s="34" t="s">
        <v>285</v>
      </c>
      <c r="I18" s="21" t="s">
        <v>298</v>
      </c>
      <c r="J18" s="34" t="s">
        <v>299</v>
      </c>
    </row>
    <row r="19" customFormat="false" ht="19.5" hidden="false" customHeight="true" outlineLevel="0" collapsed="false">
      <c r="A19" s="34" t="s">
        <v>63</v>
      </c>
      <c r="B19" s="34" t="s">
        <v>64</v>
      </c>
      <c r="C19" s="34" t="s">
        <v>300</v>
      </c>
      <c r="D19" s="34" t="s">
        <v>173</v>
      </c>
      <c r="E19" s="69" t="n">
        <v>720</v>
      </c>
      <c r="F19" s="35" t="n">
        <v>0.5</v>
      </c>
      <c r="G19" s="67" t="n">
        <f aca="false">E19*F19</f>
        <v>360</v>
      </c>
      <c r="H19" s="34" t="s">
        <v>285</v>
      </c>
      <c r="I19" s="34" t="s">
        <v>301</v>
      </c>
      <c r="J19" s="34" t="s">
        <v>302</v>
      </c>
    </row>
    <row r="20" customFormat="false" ht="19.5" hidden="false" customHeight="true" outlineLevel="0" collapsed="false">
      <c r="A20" s="34" t="s">
        <v>76</v>
      </c>
      <c r="B20" s="34" t="s">
        <v>77</v>
      </c>
      <c r="C20" s="34" t="s">
        <v>303</v>
      </c>
      <c r="D20" s="34" t="s">
        <v>198</v>
      </c>
      <c r="E20" s="69" t="n">
        <v>2100</v>
      </c>
      <c r="F20" s="35" t="n">
        <v>1</v>
      </c>
      <c r="G20" s="67" t="n">
        <f aca="false">E20*F20</f>
        <v>2100</v>
      </c>
      <c r="H20" s="34" t="s">
        <v>285</v>
      </c>
      <c r="I20" s="21" t="s">
        <v>298</v>
      </c>
      <c r="J20" s="34" t="s">
        <v>304</v>
      </c>
    </row>
    <row r="21" customFormat="false" ht="15" hidden="false" customHeight="true" outlineLevel="0" collapsed="false">
      <c r="A21" s="70" t="s">
        <v>305</v>
      </c>
      <c r="B21" s="70"/>
      <c r="C21" s="70"/>
      <c r="D21" s="70"/>
      <c r="E21" s="70"/>
      <c r="F21" s="70"/>
      <c r="G21" s="71" t="n">
        <f aca="false">SUM(G18:G20)</f>
        <v>6030</v>
      </c>
    </row>
    <row r="22" customFormat="false" ht="12" hidden="false" customHeight="true" outlineLevel="0" collapsed="false"/>
    <row r="23" customFormat="false" ht="15" hidden="false" customHeight="true" outlineLevel="0" collapsed="false">
      <c r="A23" s="14" t="s">
        <v>306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customFormat="false" ht="26.25" hidden="false" customHeight="true" outlineLevel="0" collapsed="false">
      <c r="A24" s="17" t="s">
        <v>45</v>
      </c>
      <c r="B24" s="17" t="s">
        <v>46</v>
      </c>
      <c r="C24" s="17" t="s">
        <v>307</v>
      </c>
      <c r="D24" s="17" t="s">
        <v>308</v>
      </c>
      <c r="E24" s="17" t="s">
        <v>309</v>
      </c>
      <c r="F24" s="17" t="s">
        <v>310</v>
      </c>
      <c r="G24" s="17" t="s">
        <v>311</v>
      </c>
      <c r="H24" s="17" t="s">
        <v>312</v>
      </c>
      <c r="I24" s="17" t="s">
        <v>313</v>
      </c>
      <c r="J24" s="17" t="s">
        <v>83</v>
      </c>
    </row>
    <row r="25" customFormat="false" ht="21.75" hidden="false" customHeight="true" outlineLevel="0" collapsed="false">
      <c r="A25" s="16" t="s">
        <v>63</v>
      </c>
      <c r="B25" s="16" t="s">
        <v>64</v>
      </c>
      <c r="C25" s="16" t="s">
        <v>314</v>
      </c>
      <c r="D25" s="16" t="s">
        <v>186</v>
      </c>
      <c r="E25" s="16" t="n">
        <v>61</v>
      </c>
      <c r="F25" s="16" t="n">
        <v>30</v>
      </c>
      <c r="G25" s="18" t="n">
        <v>90000</v>
      </c>
      <c r="H25" s="18" t="n">
        <v>46154</v>
      </c>
      <c r="I25" s="48" t="n">
        <f aca="false">IFERROR(E25/(E25+F25),0)</f>
        <v>0.67032967032967</v>
      </c>
      <c r="J25" s="16" t="s">
        <v>315</v>
      </c>
    </row>
    <row r="26" customFormat="false" ht="21.75" hidden="false" customHeight="true" outlineLevel="0" collapsed="false">
      <c r="A26" s="16" t="s">
        <v>71</v>
      </c>
      <c r="B26" s="16" t="s">
        <v>72</v>
      </c>
      <c r="C26" s="16" t="s">
        <v>316</v>
      </c>
      <c r="D26" s="16" t="s">
        <v>168</v>
      </c>
      <c r="E26" s="16" t="n">
        <v>31</v>
      </c>
      <c r="F26" s="16" t="n">
        <v>61</v>
      </c>
      <c r="G26" s="18" t="n">
        <v>60000</v>
      </c>
      <c r="H26" s="18" t="n">
        <v>72000</v>
      </c>
      <c r="I26" s="48" t="n">
        <f aca="false">IFERROR(E26/(E26+F26),0)</f>
        <v>0.33695652173913</v>
      </c>
      <c r="J26" s="16" t="s">
        <v>317</v>
      </c>
    </row>
  </sheetData>
  <mergeCells count="6">
    <mergeCell ref="A1:N1"/>
    <mergeCell ref="A3:N3"/>
    <mergeCell ref="A14:E14"/>
    <mergeCell ref="A16:N16"/>
    <mergeCell ref="A21:F21"/>
    <mergeCell ref="A23:N23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75623"/>
    <pageSetUpPr fitToPage="true"/>
  </sheetPr>
  <dimension ref="A1:P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0"/>
    <col collapsed="false" customWidth="true" hidden="false" outlineLevel="0" max="3" min="3" style="1" width="18"/>
    <col collapsed="false" customWidth="true" hidden="false" outlineLevel="0" max="5" min="4" style="1" width="16"/>
    <col collapsed="false" customWidth="true" hidden="false" outlineLevel="0" max="6" min="6" style="1" width="13"/>
    <col collapsed="false" customWidth="true" hidden="false" outlineLevel="0" max="7" min="7" style="1" width="16"/>
    <col collapsed="false" customWidth="true" hidden="false" outlineLevel="0" max="9" min="8" style="1" width="18"/>
    <col collapsed="false" customWidth="true" hidden="false" outlineLevel="0" max="10" min="10" style="1" width="16"/>
    <col collapsed="false" customWidth="true" hidden="false" outlineLevel="0" max="11" min="11" style="1" width="18"/>
    <col collapsed="false" customWidth="true" hidden="false" outlineLevel="0" max="12" min="12" style="1" width="22"/>
    <col collapsed="false" customWidth="true" hidden="false" outlineLevel="0" max="13" min="13" style="1" width="18"/>
    <col collapsed="false" customWidth="true" hidden="false" outlineLevel="0" max="14" min="14" style="1" width="14"/>
    <col collapsed="false" customWidth="true" hidden="false" outlineLevel="0" max="15" min="15" style="1" width="13"/>
    <col collapsed="false" customWidth="true" hidden="false" outlineLevel="0" max="16" min="16" style="1" width="20"/>
  </cols>
  <sheetData>
    <row r="1" customFormat="false" ht="17.25" hidden="false" customHeight="true" outlineLevel="0" collapsed="false">
      <c r="A1" s="13" t="s">
        <v>318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customFormat="false" ht="15" hidden="false" customHeight="true" outlineLevel="0" collapsed="false">
      <c r="A2" s="41" t="s">
        <v>319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4" customFormat="false" ht="45" hidden="false" customHeight="true" outlineLevel="0" collapsed="false">
      <c r="A4" s="17" t="s">
        <v>45</v>
      </c>
      <c r="B4" s="17" t="s">
        <v>46</v>
      </c>
      <c r="C4" s="17" t="s">
        <v>256</v>
      </c>
      <c r="D4" s="17" t="s">
        <v>51</v>
      </c>
      <c r="E4" s="17" t="s">
        <v>212</v>
      </c>
      <c r="F4" s="17" t="s">
        <v>257</v>
      </c>
      <c r="G4" s="17" t="s">
        <v>320</v>
      </c>
      <c r="H4" s="17" t="s">
        <v>321</v>
      </c>
      <c r="I4" s="17" t="s">
        <v>322</v>
      </c>
      <c r="J4" s="17" t="s">
        <v>323</v>
      </c>
      <c r="K4" s="17" t="s">
        <v>324</v>
      </c>
      <c r="L4" s="17" t="s">
        <v>325</v>
      </c>
      <c r="M4" s="17" t="s">
        <v>326</v>
      </c>
      <c r="N4" s="17" t="s">
        <v>327</v>
      </c>
      <c r="O4" s="17" t="s">
        <v>328</v>
      </c>
      <c r="P4" s="17" t="s">
        <v>329</v>
      </c>
    </row>
    <row r="5" customFormat="false" ht="24" hidden="false" customHeight="true" outlineLevel="0" collapsed="false">
      <c r="A5" s="42" t="s">
        <v>55</v>
      </c>
      <c r="B5" s="43" t="s">
        <v>56</v>
      </c>
      <c r="C5" s="43" t="s">
        <v>57</v>
      </c>
      <c r="D5" s="44" t="n">
        <v>150000</v>
      </c>
      <c r="E5" s="62" t="n">
        <f aca="false">'🎯 Flat Rate'!E5</f>
        <v>205000</v>
      </c>
      <c r="F5" s="48" t="n">
        <f aca="false">IFERROR(E5/D5,0)</f>
        <v>1.36666666666667</v>
      </c>
      <c r="G5" s="62" t="n">
        <f aca="false">'🎯 Flat Rate'!G5</f>
        <v>14350</v>
      </c>
      <c r="H5" s="72" t="n">
        <f aca="false">'📈 Tiered Plan'!M15</f>
        <v>11435</v>
      </c>
      <c r="I5" s="66" t="n">
        <f aca="false">SUMIFS('🎁 Bonuses &amp; Adj.'!H:H,'🎁 Bonuses &amp; Adj.'!A:A,A5)</f>
        <v>1000</v>
      </c>
      <c r="J5" s="67" t="n">
        <f aca="false">SUMIFS('🎁 Bonuses &amp; Adj.'!G:G,'🎁 Bonuses &amp; Adj.'!A:A,A5)</f>
        <v>8570</v>
      </c>
      <c r="K5" s="47" t="n">
        <f aca="false">H5+I5-J5</f>
        <v>3865</v>
      </c>
      <c r="L5" s="18" t="n">
        <v>15000</v>
      </c>
      <c r="M5" s="47" t="n">
        <f aca="false">K5+L5</f>
        <v>18865</v>
      </c>
      <c r="N5" s="44" t="n">
        <v>30000</v>
      </c>
      <c r="O5" s="48" t="n">
        <f aca="false">IFERROR(M5/N5,0)</f>
        <v>0.628833333333333</v>
      </c>
      <c r="P5" s="50" t="str">
        <f aca="false">IF(F5&gt;=1.5,"🚀 Overachiever",IF(F5&gt;=1,"✅ At Quota",IF(F5&gt;=0.75,"⚠️ Near Quota","❌ Below Quota")))</f>
        <v>✅ At Quota</v>
      </c>
    </row>
    <row r="6" customFormat="false" ht="24" hidden="false" customHeight="true" outlineLevel="0" collapsed="false">
      <c r="A6" s="42" t="s">
        <v>60</v>
      </c>
      <c r="B6" s="43" t="s">
        <v>61</v>
      </c>
      <c r="C6" s="43" t="s">
        <v>62</v>
      </c>
      <c r="D6" s="44" t="n">
        <v>225000</v>
      </c>
      <c r="E6" s="62" t="n">
        <f aca="false">'🎯 Flat Rate'!E6</f>
        <v>305000</v>
      </c>
      <c r="F6" s="48" t="n">
        <f aca="false">IFERROR(E6/D6,0)</f>
        <v>1.35555555555556</v>
      </c>
      <c r="G6" s="62" t="n">
        <f aca="false">'🎯 Flat Rate'!G6</f>
        <v>24400</v>
      </c>
      <c r="H6" s="72" t="n">
        <f aca="false">'📈 Tiered Plan'!M16</f>
        <v>16877.5</v>
      </c>
      <c r="I6" s="66" t="n">
        <f aca="false">SUMIFS('🎁 Bonuses &amp; Adj.'!H:H,'🎁 Bonuses &amp; Adj.'!A:A,A6)</f>
        <v>3000</v>
      </c>
      <c r="J6" s="67" t="n">
        <f aca="false">SUMIFS('🎁 Bonuses &amp; Adj.'!G:G,'🎁 Bonuses &amp; Adj.'!A:A,A6)</f>
        <v>15000</v>
      </c>
      <c r="K6" s="47" t="n">
        <f aca="false">H6+I6-J6</f>
        <v>4877.5</v>
      </c>
      <c r="L6" s="18" t="n">
        <v>17500</v>
      </c>
      <c r="M6" s="47" t="n">
        <f aca="false">K6+L6</f>
        <v>22377.5</v>
      </c>
      <c r="N6" s="44" t="n">
        <v>37500</v>
      </c>
      <c r="O6" s="48" t="n">
        <f aca="false">IFERROR(M6/N6,0)</f>
        <v>0.596733333333333</v>
      </c>
      <c r="P6" s="50" t="str">
        <f aca="false">IF(F6&gt;=1.5,"🚀 Overachiever",IF(F6&gt;=1,"✅ At Quota",IF(F6&gt;=0.75,"⚠️ Near Quota","❌ Below Quota")))</f>
        <v>✅ At Quota</v>
      </c>
    </row>
    <row r="7" customFormat="false" ht="24" hidden="false" customHeight="true" outlineLevel="0" collapsed="false">
      <c r="A7" s="42" t="s">
        <v>63</v>
      </c>
      <c r="B7" s="43" t="s">
        <v>64</v>
      </c>
      <c r="C7" s="43" t="s">
        <v>65</v>
      </c>
      <c r="D7" s="44" t="n">
        <v>90000</v>
      </c>
      <c r="E7" s="62" t="n">
        <f aca="false">'🎯 Flat Rate'!E7</f>
        <v>54000</v>
      </c>
      <c r="F7" s="48" t="n">
        <f aca="false">IFERROR(E7/D7,0)</f>
        <v>0.6</v>
      </c>
      <c r="G7" s="62" t="n">
        <f aca="false">'🎯 Flat Rate'!G7</f>
        <v>3240</v>
      </c>
      <c r="H7" s="72" t="n">
        <f aca="false">'📈 Tiered Plan'!M17</f>
        <v>1377</v>
      </c>
      <c r="I7" s="66" t="n">
        <f aca="false">SUMIFS('🎁 Bonuses &amp; Adj.'!H:H,'🎁 Bonuses &amp; Adj.'!A:A,A7)</f>
        <v>46154</v>
      </c>
      <c r="J7" s="67" t="n">
        <f aca="false">SUMIFS('🎁 Bonuses &amp; Adj.'!G:G,'🎁 Bonuses &amp; Adj.'!A:A,A7)</f>
        <v>92860</v>
      </c>
      <c r="K7" s="47" t="n">
        <f aca="false">H7+I7-J7</f>
        <v>-45329</v>
      </c>
      <c r="L7" s="18" t="n">
        <v>12500</v>
      </c>
      <c r="M7" s="47" t="n">
        <f aca="false">K7+L7</f>
        <v>-32829</v>
      </c>
      <c r="N7" s="44" t="n">
        <v>22500</v>
      </c>
      <c r="O7" s="48" t="n">
        <f aca="false">IFERROR(M7/N7,0)</f>
        <v>-1.45906666666667</v>
      </c>
      <c r="P7" s="50" t="str">
        <f aca="false">IF(F7&gt;=1.5,"🚀 Overachiever",IF(F7&gt;=1,"✅ At Quota",IF(F7&gt;=0.75,"⚠️ Near Quota","❌ Below Quota")))</f>
        <v>❌ Below Quota</v>
      </c>
    </row>
    <row r="8" customFormat="false" ht="24" hidden="false" customHeight="true" outlineLevel="0" collapsed="false">
      <c r="A8" s="42" t="s">
        <v>68</v>
      </c>
      <c r="B8" s="43" t="s">
        <v>69</v>
      </c>
      <c r="C8" s="43" t="s">
        <v>57</v>
      </c>
      <c r="D8" s="44" t="n">
        <v>150000</v>
      </c>
      <c r="E8" s="62" t="n">
        <f aca="false">'🎯 Flat Rate'!E8</f>
        <v>195000</v>
      </c>
      <c r="F8" s="48" t="n">
        <f aca="false">IFERROR(E8/D8,0)</f>
        <v>1.3</v>
      </c>
      <c r="G8" s="62" t="n">
        <f aca="false">'🎯 Flat Rate'!G8</f>
        <v>13650</v>
      </c>
      <c r="H8" s="72" t="n">
        <f aca="false">'📈 Tiered Plan'!M18</f>
        <v>10335</v>
      </c>
      <c r="I8" s="66" t="n">
        <f aca="false">SUMIFS('🎁 Bonuses &amp; Adj.'!H:H,'🎁 Bonuses &amp; Adj.'!A:A,A8)</f>
        <v>3000</v>
      </c>
      <c r="J8" s="67" t="n">
        <f aca="false">SUMIFS('🎁 Bonuses &amp; Adj.'!G:G,'🎁 Bonuses &amp; Adj.'!A:A,A8)</f>
        <v>15000</v>
      </c>
      <c r="K8" s="47" t="n">
        <f aca="false">H8+I8-J8</f>
        <v>-1665</v>
      </c>
      <c r="L8" s="18" t="n">
        <v>15000</v>
      </c>
      <c r="M8" s="47" t="n">
        <f aca="false">K8+L8</f>
        <v>13335</v>
      </c>
      <c r="N8" s="44" t="n">
        <v>30000</v>
      </c>
      <c r="O8" s="48" t="n">
        <f aca="false">IFERROR(M8/N8,0)</f>
        <v>0.4445</v>
      </c>
      <c r="P8" s="50" t="str">
        <f aca="false">IF(F8&gt;=1.5,"🚀 Overachiever",IF(F8&gt;=1,"✅ At Quota",IF(F8&gt;=0.75,"⚠️ Near Quota","❌ Below Quota")))</f>
        <v>✅ At Quota</v>
      </c>
    </row>
    <row r="9" customFormat="false" ht="24" hidden="false" customHeight="true" outlineLevel="0" collapsed="false">
      <c r="A9" s="42" t="s">
        <v>71</v>
      </c>
      <c r="B9" s="43" t="s">
        <v>72</v>
      </c>
      <c r="C9" s="43" t="s">
        <v>73</v>
      </c>
      <c r="D9" s="44" t="n">
        <v>60000</v>
      </c>
      <c r="E9" s="62" t="n">
        <f aca="false">'🎯 Flat Rate'!E9</f>
        <v>40000</v>
      </c>
      <c r="F9" s="48" t="n">
        <f aca="false">IFERROR(E9/D9,0)</f>
        <v>0.666666666666667</v>
      </c>
      <c r="G9" s="62" t="n">
        <f aca="false">'🎯 Flat Rate'!G9</f>
        <v>1600</v>
      </c>
      <c r="H9" s="72" t="n">
        <f aca="false">'📈 Tiered Plan'!M19</f>
        <v>1118</v>
      </c>
      <c r="I9" s="66" t="n">
        <f aca="false">SUMIFS('🎁 Bonuses &amp; Adj.'!H:H,'🎁 Bonuses &amp; Adj.'!A:A,A9)</f>
        <v>72000</v>
      </c>
      <c r="J9" s="67" t="n">
        <f aca="false">SUMIFS('🎁 Bonuses &amp; Adj.'!G:G,'🎁 Bonuses &amp; Adj.'!A:A,A9)</f>
        <v>60000</v>
      </c>
      <c r="K9" s="47" t="n">
        <f aca="false">H9+I9-J9</f>
        <v>13118</v>
      </c>
      <c r="L9" s="18" t="n">
        <v>11250</v>
      </c>
      <c r="M9" s="47" t="n">
        <f aca="false">K9+L9</f>
        <v>24368</v>
      </c>
      <c r="N9" s="44" t="n">
        <v>18000</v>
      </c>
      <c r="O9" s="48" t="n">
        <f aca="false">IFERROR(M9/N9,0)</f>
        <v>1.35377777777778</v>
      </c>
      <c r="P9" s="50" t="str">
        <f aca="false">IF(F9&gt;=1.5,"🚀 Overachiever",IF(F9&gt;=1,"✅ At Quota",IF(F9&gt;=0.75,"⚠️ Near Quota","❌ Below Quota")))</f>
        <v>❌ Below Quota</v>
      </c>
    </row>
    <row r="10" customFormat="false" ht="24" hidden="false" customHeight="true" outlineLevel="0" collapsed="false">
      <c r="A10" s="42" t="s">
        <v>74</v>
      </c>
      <c r="B10" s="43" t="s">
        <v>75</v>
      </c>
      <c r="C10" s="43" t="s">
        <v>62</v>
      </c>
      <c r="D10" s="44" t="n">
        <v>225000</v>
      </c>
      <c r="E10" s="62" t="n">
        <f aca="false">'🎯 Flat Rate'!E10</f>
        <v>355000</v>
      </c>
      <c r="F10" s="48" t="n">
        <f aca="false">IFERROR(E10/D10,0)</f>
        <v>1.57777777777778</v>
      </c>
      <c r="G10" s="62" t="n">
        <f aca="false">'🎯 Flat Rate'!G10</f>
        <v>28400</v>
      </c>
      <c r="H10" s="72" t="n">
        <f aca="false">'📈 Tiered Plan'!M20</f>
        <v>22970</v>
      </c>
      <c r="I10" s="66" t="n">
        <f aca="false">SUMIFS('🎁 Bonuses &amp; Adj.'!H:H,'🎁 Bonuses &amp; Adj.'!A:A,A10)</f>
        <v>7000</v>
      </c>
      <c r="J10" s="67" t="n">
        <f aca="false">SUMIFS('🎁 Bonuses &amp; Adj.'!G:G,'🎁 Bonuses &amp; Adj.'!A:A,A10)</f>
        <v>15000</v>
      </c>
      <c r="K10" s="47" t="n">
        <f aca="false">H10+I10-J10</f>
        <v>14970</v>
      </c>
      <c r="L10" s="18" t="n">
        <v>17500</v>
      </c>
      <c r="M10" s="47" t="n">
        <f aca="false">K10+L10</f>
        <v>32470</v>
      </c>
      <c r="N10" s="44" t="n">
        <v>37500</v>
      </c>
      <c r="O10" s="48" t="n">
        <f aca="false">IFERROR(M10/N10,0)</f>
        <v>0.865866666666667</v>
      </c>
      <c r="P10" s="50" t="str">
        <f aca="false">IF(F10&gt;=1.5,"🚀 Overachiever",IF(F10&gt;=1,"✅ At Quota",IF(F10&gt;=0.75,"⚠️ Near Quota","❌ Below Quota")))</f>
        <v>🚀 Overachiever</v>
      </c>
    </row>
    <row r="11" customFormat="false" ht="24" hidden="false" customHeight="true" outlineLevel="0" collapsed="false">
      <c r="A11" s="42" t="s">
        <v>76</v>
      </c>
      <c r="B11" s="43" t="s">
        <v>77</v>
      </c>
      <c r="C11" s="43" t="s">
        <v>65</v>
      </c>
      <c r="D11" s="44" t="n">
        <v>90000</v>
      </c>
      <c r="E11" s="62" t="n">
        <f aca="false">'🎯 Flat Rate'!E11</f>
        <v>35000</v>
      </c>
      <c r="F11" s="48" t="n">
        <f aca="false">IFERROR(E11/D11,0)</f>
        <v>0.388888888888889</v>
      </c>
      <c r="G11" s="62" t="n">
        <f aca="false">'🎯 Flat Rate'!G11</f>
        <v>2100</v>
      </c>
      <c r="H11" s="72" t="n">
        <f aca="false">'📈 Tiered Plan'!M21</f>
        <v>700</v>
      </c>
      <c r="I11" s="66" t="n">
        <f aca="false">SUMIFS('🎁 Bonuses &amp; Adj.'!H:H,'🎁 Bonuses &amp; Adj.'!A:A,A11)</f>
        <v>1000</v>
      </c>
      <c r="J11" s="67" t="n">
        <f aca="false">SUMIFS('🎁 Bonuses &amp; Adj.'!G:G,'🎁 Bonuses &amp; Adj.'!A:A,A11)</f>
        <v>7100</v>
      </c>
      <c r="K11" s="47" t="n">
        <f aca="false">H11+I11-J11</f>
        <v>-5400</v>
      </c>
      <c r="L11" s="18" t="n">
        <v>12500</v>
      </c>
      <c r="M11" s="47" t="n">
        <f aca="false">K11+L11</f>
        <v>7100</v>
      </c>
      <c r="N11" s="44" t="n">
        <v>22500</v>
      </c>
      <c r="O11" s="48" t="n">
        <f aca="false">IFERROR(M11/N11,0)</f>
        <v>0.315555555555556</v>
      </c>
      <c r="P11" s="50" t="str">
        <f aca="false">IF(F11&gt;=1.5,"🚀 Overachiever",IF(F11&gt;=1,"✅ At Quota",IF(F11&gt;=0.75,"⚠️ Near Quota","❌ Below Quota")))</f>
        <v>❌ Below Quota</v>
      </c>
    </row>
    <row r="12" customFormat="false" ht="24" hidden="false" customHeight="true" outlineLevel="0" collapsed="false">
      <c r="A12" s="42" t="s">
        <v>78</v>
      </c>
      <c r="B12" s="43" t="s">
        <v>79</v>
      </c>
      <c r="C12" s="43" t="s">
        <v>80</v>
      </c>
      <c r="D12" s="44" t="n">
        <v>120000</v>
      </c>
      <c r="E12" s="62" t="n">
        <f aca="false">'🎯 Flat Rate'!E12</f>
        <v>210000</v>
      </c>
      <c r="F12" s="48" t="n">
        <f aca="false">IFERROR(E12/D12,0)</f>
        <v>1.75</v>
      </c>
      <c r="G12" s="62" t="n">
        <f aca="false">'🎯 Flat Rate'!G12</f>
        <v>5250</v>
      </c>
      <c r="H12" s="72" t="n">
        <f aca="false">'📈 Tiered Plan'!M22</f>
        <v>15144</v>
      </c>
      <c r="I12" s="66" t="n">
        <f aca="false">SUMIFS('🎁 Bonuses &amp; Adj.'!H:H,'🎁 Bonuses &amp; Adj.'!A:A,A12)</f>
        <v>0</v>
      </c>
      <c r="J12" s="67" t="n">
        <f aca="false">SUMIFS('🎁 Bonuses &amp; Adj.'!G:G,'🎁 Bonuses &amp; Adj.'!A:A,A12)</f>
        <v>0</v>
      </c>
      <c r="K12" s="47" t="n">
        <f aca="false">H12+I12-J12</f>
        <v>15144</v>
      </c>
      <c r="L12" s="18" t="n">
        <v>13750</v>
      </c>
      <c r="M12" s="47" t="n">
        <f aca="false">K12+L12</f>
        <v>28894</v>
      </c>
      <c r="N12" s="44" t="n">
        <v>25000</v>
      </c>
      <c r="O12" s="48" t="n">
        <f aca="false">IFERROR(M12/N12,0)</f>
        <v>1.15576</v>
      </c>
      <c r="P12" s="50" t="str">
        <f aca="false">IF(F12&gt;=1.5,"🚀 Overachiever",IF(F12&gt;=1,"✅ At Quota",IF(F12&gt;=0.75,"⚠️ Near Quota","❌ Below Quota")))</f>
        <v>🚀 Overachiever</v>
      </c>
    </row>
    <row r="13" customFormat="false" ht="15" hidden="false" customHeight="true" outlineLevel="0" collapsed="false">
      <c r="A13" s="51" t="s">
        <v>218</v>
      </c>
      <c r="B13" s="51"/>
      <c r="C13" s="51"/>
      <c r="D13" s="40" t="n">
        <f aca="false">SUM(D5:D12)</f>
        <v>1110000</v>
      </c>
      <c r="E13" s="40" t="n">
        <f aca="false">SUM(E5:E12)</f>
        <v>1399000</v>
      </c>
      <c r="F13" s="73" t="n">
        <f aca="false">IFERROR(E13/D13,0)</f>
        <v>1.26036036036036</v>
      </c>
      <c r="G13" s="40" t="n">
        <f aca="false">SUM(G5:G12)</f>
        <v>92990</v>
      </c>
      <c r="H13" s="40" t="n">
        <f aca="false">SUM(H5:H12)</f>
        <v>79956.5</v>
      </c>
      <c r="I13" s="40" t="n">
        <f aca="false">SUM(I5:I12)</f>
        <v>133154</v>
      </c>
      <c r="J13" s="40" t="n">
        <f aca="false">SUM(J5:J12)</f>
        <v>213530</v>
      </c>
      <c r="K13" s="40" t="n">
        <f aca="false">SUM(K5:K12)</f>
        <v>-419.5</v>
      </c>
      <c r="L13" s="40" t="n">
        <f aca="false">SUM(L5:L12)</f>
        <v>115000</v>
      </c>
      <c r="M13" s="40" t="n">
        <f aca="false">SUM(M5:M12)</f>
        <v>114580.5</v>
      </c>
      <c r="N13" s="40" t="n">
        <f aca="false">SUM(N5:N12)</f>
        <v>223000</v>
      </c>
      <c r="O13" s="52" t="n">
        <f aca="false">IFERROR(M13/N13,0)</f>
        <v>0.513813901345292</v>
      </c>
    </row>
    <row r="15" customFormat="false" ht="19.5" hidden="false" customHeight="true" outlineLevel="0" collapsed="false">
      <c r="A15" s="14" t="s">
        <v>330</v>
      </c>
      <c r="B15" s="14"/>
      <c r="C15" s="14"/>
      <c r="D15" s="14"/>
      <c r="E15" s="14"/>
      <c r="F15" s="14"/>
      <c r="G15" s="14"/>
      <c r="H15" s="14"/>
    </row>
    <row r="16" customFormat="false" ht="19.5" hidden="false" customHeight="true" outlineLevel="0" collapsed="false">
      <c r="A16" s="15" t="s">
        <v>331</v>
      </c>
      <c r="B16" s="15"/>
      <c r="C16" s="15"/>
      <c r="D16" s="15"/>
      <c r="E16" s="15"/>
      <c r="F16" s="47" t="n">
        <f aca="false">E13</f>
        <v>1399000</v>
      </c>
      <c r="G16" s="47"/>
      <c r="H16" s="47"/>
    </row>
    <row r="17" customFormat="false" ht="19.5" hidden="false" customHeight="true" outlineLevel="0" collapsed="false">
      <c r="A17" s="15" t="s">
        <v>332</v>
      </c>
      <c r="B17" s="15"/>
      <c r="C17" s="15"/>
      <c r="D17" s="15"/>
      <c r="E17" s="15"/>
      <c r="F17" s="47" t="n">
        <f aca="false">H13</f>
        <v>79956.5</v>
      </c>
      <c r="G17" s="47"/>
      <c r="H17" s="47"/>
    </row>
    <row r="18" customFormat="false" ht="19.5" hidden="false" customHeight="true" outlineLevel="0" collapsed="false">
      <c r="A18" s="15" t="s">
        <v>333</v>
      </c>
      <c r="B18" s="15"/>
      <c r="C18" s="15"/>
      <c r="D18" s="15"/>
      <c r="E18" s="15"/>
      <c r="F18" s="47" t="n">
        <f aca="false">I13</f>
        <v>133154</v>
      </c>
      <c r="G18" s="47"/>
      <c r="H18" s="47"/>
    </row>
    <row r="19" customFormat="false" ht="19.5" hidden="false" customHeight="true" outlineLevel="0" collapsed="false">
      <c r="A19" s="15" t="s">
        <v>334</v>
      </c>
      <c r="B19" s="15"/>
      <c r="C19" s="15"/>
      <c r="D19" s="15"/>
      <c r="E19" s="15"/>
      <c r="F19" s="47" t="n">
        <f aca="false">J13</f>
        <v>213530</v>
      </c>
      <c r="G19" s="47"/>
      <c r="H19" s="47"/>
    </row>
    <row r="20" customFormat="false" ht="19.5" hidden="false" customHeight="true" outlineLevel="0" collapsed="false">
      <c r="A20" s="15" t="s">
        <v>335</v>
      </c>
      <c r="B20" s="15"/>
      <c r="C20" s="15"/>
      <c r="D20" s="15"/>
      <c r="E20" s="15"/>
      <c r="F20" s="74" t="n">
        <f aca="false">IFERROR(H13/E13,0)</f>
        <v>0.0571526090064332</v>
      </c>
      <c r="G20" s="74"/>
      <c r="H20" s="74"/>
    </row>
    <row r="21" customFormat="false" ht="19.5" hidden="false" customHeight="true" outlineLevel="0" collapsed="false">
      <c r="A21" s="15" t="s">
        <v>336</v>
      </c>
      <c r="B21" s="15"/>
      <c r="C21" s="15"/>
      <c r="D21" s="15"/>
      <c r="E21" s="15"/>
      <c r="F21" s="75" t="n">
        <f aca="false">COUNTIF(F5:F12,"&gt;=1")</f>
        <v>5</v>
      </c>
      <c r="G21" s="75"/>
      <c r="H21" s="75"/>
    </row>
    <row r="22" customFormat="false" ht="19.5" hidden="false" customHeight="true" outlineLevel="0" collapsed="false">
      <c r="A22" s="15" t="s">
        <v>337</v>
      </c>
      <c r="B22" s="15"/>
      <c r="C22" s="15"/>
      <c r="D22" s="15"/>
      <c r="E22" s="15"/>
      <c r="F22" s="75" t="n">
        <f aca="false">COUNTIF(F5:F12,"&gt;=1")</f>
        <v>5</v>
      </c>
      <c r="G22" s="75"/>
      <c r="H22" s="75"/>
    </row>
    <row r="23" customFormat="false" ht="19.5" hidden="false" customHeight="true" outlineLevel="0" collapsed="false">
      <c r="A23" s="15" t="s">
        <v>338</v>
      </c>
      <c r="B23" s="15"/>
      <c r="C23" s="15"/>
      <c r="D23" s="15"/>
      <c r="E23" s="15"/>
      <c r="F23" s="75" t="n">
        <f aca="false">COUNTIF(F5:F12,"&lt;1")</f>
        <v>3</v>
      </c>
      <c r="G23" s="75"/>
      <c r="H23" s="75"/>
    </row>
  </sheetData>
  <mergeCells count="20">
    <mergeCell ref="A1:P1"/>
    <mergeCell ref="A2:P2"/>
    <mergeCell ref="A13:C13"/>
    <mergeCell ref="A15:H15"/>
    <mergeCell ref="A16:E16"/>
    <mergeCell ref="F16:H16"/>
    <mergeCell ref="A17:E17"/>
    <mergeCell ref="F17:H17"/>
    <mergeCell ref="A18:E18"/>
    <mergeCell ref="F18:H18"/>
    <mergeCell ref="A19:E19"/>
    <mergeCell ref="F19:H19"/>
    <mergeCell ref="A20:E20"/>
    <mergeCell ref="F20:H20"/>
    <mergeCell ref="A21:E21"/>
    <mergeCell ref="F21:H21"/>
    <mergeCell ref="A22:E22"/>
    <mergeCell ref="F22:H22"/>
    <mergeCell ref="A23:E23"/>
    <mergeCell ref="F23:H23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33C00"/>
    <pageSetUpPr fitToPage="true"/>
  </sheetPr>
  <dimension ref="A1:P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3" min="2" style="1" width="20"/>
    <col collapsed="false" customWidth="true" hidden="false" outlineLevel="0" max="4" min="4" style="1" width="16"/>
    <col collapsed="false" customWidth="true" hidden="false" outlineLevel="0" max="5" min="5" style="1" width="18"/>
    <col collapsed="false" customWidth="true" hidden="false" outlineLevel="0" max="6" min="6" style="1" width="15"/>
    <col collapsed="false" customWidth="true" hidden="false" outlineLevel="0" max="8" min="7" style="1" width="18"/>
    <col collapsed="false" customWidth="true" hidden="false" outlineLevel="0" max="9" min="9" style="1" width="20"/>
    <col collapsed="false" customWidth="true" hidden="false" outlineLevel="0" max="16" min="10" style="1" width="14"/>
  </cols>
  <sheetData>
    <row r="1" customFormat="false" ht="17.25" hidden="false" customHeight="true" outlineLevel="0" collapsed="false">
      <c r="A1" s="13" t="s">
        <v>339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3" customFormat="false" ht="21.75" hidden="false" customHeight="true" outlineLevel="0" collapsed="false">
      <c r="B3" s="76" t="s">
        <v>340</v>
      </c>
      <c r="C3" s="76"/>
      <c r="D3" s="76"/>
      <c r="E3" s="77" t="s">
        <v>341</v>
      </c>
      <c r="F3" s="77"/>
      <c r="G3" s="77"/>
      <c r="H3" s="78" t="s">
        <v>342</v>
      </c>
      <c r="I3" s="78"/>
      <c r="J3" s="78"/>
      <c r="K3" s="79" t="s">
        <v>343</v>
      </c>
      <c r="L3" s="79"/>
      <c r="M3" s="79"/>
      <c r="N3" s="80" t="s">
        <v>334</v>
      </c>
      <c r="O3" s="80"/>
      <c r="P3" s="80"/>
    </row>
    <row r="4" customFormat="false" ht="34.5" hidden="false" customHeight="true" outlineLevel="0" collapsed="false">
      <c r="B4" s="81" t="n">
        <f aca="false">'💰 Payout Summary'!E13</f>
        <v>1399000</v>
      </c>
      <c r="C4" s="81"/>
      <c r="D4" s="81"/>
      <c r="E4" s="82" t="n">
        <f aca="false">'💰 Payout Summary'!F13</f>
        <v>1.26036036036036</v>
      </c>
      <c r="F4" s="82"/>
      <c r="G4" s="82"/>
      <c r="H4" s="83" t="n">
        <f aca="false">'💰 Payout Summary'!H13</f>
        <v>79956.5</v>
      </c>
      <c r="I4" s="83"/>
      <c r="J4" s="83"/>
      <c r="K4" s="84" t="n">
        <f aca="false">'💰 Payout Summary'!I13</f>
        <v>133154</v>
      </c>
      <c r="L4" s="84"/>
      <c r="M4" s="84"/>
      <c r="N4" s="85" t="n">
        <f aca="false">'💰 Payout Summary'!J13</f>
        <v>213530</v>
      </c>
      <c r="O4" s="85"/>
      <c r="P4" s="85"/>
    </row>
    <row r="5" customFormat="false" ht="9.75" hidden="false" customHeight="true" outlineLevel="0" collapsed="false">
      <c r="B5" s="86"/>
      <c r="C5" s="86"/>
      <c r="D5" s="86"/>
      <c r="E5" s="87"/>
      <c r="F5" s="87"/>
      <c r="G5" s="87"/>
      <c r="H5" s="88"/>
      <c r="I5" s="88"/>
      <c r="J5" s="88"/>
      <c r="K5" s="89"/>
      <c r="L5" s="89"/>
      <c r="M5" s="89"/>
      <c r="N5" s="90"/>
      <c r="O5" s="90"/>
      <c r="P5" s="90"/>
    </row>
    <row r="7" customFormat="false" ht="15" hidden="false" customHeight="true" outlineLevel="0" collapsed="false">
      <c r="A7" s="14" t="s">
        <v>344</v>
      </c>
      <c r="B7" s="14"/>
      <c r="C7" s="14"/>
      <c r="D7" s="14"/>
      <c r="E7" s="14"/>
      <c r="F7" s="14"/>
      <c r="G7" s="14"/>
      <c r="H7" s="14"/>
      <c r="I7" s="14"/>
    </row>
    <row r="8" customFormat="false" ht="15" hidden="false" customHeight="true" outlineLevel="0" collapsed="false">
      <c r="A8" s="17" t="s">
        <v>345</v>
      </c>
      <c r="B8" s="17" t="s">
        <v>46</v>
      </c>
      <c r="C8" s="17" t="s">
        <v>256</v>
      </c>
      <c r="D8" s="17" t="s">
        <v>346</v>
      </c>
      <c r="E8" s="17" t="s">
        <v>347</v>
      </c>
      <c r="F8" s="17" t="s">
        <v>257</v>
      </c>
      <c r="G8" s="17" t="s">
        <v>321</v>
      </c>
      <c r="H8" s="17" t="s">
        <v>326</v>
      </c>
      <c r="I8" s="17" t="s">
        <v>296</v>
      </c>
    </row>
    <row r="9" customFormat="false" ht="19.5" hidden="false" customHeight="true" outlineLevel="0" collapsed="false">
      <c r="A9" s="91" t="n">
        <f aca="false">RANK('💰 Payout Summary'!F5,'💰 Payout Summary'!F5:F12,0)</f>
        <v>3</v>
      </c>
      <c r="B9" s="50" t="str">
        <f aca="false">'💰 Payout Summary'!B5</f>
        <v>Alex Johnson</v>
      </c>
      <c r="C9" s="50" t="str">
        <f aca="false">'💰 Payout Summary'!C5</f>
        <v>AE – Mid Market</v>
      </c>
      <c r="D9" s="62" t="n">
        <f aca="false">'💰 Payout Summary'!D5</f>
        <v>150000</v>
      </c>
      <c r="E9" s="62" t="n">
        <f aca="false">'💰 Payout Summary'!E5</f>
        <v>205000</v>
      </c>
      <c r="F9" s="92" t="n">
        <f aca="false">'💰 Payout Summary'!F5</f>
        <v>1.36666666666667</v>
      </c>
      <c r="G9" s="93" t="n">
        <f aca="false">'💰 Payout Summary'!H5</f>
        <v>11435</v>
      </c>
      <c r="H9" s="72" t="n">
        <f aca="false">'💰 Payout Summary'!M5</f>
        <v>18865</v>
      </c>
      <c r="I9" s="50" t="str">
        <f aca="false">'💰 Payout Summary'!P5</f>
        <v>✅ At Quota</v>
      </c>
    </row>
    <row r="10" customFormat="false" ht="19.5" hidden="false" customHeight="true" outlineLevel="0" collapsed="false">
      <c r="A10" s="91" t="n">
        <f aca="false">RANK('💰 Payout Summary'!F6,'💰 Payout Summary'!F5:F12,0)</f>
        <v>4</v>
      </c>
      <c r="B10" s="50" t="str">
        <f aca="false">'💰 Payout Summary'!B6</f>
        <v>Priya Sharma</v>
      </c>
      <c r="C10" s="50" t="str">
        <f aca="false">'💰 Payout Summary'!C6</f>
        <v>AE – Enterprise</v>
      </c>
      <c r="D10" s="62" t="n">
        <f aca="false">'💰 Payout Summary'!D6</f>
        <v>225000</v>
      </c>
      <c r="E10" s="62" t="n">
        <f aca="false">'💰 Payout Summary'!E6</f>
        <v>305000</v>
      </c>
      <c r="F10" s="92" t="n">
        <f aca="false">'💰 Payout Summary'!F6</f>
        <v>1.35555555555556</v>
      </c>
      <c r="G10" s="93" t="n">
        <f aca="false">'💰 Payout Summary'!H6</f>
        <v>16877.5</v>
      </c>
      <c r="H10" s="72" t="n">
        <f aca="false">'💰 Payout Summary'!M6</f>
        <v>22377.5</v>
      </c>
      <c r="I10" s="50" t="str">
        <f aca="false">'💰 Payout Summary'!P6</f>
        <v>✅ At Quota</v>
      </c>
    </row>
    <row r="11" customFormat="false" ht="19.5" hidden="false" customHeight="true" outlineLevel="0" collapsed="false">
      <c r="A11" s="91" t="n">
        <f aca="false">RANK('💰 Payout Summary'!F7,'💰 Payout Summary'!F5:F12,0)</f>
        <v>7</v>
      </c>
      <c r="B11" s="50" t="str">
        <f aca="false">'💰 Payout Summary'!B7</f>
        <v>Marcus Williams</v>
      </c>
      <c r="C11" s="50" t="str">
        <f aca="false">'💰 Payout Summary'!C7</f>
        <v>AE – SMB</v>
      </c>
      <c r="D11" s="62" t="n">
        <f aca="false">'💰 Payout Summary'!D7</f>
        <v>90000</v>
      </c>
      <c r="E11" s="62" t="n">
        <f aca="false">'💰 Payout Summary'!E7</f>
        <v>54000</v>
      </c>
      <c r="F11" s="92" t="n">
        <f aca="false">'💰 Payout Summary'!F7</f>
        <v>0.6</v>
      </c>
      <c r="G11" s="93" t="n">
        <f aca="false">'💰 Payout Summary'!H7</f>
        <v>1377</v>
      </c>
      <c r="H11" s="72" t="n">
        <f aca="false">'💰 Payout Summary'!M7</f>
        <v>-32829</v>
      </c>
      <c r="I11" s="50" t="str">
        <f aca="false">'💰 Payout Summary'!P7</f>
        <v>❌ Below Quota</v>
      </c>
    </row>
    <row r="12" customFormat="false" ht="19.5" hidden="false" customHeight="true" outlineLevel="0" collapsed="false">
      <c r="A12" s="91" t="n">
        <f aca="false">RANK('💰 Payout Summary'!F8,'💰 Payout Summary'!F5:F12,0)</f>
        <v>5</v>
      </c>
      <c r="B12" s="50" t="str">
        <f aca="false">'💰 Payout Summary'!B8</f>
        <v>Lena Fischer</v>
      </c>
      <c r="C12" s="50" t="str">
        <f aca="false">'💰 Payout Summary'!C8</f>
        <v>AE – Mid Market</v>
      </c>
      <c r="D12" s="62" t="n">
        <f aca="false">'💰 Payout Summary'!D8</f>
        <v>150000</v>
      </c>
      <c r="E12" s="62" t="n">
        <f aca="false">'💰 Payout Summary'!E8</f>
        <v>195000</v>
      </c>
      <c r="F12" s="92" t="n">
        <f aca="false">'💰 Payout Summary'!F8</f>
        <v>1.3</v>
      </c>
      <c r="G12" s="93" t="n">
        <f aca="false">'💰 Payout Summary'!H8</f>
        <v>10335</v>
      </c>
      <c r="H12" s="72" t="n">
        <f aca="false">'💰 Payout Summary'!M8</f>
        <v>13335</v>
      </c>
      <c r="I12" s="50" t="str">
        <f aca="false">'💰 Payout Summary'!P8</f>
        <v>✅ At Quota</v>
      </c>
    </row>
    <row r="13" customFormat="false" ht="19.5" hidden="false" customHeight="true" outlineLevel="0" collapsed="false">
      <c r="A13" s="91" t="n">
        <f aca="false">RANK('💰 Payout Summary'!F9,'💰 Payout Summary'!F5:F12,0)</f>
        <v>6</v>
      </c>
      <c r="B13" s="50" t="str">
        <f aca="false">'💰 Payout Summary'!B9</f>
        <v>Raj Patel</v>
      </c>
      <c r="C13" s="50" t="str">
        <f aca="false">'💰 Payout Summary'!C9</f>
        <v>BDR</v>
      </c>
      <c r="D13" s="62" t="n">
        <f aca="false">'💰 Payout Summary'!D9</f>
        <v>60000</v>
      </c>
      <c r="E13" s="62" t="n">
        <f aca="false">'💰 Payout Summary'!E9</f>
        <v>40000</v>
      </c>
      <c r="F13" s="92" t="n">
        <f aca="false">'💰 Payout Summary'!F9</f>
        <v>0.666666666666667</v>
      </c>
      <c r="G13" s="93" t="n">
        <f aca="false">'💰 Payout Summary'!H9</f>
        <v>1118</v>
      </c>
      <c r="H13" s="72" t="n">
        <f aca="false">'💰 Payout Summary'!M9</f>
        <v>24368</v>
      </c>
      <c r="I13" s="50" t="str">
        <f aca="false">'💰 Payout Summary'!P9</f>
        <v>❌ Below Quota</v>
      </c>
    </row>
    <row r="14" customFormat="false" ht="19.5" hidden="false" customHeight="true" outlineLevel="0" collapsed="false">
      <c r="A14" s="91" t="n">
        <f aca="false">RANK('💰 Payout Summary'!F10,'💰 Payout Summary'!F5:F12,0)</f>
        <v>2</v>
      </c>
      <c r="B14" s="50" t="str">
        <f aca="false">'💰 Payout Summary'!B10</f>
        <v>Sophie Martin</v>
      </c>
      <c r="C14" s="50" t="str">
        <f aca="false">'💰 Payout Summary'!C10</f>
        <v>AE – Enterprise</v>
      </c>
      <c r="D14" s="62" t="n">
        <f aca="false">'💰 Payout Summary'!D10</f>
        <v>225000</v>
      </c>
      <c r="E14" s="62" t="n">
        <f aca="false">'💰 Payout Summary'!E10</f>
        <v>355000</v>
      </c>
      <c r="F14" s="92" t="n">
        <f aca="false">'💰 Payout Summary'!F10</f>
        <v>1.57777777777778</v>
      </c>
      <c r="G14" s="93" t="n">
        <f aca="false">'💰 Payout Summary'!H10</f>
        <v>22970</v>
      </c>
      <c r="H14" s="72" t="n">
        <f aca="false">'💰 Payout Summary'!M10</f>
        <v>32470</v>
      </c>
      <c r="I14" s="50" t="str">
        <f aca="false">'💰 Payout Summary'!P10</f>
        <v>🚀 Overachiever</v>
      </c>
    </row>
    <row r="15" customFormat="false" ht="19.5" hidden="false" customHeight="true" outlineLevel="0" collapsed="false">
      <c r="A15" s="91" t="n">
        <f aca="false">RANK('💰 Payout Summary'!F11,'💰 Payout Summary'!F5:F12,0)</f>
        <v>8</v>
      </c>
      <c r="B15" s="50" t="str">
        <f aca="false">'💰 Payout Summary'!B11</f>
        <v>David Kim</v>
      </c>
      <c r="C15" s="50" t="str">
        <f aca="false">'💰 Payout Summary'!C11</f>
        <v>AE – SMB</v>
      </c>
      <c r="D15" s="62" t="n">
        <f aca="false">'💰 Payout Summary'!D11</f>
        <v>90000</v>
      </c>
      <c r="E15" s="62" t="n">
        <f aca="false">'💰 Payout Summary'!E11</f>
        <v>35000</v>
      </c>
      <c r="F15" s="92" t="n">
        <f aca="false">'💰 Payout Summary'!F11</f>
        <v>0.388888888888889</v>
      </c>
      <c r="G15" s="93" t="n">
        <f aca="false">'💰 Payout Summary'!H11</f>
        <v>700</v>
      </c>
      <c r="H15" s="72" t="n">
        <f aca="false">'💰 Payout Summary'!M11</f>
        <v>7100</v>
      </c>
      <c r="I15" s="50" t="str">
        <f aca="false">'💰 Payout Summary'!P11</f>
        <v>❌ Below Quota</v>
      </c>
    </row>
    <row r="16" customFormat="false" ht="19.5" hidden="false" customHeight="true" outlineLevel="0" collapsed="false">
      <c r="A16" s="91" t="n">
        <f aca="false">RANK('💰 Payout Summary'!F12,'💰 Payout Summary'!F5:F12,0)</f>
        <v>1</v>
      </c>
      <c r="B16" s="50" t="str">
        <f aca="false">'💰 Payout Summary'!B12</f>
        <v>Nadia Okonkwo</v>
      </c>
      <c r="C16" s="50" t="str">
        <f aca="false">'💰 Payout Summary'!C12</f>
        <v>SE / Pre-Sales</v>
      </c>
      <c r="D16" s="62" t="n">
        <f aca="false">'💰 Payout Summary'!D12</f>
        <v>120000</v>
      </c>
      <c r="E16" s="62" t="n">
        <f aca="false">'💰 Payout Summary'!E12</f>
        <v>210000</v>
      </c>
      <c r="F16" s="92" t="n">
        <f aca="false">'💰 Payout Summary'!F12</f>
        <v>1.75</v>
      </c>
      <c r="G16" s="93" t="n">
        <f aca="false">'💰 Payout Summary'!H12</f>
        <v>15144</v>
      </c>
      <c r="H16" s="72" t="n">
        <f aca="false">'💰 Payout Summary'!M12</f>
        <v>28894</v>
      </c>
      <c r="I16" s="50" t="str">
        <f aca="false">'💰 Payout Summary'!P12</f>
        <v>🚀 Overachiever</v>
      </c>
    </row>
    <row r="18" customFormat="false" ht="15" hidden="false" customHeight="true" outlineLevel="0" collapsed="false">
      <c r="A18" s="14" t="s">
        <v>348</v>
      </c>
      <c r="B18" s="14"/>
      <c r="C18" s="14"/>
      <c r="D18" s="14"/>
      <c r="E18" s="14"/>
      <c r="F18" s="14"/>
      <c r="G18" s="14"/>
      <c r="H18" s="14"/>
      <c r="I18" s="14"/>
    </row>
    <row r="19" customFormat="false" ht="19.5" hidden="false" customHeight="true" outlineLevel="0" collapsed="false">
      <c r="A19" s="15" t="s">
        <v>349</v>
      </c>
      <c r="B19" s="15"/>
      <c r="C19" s="15"/>
      <c r="D19" s="15"/>
      <c r="E19" s="15"/>
      <c r="F19" s="75" t="n">
        <f aca="false">'💰 Payout Summary'!F21</f>
        <v>5</v>
      </c>
      <c r="G19" s="75"/>
      <c r="H19" s="75"/>
      <c r="I19" s="75"/>
    </row>
    <row r="20" customFormat="false" ht="19.5" hidden="false" customHeight="true" outlineLevel="0" collapsed="false">
      <c r="A20" s="15" t="s">
        <v>350</v>
      </c>
      <c r="B20" s="15"/>
      <c r="C20" s="15"/>
      <c r="D20" s="15"/>
      <c r="E20" s="15"/>
      <c r="F20" s="75" t="n">
        <f aca="false">COUNTIF('💰 Payout Summary'!F5:F12,"&lt;0.75")</f>
        <v>3</v>
      </c>
      <c r="G20" s="75"/>
      <c r="H20" s="75"/>
      <c r="I20" s="75"/>
    </row>
    <row r="21" customFormat="false" ht="19.5" hidden="false" customHeight="true" outlineLevel="0" collapsed="false">
      <c r="A21" s="15" t="s">
        <v>351</v>
      </c>
      <c r="B21" s="15"/>
      <c r="C21" s="15"/>
      <c r="D21" s="15"/>
      <c r="E21" s="15"/>
      <c r="F21" s="74" t="n">
        <f aca="false">IFERROR('💰 Payout Summary'!H13/'💰 Payout Summary'!E13,0)</f>
        <v>0.0571526090064332</v>
      </c>
      <c r="G21" s="74"/>
      <c r="H21" s="74"/>
      <c r="I21" s="74"/>
    </row>
    <row r="22" customFormat="false" ht="19.5" hidden="false" customHeight="true" outlineLevel="0" collapsed="false">
      <c r="A22" s="15" t="s">
        <v>352</v>
      </c>
      <c r="B22" s="15"/>
      <c r="C22" s="15"/>
      <c r="D22" s="15"/>
      <c r="E22" s="15"/>
      <c r="F22" s="73" t="n">
        <f aca="false">IFERROR('💰 Payout Summary'!H13/'💰 Payout Summary'!E13,0)</f>
        <v>0.0571526090064332</v>
      </c>
      <c r="G22" s="73"/>
      <c r="H22" s="73"/>
      <c r="I22" s="73"/>
    </row>
    <row r="23" customFormat="false" ht="19.5" hidden="false" customHeight="true" outlineLevel="0" collapsed="false">
      <c r="A23" s="15" t="s">
        <v>353</v>
      </c>
      <c r="B23" s="15"/>
      <c r="C23" s="15"/>
      <c r="D23" s="15"/>
      <c r="E23" s="15"/>
      <c r="F23" s="72" t="n">
        <f aca="false">'💰 Payout Summary'!J13</f>
        <v>213530</v>
      </c>
      <c r="G23" s="72"/>
      <c r="H23" s="72"/>
      <c r="I23" s="72"/>
    </row>
    <row r="24" customFormat="false" ht="19.5" hidden="false" customHeight="true" outlineLevel="0" collapsed="false">
      <c r="A24" s="15" t="s">
        <v>354</v>
      </c>
      <c r="B24" s="15"/>
      <c r="C24" s="15"/>
      <c r="D24" s="15"/>
      <c r="E24" s="15"/>
      <c r="F24" s="75" t="n">
        <f aca="false">COUNTIF('🎁 Bonuses &amp; Adj.'!I:I,"PENDING")</f>
        <v>2</v>
      </c>
      <c r="G24" s="75"/>
      <c r="H24" s="75"/>
      <c r="I24" s="75"/>
    </row>
  </sheetData>
  <mergeCells count="30">
    <mergeCell ref="A1:P1"/>
    <mergeCell ref="B3:D3"/>
    <mergeCell ref="E3:G3"/>
    <mergeCell ref="H3:J3"/>
    <mergeCell ref="K3:M3"/>
    <mergeCell ref="N3:P3"/>
    <mergeCell ref="B4:D4"/>
    <mergeCell ref="E4:G4"/>
    <mergeCell ref="H4:J4"/>
    <mergeCell ref="K4:M4"/>
    <mergeCell ref="N4:P4"/>
    <mergeCell ref="B5:D5"/>
    <mergeCell ref="E5:G5"/>
    <mergeCell ref="H5:J5"/>
    <mergeCell ref="K5:M5"/>
    <mergeCell ref="N5:P5"/>
    <mergeCell ref="A7:I7"/>
    <mergeCell ref="A18:I18"/>
    <mergeCell ref="A19:E19"/>
    <mergeCell ref="F19:I19"/>
    <mergeCell ref="A20:E20"/>
    <mergeCell ref="F20:I20"/>
    <mergeCell ref="A21:E21"/>
    <mergeCell ref="F21:I21"/>
    <mergeCell ref="A22:E22"/>
    <mergeCell ref="F22:I22"/>
    <mergeCell ref="A23:E23"/>
    <mergeCell ref="F23:I23"/>
    <mergeCell ref="A24:E24"/>
    <mergeCell ref="F24:I24"/>
  </mergeCells>
  <conditionalFormatting sqref="F9:F16">
    <cfRule type="colorScale" priority="2">
      <colorScale>
        <cfvo type="num" val="0"/>
        <cfvo type="num" val="0.75"/>
        <cfvo type="num" val="1.5"/>
        <color rgb="FFFFCCCC"/>
        <color rgb="FFFFFF99"/>
        <color rgb="FFC6EFCE"/>
      </colorScale>
    </cfRule>
  </conditionalFormatting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030A0"/>
    <pageSetUpPr fitToPage="true"/>
  </sheetPr>
  <dimension ref="A1:J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13"/>
    <col collapsed="false" customWidth="true" hidden="false" outlineLevel="0" max="3" min="3" style="1" width="8"/>
    <col collapsed="false" customWidth="true" hidden="false" outlineLevel="0" max="4" min="4" style="1" width="20"/>
    <col collapsed="false" customWidth="true" hidden="false" outlineLevel="0" max="5" min="5" style="1" width="22"/>
    <col collapsed="false" customWidth="true" hidden="false" outlineLevel="0" max="7" min="6" style="1" width="16"/>
    <col collapsed="false" customWidth="true" hidden="false" outlineLevel="0" max="9" min="8" style="1" width="18"/>
    <col collapsed="false" customWidth="true" hidden="false" outlineLevel="0" max="10" min="10" style="1" width="35"/>
  </cols>
  <sheetData>
    <row r="1" customFormat="false" ht="15.75" hidden="false" customHeight="true" outlineLevel="0" collapsed="false">
      <c r="A1" s="38" t="s">
        <v>355</v>
      </c>
      <c r="B1" s="38"/>
      <c r="C1" s="38"/>
      <c r="D1" s="38"/>
      <c r="E1" s="38"/>
      <c r="F1" s="38"/>
      <c r="G1" s="38"/>
      <c r="H1" s="38"/>
      <c r="I1" s="38"/>
      <c r="J1" s="38"/>
    </row>
    <row r="2" customFormat="false" ht="30" hidden="false" customHeight="true" outlineLevel="0" collapsed="false">
      <c r="A2" s="17" t="s">
        <v>356</v>
      </c>
      <c r="B2" s="17" t="s">
        <v>357</v>
      </c>
      <c r="C2" s="17" t="s">
        <v>45</v>
      </c>
      <c r="D2" s="17" t="s">
        <v>46</v>
      </c>
      <c r="E2" s="17" t="s">
        <v>307</v>
      </c>
      <c r="F2" s="17" t="s">
        <v>358</v>
      </c>
      <c r="G2" s="17" t="s">
        <v>359</v>
      </c>
      <c r="H2" s="17" t="s">
        <v>360</v>
      </c>
      <c r="I2" s="17" t="s">
        <v>361</v>
      </c>
      <c r="J2" s="17" t="s">
        <v>362</v>
      </c>
    </row>
    <row r="3" customFormat="false" ht="21.75" hidden="false" customHeight="true" outlineLevel="0" collapsed="false">
      <c r="A3" s="25" t="s">
        <v>363</v>
      </c>
      <c r="B3" s="25" t="s">
        <v>364</v>
      </c>
      <c r="C3" s="25" t="s">
        <v>63</v>
      </c>
      <c r="D3" s="25" t="s">
        <v>64</v>
      </c>
      <c r="E3" s="25" t="s">
        <v>365</v>
      </c>
      <c r="F3" s="25" t="s">
        <v>366</v>
      </c>
      <c r="G3" s="25" t="s">
        <v>367</v>
      </c>
      <c r="H3" s="25" t="s">
        <v>59</v>
      </c>
      <c r="I3" s="25" t="s">
        <v>368</v>
      </c>
      <c r="J3" s="25" t="s">
        <v>369</v>
      </c>
    </row>
    <row r="4" customFormat="false" ht="21.75" hidden="false" customHeight="true" outlineLevel="0" collapsed="false">
      <c r="A4" s="94" t="s">
        <v>370</v>
      </c>
      <c r="B4" s="94" t="s">
        <v>168</v>
      </c>
      <c r="C4" s="94" t="s">
        <v>71</v>
      </c>
      <c r="D4" s="94" t="s">
        <v>72</v>
      </c>
      <c r="E4" s="94" t="s">
        <v>371</v>
      </c>
      <c r="F4" s="94" t="s">
        <v>372</v>
      </c>
      <c r="G4" s="94" t="s">
        <v>373</v>
      </c>
      <c r="H4" s="94" t="s">
        <v>67</v>
      </c>
      <c r="I4" s="94" t="s">
        <v>368</v>
      </c>
      <c r="J4" s="94" t="s">
        <v>374</v>
      </c>
    </row>
    <row r="5" customFormat="false" ht="21.75" hidden="false" customHeight="true" outlineLevel="0" collapsed="false">
      <c r="A5" s="25" t="s">
        <v>375</v>
      </c>
      <c r="B5" s="25" t="s">
        <v>190</v>
      </c>
      <c r="C5" s="25" t="s">
        <v>55</v>
      </c>
      <c r="D5" s="25" t="s">
        <v>56</v>
      </c>
      <c r="E5" s="25" t="s">
        <v>376</v>
      </c>
      <c r="F5" s="25" t="s">
        <v>377</v>
      </c>
      <c r="G5" s="25" t="s">
        <v>378</v>
      </c>
      <c r="H5" s="25" t="s">
        <v>379</v>
      </c>
      <c r="I5" s="25" t="s">
        <v>380</v>
      </c>
      <c r="J5" s="25" t="s">
        <v>381</v>
      </c>
    </row>
    <row r="6" customFormat="false" ht="21.75" hidden="false" customHeight="true" outlineLevel="0" collapsed="false">
      <c r="A6" s="94" t="s">
        <v>382</v>
      </c>
      <c r="B6" s="94" t="s">
        <v>383</v>
      </c>
      <c r="C6" s="94" t="s">
        <v>76</v>
      </c>
      <c r="D6" s="94" t="s">
        <v>77</v>
      </c>
      <c r="E6" s="94" t="s">
        <v>376</v>
      </c>
      <c r="F6" s="94" t="s">
        <v>377</v>
      </c>
      <c r="G6" s="94" t="s">
        <v>384</v>
      </c>
      <c r="H6" s="94" t="s">
        <v>379</v>
      </c>
      <c r="I6" s="94" t="s">
        <v>380</v>
      </c>
      <c r="J6" s="94" t="s">
        <v>385</v>
      </c>
    </row>
    <row r="7" customFormat="false" ht="21.75" hidden="false" customHeight="true" outlineLevel="0" collapsed="false">
      <c r="A7" s="25" t="s">
        <v>386</v>
      </c>
      <c r="B7" s="25" t="s">
        <v>200</v>
      </c>
      <c r="C7" s="25" t="s">
        <v>74</v>
      </c>
      <c r="D7" s="25" t="s">
        <v>75</v>
      </c>
      <c r="E7" s="25" t="s">
        <v>387</v>
      </c>
      <c r="F7" s="25" t="s">
        <v>377</v>
      </c>
      <c r="G7" s="25" t="s">
        <v>388</v>
      </c>
      <c r="H7" s="25" t="s">
        <v>59</v>
      </c>
      <c r="I7" s="25" t="s">
        <v>368</v>
      </c>
      <c r="J7" s="25" t="s">
        <v>389</v>
      </c>
    </row>
  </sheetData>
  <mergeCells count="1">
    <mergeCell ref="A1:J1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2026-06-23T18:28:59Z</dcterms:created>
  <dc:creator>openpyxl</dc:creator>
  <dc:description/>
  <dc:language>en-US</dc:language>
  <cp:lastModifiedBy/>
  <dcterms:modified xsi:type="dcterms:W3CDTF">2026-06-23T18:29:52Z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