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shellieanderson/Dropbox/Bryce/Solano-Yolo RCDS/Yolo Report Materials/"/>
    </mc:Choice>
  </mc:AlternateContent>
  <xr:revisionPtr revIDLastSave="0" documentId="13_ncr:1_{32BEC24B-16D0-AD45-97F5-9F4CFA3306CA}" xr6:coauthVersionLast="47" xr6:coauthVersionMax="47" xr10:uidLastSave="{00000000-0000-0000-0000-000000000000}"/>
  <bookViews>
    <workbookView xWindow="28800" yWindow="500" windowWidth="38400" windowHeight="19820" tabRatio="912" activeTab="5" xr2:uid="{00000000-000D-0000-FFFF-FFFF00000000}"/>
  </bookViews>
  <sheets>
    <sheet name="Benefits " sheetId="231" state="hidden" r:id="rId1"/>
    <sheet name="Summary of Median" sheetId="145" r:id="rId2"/>
    <sheet name="Summary of Mean" sheetId="222" state="hidden" r:id="rId3"/>
    <sheet name="Deputy Dir" sheetId="232" r:id="rId4"/>
    <sheet name="Executive Director" sheetId="223" r:id="rId5"/>
    <sheet name="Field Manager" sheetId="224" r:id="rId6"/>
    <sheet name="Field Technician " sheetId="226" r:id="rId7"/>
    <sheet name="Financial Manager" sheetId="227" r:id="rId8"/>
    <sheet name="Office Manager" sheetId="164" r:id="rId9"/>
    <sheet name="Program Manager" sheetId="228" r:id="rId10"/>
    <sheet name="Project Assistant" sheetId="229" r:id="rId11"/>
    <sheet name="Project Manager" sheetId="230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5" i="223" l="1"/>
  <c r="AA36" i="223" s="1"/>
  <c r="AA35" i="224"/>
  <c r="AA36" i="224" s="1"/>
  <c r="AA35" i="226"/>
  <c r="AA36" i="226" s="1"/>
  <c r="AA35" i="227"/>
  <c r="AA36" i="227" s="1"/>
  <c r="AA35" i="164"/>
  <c r="AA36" i="164" s="1"/>
  <c r="AA35" i="228"/>
  <c r="AA36" i="228" s="1"/>
  <c r="AA35" i="229"/>
  <c r="AA36" i="229" s="1"/>
  <c r="AA35" i="230"/>
  <c r="AA36" i="230" s="1"/>
  <c r="AA35" i="232"/>
  <c r="AA36" i="232" s="1"/>
  <c r="G24" i="224"/>
  <c r="F5" i="164"/>
  <c r="S11" i="226" l="1"/>
  <c r="R11" i="226"/>
  <c r="Q11" i="226"/>
  <c r="P11" i="226"/>
  <c r="G11" i="226"/>
  <c r="J11" i="226" s="1"/>
  <c r="F11" i="226"/>
  <c r="G20" i="226"/>
  <c r="U20" i="226" s="1"/>
  <c r="F20" i="226"/>
  <c r="F16" i="226"/>
  <c r="G16" i="226" s="1"/>
  <c r="I16" i="226" s="1"/>
  <c r="N16" i="226" s="1"/>
  <c r="F8" i="226"/>
  <c r="G8" i="226" s="1"/>
  <c r="G8" i="164"/>
  <c r="F8" i="164"/>
  <c r="Q12" i="232"/>
  <c r="P12" i="232"/>
  <c r="G12" i="232"/>
  <c r="Y12" i="232" s="1"/>
  <c r="F12" i="232"/>
  <c r="G5" i="232"/>
  <c r="G9" i="232"/>
  <c r="F9" i="232"/>
  <c r="G5" i="164"/>
  <c r="I5" i="164" s="1"/>
  <c r="S36" i="231"/>
  <c r="T22" i="230"/>
  <c r="Y22" i="230"/>
  <c r="U22" i="230"/>
  <c r="I22" i="230"/>
  <c r="N22" i="230" s="1"/>
  <c r="U22" i="223"/>
  <c r="Y8" i="164" l="1"/>
  <c r="G24" i="226"/>
  <c r="Y9" i="232"/>
  <c r="G30" i="232"/>
  <c r="G24" i="232"/>
  <c r="G26" i="232"/>
  <c r="C8" i="145" s="1"/>
  <c r="AB22" i="224"/>
  <c r="J5" i="164"/>
  <c r="N5" i="164" s="1"/>
  <c r="Y5" i="164"/>
  <c r="U5" i="164"/>
  <c r="I8" i="164"/>
  <c r="I12" i="232"/>
  <c r="N12" i="232" s="1"/>
  <c r="J8" i="164"/>
  <c r="U8" i="164"/>
  <c r="U12" i="232"/>
  <c r="U11" i="226"/>
  <c r="I11" i="226"/>
  <c r="N11" i="226" s="1"/>
  <c r="Y11" i="226"/>
  <c r="J20" i="226"/>
  <c r="Y20" i="226"/>
  <c r="I20" i="226"/>
  <c r="U16" i="226"/>
  <c r="W16" i="226" s="1"/>
  <c r="Y16" i="226"/>
  <c r="Y8" i="226"/>
  <c r="U8" i="226"/>
  <c r="J8" i="226"/>
  <c r="I8" i="226"/>
  <c r="I9" i="232"/>
  <c r="N9" i="232" s="1"/>
  <c r="U9" i="232"/>
  <c r="Y22" i="223"/>
  <c r="I22" i="223"/>
  <c r="N22" i="223" s="1"/>
  <c r="W22" i="223" s="1"/>
  <c r="Q18" i="230"/>
  <c r="Q18" i="227"/>
  <c r="Q18" i="226"/>
  <c r="Q18" i="224"/>
  <c r="O24" i="231"/>
  <c r="W36" i="231"/>
  <c r="G36" i="231"/>
  <c r="L36" i="231" s="1"/>
  <c r="U36" i="231" s="1"/>
  <c r="W34" i="231"/>
  <c r="S34" i="231"/>
  <c r="N34" i="231"/>
  <c r="M34" i="231"/>
  <c r="G34" i="231"/>
  <c r="W32" i="231"/>
  <c r="S32" i="231"/>
  <c r="Q32" i="231"/>
  <c r="P32" i="231"/>
  <c r="O32" i="231"/>
  <c r="N32" i="231"/>
  <c r="H32" i="231"/>
  <c r="G32" i="231"/>
  <c r="W30" i="231"/>
  <c r="S30" i="231"/>
  <c r="G30" i="231"/>
  <c r="G20" i="229"/>
  <c r="U20" i="229" s="1"/>
  <c r="F20" i="229"/>
  <c r="F20" i="228"/>
  <c r="G20" i="228" s="1"/>
  <c r="G20" i="227"/>
  <c r="F20" i="227"/>
  <c r="G20" i="224"/>
  <c r="J20" i="224" s="1"/>
  <c r="F20" i="224"/>
  <c r="W28" i="231"/>
  <c r="S28" i="231"/>
  <c r="L28" i="231"/>
  <c r="U28" i="231" s="1"/>
  <c r="X28" i="231" s="1"/>
  <c r="H28" i="231"/>
  <c r="G28" i="231"/>
  <c r="S26" i="231"/>
  <c r="S24" i="231"/>
  <c r="S22" i="231"/>
  <c r="S20" i="231"/>
  <c r="S18" i="231"/>
  <c r="S16" i="231"/>
  <c r="S14" i="231"/>
  <c r="S13" i="231"/>
  <c r="S12" i="231"/>
  <c r="S11" i="231"/>
  <c r="S10" i="231"/>
  <c r="S9" i="231"/>
  <c r="S7" i="231"/>
  <c r="S5" i="231"/>
  <c r="W26" i="231"/>
  <c r="N26" i="231"/>
  <c r="H26" i="231"/>
  <c r="G26" i="231"/>
  <c r="W24" i="231"/>
  <c r="H24" i="231"/>
  <c r="G24" i="231"/>
  <c r="W22" i="231"/>
  <c r="G22" i="231"/>
  <c r="Q17" i="230"/>
  <c r="P17" i="230"/>
  <c r="Q17" i="164"/>
  <c r="P17" i="164"/>
  <c r="Q17" i="223"/>
  <c r="P17" i="223"/>
  <c r="W20" i="231"/>
  <c r="O20" i="231"/>
  <c r="N20" i="231"/>
  <c r="H20" i="231"/>
  <c r="G20" i="231"/>
  <c r="W18" i="231"/>
  <c r="G18" i="231"/>
  <c r="W16" i="231"/>
  <c r="H16" i="231"/>
  <c r="G16" i="231"/>
  <c r="W14" i="231"/>
  <c r="W13" i="231"/>
  <c r="W12" i="231"/>
  <c r="W11" i="231"/>
  <c r="W10" i="231"/>
  <c r="W9" i="231"/>
  <c r="G14" i="231"/>
  <c r="G13" i="231"/>
  <c r="G12" i="231"/>
  <c r="G11" i="231"/>
  <c r="G10" i="231"/>
  <c r="G9" i="231"/>
  <c r="W7" i="231"/>
  <c r="L7" i="231"/>
  <c r="U7" i="231" s="1"/>
  <c r="X7" i="231" s="1"/>
  <c r="H7" i="231"/>
  <c r="G7" i="231"/>
  <c r="W5" i="231"/>
  <c r="H5" i="231"/>
  <c r="G5" i="231"/>
  <c r="L5" i="231" s="1"/>
  <c r="U5" i="231" s="1"/>
  <c r="X5" i="231" s="1"/>
  <c r="N8" i="226" l="1"/>
  <c r="W8" i="226" s="1"/>
  <c r="Z8" i="226" s="1"/>
  <c r="G27" i="232"/>
  <c r="D8" i="145" s="1"/>
  <c r="W5" i="164"/>
  <c r="Z5" i="164" s="1"/>
  <c r="AB5" i="164" s="1"/>
  <c r="Z22" i="223"/>
  <c r="W9" i="232"/>
  <c r="Z9" i="232" s="1"/>
  <c r="Y20" i="229"/>
  <c r="I20" i="229"/>
  <c r="W11" i="226"/>
  <c r="Z11" i="226" s="1"/>
  <c r="AB11" i="226" s="1"/>
  <c r="Z16" i="226"/>
  <c r="AB16" i="226" s="1"/>
  <c r="N20" i="226"/>
  <c r="W20" i="226" s="1"/>
  <c r="Z20" i="226" s="1"/>
  <c r="AB20" i="226" s="1"/>
  <c r="W12" i="232"/>
  <c r="Z12" i="232" s="1"/>
  <c r="AB12" i="232" s="1"/>
  <c r="N8" i="164"/>
  <c r="X36" i="231"/>
  <c r="U20" i="224"/>
  <c r="J20" i="229"/>
  <c r="Y20" i="224"/>
  <c r="I20" i="224"/>
  <c r="N20" i="224" s="1"/>
  <c r="AB9" i="232" l="1"/>
  <c r="AB8" i="226"/>
  <c r="N20" i="229"/>
  <c r="W20" i="229" s="1"/>
  <c r="Z20" i="229" s="1"/>
  <c r="W8" i="164"/>
  <c r="Z8" i="164" s="1"/>
  <c r="W20" i="224"/>
  <c r="Z20" i="224" s="1"/>
  <c r="L34" i="231"/>
  <c r="U34" i="231" s="1"/>
  <c r="X34" i="231" s="1"/>
  <c r="L30" i="231"/>
  <c r="U30" i="231" s="1"/>
  <c r="X30" i="231" s="1"/>
  <c r="L22" i="231"/>
  <c r="U22" i="231" s="1"/>
  <c r="X22" i="231" s="1"/>
  <c r="L20" i="231"/>
  <c r="U20" i="231" s="1"/>
  <c r="X20" i="231" s="1"/>
  <c r="L18" i="231"/>
  <c r="L14" i="231"/>
  <c r="U14" i="231" s="1"/>
  <c r="X14" i="231" s="1"/>
  <c r="L13" i="231"/>
  <c r="U13" i="231" s="1"/>
  <c r="X13" i="231" s="1"/>
  <c r="L12" i="231"/>
  <c r="U12" i="231" s="1"/>
  <c r="X12" i="231" s="1"/>
  <c r="L11" i="231"/>
  <c r="U11" i="231" s="1"/>
  <c r="X11" i="231" s="1"/>
  <c r="L10" i="231"/>
  <c r="AB8" i="164" l="1"/>
  <c r="L9" i="231"/>
  <c r="L32" i="231" l="1"/>
  <c r="U32" i="231" s="1"/>
  <c r="X32" i="231" s="1"/>
  <c r="L26" i="231"/>
  <c r="U26" i="231" s="1"/>
  <c r="X26" i="231" s="1"/>
  <c r="L24" i="231"/>
  <c r="U24" i="231" s="1"/>
  <c r="X24" i="231" s="1"/>
  <c r="U18" i="231"/>
  <c r="X18" i="231" s="1"/>
  <c r="L16" i="231"/>
  <c r="U10" i="231"/>
  <c r="X10" i="231" s="1"/>
  <c r="AB22" i="223"/>
  <c r="AB20" i="224"/>
  <c r="AB20" i="229"/>
  <c r="K13" i="222" l="1"/>
  <c r="K13" i="145"/>
  <c r="U9" i="231"/>
  <c r="X9" i="231" s="1"/>
  <c r="F19" i="227"/>
  <c r="G19" i="227" s="1"/>
  <c r="J20" i="228" l="1"/>
  <c r="I20" i="228"/>
  <c r="Y20" i="228"/>
  <c r="U20" i="228"/>
  <c r="U20" i="227"/>
  <c r="J20" i="227"/>
  <c r="I20" i="227"/>
  <c r="Y20" i="227"/>
  <c r="U16" i="231"/>
  <c r="X16" i="231" s="1"/>
  <c r="F20" i="223"/>
  <c r="G20" i="223" s="1"/>
  <c r="G17" i="164"/>
  <c r="F17" i="164"/>
  <c r="G14" i="223"/>
  <c r="Y14" i="223" s="1"/>
  <c r="F14" i="223"/>
  <c r="A8" i="222"/>
  <c r="A8" i="145"/>
  <c r="Y10" i="232"/>
  <c r="J5" i="232"/>
  <c r="F5" i="232"/>
  <c r="N20" i="227" l="1"/>
  <c r="W20" i="227" s="1"/>
  <c r="Z20" i="227" s="1"/>
  <c r="AB20" i="227" s="1"/>
  <c r="Y17" i="164"/>
  <c r="U17" i="164"/>
  <c r="J17" i="164"/>
  <c r="I17" i="164"/>
  <c r="N20" i="228"/>
  <c r="W20" i="228" s="1"/>
  <c r="Z20" i="228" s="1"/>
  <c r="AB20" i="228" s="1"/>
  <c r="Y20" i="223"/>
  <c r="I20" i="223"/>
  <c r="U20" i="223"/>
  <c r="J20" i="223"/>
  <c r="Y5" i="232"/>
  <c r="U5" i="232"/>
  <c r="I5" i="232"/>
  <c r="N5" i="232" s="1"/>
  <c r="B8" i="145"/>
  <c r="B8" i="222"/>
  <c r="I14" i="223"/>
  <c r="N14" i="223" s="1"/>
  <c r="U14" i="223"/>
  <c r="J10" i="232"/>
  <c r="U10" i="232"/>
  <c r="I10" i="232"/>
  <c r="N17" i="164" l="1"/>
  <c r="W17" i="164" s="1"/>
  <c r="Z17" i="164" s="1"/>
  <c r="AB17" i="164" s="1"/>
  <c r="N20" i="223"/>
  <c r="W20" i="223" s="1"/>
  <c r="Z20" i="223" s="1"/>
  <c r="AB20" i="223" s="1"/>
  <c r="W14" i="223"/>
  <c r="Z14" i="223" s="1"/>
  <c r="AB14" i="223" s="1"/>
  <c r="N10" i="232"/>
  <c r="W5" i="232"/>
  <c r="Z5" i="232" s="1"/>
  <c r="AB5" i="232" s="1"/>
  <c r="E8" i="222"/>
  <c r="E8" i="145"/>
  <c r="G15" i="227"/>
  <c r="Y15" i="227" s="1"/>
  <c r="F15" i="227"/>
  <c r="G14" i="227"/>
  <c r="F14" i="227"/>
  <c r="W10" i="232" l="1"/>
  <c r="Z10" i="232" s="1"/>
  <c r="N26" i="232"/>
  <c r="F8" i="145" s="1"/>
  <c r="N24" i="232"/>
  <c r="N25" i="232" s="1"/>
  <c r="K8" i="222"/>
  <c r="K8" i="145"/>
  <c r="I15" i="227"/>
  <c r="N15" i="227" s="1"/>
  <c r="N8" i="145"/>
  <c r="N8" i="222"/>
  <c r="H8" i="145"/>
  <c r="H8" i="222"/>
  <c r="U15" i="227"/>
  <c r="G28" i="232"/>
  <c r="G18" i="227"/>
  <c r="G26" i="227" s="1"/>
  <c r="C12" i="145" s="1"/>
  <c r="F18" i="227"/>
  <c r="G17" i="230"/>
  <c r="F17" i="230"/>
  <c r="G17" i="223"/>
  <c r="F17" i="223"/>
  <c r="G18" i="230"/>
  <c r="F18" i="230"/>
  <c r="G18" i="226"/>
  <c r="F18" i="226"/>
  <c r="G18" i="224"/>
  <c r="F18" i="224"/>
  <c r="F16" i="229"/>
  <c r="G16" i="229" s="1"/>
  <c r="F8" i="229"/>
  <c r="G8" i="229"/>
  <c r="Y21" i="223"/>
  <c r="U21" i="223"/>
  <c r="I21" i="223"/>
  <c r="N21" i="223" s="1"/>
  <c r="N27" i="232" l="1"/>
  <c r="G8" i="145" s="1"/>
  <c r="G30" i="227"/>
  <c r="U8" i="229"/>
  <c r="G24" i="229"/>
  <c r="G26" i="229"/>
  <c r="C15" i="145" s="1"/>
  <c r="G30" i="229"/>
  <c r="AB10" i="232"/>
  <c r="Z26" i="232"/>
  <c r="Z24" i="232"/>
  <c r="Z25" i="232" s="1"/>
  <c r="W15" i="227"/>
  <c r="Z15" i="227" s="1"/>
  <c r="AB15" i="227" s="1"/>
  <c r="Y18" i="227"/>
  <c r="I18" i="227"/>
  <c r="U18" i="227"/>
  <c r="J18" i="227"/>
  <c r="J18" i="230"/>
  <c r="Y18" i="230"/>
  <c r="I18" i="230"/>
  <c r="U18" i="230"/>
  <c r="Y17" i="230"/>
  <c r="J17" i="230"/>
  <c r="U17" i="230"/>
  <c r="I17" i="230"/>
  <c r="J18" i="226"/>
  <c r="I18" i="226"/>
  <c r="Y18" i="226"/>
  <c r="U18" i="226"/>
  <c r="I17" i="223"/>
  <c r="Y17" i="223"/>
  <c r="U17" i="223"/>
  <c r="J17" i="223"/>
  <c r="W21" i="223"/>
  <c r="Z21" i="223" s="1"/>
  <c r="AB21" i="223" s="1"/>
  <c r="U18" i="224"/>
  <c r="Y18" i="224"/>
  <c r="J18" i="224"/>
  <c r="I18" i="224"/>
  <c r="G25" i="232"/>
  <c r="G29" i="232"/>
  <c r="D8" i="222" s="1"/>
  <c r="C8" i="222"/>
  <c r="Y16" i="229"/>
  <c r="U16" i="229"/>
  <c r="I16" i="229"/>
  <c r="N16" i="229" s="1"/>
  <c r="Y8" i="229"/>
  <c r="I8" i="229"/>
  <c r="J8" i="229"/>
  <c r="G22" i="226"/>
  <c r="F22" i="226"/>
  <c r="Y10" i="226"/>
  <c r="G14" i="226"/>
  <c r="F14" i="226"/>
  <c r="P19" i="224"/>
  <c r="G19" i="224"/>
  <c r="Y19" i="224" s="1"/>
  <c r="F19" i="224"/>
  <c r="P19" i="230"/>
  <c r="P19" i="228"/>
  <c r="Y19" i="227"/>
  <c r="U19" i="227"/>
  <c r="P19" i="227"/>
  <c r="J19" i="227"/>
  <c r="I19" i="227"/>
  <c r="G11" i="230"/>
  <c r="F11" i="230"/>
  <c r="S11" i="228"/>
  <c r="R11" i="228"/>
  <c r="Q11" i="228"/>
  <c r="P11" i="228"/>
  <c r="G11" i="228"/>
  <c r="F11" i="228"/>
  <c r="G19" i="228"/>
  <c r="F19" i="228"/>
  <c r="F16" i="230"/>
  <c r="G16" i="230" s="1"/>
  <c r="F16" i="223"/>
  <c r="G16" i="223" s="1"/>
  <c r="F16" i="164"/>
  <c r="G16" i="164" s="1"/>
  <c r="G19" i="230"/>
  <c r="Y19" i="230" s="1"/>
  <c r="F19" i="230"/>
  <c r="Q12" i="230"/>
  <c r="P12" i="230"/>
  <c r="G12" i="230"/>
  <c r="U12" i="230" s="1"/>
  <c r="F12" i="230"/>
  <c r="I8" i="145" l="1"/>
  <c r="Z30" i="232"/>
  <c r="Z31" i="232" s="1"/>
  <c r="Z27" i="232"/>
  <c r="J8" i="145" s="1"/>
  <c r="AB28" i="232"/>
  <c r="AB24" i="232"/>
  <c r="AB26" i="232"/>
  <c r="N17" i="223"/>
  <c r="W17" i="223" s="1"/>
  <c r="Z17" i="223" s="1"/>
  <c r="AB17" i="223" s="1"/>
  <c r="G26" i="224"/>
  <c r="C10" i="145" s="1"/>
  <c r="J11" i="228"/>
  <c r="G26" i="228"/>
  <c r="C14" i="145" s="1"/>
  <c r="G24" i="228"/>
  <c r="G30" i="228"/>
  <c r="G30" i="224"/>
  <c r="G26" i="226"/>
  <c r="C11" i="145" s="1"/>
  <c r="G30" i="226"/>
  <c r="N18" i="230"/>
  <c r="W18" i="230" s="1"/>
  <c r="Z18" i="230" s="1"/>
  <c r="AB18" i="230" s="1"/>
  <c r="N18" i="226"/>
  <c r="W18" i="226" s="1"/>
  <c r="Z18" i="226" s="1"/>
  <c r="AB18" i="226" s="1"/>
  <c r="N18" i="227"/>
  <c r="W18" i="227" s="1"/>
  <c r="Z18" i="227" s="1"/>
  <c r="AB18" i="227" s="1"/>
  <c r="U22" i="226"/>
  <c r="Y22" i="226"/>
  <c r="I22" i="226"/>
  <c r="N22" i="226" s="1"/>
  <c r="Y19" i="228"/>
  <c r="Y16" i="164"/>
  <c r="N18" i="224"/>
  <c r="W18" i="224" s="1"/>
  <c r="Z18" i="224" s="1"/>
  <c r="AB18" i="224" s="1"/>
  <c r="N17" i="230"/>
  <c r="W17" i="230" s="1"/>
  <c r="Z17" i="230" s="1"/>
  <c r="AB17" i="230" s="1"/>
  <c r="W16" i="229"/>
  <c r="Z16" i="229" s="1"/>
  <c r="AB16" i="229" s="1"/>
  <c r="I10" i="226"/>
  <c r="Y12" i="230"/>
  <c r="J10" i="226"/>
  <c r="N8" i="229"/>
  <c r="I11" i="228"/>
  <c r="N19" i="227"/>
  <c r="W19" i="227" s="1"/>
  <c r="Z19" i="227" s="1"/>
  <c r="AB19" i="227" s="1"/>
  <c r="Y16" i="223"/>
  <c r="U16" i="223"/>
  <c r="I16" i="223"/>
  <c r="N16" i="223" s="1"/>
  <c r="Y16" i="230"/>
  <c r="U16" i="230"/>
  <c r="I16" i="230"/>
  <c r="N16" i="230" s="1"/>
  <c r="I19" i="230"/>
  <c r="J19" i="230"/>
  <c r="I19" i="224"/>
  <c r="J19" i="224"/>
  <c r="G28" i="226"/>
  <c r="U11" i="228"/>
  <c r="I19" i="228"/>
  <c r="U19" i="230"/>
  <c r="Y11" i="228"/>
  <c r="J19" i="228"/>
  <c r="I16" i="164"/>
  <c r="N16" i="164" s="1"/>
  <c r="I12" i="230"/>
  <c r="N12" i="230" s="1"/>
  <c r="W12" i="230" s="1"/>
  <c r="U19" i="228"/>
  <c r="U16" i="164"/>
  <c r="U14" i="226"/>
  <c r="U10" i="226"/>
  <c r="Y14" i="226"/>
  <c r="Z28" i="232"/>
  <c r="N28" i="232"/>
  <c r="I14" i="226"/>
  <c r="N14" i="226" s="1"/>
  <c r="U19" i="224"/>
  <c r="G8" i="223"/>
  <c r="F8" i="223"/>
  <c r="L8" i="145" l="1"/>
  <c r="AB27" i="232"/>
  <c r="M8" i="145" s="1"/>
  <c r="N11" i="228"/>
  <c r="W11" i="228" s="1"/>
  <c r="Z11" i="228" s="1"/>
  <c r="W22" i="226"/>
  <c r="Z22" i="226" s="1"/>
  <c r="AB22" i="226" s="1"/>
  <c r="W8" i="229"/>
  <c r="Z8" i="229" s="1"/>
  <c r="N26" i="229"/>
  <c r="F15" i="145" s="1"/>
  <c r="N24" i="229"/>
  <c r="U8" i="223"/>
  <c r="AB25" i="232"/>
  <c r="L8" i="222"/>
  <c r="AB29" i="232"/>
  <c r="M8" i="222" s="1"/>
  <c r="W16" i="223"/>
  <c r="Z16" i="223" s="1"/>
  <c r="AB16" i="223" s="1"/>
  <c r="N10" i="226"/>
  <c r="Z12" i="230"/>
  <c r="AB12" i="230" s="1"/>
  <c r="AB28" i="229"/>
  <c r="W16" i="230"/>
  <c r="Z16" i="230" s="1"/>
  <c r="AB16" i="230" s="1"/>
  <c r="W16" i="164"/>
  <c r="Z16" i="164" s="1"/>
  <c r="Z29" i="232"/>
  <c r="I8" i="222"/>
  <c r="N29" i="232"/>
  <c r="F8" i="222"/>
  <c r="N19" i="224"/>
  <c r="W19" i="224" s="1"/>
  <c r="Z19" i="224" s="1"/>
  <c r="AB19" i="224" s="1"/>
  <c r="W14" i="226"/>
  <c r="Z14" i="226" s="1"/>
  <c r="AB14" i="226" s="1"/>
  <c r="N19" i="230"/>
  <c r="W19" i="230" s="1"/>
  <c r="Z19" i="230" s="1"/>
  <c r="AB19" i="230" s="1"/>
  <c r="N19" i="228"/>
  <c r="W19" i="228" s="1"/>
  <c r="Z19" i="228" s="1"/>
  <c r="AB19" i="228" s="1"/>
  <c r="I8" i="223"/>
  <c r="Y8" i="223"/>
  <c r="J8" i="223"/>
  <c r="Q12" i="223"/>
  <c r="P12" i="223"/>
  <c r="S11" i="230"/>
  <c r="S22" i="230" s="1"/>
  <c r="R11" i="230"/>
  <c r="R22" i="230" s="1"/>
  <c r="Q11" i="230"/>
  <c r="Q22" i="230" s="1"/>
  <c r="P11" i="230"/>
  <c r="P22" i="230" s="1"/>
  <c r="S11" i="223"/>
  <c r="R11" i="223"/>
  <c r="Q11" i="223"/>
  <c r="P11" i="223"/>
  <c r="Y21" i="230"/>
  <c r="U21" i="230"/>
  <c r="I21" i="230"/>
  <c r="N21" i="230" s="1"/>
  <c r="Y21" i="227"/>
  <c r="U21" i="227"/>
  <c r="I21" i="227"/>
  <c r="N21" i="227" s="1"/>
  <c r="G15" i="230"/>
  <c r="I15" i="230" s="1"/>
  <c r="N15" i="230" s="1"/>
  <c r="F15" i="230"/>
  <c r="G14" i="230"/>
  <c r="F14" i="230"/>
  <c r="N24" i="228" l="1"/>
  <c r="AB11" i="228"/>
  <c r="Z26" i="228"/>
  <c r="Z24" i="228"/>
  <c r="AB8" i="229"/>
  <c r="Z26" i="229"/>
  <c r="Z24" i="229"/>
  <c r="W10" i="226"/>
  <c r="Z10" i="226" s="1"/>
  <c r="N24" i="226"/>
  <c r="N26" i="226"/>
  <c r="F11" i="145" s="1"/>
  <c r="N26" i="228"/>
  <c r="F14" i="145" s="1"/>
  <c r="W22" i="230"/>
  <c r="Z22" i="230" s="1"/>
  <c r="AB22" i="230" s="1"/>
  <c r="AB28" i="228"/>
  <c r="AB16" i="164"/>
  <c r="W21" i="230"/>
  <c r="Z21" i="230" s="1"/>
  <c r="AB21" i="230" s="1"/>
  <c r="AB28" i="226"/>
  <c r="L15" i="222"/>
  <c r="N28" i="226"/>
  <c r="F11" i="222" s="1"/>
  <c r="N8" i="223"/>
  <c r="G8" i="222"/>
  <c r="J8" i="222"/>
  <c r="Z28" i="226"/>
  <c r="U15" i="230"/>
  <c r="W15" i="230" s="1"/>
  <c r="Y15" i="230"/>
  <c r="W21" i="227"/>
  <c r="Z21" i="227" s="1"/>
  <c r="AB21" i="227" s="1"/>
  <c r="Y14" i="230"/>
  <c r="U14" i="230"/>
  <c r="I14" i="230"/>
  <c r="N14" i="230" s="1"/>
  <c r="Y14" i="227"/>
  <c r="U14" i="227"/>
  <c r="I14" i="227"/>
  <c r="N14" i="227" s="1"/>
  <c r="N26" i="227" s="1"/>
  <c r="F12" i="145" s="1"/>
  <c r="C11" i="222"/>
  <c r="B13" i="222"/>
  <c r="A16" i="222"/>
  <c r="A16" i="145"/>
  <c r="A15" i="222"/>
  <c r="A15" i="145"/>
  <c r="A14" i="222"/>
  <c r="A14" i="145"/>
  <c r="A12" i="222"/>
  <c r="A12" i="145"/>
  <c r="A11" i="222"/>
  <c r="A11" i="145"/>
  <c r="G11" i="223"/>
  <c r="F11" i="223"/>
  <c r="F12" i="223"/>
  <c r="G12" i="223" s="1"/>
  <c r="G5" i="230"/>
  <c r="B16" i="222" s="1"/>
  <c r="F5" i="230"/>
  <c r="G5" i="229"/>
  <c r="F5" i="229"/>
  <c r="G5" i="228"/>
  <c r="F5" i="228"/>
  <c r="G5" i="227"/>
  <c r="G27" i="227" s="1"/>
  <c r="D12" i="145" s="1"/>
  <c r="F5" i="227"/>
  <c r="G5" i="226"/>
  <c r="G27" i="226" s="1"/>
  <c r="D11" i="145" s="1"/>
  <c r="F5" i="226"/>
  <c r="G5" i="224"/>
  <c r="F5" i="224"/>
  <c r="G5" i="223"/>
  <c r="U5" i="223" s="1"/>
  <c r="F5" i="223"/>
  <c r="N15" i="145"/>
  <c r="G9" i="164"/>
  <c r="F9" i="164"/>
  <c r="G9" i="230"/>
  <c r="F9" i="230"/>
  <c r="G9" i="223"/>
  <c r="F9" i="223"/>
  <c r="N14" i="222"/>
  <c r="G28" i="228"/>
  <c r="C14" i="222" s="1"/>
  <c r="N11" i="145"/>
  <c r="I15" i="145" l="1"/>
  <c r="Z30" i="229"/>
  <c r="I14" i="145"/>
  <c r="Z30" i="228"/>
  <c r="U5" i="229"/>
  <c r="G27" i="229"/>
  <c r="D15" i="145" s="1"/>
  <c r="W8" i="223"/>
  <c r="Z8" i="223" s="1"/>
  <c r="U5" i="224"/>
  <c r="G27" i="224"/>
  <c r="D10" i="145" s="1"/>
  <c r="G26" i="230"/>
  <c r="G24" i="230"/>
  <c r="G25" i="230" s="1"/>
  <c r="G30" i="230"/>
  <c r="N16" i="145" s="1"/>
  <c r="AB26" i="229"/>
  <c r="AB24" i="229"/>
  <c r="G26" i="164"/>
  <c r="G24" i="164"/>
  <c r="G25" i="164" s="1"/>
  <c r="G30" i="164"/>
  <c r="AB10" i="226"/>
  <c r="Z26" i="226"/>
  <c r="Z24" i="226"/>
  <c r="G30" i="223"/>
  <c r="G24" i="223"/>
  <c r="G25" i="223" s="1"/>
  <c r="G26" i="223"/>
  <c r="U5" i="228"/>
  <c r="G27" i="228"/>
  <c r="D14" i="145" s="1"/>
  <c r="AB26" i="228"/>
  <c r="AB24" i="228"/>
  <c r="G28" i="164"/>
  <c r="G29" i="164" s="1"/>
  <c r="D13" i="222" s="1"/>
  <c r="L14" i="222"/>
  <c r="L11" i="222"/>
  <c r="G28" i="230"/>
  <c r="G29" i="230" s="1"/>
  <c r="G25" i="228"/>
  <c r="B11" i="222"/>
  <c r="U5" i="226"/>
  <c r="G25" i="226"/>
  <c r="G29" i="226"/>
  <c r="D11" i="222" s="1"/>
  <c r="B12" i="222"/>
  <c r="U5" i="227"/>
  <c r="B11" i="145"/>
  <c r="I11" i="222"/>
  <c r="B16" i="145"/>
  <c r="G28" i="227"/>
  <c r="G29" i="227" s="1"/>
  <c r="N12" i="222"/>
  <c r="G25" i="229"/>
  <c r="Z15" i="230"/>
  <c r="AB15" i="230" s="1"/>
  <c r="G28" i="229"/>
  <c r="G29" i="229" s="1"/>
  <c r="Y12" i="223"/>
  <c r="I12" i="223"/>
  <c r="N12" i="223" s="1"/>
  <c r="U12" i="223"/>
  <c r="I9" i="223"/>
  <c r="N9" i="223" s="1"/>
  <c r="U9" i="223"/>
  <c r="Y9" i="223"/>
  <c r="Y9" i="230"/>
  <c r="U9" i="230"/>
  <c r="I9" i="230"/>
  <c r="N9" i="230" s="1"/>
  <c r="I9" i="164"/>
  <c r="N9" i="164" s="1"/>
  <c r="U9" i="164"/>
  <c r="Y9" i="164"/>
  <c r="J10" i="224"/>
  <c r="I10" i="224"/>
  <c r="Y10" i="224"/>
  <c r="U10" i="224"/>
  <c r="J10" i="230"/>
  <c r="U10" i="230"/>
  <c r="I10" i="230"/>
  <c r="Y10" i="230"/>
  <c r="I5" i="223"/>
  <c r="Y5" i="223"/>
  <c r="J5" i="223"/>
  <c r="Y5" i="226"/>
  <c r="J5" i="226"/>
  <c r="I5" i="226"/>
  <c r="Y5" i="228"/>
  <c r="I5" i="228"/>
  <c r="J5" i="228"/>
  <c r="J5" i="230"/>
  <c r="Y5" i="230"/>
  <c r="I5" i="230"/>
  <c r="B12" i="145"/>
  <c r="B14" i="145"/>
  <c r="N11" i="222"/>
  <c r="B9" i="222"/>
  <c r="B14" i="222"/>
  <c r="J10" i="164"/>
  <c r="Y10" i="164"/>
  <c r="U10" i="164"/>
  <c r="I10" i="164"/>
  <c r="J10" i="223"/>
  <c r="Y10" i="223"/>
  <c r="U10" i="223"/>
  <c r="I10" i="223"/>
  <c r="U11" i="230"/>
  <c r="J11" i="230"/>
  <c r="Y11" i="230"/>
  <c r="I11" i="230"/>
  <c r="I5" i="224"/>
  <c r="Y5" i="224"/>
  <c r="J5" i="224"/>
  <c r="Y5" i="227"/>
  <c r="I5" i="227"/>
  <c r="J5" i="227"/>
  <c r="J5" i="229"/>
  <c r="I5" i="229"/>
  <c r="Y5" i="229"/>
  <c r="U11" i="223"/>
  <c r="Y11" i="223"/>
  <c r="I11" i="223"/>
  <c r="J11" i="223"/>
  <c r="B15" i="145"/>
  <c r="B10" i="222"/>
  <c r="B15" i="222"/>
  <c r="W14" i="230"/>
  <c r="Z14" i="230" s="1"/>
  <c r="AB14" i="230" s="1"/>
  <c r="N14" i="145"/>
  <c r="W14" i="227"/>
  <c r="Z14" i="227" s="1"/>
  <c r="Z26" i="227" s="1"/>
  <c r="N15" i="222"/>
  <c r="G29" i="228"/>
  <c r="N28" i="227"/>
  <c r="N28" i="228"/>
  <c r="A10" i="222"/>
  <c r="A9" i="222"/>
  <c r="B10" i="145"/>
  <c r="B9" i="145"/>
  <c r="A10" i="145"/>
  <c r="A9" i="145"/>
  <c r="N10" i="145"/>
  <c r="G28" i="224"/>
  <c r="G29" i="224" s="1"/>
  <c r="G25" i="224"/>
  <c r="N9" i="222"/>
  <c r="G28" i="223"/>
  <c r="G29" i="223" s="1"/>
  <c r="D9" i="222" s="1"/>
  <c r="I11" i="145" l="1"/>
  <c r="Z30" i="226"/>
  <c r="I12" i="145"/>
  <c r="Z30" i="227"/>
  <c r="G27" i="230"/>
  <c r="D16" i="145" s="1"/>
  <c r="C16" i="145"/>
  <c r="L14" i="145"/>
  <c r="G27" i="223"/>
  <c r="D9" i="145" s="1"/>
  <c r="C9" i="145"/>
  <c r="G27" i="164"/>
  <c r="D13" i="145" s="1"/>
  <c r="C13" i="145"/>
  <c r="L15" i="145"/>
  <c r="AB24" i="226"/>
  <c r="AB26" i="226"/>
  <c r="AB8" i="223"/>
  <c r="Z28" i="227"/>
  <c r="I12" i="222" s="1"/>
  <c r="AB14" i="227"/>
  <c r="AB26" i="227" s="1"/>
  <c r="D16" i="222"/>
  <c r="C16" i="222"/>
  <c r="D15" i="222"/>
  <c r="D14" i="222"/>
  <c r="D12" i="222"/>
  <c r="D10" i="222"/>
  <c r="W9" i="230"/>
  <c r="Z9" i="230" s="1"/>
  <c r="N10" i="224"/>
  <c r="N10" i="230"/>
  <c r="W10" i="230" s="1"/>
  <c r="Z10" i="230" s="1"/>
  <c r="AB10" i="230" s="1"/>
  <c r="W9" i="223"/>
  <c r="Z9" i="223" s="1"/>
  <c r="AB9" i="223" s="1"/>
  <c r="N5" i="229"/>
  <c r="N5" i="226"/>
  <c r="C15" i="222"/>
  <c r="N16" i="222"/>
  <c r="N12" i="145"/>
  <c r="C12" i="222"/>
  <c r="N5" i="227"/>
  <c r="N11" i="223"/>
  <c r="W11" i="223" s="1"/>
  <c r="Z11" i="223" s="1"/>
  <c r="AB11" i="223" s="1"/>
  <c r="N5" i="224"/>
  <c r="W5" i="224" s="1"/>
  <c r="Z5" i="224" s="1"/>
  <c r="N11" i="230"/>
  <c r="H13" i="222"/>
  <c r="E13" i="222"/>
  <c r="N10" i="223"/>
  <c r="W10" i="223" s="1"/>
  <c r="Z10" i="223" s="1"/>
  <c r="AB10" i="223" s="1"/>
  <c r="N10" i="164"/>
  <c r="W10" i="164" s="1"/>
  <c r="Z10" i="164" s="1"/>
  <c r="AB10" i="164" s="1"/>
  <c r="W9" i="164"/>
  <c r="Z9" i="164" s="1"/>
  <c r="N5" i="223"/>
  <c r="W12" i="223"/>
  <c r="Z12" i="223" s="1"/>
  <c r="AB12" i="223" s="1"/>
  <c r="N5" i="230"/>
  <c r="N5" i="228"/>
  <c r="F14" i="222"/>
  <c r="F12" i="222"/>
  <c r="Z28" i="228"/>
  <c r="N9" i="145"/>
  <c r="C9" i="222"/>
  <c r="N10" i="222"/>
  <c r="C10" i="222"/>
  <c r="L12" i="145" l="1"/>
  <c r="D17" i="145"/>
  <c r="L11" i="145"/>
  <c r="N26" i="230"/>
  <c r="N24" i="230"/>
  <c r="N25" i="230" s="1"/>
  <c r="N24" i="223"/>
  <c r="N25" i="223" s="1"/>
  <c r="Z26" i="223"/>
  <c r="Z24" i="223"/>
  <c r="N25" i="226"/>
  <c r="N27" i="226"/>
  <c r="G11" i="145" s="1"/>
  <c r="AB26" i="223"/>
  <c r="AB24" i="223"/>
  <c r="W10" i="224"/>
  <c r="Z10" i="224" s="1"/>
  <c r="N26" i="224"/>
  <c r="N24" i="224"/>
  <c r="N25" i="224" s="1"/>
  <c r="N24" i="164"/>
  <c r="N25" i="164" s="1"/>
  <c r="Z26" i="164"/>
  <c r="Z30" i="164" s="1"/>
  <c r="Z31" i="164" s="1"/>
  <c r="Z24" i="164"/>
  <c r="Z25" i="164" s="1"/>
  <c r="N29" i="228"/>
  <c r="G14" i="222" s="1"/>
  <c r="N25" i="228"/>
  <c r="N27" i="228"/>
  <c r="G14" i="145" s="1"/>
  <c r="AB9" i="230"/>
  <c r="N26" i="164"/>
  <c r="W5" i="229"/>
  <c r="Z5" i="229" s="1"/>
  <c r="N25" i="229"/>
  <c r="N27" i="229"/>
  <c r="G15" i="145" s="1"/>
  <c r="W5" i="227"/>
  <c r="Z5" i="227" s="1"/>
  <c r="H12" i="145" s="1"/>
  <c r="N27" i="227"/>
  <c r="G12" i="145" s="1"/>
  <c r="N26" i="223"/>
  <c r="N28" i="224"/>
  <c r="N29" i="224" s="1"/>
  <c r="G10" i="222" s="1"/>
  <c r="AB9" i="164"/>
  <c r="Z28" i="164"/>
  <c r="Z29" i="164" s="1"/>
  <c r="AB28" i="227"/>
  <c r="N28" i="164"/>
  <c r="N29" i="164" s="1"/>
  <c r="AB28" i="223"/>
  <c r="AB28" i="224"/>
  <c r="H10" i="222"/>
  <c r="AB5" i="224"/>
  <c r="E12" i="145"/>
  <c r="E15" i="145"/>
  <c r="E15" i="222"/>
  <c r="N29" i="226"/>
  <c r="G11" i="222" s="1"/>
  <c r="E11" i="222"/>
  <c r="E11" i="145"/>
  <c r="W5" i="226"/>
  <c r="Z5" i="226" s="1"/>
  <c r="Z31" i="226" s="1"/>
  <c r="E12" i="222"/>
  <c r="E10" i="145"/>
  <c r="E10" i="222"/>
  <c r="N29" i="227"/>
  <c r="G12" i="222" s="1"/>
  <c r="N28" i="223"/>
  <c r="F9" i="222" s="1"/>
  <c r="N28" i="230"/>
  <c r="F16" i="222" s="1"/>
  <c r="W11" i="230"/>
  <c r="Z11" i="230" s="1"/>
  <c r="Z24" i="230" s="1"/>
  <c r="W5" i="228"/>
  <c r="Z5" i="228" s="1"/>
  <c r="Z31" i="228" s="1"/>
  <c r="E14" i="222"/>
  <c r="E14" i="145"/>
  <c r="W5" i="230"/>
  <c r="Z5" i="230" s="1"/>
  <c r="AB5" i="230" s="1"/>
  <c r="E16" i="145"/>
  <c r="E16" i="222"/>
  <c r="W5" i="223"/>
  <c r="Z5" i="223" s="1"/>
  <c r="AB5" i="223" s="1"/>
  <c r="E9" i="222"/>
  <c r="E9" i="145"/>
  <c r="N28" i="229"/>
  <c r="I14" i="222"/>
  <c r="H10" i="145"/>
  <c r="Z28" i="224"/>
  <c r="Z28" i="223"/>
  <c r="H15" i="222" l="1"/>
  <c r="Z31" i="229"/>
  <c r="I9" i="145"/>
  <c r="Z30" i="223"/>
  <c r="Z31" i="223" s="1"/>
  <c r="Z31" i="227"/>
  <c r="N27" i="230"/>
  <c r="G16" i="145" s="1"/>
  <c r="F16" i="145"/>
  <c r="N27" i="223"/>
  <c r="G9" i="145" s="1"/>
  <c r="F9" i="145"/>
  <c r="L9" i="145"/>
  <c r="N27" i="224"/>
  <c r="G10" i="145" s="1"/>
  <c r="F10" i="145"/>
  <c r="Z27" i="164"/>
  <c r="J13" i="145" s="1"/>
  <c r="I13" i="145"/>
  <c r="N27" i="164"/>
  <c r="G13" i="145" s="1"/>
  <c r="F13" i="145"/>
  <c r="H12" i="222"/>
  <c r="H15" i="145"/>
  <c r="Z26" i="230"/>
  <c r="Z30" i="230" s="1"/>
  <c r="Z31" i="230" s="1"/>
  <c r="Z25" i="230"/>
  <c r="Z27" i="226"/>
  <c r="J11" i="145" s="1"/>
  <c r="Z25" i="226"/>
  <c r="F10" i="222"/>
  <c r="AB10" i="224"/>
  <c r="Z26" i="224"/>
  <c r="Z30" i="224" s="1"/>
  <c r="Z31" i="224" s="1"/>
  <c r="Z24" i="224"/>
  <c r="Z25" i="224" s="1"/>
  <c r="Z25" i="223"/>
  <c r="Z27" i="227"/>
  <c r="J12" i="145" s="1"/>
  <c r="Z29" i="227"/>
  <c r="J12" i="222" s="1"/>
  <c r="AB25" i="223"/>
  <c r="Z27" i="223"/>
  <c r="J9" i="145" s="1"/>
  <c r="AB5" i="227"/>
  <c r="AB27" i="223"/>
  <c r="M9" i="145" s="1"/>
  <c r="Z27" i="228"/>
  <c r="J14" i="145" s="1"/>
  <c r="Z25" i="228"/>
  <c r="AB26" i="164"/>
  <c r="L13" i="145" s="1"/>
  <c r="AB24" i="164"/>
  <c r="AB25" i="164" s="1"/>
  <c r="AB5" i="229"/>
  <c r="Z25" i="229"/>
  <c r="Z27" i="229"/>
  <c r="J15" i="145" s="1"/>
  <c r="L12" i="222"/>
  <c r="Z29" i="228"/>
  <c r="J14" i="222" s="1"/>
  <c r="AB5" i="228"/>
  <c r="AB28" i="164"/>
  <c r="AB11" i="230"/>
  <c r="AB24" i="230" s="1"/>
  <c r="AB25" i="230" s="1"/>
  <c r="K16" i="222"/>
  <c r="K16" i="145"/>
  <c r="H11" i="145"/>
  <c r="AB5" i="226"/>
  <c r="K9" i="222"/>
  <c r="K9" i="145"/>
  <c r="AB29" i="223"/>
  <c r="M9" i="222" s="1"/>
  <c r="L9" i="222"/>
  <c r="K10" i="222"/>
  <c r="K10" i="145"/>
  <c r="AB29" i="224"/>
  <c r="M10" i="222" s="1"/>
  <c r="L10" i="222"/>
  <c r="Z29" i="226"/>
  <c r="J11" i="222" s="1"/>
  <c r="H11" i="222"/>
  <c r="N29" i="223"/>
  <c r="G9" i="222" s="1"/>
  <c r="N29" i="230"/>
  <c r="G16" i="222" s="1"/>
  <c r="Z28" i="230"/>
  <c r="H9" i="222"/>
  <c r="H9" i="145"/>
  <c r="Z28" i="229"/>
  <c r="H14" i="145"/>
  <c r="H14" i="222"/>
  <c r="N29" i="229"/>
  <c r="G15" i="222" s="1"/>
  <c r="F15" i="222"/>
  <c r="H16" i="222"/>
  <c r="H16" i="145"/>
  <c r="Z29" i="223"/>
  <c r="J9" i="222" s="1"/>
  <c r="I9" i="222"/>
  <c r="Z29" i="224"/>
  <c r="J10" i="222" s="1"/>
  <c r="I10" i="222"/>
  <c r="Z27" i="224" l="1"/>
  <c r="J10" i="145" s="1"/>
  <c r="I10" i="145"/>
  <c r="G17" i="145"/>
  <c r="Z27" i="230"/>
  <c r="J16" i="145" s="1"/>
  <c r="I16" i="145"/>
  <c r="AB27" i="164"/>
  <c r="M13" i="145" s="1"/>
  <c r="AB27" i="228"/>
  <c r="M14" i="145" s="1"/>
  <c r="AB25" i="228"/>
  <c r="AB27" i="227"/>
  <c r="M12" i="145" s="1"/>
  <c r="AB26" i="224"/>
  <c r="L10" i="145" s="1"/>
  <c r="AB24" i="224"/>
  <c r="K12" i="145"/>
  <c r="AB27" i="229"/>
  <c r="M15" i="145" s="1"/>
  <c r="AB25" i="229"/>
  <c r="K15" i="222"/>
  <c r="K15" i="145"/>
  <c r="AB29" i="229"/>
  <c r="M15" i="222" s="1"/>
  <c r="AB26" i="230"/>
  <c r="L16" i="145" s="1"/>
  <c r="AB27" i="226"/>
  <c r="M11" i="145" s="1"/>
  <c r="AB25" i="226"/>
  <c r="AB29" i="227"/>
  <c r="M12" i="222" s="1"/>
  <c r="K12" i="222"/>
  <c r="K14" i="222"/>
  <c r="K14" i="145"/>
  <c r="AB29" i="228"/>
  <c r="M14" i="222" s="1"/>
  <c r="AB29" i="164"/>
  <c r="M13" i="222" s="1"/>
  <c r="L13" i="222"/>
  <c r="AB28" i="230"/>
  <c r="K11" i="222"/>
  <c r="K11" i="145"/>
  <c r="AB29" i="226"/>
  <c r="M11" i="222" s="1"/>
  <c r="Z29" i="230"/>
  <c r="J16" i="222" s="1"/>
  <c r="I16" i="222"/>
  <c r="Z29" i="229"/>
  <c r="J15" i="222" s="1"/>
  <c r="I15" i="222"/>
  <c r="J17" i="145" l="1"/>
  <c r="AB27" i="224"/>
  <c r="M10" i="145" s="1"/>
  <c r="AB27" i="230"/>
  <c r="M16" i="145" s="1"/>
  <c r="AB25" i="224"/>
  <c r="AB29" i="230"/>
  <c r="M16" i="222" s="1"/>
  <c r="L16" i="222"/>
  <c r="N13" i="222"/>
  <c r="B13" i="145"/>
  <c r="C13" i="222" l="1"/>
  <c r="I13" i="222"/>
  <c r="N13" i="145"/>
  <c r="G13" i="222" l="1"/>
  <c r="F13" i="222"/>
  <c r="E13" i="145"/>
  <c r="H13" i="145" l="1"/>
  <c r="J13" i="222"/>
  <c r="A13" i="145" l="1"/>
  <c r="A13" i="222"/>
</calcChain>
</file>

<file path=xl/sharedStrings.xml><?xml version="1.0" encoding="utf-8"?>
<sst xmlns="http://schemas.openxmlformats.org/spreadsheetml/2006/main" count="1223" uniqueCount="173">
  <si>
    <t>Agency</t>
  </si>
  <si>
    <t>Classification</t>
  </si>
  <si>
    <t>Minimum Base Salary</t>
  </si>
  <si>
    <t>Maximum Base Salary</t>
  </si>
  <si>
    <t>Comments</t>
  </si>
  <si>
    <t>Survey Classification</t>
  </si>
  <si>
    <t>Comparability</t>
  </si>
  <si>
    <t>Employee's Portion of Retirement Paid by the Employer (%)</t>
  </si>
  <si>
    <t>Employee's Portion of Retirement Paid by the Employer ($)</t>
  </si>
  <si>
    <t>Deferred Compensation</t>
  </si>
  <si>
    <t>Dental</t>
  </si>
  <si>
    <t>Vision</t>
  </si>
  <si>
    <t>Life Insurance</t>
  </si>
  <si>
    <t>Total Compensation</t>
  </si>
  <si>
    <t>Health (Most Expensive Plan)</t>
  </si>
  <si>
    <t>Longevity pay at 10 Years</t>
  </si>
  <si>
    <t>Cafeteria Plan</t>
  </si>
  <si>
    <t>Labor Market Median Base Salary</t>
  </si>
  <si>
    <t>Labor Market Median Total Compensation</t>
  </si>
  <si>
    <t>Base Salary</t>
  </si>
  <si>
    <t>MEDIAN</t>
  </si>
  <si>
    <t>Total Cash</t>
  </si>
  <si>
    <t>Labor Market Median Total Cash</t>
  </si>
  <si>
    <t># Of Comparable Matches</t>
  </si>
  <si>
    <t>Employer's Portion of Retirement Paid by the Employee ($)</t>
  </si>
  <si>
    <t>Total Comp</t>
  </si>
  <si>
    <t>Total Compensation minus ER portion of retirement paid by EE</t>
  </si>
  <si>
    <t>Employer's Portion of Retirement Paid by the Employee (%)</t>
  </si>
  <si>
    <t>LTD Insurance</t>
  </si>
  <si>
    <t>Bargaining Unit</t>
  </si>
  <si>
    <t xml:space="preserve"> </t>
  </si>
  <si>
    <t>Mean</t>
  </si>
  <si>
    <t>New Hires, Yet Classic PERS members</t>
  </si>
  <si>
    <t>Certification/ Education Pay Notes</t>
  </si>
  <si>
    <t>inc</t>
  </si>
  <si>
    <t>Labor Market Mean</t>
  </si>
  <si>
    <t>RHSA</t>
  </si>
  <si>
    <t>Labor Market Mean Base Salary</t>
  </si>
  <si>
    <t>Labor Market Mean Total Cash</t>
  </si>
  <si>
    <t>Labor Market Mean Total Compensation</t>
  </si>
  <si>
    <t>Certification / Education Pay</t>
  </si>
  <si>
    <t>Social Security / Medi-Care</t>
  </si>
  <si>
    <t>Executive Director</t>
  </si>
  <si>
    <t>No Comparable Class</t>
  </si>
  <si>
    <t>Yolo County Resource Conservation District</t>
  </si>
  <si>
    <t>Data effective as of 4/2021</t>
  </si>
  <si>
    <t>Contra Costa Resource Conservation District</t>
  </si>
  <si>
    <t>UC Davis</t>
  </si>
  <si>
    <t>California State Parks</t>
  </si>
  <si>
    <t>Point Blue Conservation Science</t>
  </si>
  <si>
    <t>River Partners</t>
  </si>
  <si>
    <t>Napa County RCD</t>
  </si>
  <si>
    <t>Solano County Water Agency</t>
  </si>
  <si>
    <t>Delta Conservancy</t>
  </si>
  <si>
    <t>Gold Ridge Resource Conservation District</t>
  </si>
  <si>
    <t>Field Manager</t>
  </si>
  <si>
    <t>Financial Manager</t>
  </si>
  <si>
    <t>Program Manager</t>
  </si>
  <si>
    <t>Project Assistant</t>
  </si>
  <si>
    <t>Project Manager</t>
  </si>
  <si>
    <t>Associate Water Resources Specialist</t>
  </si>
  <si>
    <t>Office Manager</t>
  </si>
  <si>
    <t>Conservation Project Manager</t>
  </si>
  <si>
    <t>Sonoma Resource Conservation District</t>
  </si>
  <si>
    <t>Suisun Resource Conservation District</t>
  </si>
  <si>
    <t>Restoration Field Manager</t>
  </si>
  <si>
    <t>Restoration Technician</t>
  </si>
  <si>
    <t>Restoration Project Manager</t>
  </si>
  <si>
    <t>m10</t>
  </si>
  <si>
    <t>ex</t>
  </si>
  <si>
    <t>r10</t>
  </si>
  <si>
    <t>r04</t>
  </si>
  <si>
    <t>Environmental Program Manager I</t>
  </si>
  <si>
    <t>Park Maintenance Worker II</t>
  </si>
  <si>
    <t>r12</t>
  </si>
  <si>
    <t xml:space="preserve">Environmental Scientist </t>
  </si>
  <si>
    <t>Water Manager/Biologist</t>
  </si>
  <si>
    <t>Groundskeeper</t>
  </si>
  <si>
    <t>sx</t>
  </si>
  <si>
    <t>rx</t>
  </si>
  <si>
    <t>California State Parks AND Delta Conservancy</t>
  </si>
  <si>
    <t>R04</t>
  </si>
  <si>
    <t>Exempt</t>
  </si>
  <si>
    <t>M10</t>
  </si>
  <si>
    <t>R10</t>
  </si>
  <si>
    <t>M01</t>
  </si>
  <si>
    <t>R12</t>
  </si>
  <si>
    <t>range 49</t>
  </si>
  <si>
    <t>range 21</t>
  </si>
  <si>
    <t>range 25</t>
  </si>
  <si>
    <t>California Sate Parks- 9.23% furlough included</t>
  </si>
  <si>
    <t>Delta Conservancy- 9.23% furlough included</t>
  </si>
  <si>
    <t>ALL</t>
  </si>
  <si>
    <t>all</t>
  </si>
  <si>
    <t>Solano Resource Conservation District</t>
  </si>
  <si>
    <t>% Yolo County RCD is Above or Below Mean</t>
  </si>
  <si>
    <t>Yolo County RCD Maximum Base Salary</t>
  </si>
  <si>
    <t>% Yolo County RCD Is Above or Below Labor Market Median</t>
  </si>
  <si>
    <t>Yolo County RCD Total Cash</t>
  </si>
  <si>
    <t>Yolo County RCD Total Compensation</t>
  </si>
  <si>
    <t>% Yolo County RCD Is Above or Below Labor Market Mean</t>
  </si>
  <si>
    <t>Watershed Conservation Coordinator</t>
  </si>
  <si>
    <t>Napa County Resource Conservation District</t>
  </si>
  <si>
    <t>Marin Resource Conservation District</t>
  </si>
  <si>
    <t>Marin RCD</t>
  </si>
  <si>
    <t>San Mateo Resource Conservation District</t>
  </si>
  <si>
    <t>San Mateo RCD</t>
  </si>
  <si>
    <t>District Administrator</t>
  </si>
  <si>
    <t>No job description available</t>
  </si>
  <si>
    <t>Operations Manager</t>
  </si>
  <si>
    <t>Restoration Ecologist</t>
  </si>
  <si>
    <t>Director of Science</t>
  </si>
  <si>
    <t>Project Manager II</t>
  </si>
  <si>
    <t>River Partner- Medical includes ER contribution towards 3 dependents</t>
  </si>
  <si>
    <t>Streamkeeper</t>
  </si>
  <si>
    <t>No job descriptions available</t>
  </si>
  <si>
    <t>They do not have a range; this is the current salary</t>
  </si>
  <si>
    <t>No job description available; they do not have a range; this is the current salary</t>
  </si>
  <si>
    <t>Conservation Technician</t>
  </si>
  <si>
    <t>Project Coordinator</t>
  </si>
  <si>
    <t>Senior Project Manager</t>
  </si>
  <si>
    <t>Conservation Program Manager</t>
  </si>
  <si>
    <t>Associate Accounting Analyst</t>
  </si>
  <si>
    <t>Junior Accountant</t>
  </si>
  <si>
    <t>Project Accountant</t>
  </si>
  <si>
    <t>Accountant II</t>
  </si>
  <si>
    <t>R01</t>
  </si>
  <si>
    <t>Associate Governmental Program Analyst (Fiscal and Board Analyst)</t>
  </si>
  <si>
    <t>r01</t>
  </si>
  <si>
    <t>Deputy Executive Director</t>
  </si>
  <si>
    <t>Administrative Assistant/Bookkeeper (Accountant I)</t>
  </si>
  <si>
    <t>Planning Specialist 3</t>
  </si>
  <si>
    <t>Administrative Officer</t>
  </si>
  <si>
    <t>Conservation Project Coordinator</t>
  </si>
  <si>
    <t>Budget</t>
  </si>
  <si>
    <t>Median Housing</t>
  </si>
  <si>
    <t>Total Compensation minus House Payment</t>
  </si>
  <si>
    <t>House Payment Based on Median Housing Cost*</t>
  </si>
  <si>
    <t>*House payment assumes 30 year loan with $50,000 down payment</t>
  </si>
  <si>
    <t>% Yolo County RCD is Above or Below Labor Market Median</t>
  </si>
  <si>
    <t>% Yolo County RCD is Above or Below Labor Market Mean</t>
  </si>
  <si>
    <t>Yolo County RCD Total Compensation Minus House Payment</t>
  </si>
  <si>
    <t>Labor Market Median Total Compensation Minus House Payment</t>
  </si>
  <si>
    <t>% Yolo County RCD Total Compensation Minus House Payment is Above or Below Labor Market Median</t>
  </si>
  <si>
    <t>Labor Market Mean Total Compensation Minus House Payment</t>
  </si>
  <si>
    <t>% Yolo County RCD Total Compensation Minus House Payment is Above or Below Labor Market Mean</t>
  </si>
  <si>
    <t>ind</t>
  </si>
  <si>
    <t>Total Compensation minus house payment</t>
  </si>
  <si>
    <t xml:space="preserve">Yolo County RCD Total Compensation </t>
  </si>
  <si>
    <t>Point Blue- ER Cost towards medical is age based- use EE and spouse age 50 and dependent age 17 and 18; Dental is self funded- $1500/year per person- included 4</t>
  </si>
  <si>
    <t>Contra Costa RCD- ER contribution towards medical is age based- used age 50</t>
  </si>
  <si>
    <t>Natural Resources Specialist</t>
  </si>
  <si>
    <t>AVERAGE Project Manager agencies</t>
  </si>
  <si>
    <t>UC Davis- unable to obtain medical, dental, vision, life and LTD- used average of labor market agencies</t>
  </si>
  <si>
    <t>Program Director</t>
  </si>
  <si>
    <t>Planning Supervisor 2</t>
  </si>
  <si>
    <t>Accountant/Office Administrator</t>
  </si>
  <si>
    <t>Program Assistant</t>
  </si>
  <si>
    <t>Field Technician</t>
  </si>
  <si>
    <t>Core Agencies</t>
  </si>
  <si>
    <t>Additional Agencies</t>
  </si>
  <si>
    <t>Labor Market Median Core Agencies</t>
  </si>
  <si>
    <t>% Yolo County RCD is Above or Below Median Core Agencies</t>
  </si>
  <si>
    <t>Labor Market Median All Agencies</t>
  </si>
  <si>
    <t>% Yolo County RCD is Above or Below Median All Agencies</t>
  </si>
  <si>
    <t>Labor Market Median All Agencies - Adjusted for Housing</t>
  </si>
  <si>
    <t>% Yolo County RCD is Above or Below Median All Agencies - Adjusted for Housing</t>
  </si>
  <si>
    <t>Labor Market Average Housing</t>
  </si>
  <si>
    <t>$ Average Housing is More Than Yolo</t>
  </si>
  <si>
    <t>Insuff Data</t>
  </si>
  <si>
    <t>---</t>
  </si>
  <si>
    <t>Average</t>
  </si>
  <si>
    <t>Deputy 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</si>
</sst>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&quot;$&quot;#,##0.0_);[Red]\(&quot;$&quot;#,##0.0\)"/>
  </numFmts>
  <fonts count="20" x14ac:knownFonts="1">
    <font>
      <sz val="10"/>
      <name val="Arial"/>
    </font>
    <font>
      <sz val="11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2"/>
      <name val="Times New Roman"/>
      <family val="1"/>
    </font>
    <font>
      <sz val="11.65"/>
      <name val="Times New Roman"/>
      <family val="1"/>
    </font>
    <font>
      <i/>
      <sz val="12"/>
      <name val="Arial"/>
      <family val="2"/>
    </font>
    <font>
      <b/>
      <sz val="12"/>
      <name val="Arial"/>
      <family val="2"/>
    </font>
    <font>
      <b/>
      <sz val="14"/>
      <color indexed="9"/>
      <name val="Calibri"/>
      <family val="2"/>
    </font>
    <font>
      <b/>
      <sz val="14"/>
      <color theme="0"/>
      <name val="Calibri"/>
      <family val="2"/>
    </font>
    <font>
      <sz val="14"/>
      <name val="Calibri"/>
      <family val="2"/>
    </font>
    <font>
      <b/>
      <i/>
      <sz val="12"/>
      <name val="Times New Roman"/>
      <family val="1"/>
    </font>
    <font>
      <sz val="10"/>
      <name val="Arial"/>
      <family val="2"/>
    </font>
    <font>
      <b/>
      <i/>
      <sz val="10"/>
      <name val="Arial"/>
      <family val="2"/>
    </font>
    <font>
      <sz val="12"/>
      <color theme="1"/>
      <name val="Arial"/>
      <family val="2"/>
    </font>
    <font>
      <sz val="12"/>
      <color indexed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6" fillId="0" borderId="0"/>
    <xf numFmtId="0" fontId="2" fillId="0" borderId="0"/>
    <xf numFmtId="9" fontId="16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Fill="1"/>
    <xf numFmtId="0" fontId="1" fillId="0" borderId="0" xfId="0" applyFont="1"/>
    <xf numFmtId="0" fontId="5" fillId="0" borderId="7" xfId="0" applyFont="1" applyBorder="1"/>
    <xf numFmtId="164" fontId="4" fillId="0" borderId="4" xfId="0" applyNumberFormat="1" applyFont="1" applyFill="1" applyBorder="1" applyAlignment="1">
      <alignment horizontal="center"/>
    </xf>
    <xf numFmtId="0" fontId="4" fillId="5" borderId="5" xfId="0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8" fillId="0" borderId="0" xfId="0" applyFont="1"/>
    <xf numFmtId="0" fontId="4" fillId="5" borderId="4" xfId="0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4" fillId="0" borderId="0" xfId="0" applyFont="1" applyBorder="1"/>
    <xf numFmtId="0" fontId="8" fillId="0" borderId="0" xfId="0" applyFont="1" applyBorder="1"/>
    <xf numFmtId="0" fontId="0" fillId="0" borderId="16" xfId="0" applyBorder="1"/>
    <xf numFmtId="9" fontId="4" fillId="0" borderId="4" xfId="0" applyNumberFormat="1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0" fontId="4" fillId="0" borderId="1" xfId="2" applyFont="1" applyFill="1" applyBorder="1" applyAlignment="1">
      <alignment wrapText="1"/>
    </xf>
    <xf numFmtId="0" fontId="4" fillId="3" borderId="2" xfId="0" applyFont="1" applyFill="1" applyBorder="1" applyAlignment="1">
      <alignment wrapText="1"/>
    </xf>
    <xf numFmtId="164" fontId="7" fillId="0" borderId="15" xfId="0" applyNumberFormat="1" applyFont="1" applyFill="1" applyBorder="1" applyAlignment="1">
      <alignment horizontal="center"/>
    </xf>
    <xf numFmtId="0" fontId="7" fillId="0" borderId="17" xfId="2" applyFont="1" applyBorder="1" applyAlignment="1">
      <alignment wrapText="1"/>
    </xf>
    <xf numFmtId="0" fontId="7" fillId="0" borderId="15" xfId="2" applyFont="1" applyFill="1" applyBorder="1" applyAlignment="1">
      <alignment wrapText="1"/>
    </xf>
    <xf numFmtId="0" fontId="7" fillId="0" borderId="18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/>
    </xf>
    <xf numFmtId="0" fontId="4" fillId="0" borderId="11" xfId="0" applyFont="1" applyBorder="1" applyAlignment="1">
      <alignment wrapText="1"/>
    </xf>
    <xf numFmtId="0" fontId="9" fillId="0" borderId="0" xfId="0" applyFont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0" fontId="10" fillId="0" borderId="0" xfId="0" applyFont="1"/>
    <xf numFmtId="0" fontId="10" fillId="0" borderId="0" xfId="0" applyFont="1" applyBorder="1" applyAlignment="1">
      <alignment horizontal="right" indent="1"/>
    </xf>
    <xf numFmtId="0" fontId="12" fillId="2" borderId="1" xfId="0" applyFont="1" applyFill="1" applyBorder="1"/>
    <xf numFmtId="0" fontId="12" fillId="2" borderId="2" xfId="0" applyFont="1" applyFill="1" applyBorder="1" applyAlignment="1">
      <alignment horizontal="center" wrapText="1"/>
    </xf>
    <xf numFmtId="0" fontId="13" fillId="2" borderId="11" xfId="0" applyFont="1" applyFill="1" applyBorder="1" applyAlignment="1">
      <alignment horizontal="center" wrapText="1"/>
    </xf>
    <xf numFmtId="164" fontId="7" fillId="0" borderId="4" xfId="0" applyNumberFormat="1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 wrapText="1"/>
    </xf>
    <xf numFmtId="0" fontId="15" fillId="0" borderId="0" xfId="0" applyFont="1"/>
    <xf numFmtId="164" fontId="14" fillId="0" borderId="4" xfId="0" applyNumberFormat="1" applyFont="1" applyBorder="1" applyAlignment="1">
      <alignment horizontal="center" wrapText="1"/>
    </xf>
    <xf numFmtId="10" fontId="14" fillId="0" borderId="4" xfId="3" applyNumberFormat="1" applyFont="1" applyBorder="1" applyAlignment="1">
      <alignment horizontal="center" wrapText="1"/>
    </xf>
    <xf numFmtId="164" fontId="10" fillId="0" borderId="4" xfId="0" applyNumberFormat="1" applyFont="1" applyBorder="1" applyAlignment="1">
      <alignment horizontal="center"/>
    </xf>
    <xf numFmtId="10" fontId="10" fillId="0" borderId="4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0" fontId="9" fillId="0" borderId="0" xfId="0" applyFont="1" applyBorder="1"/>
    <xf numFmtId="0" fontId="2" fillId="0" borderId="0" xfId="0" applyFont="1"/>
    <xf numFmtId="0" fontId="17" fillId="0" borderId="0" xfId="0" applyFont="1"/>
    <xf numFmtId="9" fontId="4" fillId="0" borderId="2" xfId="0" applyNumberFormat="1" applyFont="1" applyFill="1" applyBorder="1" applyAlignment="1">
      <alignment horizontal="center"/>
    </xf>
    <xf numFmtId="164" fontId="4" fillId="6" borderId="4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wrapText="1"/>
    </xf>
    <xf numFmtId="0" fontId="18" fillId="0" borderId="4" xfId="0" applyFont="1" applyFill="1" applyBorder="1" applyAlignment="1">
      <alignment wrapText="1"/>
    </xf>
    <xf numFmtId="0" fontId="7" fillId="0" borderId="15" xfId="2" applyFont="1" applyBorder="1" applyAlignment="1">
      <alignment wrapText="1"/>
    </xf>
    <xf numFmtId="9" fontId="7" fillId="0" borderId="4" xfId="0" applyNumberFormat="1" applyFont="1" applyBorder="1" applyAlignment="1">
      <alignment horizontal="center"/>
    </xf>
    <xf numFmtId="0" fontId="4" fillId="0" borderId="1" xfId="2" applyFont="1" applyBorder="1" applyAlignment="1">
      <alignment wrapText="1"/>
    </xf>
    <xf numFmtId="164" fontId="4" fillId="0" borderId="2" xfId="0" applyNumberFormat="1" applyFont="1" applyBorder="1" applyAlignment="1">
      <alignment horizontal="center"/>
    </xf>
    <xf numFmtId="9" fontId="4" fillId="0" borderId="2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9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wrapText="1"/>
    </xf>
    <xf numFmtId="164" fontId="4" fillId="0" borderId="4" xfId="0" applyNumberFormat="1" applyFont="1" applyBorder="1" applyAlignment="1">
      <alignment horizontal="center" wrapText="1"/>
    </xf>
    <xf numFmtId="0" fontId="4" fillId="0" borderId="5" xfId="0" applyFont="1" applyBorder="1" applyAlignment="1">
      <alignment wrapText="1"/>
    </xf>
    <xf numFmtId="164" fontId="7" fillId="0" borderId="2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4" fillId="6" borderId="2" xfId="0" applyFont="1" applyFill="1" applyBorder="1" applyAlignment="1">
      <alignment wrapText="1"/>
    </xf>
    <xf numFmtId="164" fontId="11" fillId="0" borderId="4" xfId="0" applyNumberFormat="1" applyFont="1" applyFill="1" applyBorder="1" applyAlignment="1">
      <alignment horizontal="center" wrapText="1"/>
    </xf>
    <xf numFmtId="0" fontId="4" fillId="0" borderId="15" xfId="2" applyFont="1" applyBorder="1" applyAlignment="1">
      <alignment wrapText="1"/>
    </xf>
    <xf numFmtId="164" fontId="4" fillId="0" borderId="15" xfId="0" applyNumberFormat="1" applyFont="1" applyBorder="1" applyAlignment="1">
      <alignment horizontal="center"/>
    </xf>
    <xf numFmtId="164" fontId="7" fillId="0" borderId="15" xfId="0" applyNumberFormat="1" applyFont="1" applyFill="1" applyBorder="1" applyAlignment="1">
      <alignment horizontal="center" wrapText="1"/>
    </xf>
    <xf numFmtId="164" fontId="7" fillId="0" borderId="4" xfId="0" applyNumberFormat="1" applyFont="1" applyBorder="1" applyAlignment="1">
      <alignment horizontal="center" wrapText="1"/>
    </xf>
    <xf numFmtId="165" fontId="7" fillId="0" borderId="15" xfId="2" applyNumberFormat="1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165" fontId="4" fillId="3" borderId="2" xfId="0" applyNumberFormat="1" applyFont="1" applyFill="1" applyBorder="1" applyAlignment="1">
      <alignment horizontal="center" wrapText="1"/>
    </xf>
    <xf numFmtId="6" fontId="4" fillId="5" borderId="4" xfId="0" applyNumberFormat="1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wrapText="1"/>
    </xf>
    <xf numFmtId="165" fontId="4" fillId="5" borderId="4" xfId="0" applyNumberFormat="1" applyFont="1" applyFill="1" applyBorder="1" applyAlignment="1">
      <alignment horizontal="center" wrapText="1"/>
    </xf>
    <xf numFmtId="165" fontId="4" fillId="0" borderId="15" xfId="2" applyNumberFormat="1" applyFont="1" applyBorder="1" applyAlignment="1">
      <alignment horizontal="center" wrapText="1"/>
    </xf>
    <xf numFmtId="6" fontId="4" fillId="0" borderId="4" xfId="0" applyNumberFormat="1" applyFont="1" applyFill="1" applyBorder="1" applyAlignment="1">
      <alignment horizontal="center" wrapText="1"/>
    </xf>
    <xf numFmtId="165" fontId="0" fillId="0" borderId="0" xfId="0" applyNumberFormat="1" applyFill="1" applyAlignment="1">
      <alignment horizontal="center"/>
    </xf>
    <xf numFmtId="6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5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6" fontId="4" fillId="3" borderId="2" xfId="0" applyNumberFormat="1" applyFont="1" applyFill="1" applyBorder="1" applyAlignment="1">
      <alignment horizontal="center" wrapText="1"/>
    </xf>
    <xf numFmtId="8" fontId="4" fillId="5" borderId="4" xfId="0" applyNumberFormat="1" applyFont="1" applyFill="1" applyBorder="1" applyAlignment="1">
      <alignment horizontal="center" wrapText="1"/>
    </xf>
    <xf numFmtId="6" fontId="4" fillId="0" borderId="15" xfId="2" applyNumberFormat="1" applyFont="1" applyBorder="1" applyAlignment="1">
      <alignment horizontal="center" wrapText="1"/>
    </xf>
    <xf numFmtId="6" fontId="7" fillId="0" borderId="15" xfId="2" applyNumberFormat="1" applyFont="1" applyFill="1" applyBorder="1" applyAlignment="1">
      <alignment horizontal="center" wrapText="1"/>
    </xf>
    <xf numFmtId="0" fontId="3" fillId="2" borderId="19" xfId="0" applyFont="1" applyFill="1" applyBorder="1" applyAlignment="1">
      <alignment horizontal="center" wrapText="1"/>
    </xf>
    <xf numFmtId="164" fontId="7" fillId="0" borderId="20" xfId="0" applyNumberFormat="1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4" fillId="0" borderId="21" xfId="0" applyNumberFormat="1" applyFont="1" applyFill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10" fontId="10" fillId="0" borderId="0" xfId="0" applyNumberFormat="1" applyFont="1" applyBorder="1" applyAlignment="1">
      <alignment horizontal="center"/>
    </xf>
    <xf numFmtId="164" fontId="4" fillId="0" borderId="22" xfId="0" applyNumberFormat="1" applyFont="1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0" fontId="12" fillId="2" borderId="22" xfId="0" applyFont="1" applyFill="1" applyBorder="1" applyAlignment="1">
      <alignment horizontal="center" wrapText="1"/>
    </xf>
    <xf numFmtId="0" fontId="3" fillId="2" borderId="23" xfId="0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center"/>
    </xf>
    <xf numFmtId="0" fontId="7" fillId="0" borderId="4" xfId="0" applyFont="1" applyBorder="1" applyAlignment="1">
      <alignment wrapText="1"/>
    </xf>
    <xf numFmtId="0" fontId="4" fillId="0" borderId="17" xfId="2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19" fillId="2" borderId="12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 wrapText="1"/>
    </xf>
    <xf numFmtId="0" fontId="19" fillId="2" borderId="25" xfId="0" applyFont="1" applyFill="1" applyBorder="1" applyAlignment="1">
      <alignment horizontal="center" wrapText="1"/>
    </xf>
    <xf numFmtId="0" fontId="19" fillId="2" borderId="26" xfId="0" applyFont="1" applyFill="1" applyBorder="1" applyAlignment="1">
      <alignment horizontal="center"/>
    </xf>
    <xf numFmtId="0" fontId="19" fillId="2" borderId="13" xfId="0" applyFont="1" applyFill="1" applyBorder="1" applyAlignment="1">
      <alignment horizontal="center"/>
    </xf>
    <xf numFmtId="0" fontId="11" fillId="0" borderId="7" xfId="0" applyFont="1" applyBorder="1" applyAlignment="1"/>
    <xf numFmtId="0" fontId="14" fillId="0" borderId="27" xfId="0" applyFont="1" applyBorder="1" applyAlignment="1">
      <alignment wrapText="1"/>
    </xf>
    <xf numFmtId="1" fontId="14" fillId="0" borderId="5" xfId="0" applyNumberFormat="1" applyFont="1" applyBorder="1" applyAlignment="1">
      <alignment horizontal="center" wrapText="1"/>
    </xf>
    <xf numFmtId="0" fontId="14" fillId="0" borderId="28" xfId="0" applyFont="1" applyBorder="1" applyAlignment="1">
      <alignment wrapText="1"/>
    </xf>
    <xf numFmtId="164" fontId="14" fillId="0" borderId="29" xfId="0" applyNumberFormat="1" applyFont="1" applyBorder="1" applyAlignment="1">
      <alignment horizontal="center" wrapText="1"/>
    </xf>
    <xf numFmtId="10" fontId="14" fillId="0" borderId="29" xfId="3" applyNumberFormat="1" applyFont="1" applyBorder="1" applyAlignment="1">
      <alignment horizontal="center" wrapText="1"/>
    </xf>
    <xf numFmtId="1" fontId="14" fillId="0" borderId="30" xfId="0" applyNumberFormat="1" applyFont="1" applyBorder="1" applyAlignment="1">
      <alignment horizontal="center" wrapText="1"/>
    </xf>
    <xf numFmtId="6" fontId="4" fillId="7" borderId="31" xfId="0" applyNumberFormat="1" applyFont="1" applyFill="1" applyBorder="1" applyAlignment="1">
      <alignment horizontal="center" wrapText="1"/>
    </xf>
    <xf numFmtId="6" fontId="4" fillId="0" borderId="4" xfId="0" applyNumberFormat="1" applyFont="1" applyBorder="1" applyAlignment="1">
      <alignment horizontal="center" wrapText="1"/>
    </xf>
    <xf numFmtId="0" fontId="4" fillId="0" borderId="15" xfId="2" applyFont="1" applyFill="1" applyBorder="1" applyAlignment="1">
      <alignment wrapText="1"/>
    </xf>
    <xf numFmtId="165" fontId="4" fillId="7" borderId="4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wrapText="1"/>
    </xf>
    <xf numFmtId="6" fontId="4" fillId="3" borderId="4" xfId="0" applyNumberFormat="1" applyFont="1" applyFill="1" applyBorder="1" applyAlignment="1">
      <alignment horizontal="center" wrapText="1"/>
    </xf>
    <xf numFmtId="10" fontId="10" fillId="0" borderId="0" xfId="0" applyNumberFormat="1" applyFont="1" applyBorder="1" applyAlignment="1"/>
    <xf numFmtId="9" fontId="10" fillId="0" borderId="0" xfId="3" applyFont="1" applyBorder="1" applyAlignment="1">
      <alignment horizontal="center"/>
    </xf>
    <xf numFmtId="10" fontId="10" fillId="0" borderId="4" xfId="0" quotePrefix="1" applyNumberFormat="1" applyFont="1" applyBorder="1" applyAlignment="1">
      <alignment horizontal="center"/>
    </xf>
    <xf numFmtId="164" fontId="10" fillId="0" borderId="38" xfId="0" applyNumberFormat="1" applyFont="1" applyBorder="1" applyAlignment="1">
      <alignment horizontal="center"/>
    </xf>
    <xf numFmtId="10" fontId="10" fillId="0" borderId="38" xfId="0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10" fontId="7" fillId="0" borderId="0" xfId="3" applyNumberFormat="1" applyFont="1" applyAlignment="1">
      <alignment horizontal="center"/>
    </xf>
    <xf numFmtId="0" fontId="7" fillId="0" borderId="0" xfId="0" applyFont="1" applyAlignment="1">
      <alignment horizontal="center"/>
    </xf>
    <xf numFmtId="10" fontId="10" fillId="0" borderId="0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left"/>
    </xf>
    <xf numFmtId="164" fontId="4" fillId="0" borderId="0" xfId="3" applyNumberFormat="1" applyFont="1" applyAlignment="1">
      <alignment horizontal="left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3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0" fillId="0" borderId="2" xfId="0" applyFont="1" applyBorder="1" applyAlignment="1">
      <alignment horizontal="right"/>
    </xf>
    <xf numFmtId="0" fontId="7" fillId="4" borderId="9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right"/>
    </xf>
    <xf numFmtId="0" fontId="7" fillId="0" borderId="32" xfId="2" applyFont="1" applyFill="1" applyBorder="1" applyAlignment="1">
      <alignment horizontal="center" wrapText="1"/>
    </xf>
    <xf numFmtId="0" fontId="7" fillId="0" borderId="33" xfId="2" applyFont="1" applyFill="1" applyBorder="1" applyAlignment="1">
      <alignment horizontal="center" wrapText="1"/>
    </xf>
    <xf numFmtId="0" fontId="7" fillId="0" borderId="34" xfId="2" applyFont="1" applyFill="1" applyBorder="1" applyAlignment="1">
      <alignment horizontal="center" wrapText="1"/>
    </xf>
    <xf numFmtId="0" fontId="7" fillId="0" borderId="35" xfId="0" applyFont="1" applyFill="1" applyBorder="1" applyAlignment="1">
      <alignment horizontal="center"/>
    </xf>
    <xf numFmtId="0" fontId="7" fillId="0" borderId="36" xfId="0" applyFont="1" applyFill="1" applyBorder="1" applyAlignment="1">
      <alignment horizontal="center"/>
    </xf>
    <xf numFmtId="0" fontId="7" fillId="0" borderId="37" xfId="0" applyFont="1" applyFill="1" applyBorder="1" applyAlignment="1">
      <alignment horizontal="center"/>
    </xf>
    <xf numFmtId="0" fontId="10" fillId="0" borderId="21" xfId="0" applyFont="1" applyBorder="1" applyAlignment="1">
      <alignment horizontal="right"/>
    </xf>
    <xf numFmtId="0" fontId="10" fillId="0" borderId="33" xfId="0" applyFont="1" applyBorder="1" applyAlignment="1">
      <alignment horizontal="right"/>
    </xf>
    <xf numFmtId="0" fontId="10" fillId="0" borderId="31" xfId="0" applyFont="1" applyBorder="1" applyAlignment="1">
      <alignment horizontal="right"/>
    </xf>
    <xf numFmtId="10" fontId="10" fillId="0" borderId="0" xfId="0" applyNumberFormat="1" applyFont="1" applyBorder="1" applyAlignment="1">
      <alignment horizontal="right"/>
    </xf>
    <xf numFmtId="10" fontId="10" fillId="0" borderId="39" xfId="0" applyNumberFormat="1" applyFont="1" applyBorder="1" applyAlignment="1">
      <alignment horizontal="right"/>
    </xf>
    <xf numFmtId="10" fontId="10" fillId="0" borderId="0" xfId="0" applyNumberFormat="1" applyFont="1" applyBorder="1" applyAlignment="1">
      <alignment horizontal="center"/>
    </xf>
    <xf numFmtId="10" fontId="10" fillId="0" borderId="39" xfId="0" applyNumberFormat="1" applyFont="1" applyBorder="1" applyAlignment="1">
      <alignment horizontal="center"/>
    </xf>
    <xf numFmtId="0" fontId="10" fillId="0" borderId="0" xfId="0" applyFont="1" applyBorder="1" applyAlignment="1">
      <alignment horizontal="right"/>
    </xf>
  </cellXfs>
  <cellStyles count="4">
    <cellStyle name="Normal" xfId="0" builtinId="0"/>
    <cellStyle name="Normal 2" xfId="1" xr:uid="{00000000-0005-0000-0000-000001000000}"/>
    <cellStyle name="Normal_Administrative Aide (DH Sec)" xfId="2" xr:uid="{00000000-0005-0000-0000-000002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80"/>
  <sheetViews>
    <sheetView topLeftCell="A26" zoomScale="50" zoomScaleNormal="50" workbookViewId="0">
      <selection activeCell="B36" sqref="B36"/>
    </sheetView>
  </sheetViews>
  <sheetFormatPr baseColWidth="10" defaultColWidth="8.83203125" defaultRowHeight="13" x14ac:dyDescent="0.15"/>
  <cols>
    <col min="1" max="1" width="28.83203125" customWidth="1"/>
    <col min="2" max="2" width="30.83203125" customWidth="1"/>
    <col min="3" max="3" width="14.5" customWidth="1"/>
    <col min="4" max="5" width="13.5" customWidth="1"/>
    <col min="6" max="6" width="14.83203125" customWidth="1"/>
    <col min="7" max="7" width="14.1640625" customWidth="1"/>
    <col min="8" max="8" width="19.33203125" customWidth="1"/>
    <col min="9" max="10" width="15.1640625" customWidth="1"/>
    <col min="11" max="11" width="19" customWidth="1"/>
    <col min="12" max="18" width="13.5" customWidth="1"/>
    <col min="19" max="19" width="15.1640625" customWidth="1"/>
    <col min="20" max="23" width="13.5" customWidth="1"/>
    <col min="24" max="24" width="17.1640625" customWidth="1"/>
    <col min="25" max="25" width="49.5" customWidth="1"/>
  </cols>
  <sheetData>
    <row r="1" spans="1:25" x14ac:dyDescent="0.15">
      <c r="J1" s="43"/>
    </row>
    <row r="3" spans="1:25" ht="14" thickBot="1" x14ac:dyDescent="0.2">
      <c r="A3" s="44" t="s">
        <v>32</v>
      </c>
    </row>
    <row r="4" spans="1:25" ht="103" thickBot="1" x14ac:dyDescent="0.25">
      <c r="A4" s="21" t="s">
        <v>0</v>
      </c>
      <c r="B4" s="22" t="s">
        <v>1</v>
      </c>
      <c r="C4" s="23" t="s">
        <v>29</v>
      </c>
      <c r="D4" s="23" t="s">
        <v>2</v>
      </c>
      <c r="E4" s="94" t="s">
        <v>3</v>
      </c>
      <c r="F4" s="94" t="s">
        <v>7</v>
      </c>
      <c r="G4" s="94" t="s">
        <v>8</v>
      </c>
      <c r="H4" s="94" t="s">
        <v>9</v>
      </c>
      <c r="I4" s="94" t="s">
        <v>15</v>
      </c>
      <c r="J4" s="94" t="s">
        <v>40</v>
      </c>
      <c r="K4" s="94" t="s">
        <v>33</v>
      </c>
      <c r="L4" s="94" t="s">
        <v>21</v>
      </c>
      <c r="M4" s="94" t="s">
        <v>16</v>
      </c>
      <c r="N4" s="94" t="s">
        <v>14</v>
      </c>
      <c r="O4" s="94" t="s">
        <v>10</v>
      </c>
      <c r="P4" s="94" t="s">
        <v>11</v>
      </c>
      <c r="Q4" s="94" t="s">
        <v>12</v>
      </c>
      <c r="R4" s="94" t="s">
        <v>28</v>
      </c>
      <c r="S4" s="94" t="s">
        <v>41</v>
      </c>
      <c r="T4" s="94" t="s">
        <v>36</v>
      </c>
      <c r="U4" s="94" t="s">
        <v>25</v>
      </c>
      <c r="V4" s="94" t="s">
        <v>27</v>
      </c>
      <c r="W4" s="94" t="s">
        <v>24</v>
      </c>
      <c r="X4" s="94" t="s">
        <v>26</v>
      </c>
      <c r="Y4" s="95" t="s">
        <v>4</v>
      </c>
    </row>
    <row r="5" spans="1:25" s="44" customFormat="1" ht="94.75" customHeight="1" thickBot="1" x14ac:dyDescent="0.25">
      <c r="A5" s="18" t="s">
        <v>44</v>
      </c>
      <c r="B5" s="49"/>
      <c r="C5" s="49"/>
      <c r="D5" s="50"/>
      <c r="E5" s="60"/>
      <c r="F5" s="50">
        <v>0</v>
      </c>
      <c r="G5" s="60">
        <f>F5*E5</f>
        <v>0</v>
      </c>
      <c r="H5" s="60">
        <f>0.03*E5</f>
        <v>0</v>
      </c>
      <c r="I5" s="60">
        <v>0</v>
      </c>
      <c r="J5" s="60">
        <v>0</v>
      </c>
      <c r="K5" s="60"/>
      <c r="L5" s="60">
        <f>SUM(E5,G5:J5)</f>
        <v>0</v>
      </c>
      <c r="M5" s="60">
        <v>0</v>
      </c>
      <c r="N5" s="60">
        <v>1053.2</v>
      </c>
      <c r="O5" s="60">
        <v>52.46</v>
      </c>
      <c r="P5" s="60">
        <v>7.6</v>
      </c>
      <c r="Q5" s="60">
        <v>0</v>
      </c>
      <c r="R5" s="60">
        <v>0</v>
      </c>
      <c r="S5" s="60">
        <f t="shared" ref="S5:S28" si="0">IF(E5&gt;11900,(11900*0.062)+(0.0145*E5),(0.0765*E5))</f>
        <v>0</v>
      </c>
      <c r="T5" s="60">
        <v>0</v>
      </c>
      <c r="U5" s="60">
        <f>SUM(L5:T5)</f>
        <v>1113.26</v>
      </c>
      <c r="V5" s="50">
        <v>0</v>
      </c>
      <c r="W5" s="66">
        <f>V5*E5</f>
        <v>0</v>
      </c>
      <c r="X5" s="60">
        <f>U5-W5</f>
        <v>1113.26</v>
      </c>
      <c r="Y5" s="96"/>
    </row>
    <row r="6" spans="1:25" s="43" customFormat="1" ht="103" thickBot="1" x14ac:dyDescent="0.25">
      <c r="A6" s="99" t="s">
        <v>0</v>
      </c>
      <c r="B6" s="100" t="s">
        <v>1</v>
      </c>
      <c r="C6" s="101" t="s">
        <v>29</v>
      </c>
      <c r="D6" s="101" t="s">
        <v>2</v>
      </c>
      <c r="E6" s="102" t="s">
        <v>3</v>
      </c>
      <c r="F6" s="102" t="s">
        <v>7</v>
      </c>
      <c r="G6" s="102" t="s">
        <v>8</v>
      </c>
      <c r="H6" s="102" t="s">
        <v>9</v>
      </c>
      <c r="I6" s="102" t="s">
        <v>15</v>
      </c>
      <c r="J6" s="102" t="s">
        <v>40</v>
      </c>
      <c r="K6" s="102" t="s">
        <v>33</v>
      </c>
      <c r="L6" s="102" t="s">
        <v>21</v>
      </c>
      <c r="M6" s="102" t="s">
        <v>16</v>
      </c>
      <c r="N6" s="102" t="s">
        <v>14</v>
      </c>
      <c r="O6" s="102" t="s">
        <v>10</v>
      </c>
      <c r="P6" s="102" t="s">
        <v>11</v>
      </c>
      <c r="Q6" s="102" t="s">
        <v>12</v>
      </c>
      <c r="R6" s="102" t="s">
        <v>28</v>
      </c>
      <c r="S6" s="102" t="s">
        <v>41</v>
      </c>
      <c r="T6" s="102" t="s">
        <v>36</v>
      </c>
      <c r="U6" s="102" t="s">
        <v>25</v>
      </c>
      <c r="V6" s="102" t="s">
        <v>27</v>
      </c>
      <c r="W6" s="102" t="s">
        <v>24</v>
      </c>
      <c r="X6" s="102" t="s">
        <v>26</v>
      </c>
      <c r="Y6" s="103" t="s">
        <v>4</v>
      </c>
    </row>
    <row r="7" spans="1:25" s="43" customFormat="1" ht="94.75" customHeight="1" thickBot="1" x14ac:dyDescent="0.25">
      <c r="A7" s="97" t="s">
        <v>94</v>
      </c>
      <c r="B7" s="63"/>
      <c r="C7" s="63"/>
      <c r="D7" s="55"/>
      <c r="E7" s="52"/>
      <c r="F7" s="55">
        <v>0</v>
      </c>
      <c r="G7" s="54">
        <f>F7*E7</f>
        <v>0</v>
      </c>
      <c r="H7" s="54">
        <f>0.1*E7</f>
        <v>0</v>
      </c>
      <c r="I7" s="54">
        <v>0</v>
      </c>
      <c r="J7" s="54">
        <v>0</v>
      </c>
      <c r="K7" s="54"/>
      <c r="L7" s="54">
        <f>SUM(E7,G7:J7)</f>
        <v>0</v>
      </c>
      <c r="M7" s="54">
        <v>0</v>
      </c>
      <c r="N7" s="54">
        <v>786.34</v>
      </c>
      <c r="O7" s="54">
        <v>60.52</v>
      </c>
      <c r="P7" s="54">
        <v>13.12</v>
      </c>
      <c r="Q7" s="54">
        <v>0</v>
      </c>
      <c r="R7" s="54">
        <v>0</v>
      </c>
      <c r="S7" s="54">
        <f t="shared" si="0"/>
        <v>0</v>
      </c>
      <c r="T7" s="54">
        <v>0</v>
      </c>
      <c r="U7" s="54">
        <f>SUM(L7:T7)</f>
        <v>859.98</v>
      </c>
      <c r="V7" s="55">
        <v>0</v>
      </c>
      <c r="W7" s="57">
        <f>V7*E7</f>
        <v>0</v>
      </c>
      <c r="X7" s="54">
        <f>U7-W7</f>
        <v>859.98</v>
      </c>
      <c r="Y7" s="98"/>
    </row>
    <row r="8" spans="1:25" s="43" customFormat="1" ht="103" thickBot="1" x14ac:dyDescent="0.25">
      <c r="A8" s="99" t="s">
        <v>0</v>
      </c>
      <c r="B8" s="100" t="s">
        <v>1</v>
      </c>
      <c r="C8" s="101" t="s">
        <v>29</v>
      </c>
      <c r="D8" s="101" t="s">
        <v>2</v>
      </c>
      <c r="E8" s="101" t="s">
        <v>3</v>
      </c>
      <c r="F8" s="101" t="s">
        <v>7</v>
      </c>
      <c r="G8" s="101" t="s">
        <v>8</v>
      </c>
      <c r="H8" s="101" t="s">
        <v>9</v>
      </c>
      <c r="I8" s="101" t="s">
        <v>15</v>
      </c>
      <c r="J8" s="101" t="s">
        <v>40</v>
      </c>
      <c r="K8" s="101" t="s">
        <v>33</v>
      </c>
      <c r="L8" s="101" t="s">
        <v>21</v>
      </c>
      <c r="M8" s="101" t="s">
        <v>16</v>
      </c>
      <c r="N8" s="101" t="s">
        <v>14</v>
      </c>
      <c r="O8" s="101" t="s">
        <v>10</v>
      </c>
      <c r="P8" s="101" t="s">
        <v>11</v>
      </c>
      <c r="Q8" s="101" t="s">
        <v>12</v>
      </c>
      <c r="R8" s="101" t="s">
        <v>28</v>
      </c>
      <c r="S8" s="101" t="s">
        <v>41</v>
      </c>
      <c r="T8" s="101" t="s">
        <v>36</v>
      </c>
      <c r="U8" s="101" t="s">
        <v>25</v>
      </c>
      <c r="V8" s="101" t="s">
        <v>27</v>
      </c>
      <c r="W8" s="101" t="s">
        <v>24</v>
      </c>
      <c r="X8" s="101" t="s">
        <v>26</v>
      </c>
      <c r="Y8" s="104" t="s">
        <v>4</v>
      </c>
    </row>
    <row r="9" spans="1:25" s="43" customFormat="1" ht="45" customHeight="1" x14ac:dyDescent="0.2">
      <c r="A9" s="51" t="s">
        <v>80</v>
      </c>
      <c r="B9" s="16" t="s">
        <v>81</v>
      </c>
      <c r="C9" s="16"/>
      <c r="D9" s="53"/>
      <c r="E9" s="52"/>
      <c r="F9" s="55">
        <v>0</v>
      </c>
      <c r="G9" s="54">
        <f t="shared" ref="G9:G14" si="1">F9*E9</f>
        <v>0</v>
      </c>
      <c r="H9" s="54">
        <v>0</v>
      </c>
      <c r="I9" s="54">
        <v>0</v>
      </c>
      <c r="J9" s="54">
        <v>0</v>
      </c>
      <c r="K9" s="54"/>
      <c r="L9" s="54">
        <f t="shared" ref="L9:L14" si="2">SUM(E9,G9:J9)</f>
        <v>0</v>
      </c>
      <c r="M9" s="54">
        <v>26</v>
      </c>
      <c r="N9" s="54">
        <v>1567</v>
      </c>
      <c r="O9" s="54">
        <v>96.21</v>
      </c>
      <c r="P9" s="54">
        <v>8.27</v>
      </c>
      <c r="Q9" s="54">
        <v>0</v>
      </c>
      <c r="R9" s="54">
        <v>0</v>
      </c>
      <c r="S9" s="54">
        <f t="shared" si="0"/>
        <v>0</v>
      </c>
      <c r="T9" s="54">
        <v>0</v>
      </c>
      <c r="U9" s="54">
        <f t="shared" ref="U9:U14" si="3">SUM(L9:T9)</f>
        <v>1697.48</v>
      </c>
      <c r="V9" s="55">
        <v>0</v>
      </c>
      <c r="W9" s="57">
        <f t="shared" ref="W9:W14" si="4">V9*E9</f>
        <v>0</v>
      </c>
      <c r="X9" s="54">
        <f t="shared" ref="X9:X14" si="5">U9-W9</f>
        <v>1697.48</v>
      </c>
      <c r="Y9" s="25"/>
    </row>
    <row r="10" spans="1:25" s="43" customFormat="1" ht="45" customHeight="1" x14ac:dyDescent="0.2">
      <c r="A10" s="51"/>
      <c r="B10" s="16" t="s">
        <v>82</v>
      </c>
      <c r="C10" s="16"/>
      <c r="D10" s="53"/>
      <c r="E10" s="52"/>
      <c r="F10" s="55">
        <v>0</v>
      </c>
      <c r="G10" s="54">
        <f t="shared" si="1"/>
        <v>0</v>
      </c>
      <c r="H10" s="54">
        <v>0</v>
      </c>
      <c r="I10" s="54">
        <v>0</v>
      </c>
      <c r="J10" s="54">
        <v>0</v>
      </c>
      <c r="K10" s="54"/>
      <c r="L10" s="54">
        <f t="shared" si="2"/>
        <v>0</v>
      </c>
      <c r="M10" s="54">
        <v>1723</v>
      </c>
      <c r="N10" s="54" t="s">
        <v>34</v>
      </c>
      <c r="O10" s="54" t="s">
        <v>34</v>
      </c>
      <c r="P10" s="54" t="s">
        <v>34</v>
      </c>
      <c r="Q10" s="54">
        <v>9.75</v>
      </c>
      <c r="R10" s="54">
        <v>0</v>
      </c>
      <c r="S10" s="54">
        <f t="shared" si="0"/>
        <v>0</v>
      </c>
      <c r="T10" s="54">
        <v>0</v>
      </c>
      <c r="U10" s="54">
        <f t="shared" si="3"/>
        <v>1732.75</v>
      </c>
      <c r="V10" s="55">
        <v>0</v>
      </c>
      <c r="W10" s="57">
        <f t="shared" si="4"/>
        <v>0</v>
      </c>
      <c r="X10" s="54">
        <f t="shared" si="5"/>
        <v>1732.75</v>
      </c>
      <c r="Y10" s="25"/>
    </row>
    <row r="11" spans="1:25" s="43" customFormat="1" ht="45" customHeight="1" x14ac:dyDescent="0.2">
      <c r="A11" s="51"/>
      <c r="B11" s="16" t="s">
        <v>83</v>
      </c>
      <c r="C11" s="16"/>
      <c r="D11" s="53"/>
      <c r="E11" s="52"/>
      <c r="F11" s="55">
        <v>0</v>
      </c>
      <c r="G11" s="54">
        <f t="shared" si="1"/>
        <v>0</v>
      </c>
      <c r="H11" s="54">
        <v>0</v>
      </c>
      <c r="I11" s="54">
        <v>0</v>
      </c>
      <c r="J11" s="54">
        <v>0</v>
      </c>
      <c r="K11" s="54"/>
      <c r="L11" s="54">
        <f t="shared" si="2"/>
        <v>0</v>
      </c>
      <c r="M11" s="54">
        <v>1723</v>
      </c>
      <c r="N11" s="54" t="s">
        <v>34</v>
      </c>
      <c r="O11" s="54" t="s">
        <v>34</v>
      </c>
      <c r="P11" s="54" t="s">
        <v>34</v>
      </c>
      <c r="Q11" s="54">
        <v>9.75</v>
      </c>
      <c r="R11" s="54">
        <v>0</v>
      </c>
      <c r="S11" s="54">
        <f t="shared" si="0"/>
        <v>0</v>
      </c>
      <c r="T11" s="54">
        <v>0</v>
      </c>
      <c r="U11" s="54">
        <f t="shared" ref="U11" si="6">SUM(L11:T11)</f>
        <v>1732.75</v>
      </c>
      <c r="V11" s="55">
        <v>0</v>
      </c>
      <c r="W11" s="57">
        <f t="shared" si="4"/>
        <v>0</v>
      </c>
      <c r="X11" s="54">
        <f t="shared" si="5"/>
        <v>1732.75</v>
      </c>
      <c r="Y11" s="25"/>
    </row>
    <row r="12" spans="1:25" s="43" customFormat="1" ht="45" customHeight="1" x14ac:dyDescent="0.2">
      <c r="A12" s="51"/>
      <c r="B12" s="16" t="s">
        <v>84</v>
      </c>
      <c r="C12" s="16"/>
      <c r="D12" s="53"/>
      <c r="E12" s="52"/>
      <c r="F12" s="55">
        <v>0</v>
      </c>
      <c r="G12" s="54">
        <f t="shared" si="1"/>
        <v>0</v>
      </c>
      <c r="H12" s="54">
        <v>0</v>
      </c>
      <c r="I12" s="54">
        <v>0</v>
      </c>
      <c r="J12" s="54">
        <v>0</v>
      </c>
      <c r="K12" s="54"/>
      <c r="L12" s="54">
        <f t="shared" si="2"/>
        <v>0</v>
      </c>
      <c r="M12" s="54">
        <v>0</v>
      </c>
      <c r="N12" s="54">
        <v>1567</v>
      </c>
      <c r="O12" s="54">
        <v>96.21</v>
      </c>
      <c r="P12" s="54">
        <v>8.27</v>
      </c>
      <c r="Q12" s="54">
        <v>0</v>
      </c>
      <c r="R12" s="54">
        <v>0</v>
      </c>
      <c r="S12" s="54">
        <f t="shared" si="0"/>
        <v>0</v>
      </c>
      <c r="T12" s="54">
        <v>0</v>
      </c>
      <c r="U12" s="54">
        <f t="shared" si="3"/>
        <v>1671.48</v>
      </c>
      <c r="V12" s="55">
        <v>0</v>
      </c>
      <c r="W12" s="57">
        <f t="shared" si="4"/>
        <v>0</v>
      </c>
      <c r="X12" s="54">
        <f t="shared" si="5"/>
        <v>1671.48</v>
      </c>
      <c r="Y12" s="25"/>
    </row>
    <row r="13" spans="1:25" s="43" customFormat="1" ht="45" customHeight="1" x14ac:dyDescent="0.2">
      <c r="A13" s="51"/>
      <c r="B13" s="16" t="s">
        <v>85</v>
      </c>
      <c r="C13" s="16"/>
      <c r="D13" s="53"/>
      <c r="E13" s="52"/>
      <c r="F13" s="55">
        <v>0</v>
      </c>
      <c r="G13" s="54">
        <f t="shared" si="1"/>
        <v>0</v>
      </c>
      <c r="H13" s="54">
        <v>0</v>
      </c>
      <c r="I13" s="54">
        <v>0</v>
      </c>
      <c r="J13" s="54">
        <v>0</v>
      </c>
      <c r="K13" s="54"/>
      <c r="L13" s="54">
        <f t="shared" si="2"/>
        <v>0</v>
      </c>
      <c r="M13" s="54">
        <v>1723</v>
      </c>
      <c r="N13" s="54" t="s">
        <v>34</v>
      </c>
      <c r="O13" s="54" t="s">
        <v>34</v>
      </c>
      <c r="P13" s="54" t="s">
        <v>34</v>
      </c>
      <c r="Q13" s="54">
        <v>9.75</v>
      </c>
      <c r="R13" s="54">
        <v>0</v>
      </c>
      <c r="S13" s="54">
        <f t="shared" si="0"/>
        <v>0</v>
      </c>
      <c r="T13" s="54">
        <v>0</v>
      </c>
      <c r="U13" s="54">
        <f t="shared" si="3"/>
        <v>1732.75</v>
      </c>
      <c r="V13" s="55">
        <v>0</v>
      </c>
      <c r="W13" s="57">
        <f t="shared" si="4"/>
        <v>0</v>
      </c>
      <c r="X13" s="54">
        <f t="shared" si="5"/>
        <v>1732.75</v>
      </c>
      <c r="Y13" s="25"/>
    </row>
    <row r="14" spans="1:25" s="43" customFormat="1" ht="45" customHeight="1" thickBot="1" x14ac:dyDescent="0.25">
      <c r="A14" s="51"/>
      <c r="B14" s="16" t="s">
        <v>86</v>
      </c>
      <c r="C14" s="16"/>
      <c r="D14" s="53"/>
      <c r="E14" s="52"/>
      <c r="F14" s="55">
        <v>0</v>
      </c>
      <c r="G14" s="54">
        <f t="shared" si="1"/>
        <v>0</v>
      </c>
      <c r="H14" s="54">
        <v>0</v>
      </c>
      <c r="I14" s="54">
        <v>0</v>
      </c>
      <c r="J14" s="54">
        <v>0</v>
      </c>
      <c r="K14" s="54"/>
      <c r="L14" s="54">
        <f t="shared" si="2"/>
        <v>0</v>
      </c>
      <c r="M14" s="54">
        <v>0</v>
      </c>
      <c r="N14" s="54">
        <v>1567</v>
      </c>
      <c r="O14" s="54">
        <v>96.21</v>
      </c>
      <c r="P14" s="54">
        <v>8.27</v>
      </c>
      <c r="Q14" s="54">
        <v>0</v>
      </c>
      <c r="R14" s="54">
        <v>0</v>
      </c>
      <c r="S14" s="54">
        <f t="shared" si="0"/>
        <v>0</v>
      </c>
      <c r="T14" s="54">
        <v>0</v>
      </c>
      <c r="U14" s="54">
        <f t="shared" si="3"/>
        <v>1671.48</v>
      </c>
      <c r="V14" s="55">
        <v>0</v>
      </c>
      <c r="W14" s="57">
        <f t="shared" si="4"/>
        <v>0</v>
      </c>
      <c r="X14" s="54">
        <f t="shared" si="5"/>
        <v>1671.48</v>
      </c>
      <c r="Y14" s="25"/>
    </row>
    <row r="15" spans="1:25" s="43" customFormat="1" ht="103" thickBot="1" x14ac:dyDescent="0.25">
      <c r="A15" s="99" t="s">
        <v>0</v>
      </c>
      <c r="B15" s="100" t="s">
        <v>1</v>
      </c>
      <c r="C15" s="101" t="s">
        <v>29</v>
      </c>
      <c r="D15" s="101" t="s">
        <v>2</v>
      </c>
      <c r="E15" s="101" t="s">
        <v>3</v>
      </c>
      <c r="F15" s="101" t="s">
        <v>7</v>
      </c>
      <c r="G15" s="101" t="s">
        <v>8</v>
      </c>
      <c r="H15" s="101" t="s">
        <v>9</v>
      </c>
      <c r="I15" s="101" t="s">
        <v>15</v>
      </c>
      <c r="J15" s="101" t="s">
        <v>40</v>
      </c>
      <c r="K15" s="101" t="s">
        <v>33</v>
      </c>
      <c r="L15" s="101" t="s">
        <v>21</v>
      </c>
      <c r="M15" s="101" t="s">
        <v>16</v>
      </c>
      <c r="N15" s="101" t="s">
        <v>14</v>
      </c>
      <c r="O15" s="101" t="s">
        <v>10</v>
      </c>
      <c r="P15" s="101" t="s">
        <v>11</v>
      </c>
      <c r="Q15" s="101" t="s">
        <v>12</v>
      </c>
      <c r="R15" s="101" t="s">
        <v>28</v>
      </c>
      <c r="S15" s="101" t="s">
        <v>41</v>
      </c>
      <c r="T15" s="101" t="s">
        <v>36</v>
      </c>
      <c r="U15" s="101" t="s">
        <v>25</v>
      </c>
      <c r="V15" s="101" t="s">
        <v>27</v>
      </c>
      <c r="W15" s="101" t="s">
        <v>24</v>
      </c>
      <c r="X15" s="101" t="s">
        <v>26</v>
      </c>
      <c r="Y15" s="104" t="s">
        <v>4</v>
      </c>
    </row>
    <row r="16" spans="1:25" s="43" customFormat="1" ht="45" customHeight="1" thickBot="1" x14ac:dyDescent="0.25">
      <c r="A16" s="51" t="s">
        <v>46</v>
      </c>
      <c r="B16" s="56" t="s">
        <v>93</v>
      </c>
      <c r="C16" s="16"/>
      <c r="D16" s="55"/>
      <c r="E16" s="52"/>
      <c r="F16" s="55">
        <v>0</v>
      </c>
      <c r="G16" s="54">
        <f>F16*E16</f>
        <v>0</v>
      </c>
      <c r="H16" s="54">
        <f>0.03*E16</f>
        <v>0</v>
      </c>
      <c r="I16" s="54">
        <v>0</v>
      </c>
      <c r="J16" s="54">
        <v>0</v>
      </c>
      <c r="K16" s="54"/>
      <c r="L16" s="54">
        <f>SUM(E16,G16:J16)</f>
        <v>0</v>
      </c>
      <c r="M16" s="54">
        <v>0</v>
      </c>
      <c r="N16" s="54">
        <v>971.74</v>
      </c>
      <c r="O16" s="54">
        <v>75</v>
      </c>
      <c r="P16" s="54" t="s">
        <v>34</v>
      </c>
      <c r="Q16" s="54">
        <v>0</v>
      </c>
      <c r="R16" s="54">
        <v>0</v>
      </c>
      <c r="S16" s="54">
        <f t="shared" si="0"/>
        <v>0</v>
      </c>
      <c r="T16" s="54">
        <v>0</v>
      </c>
      <c r="U16" s="54">
        <f>SUM(L16:T16)</f>
        <v>1046.74</v>
      </c>
      <c r="V16" s="55">
        <v>0</v>
      </c>
      <c r="W16" s="57">
        <f t="shared" ref="W16" si="7">V16*E16</f>
        <v>0</v>
      </c>
      <c r="X16" s="54">
        <f t="shared" ref="X16" si="8">U16-W16</f>
        <v>1046.74</v>
      </c>
      <c r="Y16" s="58"/>
    </row>
    <row r="17" spans="1:25" s="43" customFormat="1" ht="103" thickBot="1" x14ac:dyDescent="0.25">
      <c r="A17" s="99" t="s">
        <v>0</v>
      </c>
      <c r="B17" s="100" t="s">
        <v>1</v>
      </c>
      <c r="C17" s="101" t="s">
        <v>29</v>
      </c>
      <c r="D17" s="101" t="s">
        <v>2</v>
      </c>
      <c r="E17" s="101" t="s">
        <v>3</v>
      </c>
      <c r="F17" s="101" t="s">
        <v>7</v>
      </c>
      <c r="G17" s="101" t="s">
        <v>8</v>
      </c>
      <c r="H17" s="101" t="s">
        <v>9</v>
      </c>
      <c r="I17" s="101" t="s">
        <v>15</v>
      </c>
      <c r="J17" s="101" t="s">
        <v>40</v>
      </c>
      <c r="K17" s="101" t="s">
        <v>33</v>
      </c>
      <c r="L17" s="101" t="s">
        <v>21</v>
      </c>
      <c r="M17" s="101" t="s">
        <v>16</v>
      </c>
      <c r="N17" s="101" t="s">
        <v>14</v>
      </c>
      <c r="O17" s="101" t="s">
        <v>10</v>
      </c>
      <c r="P17" s="101" t="s">
        <v>11</v>
      </c>
      <c r="Q17" s="101" t="s">
        <v>12</v>
      </c>
      <c r="R17" s="101" t="s">
        <v>28</v>
      </c>
      <c r="S17" s="101" t="s">
        <v>41</v>
      </c>
      <c r="T17" s="101" t="s">
        <v>36</v>
      </c>
      <c r="U17" s="101" t="s">
        <v>25</v>
      </c>
      <c r="V17" s="101" t="s">
        <v>27</v>
      </c>
      <c r="W17" s="101" t="s">
        <v>24</v>
      </c>
      <c r="X17" s="101" t="s">
        <v>26</v>
      </c>
      <c r="Y17" s="104" t="s">
        <v>4</v>
      </c>
    </row>
    <row r="18" spans="1:25" s="43" customFormat="1" ht="45" customHeight="1" thickBot="1" x14ac:dyDescent="0.25">
      <c r="A18" s="51" t="s">
        <v>54</v>
      </c>
      <c r="B18" s="8" t="s">
        <v>93</v>
      </c>
      <c r="C18" s="8"/>
      <c r="D18" s="55"/>
      <c r="E18" s="52"/>
      <c r="F18" s="55">
        <v>0</v>
      </c>
      <c r="G18" s="54">
        <f>F18*E18</f>
        <v>0</v>
      </c>
      <c r="H18" s="54">
        <v>0</v>
      </c>
      <c r="I18" s="57">
        <v>0</v>
      </c>
      <c r="J18" s="54">
        <v>0</v>
      </c>
      <c r="K18" s="54"/>
      <c r="L18" s="54">
        <f>SUM(E18,G18:J18)</f>
        <v>0</v>
      </c>
      <c r="M18" s="54">
        <v>0</v>
      </c>
      <c r="N18" s="54">
        <v>828.83</v>
      </c>
      <c r="O18" s="54">
        <v>50.25</v>
      </c>
      <c r="P18" s="54">
        <v>13.18</v>
      </c>
      <c r="Q18" s="54">
        <v>0</v>
      </c>
      <c r="R18" s="54">
        <v>0</v>
      </c>
      <c r="S18" s="54">
        <f t="shared" si="0"/>
        <v>0</v>
      </c>
      <c r="T18" s="54">
        <v>0</v>
      </c>
      <c r="U18" s="54">
        <f>SUM(L18:T18)</f>
        <v>892.26</v>
      </c>
      <c r="V18" s="55">
        <v>0</v>
      </c>
      <c r="W18" s="57">
        <f t="shared" ref="W18" si="9">V18*E18</f>
        <v>0</v>
      </c>
      <c r="X18" s="54">
        <f t="shared" ref="X18" si="10">U18-W18</f>
        <v>892.26</v>
      </c>
      <c r="Y18" s="58"/>
    </row>
    <row r="19" spans="1:25" s="43" customFormat="1" ht="103" thickBot="1" x14ac:dyDescent="0.25">
      <c r="A19" s="99" t="s">
        <v>0</v>
      </c>
      <c r="B19" s="100" t="s">
        <v>1</v>
      </c>
      <c r="C19" s="101" t="s">
        <v>29</v>
      </c>
      <c r="D19" s="101" t="s">
        <v>2</v>
      </c>
      <c r="E19" s="101" t="s">
        <v>3</v>
      </c>
      <c r="F19" s="101" t="s">
        <v>7</v>
      </c>
      <c r="G19" s="101" t="s">
        <v>8</v>
      </c>
      <c r="H19" s="101" t="s">
        <v>9</v>
      </c>
      <c r="I19" s="101" t="s">
        <v>15</v>
      </c>
      <c r="J19" s="101" t="s">
        <v>40</v>
      </c>
      <c r="K19" s="101" t="s">
        <v>33</v>
      </c>
      <c r="L19" s="101" t="s">
        <v>21</v>
      </c>
      <c r="M19" s="101" t="s">
        <v>16</v>
      </c>
      <c r="N19" s="101" t="s">
        <v>14</v>
      </c>
      <c r="O19" s="101" t="s">
        <v>10</v>
      </c>
      <c r="P19" s="101" t="s">
        <v>11</v>
      </c>
      <c r="Q19" s="101" t="s">
        <v>12</v>
      </c>
      <c r="R19" s="101" t="s">
        <v>28</v>
      </c>
      <c r="S19" s="101" t="s">
        <v>41</v>
      </c>
      <c r="T19" s="101" t="s">
        <v>36</v>
      </c>
      <c r="U19" s="101" t="s">
        <v>25</v>
      </c>
      <c r="V19" s="101" t="s">
        <v>27</v>
      </c>
      <c r="W19" s="101" t="s">
        <v>24</v>
      </c>
      <c r="X19" s="101" t="s">
        <v>26</v>
      </c>
      <c r="Y19" s="104" t="s">
        <v>4</v>
      </c>
    </row>
    <row r="20" spans="1:25" s="43" customFormat="1" ht="45" customHeight="1" thickBot="1" x14ac:dyDescent="0.25">
      <c r="A20" s="51" t="s">
        <v>104</v>
      </c>
      <c r="B20" s="8"/>
      <c r="C20" s="8"/>
      <c r="D20" s="53"/>
      <c r="E20" s="52"/>
      <c r="F20" s="55">
        <v>0</v>
      </c>
      <c r="G20" s="54">
        <f>F20*E20</f>
        <v>0</v>
      </c>
      <c r="H20" s="54">
        <f>0.04*E20</f>
        <v>0</v>
      </c>
      <c r="I20" s="54">
        <v>0</v>
      </c>
      <c r="J20" s="54">
        <v>0</v>
      </c>
      <c r="K20" s="54"/>
      <c r="L20" s="54">
        <f>SUM(E20,G20:J20)</f>
        <v>0</v>
      </c>
      <c r="M20" s="54">
        <v>0</v>
      </c>
      <c r="N20" s="54">
        <f>5400/12</f>
        <v>450</v>
      </c>
      <c r="O20" s="54">
        <f>600/12</f>
        <v>50</v>
      </c>
      <c r="P20" s="54" t="s">
        <v>34</v>
      </c>
      <c r="Q20" s="54">
        <v>0</v>
      </c>
      <c r="R20" s="54">
        <v>0</v>
      </c>
      <c r="S20" s="54">
        <f t="shared" si="0"/>
        <v>0</v>
      </c>
      <c r="T20" s="54">
        <v>0</v>
      </c>
      <c r="U20" s="54">
        <f>SUM(L20:T20)</f>
        <v>500</v>
      </c>
      <c r="V20" s="55">
        <v>0</v>
      </c>
      <c r="W20" s="57">
        <f t="shared" ref="W20" si="11">V20*E20</f>
        <v>0</v>
      </c>
      <c r="X20" s="54">
        <f t="shared" ref="X20" si="12">U20-W20</f>
        <v>500</v>
      </c>
      <c r="Y20" s="58"/>
    </row>
    <row r="21" spans="1:25" s="43" customFormat="1" ht="103" thickBot="1" x14ac:dyDescent="0.25">
      <c r="A21" s="99" t="s">
        <v>0</v>
      </c>
      <c r="B21" s="100" t="s">
        <v>1</v>
      </c>
      <c r="C21" s="101" t="s">
        <v>29</v>
      </c>
      <c r="D21" s="101" t="s">
        <v>2</v>
      </c>
      <c r="E21" s="101" t="s">
        <v>3</v>
      </c>
      <c r="F21" s="101" t="s">
        <v>7</v>
      </c>
      <c r="G21" s="101" t="s">
        <v>8</v>
      </c>
      <c r="H21" s="101" t="s">
        <v>9</v>
      </c>
      <c r="I21" s="101" t="s">
        <v>15</v>
      </c>
      <c r="J21" s="101" t="s">
        <v>40</v>
      </c>
      <c r="K21" s="101" t="s">
        <v>33</v>
      </c>
      <c r="L21" s="101" t="s">
        <v>21</v>
      </c>
      <c r="M21" s="101" t="s">
        <v>16</v>
      </c>
      <c r="N21" s="101" t="s">
        <v>14</v>
      </c>
      <c r="O21" s="101" t="s">
        <v>10</v>
      </c>
      <c r="P21" s="101" t="s">
        <v>11</v>
      </c>
      <c r="Q21" s="101" t="s">
        <v>12</v>
      </c>
      <c r="R21" s="101" t="s">
        <v>28</v>
      </c>
      <c r="S21" s="101" t="s">
        <v>41</v>
      </c>
      <c r="T21" s="101" t="s">
        <v>36</v>
      </c>
      <c r="U21" s="101" t="s">
        <v>25</v>
      </c>
      <c r="V21" s="101" t="s">
        <v>27</v>
      </c>
      <c r="W21" s="101" t="s">
        <v>24</v>
      </c>
      <c r="X21" s="101" t="s">
        <v>26</v>
      </c>
      <c r="Y21" s="104" t="s">
        <v>4</v>
      </c>
    </row>
    <row r="22" spans="1:25" s="43" customFormat="1" ht="45" customHeight="1" thickBot="1" x14ac:dyDescent="0.25">
      <c r="A22" s="51" t="s">
        <v>51</v>
      </c>
      <c r="B22" s="8" t="s">
        <v>93</v>
      </c>
      <c r="C22" s="8"/>
      <c r="D22" s="53"/>
      <c r="E22" s="52"/>
      <c r="F22" s="55">
        <v>0</v>
      </c>
      <c r="G22" s="54">
        <f>F22*E22</f>
        <v>0</v>
      </c>
      <c r="H22" s="54">
        <v>0</v>
      </c>
      <c r="I22" s="54">
        <v>0</v>
      </c>
      <c r="J22" s="54">
        <v>0</v>
      </c>
      <c r="K22" s="54"/>
      <c r="L22" s="54">
        <f>SUM(E22,G22:J22)</f>
        <v>0</v>
      </c>
      <c r="M22" s="54">
        <v>0</v>
      </c>
      <c r="N22" s="54">
        <v>578.35</v>
      </c>
      <c r="O22" s="54">
        <v>66.44</v>
      </c>
      <c r="P22" s="54" t="s">
        <v>34</v>
      </c>
      <c r="Q22" s="54">
        <v>0</v>
      </c>
      <c r="R22" s="54">
        <v>0</v>
      </c>
      <c r="S22" s="54">
        <f>0.0145*E22</f>
        <v>0</v>
      </c>
      <c r="T22" s="54">
        <v>0</v>
      </c>
      <c r="U22" s="54">
        <f>SUM(L22:T22)</f>
        <v>644.79</v>
      </c>
      <c r="V22" s="55">
        <v>0</v>
      </c>
      <c r="W22" s="57">
        <f t="shared" ref="W22" si="13">V22*E22</f>
        <v>0</v>
      </c>
      <c r="X22" s="54">
        <f t="shared" ref="X22" si="14">U22-W22</f>
        <v>644.79</v>
      </c>
      <c r="Y22" s="58"/>
    </row>
    <row r="23" spans="1:25" s="43" customFormat="1" ht="103" thickBot="1" x14ac:dyDescent="0.25">
      <c r="A23" s="99" t="s">
        <v>0</v>
      </c>
      <c r="B23" s="100" t="s">
        <v>1</v>
      </c>
      <c r="C23" s="101" t="s">
        <v>29</v>
      </c>
      <c r="D23" s="101" t="s">
        <v>2</v>
      </c>
      <c r="E23" s="101" t="s">
        <v>3</v>
      </c>
      <c r="F23" s="101" t="s">
        <v>7</v>
      </c>
      <c r="G23" s="101" t="s">
        <v>8</v>
      </c>
      <c r="H23" s="101" t="s">
        <v>9</v>
      </c>
      <c r="I23" s="101" t="s">
        <v>15</v>
      </c>
      <c r="J23" s="101" t="s">
        <v>40</v>
      </c>
      <c r="K23" s="101" t="s">
        <v>33</v>
      </c>
      <c r="L23" s="101" t="s">
        <v>21</v>
      </c>
      <c r="M23" s="101" t="s">
        <v>16</v>
      </c>
      <c r="N23" s="101" t="s">
        <v>14</v>
      </c>
      <c r="O23" s="101" t="s">
        <v>10</v>
      </c>
      <c r="P23" s="101" t="s">
        <v>11</v>
      </c>
      <c r="Q23" s="101" t="s">
        <v>12</v>
      </c>
      <c r="R23" s="101" t="s">
        <v>28</v>
      </c>
      <c r="S23" s="101" t="s">
        <v>41</v>
      </c>
      <c r="T23" s="101" t="s">
        <v>36</v>
      </c>
      <c r="U23" s="101" t="s">
        <v>25</v>
      </c>
      <c r="V23" s="101" t="s">
        <v>27</v>
      </c>
      <c r="W23" s="101" t="s">
        <v>24</v>
      </c>
      <c r="X23" s="101" t="s">
        <v>26</v>
      </c>
      <c r="Y23" s="104" t="s">
        <v>4</v>
      </c>
    </row>
    <row r="24" spans="1:25" s="43" customFormat="1" ht="45" customHeight="1" thickBot="1" x14ac:dyDescent="0.25">
      <c r="A24" s="51" t="s">
        <v>49</v>
      </c>
      <c r="B24" s="8"/>
      <c r="C24" s="8"/>
      <c r="D24" s="55"/>
      <c r="E24" s="52"/>
      <c r="F24" s="55">
        <v>0</v>
      </c>
      <c r="G24" s="54">
        <f>F24*E24</f>
        <v>0</v>
      </c>
      <c r="H24" s="54">
        <f>0.05*E24</f>
        <v>0</v>
      </c>
      <c r="I24" s="54">
        <v>0</v>
      </c>
      <c r="J24" s="54">
        <v>0</v>
      </c>
      <c r="K24" s="54"/>
      <c r="L24" s="54">
        <f>SUM(E24,G24:J24)</f>
        <v>0</v>
      </c>
      <c r="M24" s="54">
        <v>0</v>
      </c>
      <c r="N24" s="4">
        <v>2166.63</v>
      </c>
      <c r="O24" s="4">
        <f>6000/12</f>
        <v>500</v>
      </c>
      <c r="P24" s="4">
        <v>0</v>
      </c>
      <c r="Q24" s="4">
        <v>4.5</v>
      </c>
      <c r="R24" s="54">
        <v>0</v>
      </c>
      <c r="S24" s="54">
        <f t="shared" si="0"/>
        <v>0</v>
      </c>
      <c r="T24" s="54">
        <v>0</v>
      </c>
      <c r="U24" s="54">
        <f>SUM(L24:T24)</f>
        <v>2671.13</v>
      </c>
      <c r="V24" s="55">
        <v>0</v>
      </c>
      <c r="W24" s="57">
        <f t="shared" ref="W24" si="15">V24*E24</f>
        <v>0</v>
      </c>
      <c r="X24" s="54">
        <f t="shared" ref="X24" si="16">U24-W24</f>
        <v>2671.13</v>
      </c>
      <c r="Y24" s="58"/>
    </row>
    <row r="25" spans="1:25" s="43" customFormat="1" ht="103" thickBot="1" x14ac:dyDescent="0.25">
      <c r="A25" s="99" t="s">
        <v>0</v>
      </c>
      <c r="B25" s="100" t="s">
        <v>1</v>
      </c>
      <c r="C25" s="101" t="s">
        <v>29</v>
      </c>
      <c r="D25" s="101" t="s">
        <v>2</v>
      </c>
      <c r="E25" s="101" t="s">
        <v>3</v>
      </c>
      <c r="F25" s="101" t="s">
        <v>7</v>
      </c>
      <c r="G25" s="101" t="s">
        <v>8</v>
      </c>
      <c r="H25" s="101" t="s">
        <v>9</v>
      </c>
      <c r="I25" s="101" t="s">
        <v>15</v>
      </c>
      <c r="J25" s="101" t="s">
        <v>40</v>
      </c>
      <c r="K25" s="101" t="s">
        <v>33</v>
      </c>
      <c r="L25" s="101" t="s">
        <v>21</v>
      </c>
      <c r="M25" s="101" t="s">
        <v>16</v>
      </c>
      <c r="N25" s="101" t="s">
        <v>14</v>
      </c>
      <c r="O25" s="101" t="s">
        <v>10</v>
      </c>
      <c r="P25" s="101" t="s">
        <v>11</v>
      </c>
      <c r="Q25" s="101" t="s">
        <v>12</v>
      </c>
      <c r="R25" s="101" t="s">
        <v>28</v>
      </c>
      <c r="S25" s="101" t="s">
        <v>41</v>
      </c>
      <c r="T25" s="101" t="s">
        <v>36</v>
      </c>
      <c r="U25" s="101" t="s">
        <v>25</v>
      </c>
      <c r="V25" s="101" t="s">
        <v>27</v>
      </c>
      <c r="W25" s="101" t="s">
        <v>24</v>
      </c>
      <c r="X25" s="101" t="s">
        <v>26</v>
      </c>
      <c r="Y25" s="104" t="s">
        <v>4</v>
      </c>
    </row>
    <row r="26" spans="1:25" s="43" customFormat="1" ht="45" customHeight="1" thickBot="1" x14ac:dyDescent="0.25">
      <c r="A26" s="51" t="s">
        <v>50</v>
      </c>
      <c r="B26" s="9" t="s">
        <v>93</v>
      </c>
      <c r="C26" s="8"/>
      <c r="D26" s="55"/>
      <c r="E26" s="52"/>
      <c r="F26" s="55">
        <v>0</v>
      </c>
      <c r="G26" s="54">
        <f>F26*E26</f>
        <v>0</v>
      </c>
      <c r="H26" s="54">
        <f>0.04*E26</f>
        <v>0</v>
      </c>
      <c r="I26" s="54">
        <v>0</v>
      </c>
      <c r="J26" s="54">
        <v>0</v>
      </c>
      <c r="K26" s="54"/>
      <c r="L26" s="54">
        <f>SUM(E26,G26:J26)</f>
        <v>0</v>
      </c>
      <c r="M26" s="54">
        <v>0</v>
      </c>
      <c r="N26" s="54">
        <f>1646+250+250+250</f>
        <v>2396</v>
      </c>
      <c r="O26" s="54">
        <v>42.6</v>
      </c>
      <c r="P26" s="54">
        <v>0</v>
      </c>
      <c r="Q26" s="54">
        <v>4.25</v>
      </c>
      <c r="R26" s="54">
        <v>0</v>
      </c>
      <c r="S26" s="54">
        <f t="shared" si="0"/>
        <v>0</v>
      </c>
      <c r="T26" s="54">
        <v>0</v>
      </c>
      <c r="U26" s="54">
        <f>SUM(L26:T26)</f>
        <v>2442.85</v>
      </c>
      <c r="V26" s="55">
        <v>0</v>
      </c>
      <c r="W26" s="57">
        <f t="shared" ref="W26" si="17">V26*E26</f>
        <v>0</v>
      </c>
      <c r="X26" s="54">
        <f t="shared" ref="X26" si="18">U26-W26</f>
        <v>2442.85</v>
      </c>
      <c r="Y26" s="58"/>
    </row>
    <row r="27" spans="1:25" s="43" customFormat="1" ht="103" thickBot="1" x14ac:dyDescent="0.25">
      <c r="A27" s="99" t="s">
        <v>0</v>
      </c>
      <c r="B27" s="100" t="s">
        <v>1</v>
      </c>
      <c r="C27" s="101" t="s">
        <v>29</v>
      </c>
      <c r="D27" s="101" t="s">
        <v>2</v>
      </c>
      <c r="E27" s="101" t="s">
        <v>3</v>
      </c>
      <c r="F27" s="101" t="s">
        <v>7</v>
      </c>
      <c r="G27" s="101" t="s">
        <v>8</v>
      </c>
      <c r="H27" s="101" t="s">
        <v>9</v>
      </c>
      <c r="I27" s="101" t="s">
        <v>15</v>
      </c>
      <c r="J27" s="101" t="s">
        <v>40</v>
      </c>
      <c r="K27" s="101" t="s">
        <v>33</v>
      </c>
      <c r="L27" s="101" t="s">
        <v>21</v>
      </c>
      <c r="M27" s="101" t="s">
        <v>16</v>
      </c>
      <c r="N27" s="101" t="s">
        <v>14</v>
      </c>
      <c r="O27" s="101" t="s">
        <v>10</v>
      </c>
      <c r="P27" s="101" t="s">
        <v>11</v>
      </c>
      <c r="Q27" s="101" t="s">
        <v>12</v>
      </c>
      <c r="R27" s="101" t="s">
        <v>28</v>
      </c>
      <c r="S27" s="101" t="s">
        <v>41</v>
      </c>
      <c r="T27" s="101" t="s">
        <v>36</v>
      </c>
      <c r="U27" s="101" t="s">
        <v>25</v>
      </c>
      <c r="V27" s="101" t="s">
        <v>27</v>
      </c>
      <c r="W27" s="101" t="s">
        <v>24</v>
      </c>
      <c r="X27" s="101" t="s">
        <v>26</v>
      </c>
      <c r="Y27" s="104" t="s">
        <v>4</v>
      </c>
    </row>
    <row r="28" spans="1:25" s="43" customFormat="1" ht="45" customHeight="1" thickBot="1" x14ac:dyDescent="0.25">
      <c r="A28" s="51" t="s">
        <v>106</v>
      </c>
      <c r="B28" s="8"/>
      <c r="C28" s="8"/>
      <c r="D28" s="53"/>
      <c r="E28" s="52"/>
      <c r="F28" s="55">
        <v>0</v>
      </c>
      <c r="G28" s="54">
        <f>F28*E28</f>
        <v>0</v>
      </c>
      <c r="H28" s="57">
        <f>0.07*E28</f>
        <v>0</v>
      </c>
      <c r="I28" s="54">
        <v>0</v>
      </c>
      <c r="J28" s="54">
        <v>0</v>
      </c>
      <c r="K28" s="54"/>
      <c r="L28" s="54">
        <f>SUM(E28,G28:J28)</f>
        <v>0</v>
      </c>
      <c r="M28" s="54">
        <v>450</v>
      </c>
      <c r="N28" s="54" t="s">
        <v>34</v>
      </c>
      <c r="O28" s="54" t="s">
        <v>34</v>
      </c>
      <c r="P28" s="54" t="s">
        <v>34</v>
      </c>
      <c r="Q28" s="54" t="s">
        <v>34</v>
      </c>
      <c r="R28" s="54">
        <v>0</v>
      </c>
      <c r="S28" s="54">
        <f t="shared" si="0"/>
        <v>0</v>
      </c>
      <c r="T28" s="54">
        <v>0</v>
      </c>
      <c r="U28" s="54">
        <f>SUM(L28:T28)</f>
        <v>450</v>
      </c>
      <c r="V28" s="55">
        <v>0</v>
      </c>
      <c r="W28" s="57">
        <f t="shared" ref="W28" si="19">V28*E28</f>
        <v>0</v>
      </c>
      <c r="X28" s="54">
        <f t="shared" ref="X28" si="20">U28-W28</f>
        <v>450</v>
      </c>
      <c r="Y28" s="58"/>
    </row>
    <row r="29" spans="1:25" s="43" customFormat="1" ht="103" thickBot="1" x14ac:dyDescent="0.25">
      <c r="A29" s="99" t="s">
        <v>0</v>
      </c>
      <c r="B29" s="100" t="s">
        <v>1</v>
      </c>
      <c r="C29" s="101" t="s">
        <v>29</v>
      </c>
      <c r="D29" s="101" t="s">
        <v>2</v>
      </c>
      <c r="E29" s="101" t="s">
        <v>3</v>
      </c>
      <c r="F29" s="101" t="s">
        <v>7</v>
      </c>
      <c r="G29" s="101" t="s">
        <v>8</v>
      </c>
      <c r="H29" s="101" t="s">
        <v>9</v>
      </c>
      <c r="I29" s="101" t="s">
        <v>15</v>
      </c>
      <c r="J29" s="101" t="s">
        <v>40</v>
      </c>
      <c r="K29" s="101" t="s">
        <v>33</v>
      </c>
      <c r="L29" s="101" t="s">
        <v>21</v>
      </c>
      <c r="M29" s="101" t="s">
        <v>16</v>
      </c>
      <c r="N29" s="101" t="s">
        <v>14</v>
      </c>
      <c r="O29" s="101" t="s">
        <v>10</v>
      </c>
      <c r="P29" s="101" t="s">
        <v>11</v>
      </c>
      <c r="Q29" s="101" t="s">
        <v>12</v>
      </c>
      <c r="R29" s="101" t="s">
        <v>28</v>
      </c>
      <c r="S29" s="101" t="s">
        <v>41</v>
      </c>
      <c r="T29" s="101" t="s">
        <v>36</v>
      </c>
      <c r="U29" s="101" t="s">
        <v>25</v>
      </c>
      <c r="V29" s="101" t="s">
        <v>27</v>
      </c>
      <c r="W29" s="101" t="s">
        <v>24</v>
      </c>
      <c r="X29" s="101" t="s">
        <v>26</v>
      </c>
      <c r="Y29" s="104" t="s">
        <v>4</v>
      </c>
    </row>
    <row r="30" spans="1:25" s="43" customFormat="1" ht="45" customHeight="1" thickBot="1" x14ac:dyDescent="0.25">
      <c r="A30" s="51" t="s">
        <v>52</v>
      </c>
      <c r="B30" s="8" t="s">
        <v>92</v>
      </c>
      <c r="C30" s="8"/>
      <c r="D30" s="53"/>
      <c r="E30" s="52"/>
      <c r="F30" s="55">
        <v>7.0000000000000007E-2</v>
      </c>
      <c r="G30" s="54">
        <f>F30*E30</f>
        <v>0</v>
      </c>
      <c r="H30" s="35">
        <v>0</v>
      </c>
      <c r="I30" s="54">
        <v>0</v>
      </c>
      <c r="J30" s="46" t="s">
        <v>146</v>
      </c>
      <c r="K30" s="54"/>
      <c r="L30" s="54">
        <f>SUM(E30,G30:J30)</f>
        <v>0</v>
      </c>
      <c r="M30" s="54">
        <v>0</v>
      </c>
      <c r="N30" s="54">
        <v>1692.37</v>
      </c>
      <c r="O30" s="54">
        <v>147.38999999999999</v>
      </c>
      <c r="P30" s="54">
        <v>0</v>
      </c>
      <c r="Q30" s="54">
        <v>0</v>
      </c>
      <c r="R30" s="54">
        <v>0</v>
      </c>
      <c r="S30" s="54">
        <f>0.0145*E30</f>
        <v>0</v>
      </c>
      <c r="T30" s="54">
        <v>0</v>
      </c>
      <c r="U30" s="54">
        <f>SUM(L30:T30)</f>
        <v>1839.7599999999998</v>
      </c>
      <c r="V30" s="55">
        <v>0</v>
      </c>
      <c r="W30" s="57">
        <f t="shared" ref="W30" si="21">V30*E30</f>
        <v>0</v>
      </c>
      <c r="X30" s="54">
        <f t="shared" ref="X30" si="22">U30-W30</f>
        <v>1839.7599999999998</v>
      </c>
      <c r="Y30" s="58"/>
    </row>
    <row r="31" spans="1:25" s="43" customFormat="1" ht="103" thickBot="1" x14ac:dyDescent="0.25">
      <c r="A31" s="99" t="s">
        <v>0</v>
      </c>
      <c r="B31" s="100" t="s">
        <v>1</v>
      </c>
      <c r="C31" s="101" t="s">
        <v>29</v>
      </c>
      <c r="D31" s="101" t="s">
        <v>2</v>
      </c>
      <c r="E31" s="101" t="s">
        <v>3</v>
      </c>
      <c r="F31" s="101" t="s">
        <v>7</v>
      </c>
      <c r="G31" s="101" t="s">
        <v>8</v>
      </c>
      <c r="H31" s="101" t="s">
        <v>9</v>
      </c>
      <c r="I31" s="101" t="s">
        <v>15</v>
      </c>
      <c r="J31" s="101" t="s">
        <v>40</v>
      </c>
      <c r="K31" s="101" t="s">
        <v>33</v>
      </c>
      <c r="L31" s="101" t="s">
        <v>21</v>
      </c>
      <c r="M31" s="101" t="s">
        <v>16</v>
      </c>
      <c r="N31" s="101" t="s">
        <v>14</v>
      </c>
      <c r="O31" s="101" t="s">
        <v>10</v>
      </c>
      <c r="P31" s="101" t="s">
        <v>11</v>
      </c>
      <c r="Q31" s="101" t="s">
        <v>12</v>
      </c>
      <c r="R31" s="101" t="s">
        <v>28</v>
      </c>
      <c r="S31" s="101" t="s">
        <v>41</v>
      </c>
      <c r="T31" s="101" t="s">
        <v>36</v>
      </c>
      <c r="U31" s="101" t="s">
        <v>25</v>
      </c>
      <c r="V31" s="101" t="s">
        <v>27</v>
      </c>
      <c r="W31" s="101" t="s">
        <v>24</v>
      </c>
      <c r="X31" s="101" t="s">
        <v>26</v>
      </c>
      <c r="Y31" s="104" t="s">
        <v>4</v>
      </c>
    </row>
    <row r="32" spans="1:25" s="43" customFormat="1" ht="45" customHeight="1" thickBot="1" x14ac:dyDescent="0.25">
      <c r="A32" s="51" t="s">
        <v>63</v>
      </c>
      <c r="B32" s="8" t="s">
        <v>93</v>
      </c>
      <c r="C32" s="8"/>
      <c r="D32" s="53"/>
      <c r="E32" s="52"/>
      <c r="F32" s="55">
        <v>0</v>
      </c>
      <c r="G32" s="54">
        <f>F32*E32</f>
        <v>0</v>
      </c>
      <c r="H32" s="57">
        <f>0.03*E32</f>
        <v>0</v>
      </c>
      <c r="I32" s="54">
        <v>0</v>
      </c>
      <c r="J32" s="54">
        <v>0</v>
      </c>
      <c r="K32" s="54"/>
      <c r="L32" s="54">
        <f>SUM(E32,G32:J32)</f>
        <v>0</v>
      </c>
      <c r="M32" s="54">
        <v>0</v>
      </c>
      <c r="N32" s="54">
        <f>7734/12</f>
        <v>644.5</v>
      </c>
      <c r="O32" s="54">
        <f>535/12</f>
        <v>44.583333333333336</v>
      </c>
      <c r="P32" s="54">
        <f>70/12</f>
        <v>5.833333333333333</v>
      </c>
      <c r="Q32" s="54">
        <f>0.00146*25000</f>
        <v>36.5</v>
      </c>
      <c r="R32" s="54">
        <v>0</v>
      </c>
      <c r="S32" s="54">
        <f t="shared" ref="S32:S34" si="23">IF(E32&gt;11900,(11900*0.062)+(0.0145*E32),(0.0765*E32))</f>
        <v>0</v>
      </c>
      <c r="T32" s="54">
        <v>0</v>
      </c>
      <c r="U32" s="54">
        <f>SUM(L32:T32)</f>
        <v>731.41666666666674</v>
      </c>
      <c r="V32" s="55">
        <v>0</v>
      </c>
      <c r="W32" s="57">
        <f t="shared" ref="W32" si="24">V32*E32</f>
        <v>0</v>
      </c>
      <c r="X32" s="54">
        <f t="shared" ref="X32" si="25">U32-W32</f>
        <v>731.41666666666674</v>
      </c>
      <c r="Y32" s="58"/>
    </row>
    <row r="33" spans="1:25" s="43" customFormat="1" ht="103" thickBot="1" x14ac:dyDescent="0.25">
      <c r="A33" s="99" t="s">
        <v>0</v>
      </c>
      <c r="B33" s="100" t="s">
        <v>1</v>
      </c>
      <c r="C33" s="101" t="s">
        <v>29</v>
      </c>
      <c r="D33" s="101" t="s">
        <v>2</v>
      </c>
      <c r="E33" s="101" t="s">
        <v>3</v>
      </c>
      <c r="F33" s="101" t="s">
        <v>7</v>
      </c>
      <c r="G33" s="101" t="s">
        <v>8</v>
      </c>
      <c r="H33" s="101" t="s">
        <v>9</v>
      </c>
      <c r="I33" s="101" t="s">
        <v>15</v>
      </c>
      <c r="J33" s="101" t="s">
        <v>40</v>
      </c>
      <c r="K33" s="101" t="s">
        <v>33</v>
      </c>
      <c r="L33" s="101" t="s">
        <v>21</v>
      </c>
      <c r="M33" s="101" t="s">
        <v>16</v>
      </c>
      <c r="N33" s="101" t="s">
        <v>14</v>
      </c>
      <c r="O33" s="101" t="s">
        <v>10</v>
      </c>
      <c r="P33" s="101" t="s">
        <v>11</v>
      </c>
      <c r="Q33" s="101" t="s">
        <v>12</v>
      </c>
      <c r="R33" s="101" t="s">
        <v>28</v>
      </c>
      <c r="S33" s="101" t="s">
        <v>41</v>
      </c>
      <c r="T33" s="101" t="s">
        <v>36</v>
      </c>
      <c r="U33" s="101" t="s">
        <v>25</v>
      </c>
      <c r="V33" s="101" t="s">
        <v>27</v>
      </c>
      <c r="W33" s="101" t="s">
        <v>24</v>
      </c>
      <c r="X33" s="101" t="s">
        <v>26</v>
      </c>
      <c r="Y33" s="104" t="s">
        <v>4</v>
      </c>
    </row>
    <row r="34" spans="1:25" s="43" customFormat="1" ht="45" customHeight="1" thickBot="1" x14ac:dyDescent="0.25">
      <c r="A34" s="51" t="s">
        <v>64</v>
      </c>
      <c r="B34" s="56" t="s">
        <v>93</v>
      </c>
      <c r="C34" s="56"/>
      <c r="D34" s="53"/>
      <c r="E34" s="52"/>
      <c r="F34" s="55">
        <v>0</v>
      </c>
      <c r="G34" s="54">
        <f>F34*E34</f>
        <v>0</v>
      </c>
      <c r="H34" s="57">
        <v>0</v>
      </c>
      <c r="I34" s="54">
        <v>0</v>
      </c>
      <c r="J34" s="54">
        <v>0</v>
      </c>
      <c r="K34" s="54"/>
      <c r="L34" s="54">
        <f>SUM(E34,G34:J34)</f>
        <v>0</v>
      </c>
      <c r="M34" s="54">
        <f>21113.2/12</f>
        <v>1759.4333333333334</v>
      </c>
      <c r="N34" s="54">
        <f>732/12</f>
        <v>61</v>
      </c>
      <c r="O34" s="54">
        <v>0</v>
      </c>
      <c r="P34" s="54">
        <v>0</v>
      </c>
      <c r="Q34" s="54">
        <v>0</v>
      </c>
      <c r="R34" s="54">
        <v>0</v>
      </c>
      <c r="S34" s="54">
        <f t="shared" si="23"/>
        <v>0</v>
      </c>
      <c r="T34" s="54">
        <v>0</v>
      </c>
      <c r="U34" s="54">
        <f>SUM(L34:T34)</f>
        <v>1820.4333333333334</v>
      </c>
      <c r="V34" s="55">
        <v>0</v>
      </c>
      <c r="W34" s="57">
        <f t="shared" ref="W34" si="26">V34*E34</f>
        <v>0</v>
      </c>
      <c r="X34" s="54">
        <f t="shared" ref="X34" si="27">U34-W34</f>
        <v>1820.4333333333334</v>
      </c>
      <c r="Y34" s="58"/>
    </row>
    <row r="35" spans="1:25" s="43" customFormat="1" ht="103" thickBot="1" x14ac:dyDescent="0.25">
      <c r="A35" s="99" t="s">
        <v>0</v>
      </c>
      <c r="B35" s="100" t="s">
        <v>1</v>
      </c>
      <c r="C35" s="101" t="s">
        <v>29</v>
      </c>
      <c r="D35" s="101" t="s">
        <v>2</v>
      </c>
      <c r="E35" s="101" t="s">
        <v>3</v>
      </c>
      <c r="F35" s="101" t="s">
        <v>7</v>
      </c>
      <c r="G35" s="101" t="s">
        <v>8</v>
      </c>
      <c r="H35" s="101" t="s">
        <v>9</v>
      </c>
      <c r="I35" s="101" t="s">
        <v>15</v>
      </c>
      <c r="J35" s="101" t="s">
        <v>40</v>
      </c>
      <c r="K35" s="101" t="s">
        <v>33</v>
      </c>
      <c r="L35" s="101" t="s">
        <v>21</v>
      </c>
      <c r="M35" s="101" t="s">
        <v>16</v>
      </c>
      <c r="N35" s="101" t="s">
        <v>14</v>
      </c>
      <c r="O35" s="101" t="s">
        <v>10</v>
      </c>
      <c r="P35" s="101" t="s">
        <v>11</v>
      </c>
      <c r="Q35" s="101" t="s">
        <v>12</v>
      </c>
      <c r="R35" s="101" t="s">
        <v>28</v>
      </c>
      <c r="S35" s="101" t="s">
        <v>41</v>
      </c>
      <c r="T35" s="101" t="s">
        <v>36</v>
      </c>
      <c r="U35" s="101" t="s">
        <v>25</v>
      </c>
      <c r="V35" s="101" t="s">
        <v>27</v>
      </c>
      <c r="W35" s="101" t="s">
        <v>24</v>
      </c>
      <c r="X35" s="101" t="s">
        <v>26</v>
      </c>
      <c r="Y35" s="104" t="s">
        <v>4</v>
      </c>
    </row>
    <row r="36" spans="1:25" s="43" customFormat="1" ht="45" customHeight="1" x14ac:dyDescent="0.2">
      <c r="A36" s="51" t="s">
        <v>47</v>
      </c>
      <c r="B36" s="8" t="s">
        <v>152</v>
      </c>
      <c r="C36" s="8"/>
      <c r="D36" s="54"/>
      <c r="E36" s="54"/>
      <c r="F36" s="55">
        <v>0</v>
      </c>
      <c r="G36" s="54">
        <f>F36*E36</f>
        <v>0</v>
      </c>
      <c r="H36" s="4">
        <v>0</v>
      </c>
      <c r="I36" s="54">
        <v>0</v>
      </c>
      <c r="J36" s="54">
        <v>0</v>
      </c>
      <c r="K36" s="54"/>
      <c r="L36" s="54">
        <f>SUM(E36,G36:J36)</f>
        <v>0</v>
      </c>
      <c r="M36" s="4">
        <v>0</v>
      </c>
      <c r="N36" s="4">
        <v>1284</v>
      </c>
      <c r="O36" s="4">
        <v>108</v>
      </c>
      <c r="P36" s="4">
        <v>5</v>
      </c>
      <c r="Q36" s="4">
        <v>4</v>
      </c>
      <c r="R36" s="4">
        <v>0</v>
      </c>
      <c r="S36" s="4">
        <f>0.0145*E36</f>
        <v>0</v>
      </c>
      <c r="T36" s="54">
        <v>0</v>
      </c>
      <c r="U36" s="54">
        <f>SUM(L36:T36)</f>
        <v>1401</v>
      </c>
      <c r="V36" s="55">
        <v>0</v>
      </c>
      <c r="W36" s="57">
        <f t="shared" ref="W36" si="28">V36*E36</f>
        <v>0</v>
      </c>
      <c r="X36" s="54">
        <f t="shared" ref="X36" si="29">U36-W36</f>
        <v>1401</v>
      </c>
      <c r="Y36" s="58"/>
    </row>
    <row r="37" spans="1:25" ht="28.5" customHeight="1" x14ac:dyDescent="0.15"/>
    <row r="38" spans="1:25" ht="28.5" customHeight="1" x14ac:dyDescent="0.15"/>
    <row r="39" spans="1:25" ht="28.5" customHeight="1" x14ac:dyDescent="0.15"/>
    <row r="40" spans="1:25" ht="28.5" customHeight="1" x14ac:dyDescent="0.15"/>
    <row r="41" spans="1:25" ht="28.5" customHeight="1" x14ac:dyDescent="0.15"/>
    <row r="80" spans="1:1" x14ac:dyDescent="0.15">
      <c r="A80" t="s">
        <v>30</v>
      </c>
    </row>
  </sheetData>
  <pageMargins left="0.5" right="0.5" top="0.5" bottom="0.5" header="0.5" footer="0.5"/>
  <pageSetup paperSize="5" scale="19" orientation="landscape" r:id="rId1"/>
  <headerFooter alignWithMargins="0">
    <oddHeader>&amp;CYolo County RCD
Total Compensation Study 
4/2021</oddHead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D85"/>
  <sheetViews>
    <sheetView topLeftCell="N14" zoomScale="110" zoomScaleNormal="110" workbookViewId="0">
      <selection activeCell="AA35" sqref="AA35:AA36"/>
    </sheetView>
  </sheetViews>
  <sheetFormatPr baseColWidth="10" defaultColWidth="8.83203125" defaultRowHeight="13" x14ac:dyDescent="0.15"/>
  <cols>
    <col min="1" max="1" width="28.83203125" customWidth="1"/>
    <col min="2" max="2" width="30.83203125" customWidth="1"/>
    <col min="3" max="3" width="14.5" hidden="1" customWidth="1"/>
    <col min="4" max="5" width="14.5" customWidth="1"/>
    <col min="6" max="7" width="13.5" customWidth="1"/>
    <col min="8" max="8" width="14.83203125" customWidth="1"/>
    <col min="9" max="9" width="14.1640625" customWidth="1"/>
    <col min="10" max="10" width="19.33203125" customWidth="1"/>
    <col min="11" max="12" width="15.1640625" customWidth="1"/>
    <col min="13" max="13" width="19" customWidth="1"/>
    <col min="14" max="20" width="13.5" customWidth="1"/>
    <col min="21" max="21" width="15.1640625" customWidth="1"/>
    <col min="22" max="25" width="13.5" customWidth="1"/>
    <col min="26" max="27" width="17.1640625" customWidth="1"/>
    <col min="28" max="28" width="17.1640625" hidden="1" customWidth="1"/>
    <col min="29" max="29" width="49.5" customWidth="1"/>
  </cols>
  <sheetData>
    <row r="1" spans="1:30" x14ac:dyDescent="0.15">
      <c r="L1" s="43"/>
    </row>
    <row r="3" spans="1:30" ht="14" thickBot="1" x14ac:dyDescent="0.2">
      <c r="A3" s="44" t="s">
        <v>32</v>
      </c>
    </row>
    <row r="4" spans="1:30" ht="103" thickBot="1" x14ac:dyDescent="0.25">
      <c r="A4" s="21" t="s">
        <v>0</v>
      </c>
      <c r="B4" s="22" t="s">
        <v>1</v>
      </c>
      <c r="C4" s="23" t="s">
        <v>29</v>
      </c>
      <c r="D4" s="23" t="s">
        <v>134</v>
      </c>
      <c r="E4" s="23" t="s">
        <v>135</v>
      </c>
      <c r="F4" s="23" t="s">
        <v>2</v>
      </c>
      <c r="G4" s="23" t="s">
        <v>3</v>
      </c>
      <c r="H4" s="23" t="s">
        <v>7</v>
      </c>
      <c r="I4" s="23" t="s">
        <v>8</v>
      </c>
      <c r="J4" s="23" t="s">
        <v>9</v>
      </c>
      <c r="K4" s="23" t="s">
        <v>15</v>
      </c>
      <c r="L4" s="23" t="s">
        <v>40</v>
      </c>
      <c r="M4" s="23" t="s">
        <v>33</v>
      </c>
      <c r="N4" s="23" t="s">
        <v>21</v>
      </c>
      <c r="O4" s="23" t="s">
        <v>16</v>
      </c>
      <c r="P4" s="23" t="s">
        <v>14</v>
      </c>
      <c r="Q4" s="23" t="s">
        <v>10</v>
      </c>
      <c r="R4" s="23" t="s">
        <v>11</v>
      </c>
      <c r="S4" s="23" t="s">
        <v>12</v>
      </c>
      <c r="T4" s="23" t="s">
        <v>28</v>
      </c>
      <c r="U4" s="23" t="s">
        <v>41</v>
      </c>
      <c r="V4" s="23" t="s">
        <v>36</v>
      </c>
      <c r="W4" s="23" t="s">
        <v>25</v>
      </c>
      <c r="X4" s="23" t="s">
        <v>27</v>
      </c>
      <c r="Y4" s="23" t="s">
        <v>24</v>
      </c>
      <c r="Z4" s="23" t="s">
        <v>26</v>
      </c>
      <c r="AA4" s="85" t="s">
        <v>137</v>
      </c>
      <c r="AB4" s="23" t="s">
        <v>136</v>
      </c>
      <c r="AC4" s="24" t="s">
        <v>4</v>
      </c>
    </row>
    <row r="5" spans="1:30" ht="71.5" customHeight="1" thickBot="1" x14ac:dyDescent="0.25">
      <c r="A5" s="18" t="s">
        <v>44</v>
      </c>
      <c r="B5" s="19" t="s">
        <v>57</v>
      </c>
      <c r="C5" s="19"/>
      <c r="D5" s="67">
        <v>2.5</v>
      </c>
      <c r="E5" s="84">
        <v>398100</v>
      </c>
      <c r="F5" s="17">
        <f>56971/12</f>
        <v>4747.583333333333</v>
      </c>
      <c r="G5" s="17">
        <f>82846/12</f>
        <v>6903.833333333333</v>
      </c>
      <c r="H5" s="50">
        <v>0</v>
      </c>
      <c r="I5" s="59">
        <f>H5*G5</f>
        <v>0</v>
      </c>
      <c r="J5" s="60">
        <f>0.03*G5</f>
        <v>207.11499999999998</v>
      </c>
      <c r="K5" s="60">
        <v>0</v>
      </c>
      <c r="L5" s="60">
        <v>0</v>
      </c>
      <c r="M5" s="60"/>
      <c r="N5" s="60">
        <f>SUM(G5,I5:L5)</f>
        <v>7110.9483333333328</v>
      </c>
      <c r="O5" s="34">
        <v>0</v>
      </c>
      <c r="P5" s="34">
        <v>1053.2</v>
      </c>
      <c r="Q5" s="34">
        <v>52.46</v>
      </c>
      <c r="R5" s="34">
        <v>7.6</v>
      </c>
      <c r="S5" s="34">
        <v>0</v>
      </c>
      <c r="T5" s="34">
        <v>0</v>
      </c>
      <c r="U5" s="34">
        <f>IF(G5&gt;11900,(11900*0.062)+(0.0145*G5),(0.0765*G5))</f>
        <v>528.14324999999997</v>
      </c>
      <c r="V5" s="34">
        <v>0</v>
      </c>
      <c r="W5" s="60">
        <f>SUM(N5:V5)</f>
        <v>8752.3515833333313</v>
      </c>
      <c r="X5" s="50">
        <v>0</v>
      </c>
      <c r="Y5" s="60">
        <f>X5*G5</f>
        <v>0</v>
      </c>
      <c r="Z5" s="60">
        <f>W5-Y5</f>
        <v>8752.3515833333313</v>
      </c>
      <c r="AA5" s="86">
        <v>1515</v>
      </c>
      <c r="AB5" s="86">
        <f>Z5-AA5</f>
        <v>7237.3515833333313</v>
      </c>
      <c r="AC5" s="20"/>
      <c r="AD5" s="2"/>
    </row>
    <row r="6" spans="1:30" ht="12.5" customHeight="1" thickBot="1" x14ac:dyDescent="0.25">
      <c r="A6" s="139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1"/>
      <c r="AD6" s="2"/>
    </row>
    <row r="7" spans="1:30" ht="12.5" customHeight="1" x14ac:dyDescent="0.2">
      <c r="A7" s="147" t="s">
        <v>159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9"/>
      <c r="AD7" s="2"/>
    </row>
    <row r="8" spans="1:30" s="43" customFormat="1" ht="45" customHeight="1" x14ac:dyDescent="0.2">
      <c r="A8" s="15" t="s">
        <v>46</v>
      </c>
      <c r="B8" s="9" t="s">
        <v>43</v>
      </c>
      <c r="C8" s="116"/>
      <c r="D8" s="117"/>
      <c r="E8" s="70"/>
      <c r="F8" s="4"/>
      <c r="G8" s="4"/>
      <c r="H8" s="13"/>
      <c r="I8" s="4"/>
      <c r="J8" s="4"/>
      <c r="K8" s="4"/>
      <c r="L8" s="4"/>
      <c r="M8" s="35"/>
      <c r="N8" s="4"/>
      <c r="O8" s="4"/>
      <c r="P8" s="4"/>
      <c r="Q8" s="4"/>
      <c r="R8" s="4"/>
      <c r="S8" s="4"/>
      <c r="T8" s="4"/>
      <c r="U8" s="4"/>
      <c r="V8" s="4"/>
      <c r="W8" s="4"/>
      <c r="X8" s="13"/>
      <c r="Y8" s="4"/>
      <c r="Z8" s="4"/>
      <c r="AA8" s="88"/>
      <c r="AB8" s="87"/>
      <c r="AC8" s="5"/>
      <c r="AD8" s="2"/>
    </row>
    <row r="9" spans="1:30" s="43" customFormat="1" ht="45" customHeight="1" x14ac:dyDescent="0.2">
      <c r="A9" s="51" t="s">
        <v>102</v>
      </c>
      <c r="B9" s="8" t="s">
        <v>43</v>
      </c>
      <c r="C9" s="8"/>
      <c r="D9" s="72"/>
      <c r="E9" s="70"/>
      <c r="F9" s="4"/>
      <c r="G9" s="4"/>
      <c r="H9" s="13"/>
      <c r="I9" s="4"/>
      <c r="J9" s="4"/>
      <c r="K9" s="4"/>
      <c r="L9" s="4"/>
      <c r="M9" s="35"/>
      <c r="N9" s="4"/>
      <c r="O9" s="4"/>
      <c r="P9" s="4"/>
      <c r="Q9" s="4"/>
      <c r="R9" s="4"/>
      <c r="S9" s="4"/>
      <c r="T9" s="4"/>
      <c r="U9" s="4"/>
      <c r="V9" s="4"/>
      <c r="W9" s="4"/>
      <c r="X9" s="13"/>
      <c r="Y9" s="4"/>
      <c r="Z9" s="4"/>
      <c r="AA9" s="88"/>
      <c r="AB9" s="87"/>
      <c r="AC9" s="6"/>
      <c r="AD9" s="2"/>
    </row>
    <row r="10" spans="1:30" s="43" customFormat="1" ht="45" customHeight="1" x14ac:dyDescent="0.2">
      <c r="A10" s="15" t="s">
        <v>94</v>
      </c>
      <c r="B10" s="8" t="s">
        <v>43</v>
      </c>
      <c r="C10" s="8"/>
      <c r="D10" s="72"/>
      <c r="E10" s="70"/>
      <c r="F10" s="4"/>
      <c r="G10" s="4"/>
      <c r="H10" s="13"/>
      <c r="I10" s="4"/>
      <c r="J10" s="4"/>
      <c r="K10" s="4"/>
      <c r="L10" s="4"/>
      <c r="M10" s="35"/>
      <c r="N10" s="4"/>
      <c r="O10" s="4"/>
      <c r="P10" s="4"/>
      <c r="Q10" s="4"/>
      <c r="R10" s="4"/>
      <c r="S10" s="4"/>
      <c r="T10" s="4"/>
      <c r="U10" s="4"/>
      <c r="V10" s="4"/>
      <c r="W10" s="4"/>
      <c r="X10" s="13"/>
      <c r="Y10" s="4"/>
      <c r="Z10" s="4"/>
      <c r="AA10" s="88"/>
      <c r="AB10" s="87"/>
      <c r="AC10" s="6"/>
      <c r="AD10" s="2"/>
    </row>
    <row r="11" spans="1:30" s="43" customFormat="1" ht="45" customHeight="1" x14ac:dyDescent="0.2">
      <c r="A11" s="15" t="s">
        <v>63</v>
      </c>
      <c r="B11" s="8" t="s">
        <v>57</v>
      </c>
      <c r="C11" s="8"/>
      <c r="D11" s="72">
        <v>2.6</v>
      </c>
      <c r="E11" s="70">
        <v>578900</v>
      </c>
      <c r="F11" s="4">
        <f>79248/12</f>
        <v>6604</v>
      </c>
      <c r="G11" s="4">
        <f>94640/12</f>
        <v>7886.666666666667</v>
      </c>
      <c r="H11" s="53">
        <v>0</v>
      </c>
      <c r="I11" s="52">
        <f>H11*G11</f>
        <v>0</v>
      </c>
      <c r="J11" s="54">
        <f>0.03*G11</f>
        <v>236.6</v>
      </c>
      <c r="K11" s="54">
        <v>0</v>
      </c>
      <c r="L11" s="57">
        <v>0</v>
      </c>
      <c r="M11" s="54"/>
      <c r="N11" s="54">
        <f t="shared" ref="N11" si="0">SUM(G11,I11:L11)</f>
        <v>8123.2666666666673</v>
      </c>
      <c r="O11" s="54">
        <v>0</v>
      </c>
      <c r="P11" s="54">
        <f>7734/12</f>
        <v>644.5</v>
      </c>
      <c r="Q11" s="54">
        <f>535/12</f>
        <v>44.583333333333336</v>
      </c>
      <c r="R11" s="54">
        <f>70/12</f>
        <v>5.833333333333333</v>
      </c>
      <c r="S11" s="54">
        <f>0.00146*25000</f>
        <v>36.5</v>
      </c>
      <c r="T11" s="54">
        <v>0</v>
      </c>
      <c r="U11" s="54">
        <f t="shared" ref="U11" si="1">IF(G11&gt;11900,(11900*0.062)+(0.0145*G11),(0.0765*G11))</f>
        <v>603.33000000000004</v>
      </c>
      <c r="V11" s="54">
        <v>0</v>
      </c>
      <c r="W11" s="54">
        <f t="shared" ref="W11" si="2">SUM(N11:V11)</f>
        <v>9458.0133333333342</v>
      </c>
      <c r="X11" s="55">
        <v>0</v>
      </c>
      <c r="Y11" s="54">
        <f t="shared" ref="Y11" si="3">X11*G11</f>
        <v>0</v>
      </c>
      <c r="Z11" s="54">
        <f t="shared" ref="Z11" si="4">W11-Y11</f>
        <v>9458.0133333333342</v>
      </c>
      <c r="AA11" s="87">
        <v>2302</v>
      </c>
      <c r="AB11" s="87">
        <f>Z11-AA11</f>
        <v>7156.0133333333342</v>
      </c>
      <c r="AC11" s="6"/>
      <c r="AD11" s="2"/>
    </row>
    <row r="12" spans="1:30" s="43" customFormat="1" ht="45" customHeight="1" x14ac:dyDescent="0.2">
      <c r="A12" s="15" t="s">
        <v>64</v>
      </c>
      <c r="B12" s="9" t="s">
        <v>43</v>
      </c>
      <c r="C12" s="9"/>
      <c r="D12" s="74"/>
      <c r="E12" s="74"/>
      <c r="F12" s="4"/>
      <c r="G12" s="4"/>
      <c r="H12" s="53"/>
      <c r="I12" s="52"/>
      <c r="J12" s="54"/>
      <c r="K12" s="54"/>
      <c r="L12" s="57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5"/>
      <c r="Y12" s="54"/>
      <c r="Z12" s="54"/>
      <c r="AA12" s="87"/>
      <c r="AB12" s="87"/>
      <c r="AC12" s="6"/>
      <c r="AD12" s="2"/>
    </row>
    <row r="13" spans="1:30" s="43" customFormat="1" ht="18" customHeight="1" x14ac:dyDescent="0.2">
      <c r="A13" s="144" t="s">
        <v>160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6"/>
      <c r="AD13" s="2"/>
    </row>
    <row r="14" spans="1:30" s="43" customFormat="1" ht="45" customHeight="1" x14ac:dyDescent="0.2">
      <c r="A14" s="15" t="s">
        <v>48</v>
      </c>
      <c r="B14" s="47" t="s">
        <v>43</v>
      </c>
      <c r="C14" s="16" t="s">
        <v>68</v>
      </c>
      <c r="D14" s="68"/>
      <c r="E14" s="70"/>
      <c r="F14" s="14"/>
      <c r="G14" s="14"/>
      <c r="H14" s="53"/>
      <c r="I14" s="52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5"/>
      <c r="Y14" s="54"/>
      <c r="Z14" s="54"/>
      <c r="AA14" s="87"/>
      <c r="AB14" s="87"/>
      <c r="AC14" s="6"/>
      <c r="AD14" s="2"/>
    </row>
    <row r="15" spans="1:30" s="43" customFormat="1" ht="33" customHeight="1" x14ac:dyDescent="0.2">
      <c r="A15" s="15" t="s">
        <v>53</v>
      </c>
      <c r="B15" s="9" t="s">
        <v>43</v>
      </c>
      <c r="C15" s="16" t="s">
        <v>68</v>
      </c>
      <c r="D15" s="69"/>
      <c r="E15" s="81"/>
      <c r="F15" s="14"/>
      <c r="G15" s="14"/>
      <c r="H15" s="53"/>
      <c r="I15" s="52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5"/>
      <c r="Y15" s="54"/>
      <c r="Z15" s="54"/>
      <c r="AA15" s="87"/>
      <c r="AB15" s="87"/>
      <c r="AC15" s="6"/>
      <c r="AD15" s="2"/>
    </row>
    <row r="16" spans="1:30" s="43" customFormat="1" ht="45" customHeight="1" x14ac:dyDescent="0.2">
      <c r="A16" s="15" t="s">
        <v>54</v>
      </c>
      <c r="B16" s="8" t="s">
        <v>43</v>
      </c>
      <c r="C16" s="8"/>
      <c r="D16" s="70"/>
      <c r="E16" s="70"/>
      <c r="F16" s="4"/>
      <c r="G16" s="4"/>
      <c r="H16" s="13"/>
      <c r="I16" s="4"/>
      <c r="J16" s="4"/>
      <c r="K16" s="4"/>
      <c r="L16" s="4"/>
      <c r="M16" s="35"/>
      <c r="N16" s="4"/>
      <c r="O16" s="4"/>
      <c r="P16" s="4"/>
      <c r="Q16" s="4"/>
      <c r="R16" s="4"/>
      <c r="S16" s="4"/>
      <c r="T16" s="4"/>
      <c r="U16" s="4"/>
      <c r="V16" s="4"/>
      <c r="W16" s="4"/>
      <c r="X16" s="13"/>
      <c r="Y16" s="4"/>
      <c r="Z16" s="4"/>
      <c r="AA16" s="88"/>
      <c r="AB16" s="87"/>
      <c r="AC16" s="6"/>
      <c r="AD16" s="2"/>
    </row>
    <row r="17" spans="1:30" s="43" customFormat="1" ht="45" customHeight="1" x14ac:dyDescent="0.2">
      <c r="A17" s="15" t="s">
        <v>103</v>
      </c>
      <c r="B17" s="56" t="s">
        <v>43</v>
      </c>
      <c r="C17" s="8"/>
      <c r="D17" s="72"/>
      <c r="E17" s="72"/>
      <c r="F17" s="4"/>
      <c r="G17" s="4"/>
      <c r="H17" s="13"/>
      <c r="I17" s="4"/>
      <c r="J17" s="4"/>
      <c r="K17" s="4"/>
      <c r="L17" s="4"/>
      <c r="M17" s="35"/>
      <c r="N17" s="4"/>
      <c r="O17" s="4"/>
      <c r="P17" s="4"/>
      <c r="Q17" s="4"/>
      <c r="R17" s="4"/>
      <c r="S17" s="4"/>
      <c r="T17" s="4"/>
      <c r="U17" s="4"/>
      <c r="V17" s="4"/>
      <c r="W17" s="4"/>
      <c r="X17" s="13"/>
      <c r="Y17" s="4"/>
      <c r="Z17" s="4"/>
      <c r="AA17" s="88"/>
      <c r="AB17" s="87"/>
      <c r="AC17" s="6"/>
      <c r="AD17" s="2"/>
    </row>
    <row r="18" spans="1:30" s="43" customFormat="1" ht="45" customHeight="1" x14ac:dyDescent="0.2">
      <c r="A18" s="15" t="s">
        <v>49</v>
      </c>
      <c r="B18" s="56" t="s">
        <v>43</v>
      </c>
      <c r="C18" s="8"/>
      <c r="D18" s="70"/>
      <c r="E18" s="70"/>
      <c r="F18" s="4"/>
      <c r="G18" s="4"/>
      <c r="H18" s="55"/>
      <c r="I18" s="54"/>
      <c r="J18" s="54"/>
      <c r="K18" s="54"/>
      <c r="L18" s="54"/>
      <c r="M18" s="54"/>
      <c r="N18" s="54"/>
      <c r="O18" s="54"/>
      <c r="P18" s="4"/>
      <c r="Q18" s="4"/>
      <c r="R18" s="4"/>
      <c r="S18" s="4"/>
      <c r="T18" s="54"/>
      <c r="U18" s="54"/>
      <c r="V18" s="54"/>
      <c r="W18" s="54"/>
      <c r="X18" s="55"/>
      <c r="Y18" s="57"/>
      <c r="Z18" s="54"/>
      <c r="AA18" s="88"/>
      <c r="AB18" s="87"/>
      <c r="AC18" s="6"/>
      <c r="AD18" s="2"/>
    </row>
    <row r="19" spans="1:30" s="43" customFormat="1" ht="45" customHeight="1" x14ac:dyDescent="0.2">
      <c r="A19" s="15" t="s">
        <v>50</v>
      </c>
      <c r="B19" s="9" t="s">
        <v>111</v>
      </c>
      <c r="C19" s="8"/>
      <c r="D19" s="70">
        <v>9</v>
      </c>
      <c r="E19" s="70">
        <v>365800</v>
      </c>
      <c r="F19" s="4">
        <f>95000/12</f>
        <v>7916.666666666667</v>
      </c>
      <c r="G19" s="4">
        <f>166000/12</f>
        <v>13833.333333333334</v>
      </c>
      <c r="H19" s="55">
        <v>0</v>
      </c>
      <c r="I19" s="52">
        <f>H19*G19</f>
        <v>0</v>
      </c>
      <c r="J19" s="54">
        <f>0.04*G19</f>
        <v>553.33333333333337</v>
      </c>
      <c r="K19" s="54">
        <v>0</v>
      </c>
      <c r="L19" s="54">
        <v>0</v>
      </c>
      <c r="M19" s="54"/>
      <c r="N19" s="54">
        <f>SUM(G19,I19:L19)</f>
        <v>14386.666666666668</v>
      </c>
      <c r="O19" s="54">
        <v>0</v>
      </c>
      <c r="P19" s="54">
        <f>1646+250+250+250</f>
        <v>2396</v>
      </c>
      <c r="Q19" s="54">
        <v>42.6</v>
      </c>
      <c r="R19" s="54">
        <v>0</v>
      </c>
      <c r="S19" s="54">
        <v>4.25</v>
      </c>
      <c r="T19" s="54">
        <v>0</v>
      </c>
      <c r="U19" s="54">
        <f t="shared" ref="U19:U20" si="5">IF(G19&gt;11900,(11900*0.062)+(0.0145*G19),(0.0765*G19))</f>
        <v>938.38333333333333</v>
      </c>
      <c r="V19" s="54">
        <v>0</v>
      </c>
      <c r="W19" s="54">
        <f>SUM(N19:V19)</f>
        <v>17767.900000000001</v>
      </c>
      <c r="X19" s="55">
        <v>0</v>
      </c>
      <c r="Y19" s="54">
        <f>X19*G19</f>
        <v>0</v>
      </c>
      <c r="Z19" s="54">
        <f>W19-Y19</f>
        <v>17767.900000000001</v>
      </c>
      <c r="AA19" s="87">
        <v>1461</v>
      </c>
      <c r="AB19" s="87">
        <f t="shared" ref="AB19:AB20" si="6">Z19-AA19</f>
        <v>16306.900000000001</v>
      </c>
      <c r="AC19" s="6" t="s">
        <v>108</v>
      </c>
      <c r="AD19" s="2"/>
    </row>
    <row r="20" spans="1:30" s="43" customFormat="1" ht="45" customHeight="1" x14ac:dyDescent="0.2">
      <c r="A20" s="15" t="s">
        <v>105</v>
      </c>
      <c r="B20" s="9" t="s">
        <v>151</v>
      </c>
      <c r="C20" s="8"/>
      <c r="D20" s="72">
        <v>8.1</v>
      </c>
      <c r="E20" s="82">
        <v>1.1200000000000001</v>
      </c>
      <c r="F20" s="4">
        <f>105880/12</f>
        <v>8823.3333333333339</v>
      </c>
      <c r="G20" s="4">
        <f>F20</f>
        <v>8823.3333333333339</v>
      </c>
      <c r="H20" s="55">
        <v>0</v>
      </c>
      <c r="I20" s="54">
        <f>H20*G20</f>
        <v>0</v>
      </c>
      <c r="J20" s="57">
        <f>0.07*G20</f>
        <v>617.63333333333344</v>
      </c>
      <c r="K20" s="54">
        <v>0</v>
      </c>
      <c r="L20" s="54">
        <v>0</v>
      </c>
      <c r="M20" s="54"/>
      <c r="N20" s="54">
        <f>SUM(G20,I20:L20)</f>
        <v>9440.9666666666672</v>
      </c>
      <c r="O20" s="54">
        <v>450</v>
      </c>
      <c r="P20" s="54" t="s">
        <v>34</v>
      </c>
      <c r="Q20" s="54" t="s">
        <v>34</v>
      </c>
      <c r="R20" s="54" t="s">
        <v>34</v>
      </c>
      <c r="S20" s="54" t="s">
        <v>34</v>
      </c>
      <c r="T20" s="54">
        <v>0</v>
      </c>
      <c r="U20" s="54">
        <f t="shared" si="5"/>
        <v>674.98500000000001</v>
      </c>
      <c r="V20" s="54">
        <v>0</v>
      </c>
      <c r="W20" s="54">
        <f>SUM(N20:V20)</f>
        <v>10565.951666666668</v>
      </c>
      <c r="X20" s="55">
        <v>0</v>
      </c>
      <c r="Y20" s="57">
        <f t="shared" ref="Y20" si="7">X20*G20</f>
        <v>0</v>
      </c>
      <c r="Z20" s="54">
        <f t="shared" ref="Z20" si="8">W20-Y20</f>
        <v>10565.951666666668</v>
      </c>
      <c r="AA20" s="88">
        <v>5005</v>
      </c>
      <c r="AB20" s="87">
        <f t="shared" si="6"/>
        <v>5560.9516666666677</v>
      </c>
      <c r="AC20" s="6"/>
      <c r="AD20" s="2"/>
    </row>
    <row r="21" spans="1:30" s="43" customFormat="1" ht="45" customHeight="1" x14ac:dyDescent="0.2">
      <c r="A21" s="15" t="s">
        <v>52</v>
      </c>
      <c r="B21" s="8" t="s">
        <v>43</v>
      </c>
      <c r="C21" s="8" t="s">
        <v>87</v>
      </c>
      <c r="D21" s="72"/>
      <c r="E21" s="70"/>
      <c r="F21" s="4"/>
      <c r="G21" s="4"/>
      <c r="H21" s="53"/>
      <c r="I21" s="52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5"/>
      <c r="Y21" s="54"/>
      <c r="Z21" s="54"/>
      <c r="AA21" s="87"/>
      <c r="AB21" s="87"/>
      <c r="AC21" s="6"/>
      <c r="AD21" s="2"/>
    </row>
    <row r="22" spans="1:30" s="43" customFormat="1" ht="45" customHeight="1" x14ac:dyDescent="0.2">
      <c r="A22" s="15" t="s">
        <v>47</v>
      </c>
      <c r="B22" s="8" t="s">
        <v>43</v>
      </c>
      <c r="C22" s="8"/>
      <c r="D22" s="71"/>
      <c r="E22" s="74"/>
      <c r="F22" s="4"/>
      <c r="G22" s="4"/>
      <c r="H22" s="13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13"/>
      <c r="Y22" s="4"/>
      <c r="Z22" s="4"/>
      <c r="AA22" s="88"/>
      <c r="AB22" s="87"/>
      <c r="AC22" s="6"/>
      <c r="AD22" s="2"/>
    </row>
    <row r="23" spans="1:30" ht="12.5" customHeight="1" x14ac:dyDescent="0.2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</row>
    <row r="24" spans="1:30" ht="29" customHeight="1" x14ac:dyDescent="0.2">
      <c r="A24" s="138" t="s">
        <v>161</v>
      </c>
      <c r="B24" s="138"/>
      <c r="C24" s="138"/>
      <c r="D24" s="138"/>
      <c r="E24" s="138"/>
      <c r="F24" s="138"/>
      <c r="G24" s="41">
        <f>MEDIAN(G8:G12)</f>
        <v>7886.666666666667</v>
      </c>
      <c r="H24" s="27"/>
      <c r="I24" s="42"/>
      <c r="J24" s="42"/>
      <c r="K24" s="42"/>
      <c r="L24" s="42"/>
      <c r="M24" s="42"/>
      <c r="N24" s="41">
        <f>MEDIAN(N8:N12)</f>
        <v>8123.2666666666673</v>
      </c>
      <c r="O24" s="27"/>
      <c r="P24" s="27"/>
      <c r="Q24" s="27"/>
      <c r="R24" s="30"/>
      <c r="S24" s="30"/>
      <c r="T24" s="30"/>
      <c r="U24" s="42"/>
      <c r="V24" s="42"/>
      <c r="W24" s="42"/>
      <c r="X24" s="42"/>
      <c r="Y24" s="42"/>
      <c r="Z24" s="41">
        <f>MEDIAN(Z8:Z12)</f>
        <v>9458.0133333333342</v>
      </c>
      <c r="AA24" s="89"/>
      <c r="AB24" s="41">
        <f>MEDIAN(AB8:AB12)</f>
        <v>7156.0133333333342</v>
      </c>
      <c r="AC24" s="10"/>
    </row>
    <row r="25" spans="1:30" ht="29" customHeight="1" x14ac:dyDescent="0.2">
      <c r="A25" s="143" t="s">
        <v>162</v>
      </c>
      <c r="B25" s="143"/>
      <c r="C25" s="143"/>
      <c r="D25" s="143"/>
      <c r="E25" s="143"/>
      <c r="F25" s="143"/>
      <c r="G25" s="40">
        <f>-(G24-G5)/G5</f>
        <v>-0.14236052434637772</v>
      </c>
      <c r="H25" s="27"/>
      <c r="I25" s="42"/>
      <c r="J25" s="42"/>
      <c r="K25" s="42"/>
      <c r="L25" s="42"/>
      <c r="M25" s="42"/>
      <c r="N25" s="40">
        <f>-(N24-N5)/N5</f>
        <v>-0.1423605243463778</v>
      </c>
      <c r="O25" s="27"/>
      <c r="P25" s="27"/>
      <c r="Q25" s="28"/>
      <c r="R25" s="28"/>
      <c r="S25" s="28"/>
      <c r="T25" s="28"/>
      <c r="U25" s="42"/>
      <c r="V25" s="42"/>
      <c r="W25" s="42"/>
      <c r="X25" s="42"/>
      <c r="Y25" s="42"/>
      <c r="Z25" s="40">
        <f>-(Z24-Z5)/Z5</f>
        <v>-8.0625388877631418E-2</v>
      </c>
      <c r="AA25" s="90"/>
      <c r="AB25" s="40">
        <f>-(AB24-AB5)/AB5</f>
        <v>1.1238676063120708E-2</v>
      </c>
      <c r="AC25" s="10"/>
    </row>
    <row r="26" spans="1:30" ht="29" customHeight="1" x14ac:dyDescent="0.2">
      <c r="A26" s="150" t="s">
        <v>163</v>
      </c>
      <c r="B26" s="151"/>
      <c r="C26" s="151"/>
      <c r="D26" s="151"/>
      <c r="E26" s="151"/>
      <c r="F26" s="152"/>
      <c r="G26" s="39">
        <f>MEDIAN(G8:G12,G14:G22)</f>
        <v>8823.3333333333339</v>
      </c>
      <c r="H26" s="27"/>
      <c r="I26" s="42"/>
      <c r="J26" s="42"/>
      <c r="K26" s="42"/>
      <c r="L26" s="42"/>
      <c r="M26" s="42"/>
      <c r="N26" s="39">
        <f>MEDIAN(N8:N12,N14:N22)</f>
        <v>9440.9666666666672</v>
      </c>
      <c r="O26" s="27"/>
      <c r="P26" s="27"/>
      <c r="Q26" s="28"/>
      <c r="R26" s="28"/>
      <c r="S26" s="28"/>
      <c r="T26" s="28"/>
      <c r="U26" s="42"/>
      <c r="V26" s="42"/>
      <c r="W26" s="42"/>
      <c r="X26" s="42"/>
      <c r="Y26" s="42"/>
      <c r="Z26" s="39">
        <f>MEDIAN(Z8:Z12,Z14:Z22)</f>
        <v>10565.951666666668</v>
      </c>
      <c r="AA26" s="90"/>
      <c r="AB26" s="39">
        <f>MEDIAN(AB8:AB12,AB14:AB22)</f>
        <v>7156.0133333333342</v>
      </c>
      <c r="AC26" s="10"/>
    </row>
    <row r="27" spans="1:30" ht="29" customHeight="1" x14ac:dyDescent="0.2">
      <c r="A27" s="143" t="s">
        <v>164</v>
      </c>
      <c r="B27" s="143"/>
      <c r="C27" s="143"/>
      <c r="D27" s="143"/>
      <c r="E27" s="143"/>
      <c r="F27" s="143"/>
      <c r="G27" s="40">
        <f>-(G26-G5)/G5</f>
        <v>-0.27803394249571506</v>
      </c>
      <c r="H27" s="27"/>
      <c r="I27" s="42"/>
      <c r="J27" s="42"/>
      <c r="K27" s="42"/>
      <c r="L27" s="42"/>
      <c r="M27" s="42"/>
      <c r="N27" s="40">
        <f>-(N26-N5)/N5</f>
        <v>-0.32766632861205353</v>
      </c>
      <c r="O27" s="27"/>
      <c r="P27" s="27"/>
      <c r="Q27" s="28"/>
      <c r="R27" s="28"/>
      <c r="S27" s="28"/>
      <c r="T27" s="28"/>
      <c r="U27" s="42"/>
      <c r="V27" s="42"/>
      <c r="W27" s="42"/>
      <c r="X27" s="42"/>
      <c r="Y27" s="42"/>
      <c r="Z27" s="40">
        <f>-(Z26-Z5)/Z5</f>
        <v>-0.20721289199429385</v>
      </c>
      <c r="AA27" s="90"/>
      <c r="AB27" s="40">
        <f>-(AB26-AB5)/AB5</f>
        <v>1.1238676063120708E-2</v>
      </c>
      <c r="AC27" s="10"/>
    </row>
    <row r="28" spans="1:30" ht="29" hidden="1" customHeight="1" x14ac:dyDescent="0.2">
      <c r="A28" s="143" t="s">
        <v>35</v>
      </c>
      <c r="B28" s="143"/>
      <c r="C28" s="143"/>
      <c r="D28" s="143"/>
      <c r="E28" s="143"/>
      <c r="F28" s="143"/>
      <c r="G28" s="39">
        <f>AVERAGE(G14:G22)</f>
        <v>11328.333333333334</v>
      </c>
      <c r="H28" s="27"/>
      <c r="I28" s="42"/>
      <c r="J28" s="42"/>
      <c r="K28" s="42"/>
      <c r="L28" s="42"/>
      <c r="M28" s="42"/>
      <c r="N28" s="39">
        <f>AVERAGE(N14:N22)</f>
        <v>11913.816666666668</v>
      </c>
      <c r="O28" s="27"/>
      <c r="P28" s="27"/>
      <c r="Q28" s="28"/>
      <c r="R28" s="28"/>
      <c r="S28" s="28"/>
      <c r="T28" s="28"/>
      <c r="U28" s="42"/>
      <c r="V28" s="42"/>
      <c r="W28" s="42"/>
      <c r="X28" s="42"/>
      <c r="Y28" s="42"/>
      <c r="Z28" s="39">
        <f>AVERAGE(Z14:Z22)</f>
        <v>14166.925833333335</v>
      </c>
      <c r="AA28" s="89"/>
      <c r="AB28" s="39">
        <f>AVERAGE(AB14:AB22)</f>
        <v>10933.925833333335</v>
      </c>
      <c r="AC28" s="10"/>
    </row>
    <row r="29" spans="1:30" ht="29" hidden="1" customHeight="1" x14ac:dyDescent="0.2">
      <c r="A29" s="143" t="s">
        <v>95</v>
      </c>
      <c r="B29" s="143"/>
      <c r="C29" s="143"/>
      <c r="D29" s="143"/>
      <c r="E29" s="143"/>
      <c r="F29" s="143"/>
      <c r="G29" s="40">
        <f>-(G28-G5)/G5</f>
        <v>-0.64087584192356917</v>
      </c>
      <c r="H29" s="27"/>
      <c r="I29" s="42"/>
      <c r="J29" s="42"/>
      <c r="K29" s="42"/>
      <c r="L29" s="42"/>
      <c r="M29" s="42"/>
      <c r="N29" s="40">
        <f>-(N28-N5)/N5</f>
        <v>-0.67541882013392984</v>
      </c>
      <c r="O29" s="27"/>
      <c r="P29" s="27"/>
      <c r="Q29" s="28"/>
      <c r="R29" s="28"/>
      <c r="S29" s="28"/>
      <c r="T29" s="28"/>
      <c r="U29" s="42"/>
      <c r="V29" s="42"/>
      <c r="W29" s="42"/>
      <c r="X29" s="42"/>
      <c r="Y29" s="42"/>
      <c r="Z29" s="40">
        <f>-(Z28-Z5)/Z5</f>
        <v>-0.61864222414358994</v>
      </c>
      <c r="AA29" s="90"/>
      <c r="AB29" s="40">
        <f>-(AB28-AB5)/AB5</f>
        <v>-0.51076339285668082</v>
      </c>
      <c r="AC29" s="10"/>
    </row>
    <row r="30" spans="1:30" ht="29" customHeight="1" x14ac:dyDescent="0.2">
      <c r="A30" s="138" t="s">
        <v>23</v>
      </c>
      <c r="B30" s="138"/>
      <c r="C30" s="138"/>
      <c r="D30" s="138"/>
      <c r="E30" s="138"/>
      <c r="F30" s="138"/>
      <c r="G30" s="123">
        <f>COUNT(G8:G12,G14:G22)</f>
        <v>3</v>
      </c>
      <c r="H30" s="27"/>
      <c r="I30" s="42"/>
      <c r="J30" s="42"/>
      <c r="K30" s="42"/>
      <c r="L30" s="42"/>
      <c r="M30" s="42"/>
      <c r="N30" s="122"/>
      <c r="O30" s="27"/>
      <c r="P30" s="27"/>
      <c r="Q30" s="28"/>
      <c r="R30" s="28"/>
      <c r="S30" s="28"/>
      <c r="T30" s="28"/>
      <c r="U30" s="153" t="s">
        <v>165</v>
      </c>
      <c r="V30" s="153"/>
      <c r="W30" s="153"/>
      <c r="X30" s="153"/>
      <c r="Y30" s="154"/>
      <c r="Z30" s="41">
        <f>Z26-AA36</f>
        <v>9158.2850000000017</v>
      </c>
      <c r="AB30" s="39"/>
      <c r="AC30" s="10"/>
    </row>
    <row r="31" spans="1:30" ht="29" customHeight="1" x14ac:dyDescent="0.2">
      <c r="A31" s="157"/>
      <c r="B31" s="157"/>
      <c r="C31" s="157"/>
      <c r="D31" s="157"/>
      <c r="E31" s="157"/>
      <c r="F31" s="157"/>
      <c r="G31" s="90"/>
      <c r="H31" s="27"/>
      <c r="I31" s="42"/>
      <c r="J31" s="42"/>
      <c r="K31" s="42"/>
      <c r="L31" s="42"/>
      <c r="M31" s="42"/>
      <c r="O31" s="27"/>
      <c r="P31" s="27"/>
      <c r="Q31" s="28"/>
      <c r="S31" s="126"/>
      <c r="T31" s="155" t="s">
        <v>166</v>
      </c>
      <c r="U31" s="155"/>
      <c r="V31" s="155"/>
      <c r="W31" s="155"/>
      <c r="X31" s="155"/>
      <c r="Y31" s="156"/>
      <c r="Z31" s="40">
        <f>-(Z30-Z5)/Z5</f>
        <v>-4.6379925760714327E-2</v>
      </c>
      <c r="AB31" s="40"/>
      <c r="AC31" s="10"/>
    </row>
    <row r="32" spans="1:30" ht="29" customHeight="1" x14ac:dyDescent="0.2">
      <c r="H32" s="26"/>
      <c r="I32" s="42"/>
      <c r="J32" s="42"/>
      <c r="K32" s="42"/>
      <c r="L32" s="42"/>
      <c r="M32" s="42"/>
      <c r="N32" s="26"/>
      <c r="O32" s="26"/>
      <c r="P32" s="26"/>
      <c r="Q32" s="26"/>
      <c r="R32" s="26"/>
      <c r="S32" s="26"/>
      <c r="T32" s="26"/>
      <c r="U32" s="42"/>
      <c r="V32" s="42"/>
      <c r="W32" s="42"/>
      <c r="X32" s="118"/>
      <c r="Y32" s="118"/>
      <c r="Z32" s="118"/>
      <c r="AA32" s="119"/>
      <c r="AB32" s="26"/>
      <c r="AC32" s="7"/>
    </row>
    <row r="33" spans="1:29" ht="16" x14ac:dyDescent="0.2">
      <c r="A33" s="36" t="s">
        <v>45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11"/>
      <c r="X33" s="11"/>
      <c r="Y33" s="153"/>
      <c r="Z33" s="153"/>
      <c r="AA33" s="7"/>
      <c r="AB33" s="7"/>
      <c r="AC33" s="7"/>
    </row>
    <row r="34" spans="1:29" x14ac:dyDescent="0.15">
      <c r="A34" t="s">
        <v>90</v>
      </c>
    </row>
    <row r="35" spans="1:29" ht="24" customHeight="1" x14ac:dyDescent="0.2">
      <c r="A35" s="43" t="s">
        <v>91</v>
      </c>
      <c r="W35" s="153" t="s">
        <v>167</v>
      </c>
      <c r="X35" s="153"/>
      <c r="Y35" s="153"/>
      <c r="Z35" s="153"/>
      <c r="AA35" s="127">
        <f>AVERAGE(AA8:AA12,AA14:AA22)</f>
        <v>2922.6666666666665</v>
      </c>
    </row>
    <row r="36" spans="1:29" ht="16" x14ac:dyDescent="0.2">
      <c r="A36" s="43" t="s">
        <v>113</v>
      </c>
      <c r="W36" s="157" t="s">
        <v>168</v>
      </c>
      <c r="X36" s="157"/>
      <c r="Y36" s="157"/>
      <c r="Z36" s="157"/>
      <c r="AA36" s="128">
        <f>AA35-AA5</f>
        <v>1407.6666666666665</v>
      </c>
    </row>
    <row r="37" spans="1:29" x14ac:dyDescent="0.15">
      <c r="A37" s="43" t="s">
        <v>149</v>
      </c>
    </row>
    <row r="40" spans="1:29" ht="28.5" customHeight="1" x14ac:dyDescent="0.15"/>
    <row r="41" spans="1:29" ht="28.5" customHeight="1" x14ac:dyDescent="0.15"/>
    <row r="42" spans="1:29" ht="28.5" customHeight="1" x14ac:dyDescent="0.15">
      <c r="A42" t="s">
        <v>138</v>
      </c>
    </row>
    <row r="43" spans="1:29" ht="28.5" customHeight="1" x14ac:dyDescent="0.15"/>
    <row r="44" spans="1:29" ht="28.5" customHeight="1" x14ac:dyDescent="0.15"/>
    <row r="45" spans="1:29" ht="28.5" customHeight="1" x14ac:dyDescent="0.15"/>
    <row r="46" spans="1:29" ht="28.5" customHeight="1" x14ac:dyDescent="0.15"/>
    <row r="85" spans="1:1" x14ac:dyDescent="0.15">
      <c r="A85" t="s">
        <v>30</v>
      </c>
    </row>
  </sheetData>
  <mergeCells count="17">
    <mergeCell ref="T31:Y31"/>
    <mergeCell ref="W36:Z36"/>
    <mergeCell ref="Y33:Z33"/>
    <mergeCell ref="W35:Z35"/>
    <mergeCell ref="A31:F31"/>
    <mergeCell ref="A30:F30"/>
    <mergeCell ref="A6:AC6"/>
    <mergeCell ref="A23:AC23"/>
    <mergeCell ref="A24:F24"/>
    <mergeCell ref="A25:F25"/>
    <mergeCell ref="A28:F28"/>
    <mergeCell ref="A29:F29"/>
    <mergeCell ref="A13:AC13"/>
    <mergeCell ref="A7:AC7"/>
    <mergeCell ref="A26:F26"/>
    <mergeCell ref="A27:F27"/>
    <mergeCell ref="U30:Y30"/>
  </mergeCells>
  <pageMargins left="0.5" right="0.5" top="0.5" bottom="0.5" header="0.5" footer="0.5"/>
  <pageSetup paperSize="5" scale="28" orientation="landscape" r:id="rId1"/>
  <headerFooter alignWithMargins="0">
    <oddHeader>&amp;L&amp;K000000Appendix A&amp;C&amp;K000000Yolo County RCD
Total Compensation Study 
4/2021</oddHead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3:AD44"/>
  <sheetViews>
    <sheetView topLeftCell="M15" zoomScale="110" zoomScaleNormal="110" workbookViewId="0">
      <selection activeCell="AA35" sqref="AA35:AA36"/>
    </sheetView>
  </sheetViews>
  <sheetFormatPr baseColWidth="10" defaultColWidth="8.83203125" defaultRowHeight="13" x14ac:dyDescent="0.15"/>
  <cols>
    <col min="1" max="1" width="28.83203125" customWidth="1"/>
    <col min="2" max="2" width="30.83203125" customWidth="1"/>
    <col min="3" max="3" width="14.5" hidden="1" customWidth="1"/>
    <col min="4" max="5" width="14.5" customWidth="1"/>
    <col min="6" max="7" width="13.5" customWidth="1"/>
    <col min="8" max="8" width="14.83203125" customWidth="1"/>
    <col min="9" max="9" width="14.1640625" customWidth="1"/>
    <col min="10" max="10" width="19.33203125" customWidth="1"/>
    <col min="11" max="12" width="15.1640625" customWidth="1"/>
    <col min="13" max="13" width="19" customWidth="1"/>
    <col min="14" max="20" width="13.5" customWidth="1"/>
    <col min="21" max="21" width="15.1640625" customWidth="1"/>
    <col min="22" max="25" width="13.5" customWidth="1"/>
    <col min="26" max="27" width="17.1640625" customWidth="1"/>
    <col min="28" max="28" width="17.1640625" hidden="1" customWidth="1"/>
    <col min="29" max="29" width="49.5" customWidth="1"/>
  </cols>
  <sheetData>
    <row r="3" spans="1:30" ht="14" thickBot="1" x14ac:dyDescent="0.2">
      <c r="A3" s="44" t="s">
        <v>32</v>
      </c>
    </row>
    <row r="4" spans="1:30" ht="103" thickBot="1" x14ac:dyDescent="0.25">
      <c r="A4" s="21" t="s">
        <v>0</v>
      </c>
      <c r="B4" s="22" t="s">
        <v>1</v>
      </c>
      <c r="C4" s="23" t="s">
        <v>29</v>
      </c>
      <c r="D4" s="23" t="s">
        <v>134</v>
      </c>
      <c r="E4" s="23" t="s">
        <v>135</v>
      </c>
      <c r="F4" s="23" t="s">
        <v>2</v>
      </c>
      <c r="G4" s="23" t="s">
        <v>3</v>
      </c>
      <c r="H4" s="23" t="s">
        <v>7</v>
      </c>
      <c r="I4" s="23" t="s">
        <v>8</v>
      </c>
      <c r="J4" s="23" t="s">
        <v>9</v>
      </c>
      <c r="K4" s="23" t="s">
        <v>15</v>
      </c>
      <c r="L4" s="23" t="s">
        <v>40</v>
      </c>
      <c r="M4" s="23" t="s">
        <v>33</v>
      </c>
      <c r="N4" s="23" t="s">
        <v>21</v>
      </c>
      <c r="O4" s="23" t="s">
        <v>16</v>
      </c>
      <c r="P4" s="23" t="s">
        <v>14</v>
      </c>
      <c r="Q4" s="23" t="s">
        <v>10</v>
      </c>
      <c r="R4" s="23" t="s">
        <v>11</v>
      </c>
      <c r="S4" s="23" t="s">
        <v>12</v>
      </c>
      <c r="T4" s="23" t="s">
        <v>28</v>
      </c>
      <c r="U4" s="23" t="s">
        <v>41</v>
      </c>
      <c r="V4" s="23" t="s">
        <v>36</v>
      </c>
      <c r="W4" s="23" t="s">
        <v>25</v>
      </c>
      <c r="X4" s="23" t="s">
        <v>27</v>
      </c>
      <c r="Y4" s="23" t="s">
        <v>24</v>
      </c>
      <c r="Z4" s="23" t="s">
        <v>26</v>
      </c>
      <c r="AA4" s="85" t="s">
        <v>137</v>
      </c>
      <c r="AB4" s="23" t="s">
        <v>136</v>
      </c>
      <c r="AC4" s="24" t="s">
        <v>4</v>
      </c>
    </row>
    <row r="5" spans="1:30" ht="71.5" customHeight="1" thickBot="1" x14ac:dyDescent="0.25">
      <c r="A5" s="18" t="s">
        <v>44</v>
      </c>
      <c r="B5" s="19" t="s">
        <v>58</v>
      </c>
      <c r="C5" s="19"/>
      <c r="D5" s="67">
        <v>2.5</v>
      </c>
      <c r="E5" s="84">
        <v>398100</v>
      </c>
      <c r="F5" s="17">
        <f>15.3*2080/12</f>
        <v>2652</v>
      </c>
      <c r="G5" s="17">
        <f>20.4*2080/12</f>
        <v>3536</v>
      </c>
      <c r="H5" s="50">
        <v>0</v>
      </c>
      <c r="I5" s="59">
        <f>H5*G5</f>
        <v>0</v>
      </c>
      <c r="J5" s="60">
        <f>0.03*G5</f>
        <v>106.08</v>
      </c>
      <c r="K5" s="60">
        <v>0</v>
      </c>
      <c r="L5" s="60">
        <v>0</v>
      </c>
      <c r="M5" s="60"/>
      <c r="N5" s="60">
        <f>SUM(G5,I5:L5)</f>
        <v>3642.08</v>
      </c>
      <c r="O5" s="34">
        <v>0</v>
      </c>
      <c r="P5" s="34">
        <v>1053.2</v>
      </c>
      <c r="Q5" s="34">
        <v>52.46</v>
      </c>
      <c r="R5" s="34">
        <v>7.6</v>
      </c>
      <c r="S5" s="34">
        <v>0</v>
      </c>
      <c r="T5" s="34">
        <v>0</v>
      </c>
      <c r="U5" s="34">
        <f>IF(G5&gt;11900,(11900*0.062)+(0.0145*G5),(0.0765*G5))</f>
        <v>270.50400000000002</v>
      </c>
      <c r="V5" s="34">
        <v>0</v>
      </c>
      <c r="W5" s="60">
        <f>SUM(N5:V5)</f>
        <v>5025.8440000000001</v>
      </c>
      <c r="X5" s="50">
        <v>0</v>
      </c>
      <c r="Y5" s="60">
        <f>X5*G5</f>
        <v>0</v>
      </c>
      <c r="Z5" s="60">
        <f>W5-Y5</f>
        <v>5025.8440000000001</v>
      </c>
      <c r="AA5" s="86">
        <v>1515</v>
      </c>
      <c r="AB5" s="86">
        <f>Z5-AA5</f>
        <v>3510.8440000000001</v>
      </c>
      <c r="AC5" s="20"/>
      <c r="AD5" s="2"/>
    </row>
    <row r="6" spans="1:30" ht="12.5" customHeight="1" thickBot="1" x14ac:dyDescent="0.25">
      <c r="A6" s="139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1"/>
      <c r="AD6" s="2"/>
    </row>
    <row r="7" spans="1:30" ht="12.5" customHeight="1" x14ac:dyDescent="0.2">
      <c r="A7" s="147" t="s">
        <v>159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9"/>
      <c r="AD7" s="2"/>
    </row>
    <row r="8" spans="1:30" s="43" customFormat="1" ht="45" customHeight="1" x14ac:dyDescent="0.2">
      <c r="A8" s="15" t="s">
        <v>46</v>
      </c>
      <c r="B8" s="9" t="s">
        <v>118</v>
      </c>
      <c r="C8" s="116"/>
      <c r="D8" s="117">
        <v>733000</v>
      </c>
      <c r="E8" s="70">
        <v>599200</v>
      </c>
      <c r="F8" s="4">
        <f>43680/12</f>
        <v>3640</v>
      </c>
      <c r="G8" s="4">
        <f>50960/12</f>
        <v>4246.666666666667</v>
      </c>
      <c r="H8" s="55">
        <v>0</v>
      </c>
      <c r="I8" s="54">
        <f>H8*G8</f>
        <v>0</v>
      </c>
      <c r="J8" s="54">
        <f>0.03*G8</f>
        <v>127.4</v>
      </c>
      <c r="K8" s="54">
        <v>0</v>
      </c>
      <c r="L8" s="54">
        <v>0</v>
      </c>
      <c r="M8" s="54"/>
      <c r="N8" s="54">
        <f>SUM(G8,I8:L8)</f>
        <v>4374.0666666666666</v>
      </c>
      <c r="O8" s="54">
        <v>0</v>
      </c>
      <c r="P8" s="54">
        <v>971.74</v>
      </c>
      <c r="Q8" s="54">
        <v>75</v>
      </c>
      <c r="R8" s="54" t="s">
        <v>34</v>
      </c>
      <c r="S8" s="54">
        <v>0</v>
      </c>
      <c r="T8" s="54">
        <v>0</v>
      </c>
      <c r="U8" s="54">
        <f t="shared" ref="U8" si="0">IF(G8&gt;11900,(11900*0.062)+(0.0145*G8),(0.0765*G8))</f>
        <v>324.87</v>
      </c>
      <c r="V8" s="54">
        <v>0</v>
      </c>
      <c r="W8" s="54">
        <f>SUM(N8:V8)</f>
        <v>5745.6766666666663</v>
      </c>
      <c r="X8" s="55">
        <v>0</v>
      </c>
      <c r="Y8" s="54">
        <f>X8*G8</f>
        <v>0</v>
      </c>
      <c r="Z8" s="54">
        <f>W8-Y8</f>
        <v>5745.6766666666663</v>
      </c>
      <c r="AA8" s="87">
        <v>2390</v>
      </c>
      <c r="AB8" s="87">
        <f>Z8-AA8</f>
        <v>3355.6766666666663</v>
      </c>
      <c r="AC8" s="5"/>
      <c r="AD8" s="2"/>
    </row>
    <row r="9" spans="1:30" s="43" customFormat="1" ht="45" customHeight="1" x14ac:dyDescent="0.2">
      <c r="A9" s="51" t="s">
        <v>102</v>
      </c>
      <c r="B9" s="9" t="s">
        <v>43</v>
      </c>
      <c r="C9" s="8"/>
      <c r="D9" s="72"/>
      <c r="E9" s="70"/>
      <c r="F9" s="4"/>
      <c r="G9" s="4"/>
      <c r="H9" s="13"/>
      <c r="I9" s="4"/>
      <c r="J9" s="4"/>
      <c r="K9" s="4"/>
      <c r="L9" s="4"/>
      <c r="M9" s="35"/>
      <c r="N9" s="4"/>
      <c r="O9" s="4"/>
      <c r="P9" s="4"/>
      <c r="Q9" s="4"/>
      <c r="R9" s="4"/>
      <c r="S9" s="4"/>
      <c r="T9" s="4"/>
      <c r="U9" s="4"/>
      <c r="V9" s="4"/>
      <c r="W9" s="4"/>
      <c r="X9" s="13"/>
      <c r="Y9" s="4"/>
      <c r="Z9" s="4"/>
      <c r="AA9" s="88"/>
      <c r="AB9" s="87"/>
      <c r="AC9" s="6"/>
      <c r="AD9" s="2"/>
    </row>
    <row r="10" spans="1:30" s="43" customFormat="1" ht="45" customHeight="1" x14ac:dyDescent="0.2">
      <c r="A10" s="15" t="s">
        <v>94</v>
      </c>
      <c r="B10" s="9" t="s">
        <v>43</v>
      </c>
      <c r="C10" s="8"/>
      <c r="D10" s="72"/>
      <c r="E10" s="70"/>
      <c r="F10" s="4"/>
      <c r="G10" s="4"/>
      <c r="H10" s="55"/>
      <c r="I10" s="52"/>
      <c r="J10" s="5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55"/>
      <c r="Y10" s="54"/>
      <c r="Z10" s="54"/>
      <c r="AA10" s="87"/>
      <c r="AB10" s="87"/>
      <c r="AC10" s="6"/>
      <c r="AD10" s="2"/>
    </row>
    <row r="11" spans="1:30" s="43" customFormat="1" ht="45" customHeight="1" x14ac:dyDescent="0.2">
      <c r="A11" s="15" t="s">
        <v>63</v>
      </c>
      <c r="B11" s="9" t="s">
        <v>43</v>
      </c>
      <c r="C11" s="8"/>
      <c r="D11" s="72"/>
      <c r="E11" s="70"/>
      <c r="F11" s="4"/>
      <c r="G11" s="4"/>
      <c r="H11" s="13"/>
      <c r="I11" s="4"/>
      <c r="J11" s="4"/>
      <c r="K11" s="4"/>
      <c r="L11" s="4"/>
      <c r="M11" s="35"/>
      <c r="N11" s="4"/>
      <c r="O11" s="4"/>
      <c r="P11" s="4"/>
      <c r="Q11" s="4"/>
      <c r="R11" s="4"/>
      <c r="S11" s="4"/>
      <c r="T11" s="4"/>
      <c r="U11" s="4"/>
      <c r="V11" s="4"/>
      <c r="W11" s="4"/>
      <c r="X11" s="13"/>
      <c r="Y11" s="4"/>
      <c r="Z11" s="4"/>
      <c r="AA11" s="88"/>
      <c r="AB11" s="87"/>
      <c r="AC11" s="6"/>
      <c r="AD11" s="2"/>
    </row>
    <row r="12" spans="1:30" s="43" customFormat="1" ht="45" customHeight="1" x14ac:dyDescent="0.2">
      <c r="A12" s="15" t="s">
        <v>64</v>
      </c>
      <c r="B12" s="9" t="s">
        <v>43</v>
      </c>
      <c r="C12" s="9"/>
      <c r="D12" s="74"/>
      <c r="E12" s="74"/>
      <c r="F12" s="4"/>
      <c r="G12" s="4"/>
      <c r="H12" s="13"/>
      <c r="I12" s="4"/>
      <c r="J12" s="4"/>
      <c r="K12" s="4"/>
      <c r="L12" s="4"/>
      <c r="M12" s="35"/>
      <c r="N12" s="4"/>
      <c r="O12" s="4"/>
      <c r="P12" s="4"/>
      <c r="Q12" s="4"/>
      <c r="R12" s="4"/>
      <c r="S12" s="4"/>
      <c r="T12" s="4"/>
      <c r="U12" s="4"/>
      <c r="V12" s="4"/>
      <c r="W12" s="4"/>
      <c r="X12" s="13"/>
      <c r="Y12" s="4"/>
      <c r="Z12" s="4"/>
      <c r="AA12" s="88"/>
      <c r="AB12" s="87"/>
      <c r="AC12" s="5"/>
      <c r="AD12" s="2"/>
    </row>
    <row r="13" spans="1:30" s="43" customFormat="1" ht="18" customHeight="1" x14ac:dyDescent="0.2">
      <c r="A13" s="144" t="s">
        <v>160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6"/>
      <c r="AD13" s="2"/>
    </row>
    <row r="14" spans="1:30" s="43" customFormat="1" ht="45" customHeight="1" x14ac:dyDescent="0.2">
      <c r="A14" s="15" t="s">
        <v>48</v>
      </c>
      <c r="B14" s="47" t="s">
        <v>43</v>
      </c>
      <c r="C14" s="16"/>
      <c r="D14" s="68"/>
      <c r="E14" s="70"/>
      <c r="F14" s="14"/>
      <c r="G14" s="14"/>
      <c r="H14" s="53"/>
      <c r="I14" s="52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5"/>
      <c r="Y14" s="54"/>
      <c r="Z14" s="54"/>
      <c r="AA14" s="87"/>
      <c r="AB14" s="87"/>
      <c r="AC14" s="6"/>
      <c r="AD14" s="2"/>
    </row>
    <row r="15" spans="1:30" s="43" customFormat="1" ht="45" customHeight="1" x14ac:dyDescent="0.2">
      <c r="A15" s="15" t="s">
        <v>53</v>
      </c>
      <c r="B15" s="9" t="s">
        <v>43</v>
      </c>
      <c r="C15" s="16"/>
      <c r="D15" s="69"/>
      <c r="E15" s="81"/>
      <c r="F15" s="4"/>
      <c r="G15" s="4"/>
      <c r="H15" s="13"/>
      <c r="I15" s="4"/>
      <c r="J15" s="4"/>
      <c r="K15" s="4"/>
      <c r="L15" s="4"/>
      <c r="M15" s="35"/>
      <c r="N15" s="4"/>
      <c r="O15" s="4"/>
      <c r="P15" s="4"/>
      <c r="Q15" s="4"/>
      <c r="R15" s="4"/>
      <c r="S15" s="4"/>
      <c r="T15" s="4"/>
      <c r="U15" s="4"/>
      <c r="V15" s="4"/>
      <c r="W15" s="4"/>
      <c r="X15" s="13"/>
      <c r="Y15" s="4"/>
      <c r="Z15" s="4"/>
      <c r="AA15" s="88"/>
      <c r="AB15" s="87"/>
      <c r="AC15" s="5"/>
      <c r="AD15" s="2"/>
    </row>
    <row r="16" spans="1:30" s="43" customFormat="1" ht="45" customHeight="1" x14ac:dyDescent="0.2">
      <c r="A16" s="15" t="s">
        <v>54</v>
      </c>
      <c r="B16" s="9" t="s">
        <v>119</v>
      </c>
      <c r="C16" s="8"/>
      <c r="D16" s="70">
        <v>2</v>
      </c>
      <c r="E16" s="70">
        <v>854700</v>
      </c>
      <c r="F16" s="4">
        <f>24*2080/12</f>
        <v>4160</v>
      </c>
      <c r="G16" s="4">
        <f>F16</f>
        <v>4160</v>
      </c>
      <c r="H16" s="55">
        <v>0</v>
      </c>
      <c r="I16" s="52">
        <f>H16*G16</f>
        <v>0</v>
      </c>
      <c r="J16" s="54">
        <v>0</v>
      </c>
      <c r="K16" s="54">
        <v>0</v>
      </c>
      <c r="L16" s="54">
        <v>0</v>
      </c>
      <c r="M16" s="57"/>
      <c r="N16" s="54">
        <f t="shared" ref="N16" si="1">SUM(G16,I16:L16)</f>
        <v>4160</v>
      </c>
      <c r="O16" s="54">
        <v>0</v>
      </c>
      <c r="P16" s="54">
        <v>828.83</v>
      </c>
      <c r="Q16" s="4">
        <v>50.25</v>
      </c>
      <c r="R16" s="4">
        <v>13.18</v>
      </c>
      <c r="S16" s="54">
        <v>0</v>
      </c>
      <c r="T16" s="54">
        <v>0</v>
      </c>
      <c r="U16" s="54">
        <f t="shared" ref="U16" si="2">IF(G16&gt;11900,(11900*0.062)+(0.0145*G16),(0.0765*G16))</f>
        <v>318.24</v>
      </c>
      <c r="V16" s="54">
        <v>0</v>
      </c>
      <c r="W16" s="54">
        <f t="shared" ref="W16" si="3">SUM(N16:V16)</f>
        <v>5370.5</v>
      </c>
      <c r="X16" s="55">
        <v>0</v>
      </c>
      <c r="Y16" s="54">
        <f t="shared" ref="Y16" si="4">X16*G16</f>
        <v>0</v>
      </c>
      <c r="Z16" s="54">
        <f t="shared" ref="Z16" si="5">W16-Y16</f>
        <v>5370.5</v>
      </c>
      <c r="AA16" s="87">
        <v>3502</v>
      </c>
      <c r="AB16" s="87">
        <f t="shared" ref="AB16:AB20" si="6">Z16-AA16</f>
        <v>1868.5</v>
      </c>
      <c r="AC16" s="58"/>
      <c r="AD16" s="2"/>
    </row>
    <row r="17" spans="1:30" s="43" customFormat="1" ht="45" customHeight="1" x14ac:dyDescent="0.2">
      <c r="A17" s="15" t="s">
        <v>103</v>
      </c>
      <c r="B17" s="56" t="s">
        <v>43</v>
      </c>
      <c r="C17" s="8"/>
      <c r="D17" s="72"/>
      <c r="E17" s="72"/>
      <c r="F17" s="4"/>
      <c r="G17" s="4"/>
      <c r="H17" s="13"/>
      <c r="I17" s="4"/>
      <c r="J17" s="4"/>
      <c r="K17" s="4"/>
      <c r="L17" s="4"/>
      <c r="M17" s="35"/>
      <c r="N17" s="4"/>
      <c r="O17" s="4"/>
      <c r="P17" s="4"/>
      <c r="Q17" s="4"/>
      <c r="R17" s="4"/>
      <c r="S17" s="4"/>
      <c r="T17" s="4"/>
      <c r="U17" s="4"/>
      <c r="V17" s="4"/>
      <c r="W17" s="4"/>
      <c r="X17" s="13"/>
      <c r="Y17" s="4"/>
      <c r="Z17" s="4"/>
      <c r="AA17" s="88"/>
      <c r="AB17" s="87"/>
      <c r="AC17" s="6"/>
      <c r="AD17" s="2"/>
    </row>
    <row r="18" spans="1:30" s="43" customFormat="1" ht="45" customHeight="1" x14ac:dyDescent="0.2">
      <c r="A18" s="15" t="s">
        <v>49</v>
      </c>
      <c r="B18" s="56" t="s">
        <v>43</v>
      </c>
      <c r="C18" s="8"/>
      <c r="D18" s="70"/>
      <c r="E18" s="70"/>
      <c r="F18" s="4"/>
      <c r="G18" s="4"/>
      <c r="H18" s="13"/>
      <c r="I18" s="4"/>
      <c r="J18" s="4"/>
      <c r="K18" s="4"/>
      <c r="L18" s="4"/>
      <c r="M18" s="35"/>
      <c r="N18" s="4"/>
      <c r="O18" s="4"/>
      <c r="P18" s="4"/>
      <c r="Q18" s="4"/>
      <c r="R18" s="4"/>
      <c r="S18" s="4"/>
      <c r="T18" s="4"/>
      <c r="U18" s="4"/>
      <c r="V18" s="4"/>
      <c r="W18" s="4"/>
      <c r="X18" s="13"/>
      <c r="Y18" s="4"/>
      <c r="Z18" s="4"/>
      <c r="AA18" s="88"/>
      <c r="AB18" s="87"/>
      <c r="AC18" s="6"/>
      <c r="AD18" s="2"/>
    </row>
    <row r="19" spans="1:30" s="43" customFormat="1" ht="45" customHeight="1" x14ac:dyDescent="0.2">
      <c r="A19" s="15" t="s">
        <v>50</v>
      </c>
      <c r="B19" s="9" t="s">
        <v>43</v>
      </c>
      <c r="C19" s="8"/>
      <c r="D19" s="70"/>
      <c r="E19" s="70"/>
      <c r="F19" s="4"/>
      <c r="G19" s="4"/>
      <c r="H19" s="55"/>
      <c r="I19" s="52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5"/>
      <c r="Y19" s="54"/>
      <c r="Z19" s="54"/>
      <c r="AA19" s="87"/>
      <c r="AB19" s="87"/>
      <c r="AC19" s="6"/>
      <c r="AD19" s="2"/>
    </row>
    <row r="20" spans="1:30" s="43" customFormat="1" ht="45" customHeight="1" x14ac:dyDescent="0.2">
      <c r="A20" s="15" t="s">
        <v>105</v>
      </c>
      <c r="B20" s="9" t="s">
        <v>133</v>
      </c>
      <c r="C20" s="8"/>
      <c r="D20" s="72">
        <v>8.1</v>
      </c>
      <c r="E20" s="82">
        <v>1.1200000000000001</v>
      </c>
      <c r="F20" s="4">
        <f>49920/12</f>
        <v>4160</v>
      </c>
      <c r="G20" s="4">
        <f>69035/12</f>
        <v>5752.916666666667</v>
      </c>
      <c r="H20" s="55">
        <v>0</v>
      </c>
      <c r="I20" s="54">
        <f>H20*G20</f>
        <v>0</v>
      </c>
      <c r="J20" s="57">
        <f>0.07*G20</f>
        <v>402.70416666666671</v>
      </c>
      <c r="K20" s="54">
        <v>0</v>
      </c>
      <c r="L20" s="54">
        <v>0</v>
      </c>
      <c r="M20" s="54"/>
      <c r="N20" s="54">
        <f>SUM(G20,I20:L20)</f>
        <v>6155.6208333333334</v>
      </c>
      <c r="O20" s="54">
        <v>450</v>
      </c>
      <c r="P20" s="54" t="s">
        <v>34</v>
      </c>
      <c r="Q20" s="54" t="s">
        <v>34</v>
      </c>
      <c r="R20" s="54" t="s">
        <v>34</v>
      </c>
      <c r="S20" s="54" t="s">
        <v>34</v>
      </c>
      <c r="T20" s="54">
        <v>0</v>
      </c>
      <c r="U20" s="54">
        <f t="shared" ref="U20" si="7">IF(G20&gt;11900,(11900*0.062)+(0.0145*G20),(0.0765*G20))</f>
        <v>440.09812500000004</v>
      </c>
      <c r="V20" s="54">
        <v>0</v>
      </c>
      <c r="W20" s="54">
        <f>SUM(N20:V20)</f>
        <v>7045.7189583333338</v>
      </c>
      <c r="X20" s="55">
        <v>0</v>
      </c>
      <c r="Y20" s="57">
        <f t="shared" ref="Y20" si="8">X20*G20</f>
        <v>0</v>
      </c>
      <c r="Z20" s="54">
        <f t="shared" ref="Z20" si="9">W20-Y20</f>
        <v>7045.7189583333338</v>
      </c>
      <c r="AA20" s="88">
        <v>5005</v>
      </c>
      <c r="AB20" s="87">
        <f t="shared" si="6"/>
        <v>2040.7189583333338</v>
      </c>
      <c r="AC20" s="6"/>
      <c r="AD20" s="2"/>
    </row>
    <row r="21" spans="1:30" s="43" customFormat="1" ht="45" customHeight="1" x14ac:dyDescent="0.2">
      <c r="A21" s="15" t="s">
        <v>52</v>
      </c>
      <c r="B21" s="56" t="s">
        <v>43</v>
      </c>
      <c r="C21" s="8"/>
      <c r="D21" s="72"/>
      <c r="E21" s="70"/>
      <c r="F21" s="54"/>
      <c r="G21" s="54"/>
      <c r="H21" s="53"/>
      <c r="I21" s="52"/>
      <c r="J21" s="54"/>
      <c r="K21" s="54"/>
      <c r="L21" s="57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5"/>
      <c r="Y21" s="54"/>
      <c r="Z21" s="54"/>
      <c r="AA21" s="87"/>
      <c r="AB21" s="87"/>
      <c r="AC21" s="6"/>
      <c r="AD21" s="2"/>
    </row>
    <row r="22" spans="1:30" s="43" customFormat="1" ht="45" customHeight="1" x14ac:dyDescent="0.2">
      <c r="A22" s="15" t="s">
        <v>47</v>
      </c>
      <c r="B22" s="8" t="s">
        <v>43</v>
      </c>
      <c r="C22" s="8"/>
      <c r="D22" s="71"/>
      <c r="E22" s="74"/>
      <c r="F22" s="4"/>
      <c r="G22" s="4"/>
      <c r="H22" s="13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13"/>
      <c r="Y22" s="4"/>
      <c r="Z22" s="4"/>
      <c r="AA22" s="88"/>
      <c r="AB22" s="87"/>
      <c r="AC22" s="6"/>
      <c r="AD22" s="2"/>
    </row>
    <row r="23" spans="1:30" ht="12.5" customHeight="1" x14ac:dyDescent="0.2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</row>
    <row r="24" spans="1:30" ht="29" customHeight="1" x14ac:dyDescent="0.2">
      <c r="A24" s="138" t="s">
        <v>161</v>
      </c>
      <c r="B24" s="138"/>
      <c r="C24" s="138"/>
      <c r="D24" s="138"/>
      <c r="E24" s="138"/>
      <c r="F24" s="138"/>
      <c r="G24" s="41">
        <f>MEDIAN(G8:G12)</f>
        <v>4246.666666666667</v>
      </c>
      <c r="H24" s="27"/>
      <c r="I24" s="42"/>
      <c r="J24" s="42"/>
      <c r="K24" s="42"/>
      <c r="L24" s="42"/>
      <c r="M24" s="42"/>
      <c r="N24" s="41">
        <f>MEDIAN(N8:N12)</f>
        <v>4374.0666666666666</v>
      </c>
      <c r="O24" s="27"/>
      <c r="P24" s="27"/>
      <c r="Q24" s="29"/>
      <c r="R24" s="30"/>
      <c r="S24" s="30"/>
      <c r="T24" s="30"/>
      <c r="U24" s="42"/>
      <c r="V24" s="42"/>
      <c r="W24" s="42"/>
      <c r="X24" s="42"/>
      <c r="Y24" s="42"/>
      <c r="Z24" s="41">
        <f>MEDIAN(Z8:Z12)</f>
        <v>5745.6766666666663</v>
      </c>
      <c r="AA24" s="89"/>
      <c r="AB24" s="41">
        <f>MEDIAN(AB8:AB12)</f>
        <v>3355.6766666666663</v>
      </c>
      <c r="AC24" s="10"/>
    </row>
    <row r="25" spans="1:30" ht="29" customHeight="1" x14ac:dyDescent="0.2">
      <c r="A25" s="143" t="s">
        <v>162</v>
      </c>
      <c r="B25" s="143"/>
      <c r="C25" s="143"/>
      <c r="D25" s="143"/>
      <c r="E25" s="143"/>
      <c r="F25" s="143"/>
      <c r="G25" s="40">
        <f>-(G24-G5)/G5</f>
        <v>-0.20098039215686284</v>
      </c>
      <c r="H25" s="27"/>
      <c r="I25" s="42"/>
      <c r="J25" s="42"/>
      <c r="K25" s="42"/>
      <c r="L25" s="42"/>
      <c r="M25" s="42"/>
      <c r="N25" s="40">
        <f>-(N24-N5)/N5</f>
        <v>-0.20098039215686275</v>
      </c>
      <c r="O25" s="27"/>
      <c r="P25" s="27"/>
      <c r="Q25" s="28"/>
      <c r="R25" s="28"/>
      <c r="S25" s="28"/>
      <c r="T25" s="28"/>
      <c r="U25" s="42"/>
      <c r="V25" s="42"/>
      <c r="W25" s="42"/>
      <c r="X25" s="42"/>
      <c r="Y25" s="42"/>
      <c r="Z25" s="40">
        <f>-(Z24-Z5)/Z5</f>
        <v>-0.14322622561835707</v>
      </c>
      <c r="AA25" s="90"/>
      <c r="AB25" s="40">
        <f>-(AB24-AB5)/AB5</f>
        <v>4.4196590145655509E-2</v>
      </c>
      <c r="AC25" s="10"/>
    </row>
    <row r="26" spans="1:30" ht="29" customHeight="1" x14ac:dyDescent="0.2">
      <c r="A26" s="150" t="s">
        <v>163</v>
      </c>
      <c r="B26" s="151"/>
      <c r="C26" s="151"/>
      <c r="D26" s="151"/>
      <c r="E26" s="151"/>
      <c r="F26" s="152"/>
      <c r="G26" s="39">
        <f>MEDIAN(G8:G12,G14:G22)</f>
        <v>4246.666666666667</v>
      </c>
      <c r="H26" s="27"/>
      <c r="I26" s="42"/>
      <c r="J26" s="42"/>
      <c r="K26" s="42"/>
      <c r="L26" s="42"/>
      <c r="M26" s="42"/>
      <c r="N26" s="39">
        <f>MEDIAN(N8:N12,N14:N22)</f>
        <v>4374.0666666666666</v>
      </c>
      <c r="O26" s="27"/>
      <c r="P26" s="27"/>
      <c r="Q26" s="28"/>
      <c r="R26" s="28"/>
      <c r="S26" s="28"/>
      <c r="T26" s="28"/>
      <c r="U26" s="42"/>
      <c r="V26" s="42"/>
      <c r="W26" s="42"/>
      <c r="X26" s="42"/>
      <c r="Y26" s="42"/>
      <c r="Z26" s="39">
        <f>MEDIAN(Z8:Z12,Z14:Z22)</f>
        <v>5745.6766666666663</v>
      </c>
      <c r="AA26" s="90"/>
      <c r="AB26" s="39">
        <f>MEDIAN(AB8:AB12,AB14:AB22)</f>
        <v>2040.7189583333338</v>
      </c>
      <c r="AC26" s="10"/>
    </row>
    <row r="27" spans="1:30" ht="29" customHeight="1" x14ac:dyDescent="0.2">
      <c r="A27" s="143" t="s">
        <v>164</v>
      </c>
      <c r="B27" s="143"/>
      <c r="C27" s="143"/>
      <c r="D27" s="143"/>
      <c r="E27" s="143"/>
      <c r="F27" s="143"/>
      <c r="G27" s="40">
        <f>-(G26-G5)/G5</f>
        <v>-0.20098039215686284</v>
      </c>
      <c r="H27" s="27"/>
      <c r="I27" s="42"/>
      <c r="J27" s="42"/>
      <c r="K27" s="42"/>
      <c r="L27" s="42"/>
      <c r="M27" s="42"/>
      <c r="N27" s="40">
        <f>-(N26-N5)/N5</f>
        <v>-0.20098039215686275</v>
      </c>
      <c r="O27" s="27"/>
      <c r="P27" s="27"/>
      <c r="Q27" s="28"/>
      <c r="R27" s="28"/>
      <c r="S27" s="28"/>
      <c r="T27" s="28"/>
      <c r="U27" s="42"/>
      <c r="V27" s="42"/>
      <c r="W27" s="42"/>
      <c r="X27" s="42"/>
      <c r="Y27" s="42"/>
      <c r="Z27" s="40">
        <f>-(Z26-Z5)/Z5</f>
        <v>-0.14322622561835707</v>
      </c>
      <c r="AA27" s="90"/>
      <c r="AB27" s="40">
        <f>-(AB26-AB5)/AB5</f>
        <v>0.41873835512676333</v>
      </c>
      <c r="AC27" s="10"/>
    </row>
    <row r="28" spans="1:30" ht="29" hidden="1" customHeight="1" x14ac:dyDescent="0.2">
      <c r="A28" s="143" t="s">
        <v>35</v>
      </c>
      <c r="B28" s="143"/>
      <c r="C28" s="143"/>
      <c r="D28" s="143"/>
      <c r="E28" s="143"/>
      <c r="F28" s="143"/>
      <c r="G28" s="39">
        <f>AVERAGE(G14:G22)</f>
        <v>4956.4583333333339</v>
      </c>
      <c r="H28" s="27"/>
      <c r="I28" s="42"/>
      <c r="J28" s="42"/>
      <c r="K28" s="42"/>
      <c r="L28" s="42"/>
      <c r="M28" s="42"/>
      <c r="N28" s="39">
        <f>AVERAGE(N14:N22)</f>
        <v>5157.8104166666672</v>
      </c>
      <c r="O28" s="27"/>
      <c r="P28" s="27"/>
      <c r="Q28" s="28"/>
      <c r="R28" s="28"/>
      <c r="S28" s="28"/>
      <c r="T28" s="28"/>
      <c r="U28" s="42"/>
      <c r="V28" s="42"/>
      <c r="W28" s="42"/>
      <c r="X28" s="42"/>
      <c r="Y28" s="42"/>
      <c r="Z28" s="39">
        <f>AVERAGE(Z14:Z22)</f>
        <v>6208.1094791666674</v>
      </c>
      <c r="AA28" s="89"/>
      <c r="AB28" s="39">
        <f>AVERAGE(AB14:AB22)</f>
        <v>1954.6094791666669</v>
      </c>
      <c r="AC28" s="10"/>
    </row>
    <row r="29" spans="1:30" ht="29" hidden="1" customHeight="1" x14ac:dyDescent="0.2">
      <c r="A29" s="143" t="s">
        <v>95</v>
      </c>
      <c r="B29" s="143"/>
      <c r="C29" s="143"/>
      <c r="D29" s="143"/>
      <c r="E29" s="143"/>
      <c r="F29" s="143"/>
      <c r="G29" s="40">
        <f>-(G28-G5)/G5</f>
        <v>-0.40171332956259442</v>
      </c>
      <c r="H29" s="27"/>
      <c r="I29" s="42"/>
      <c r="J29" s="42"/>
      <c r="K29" s="42"/>
      <c r="L29" s="42"/>
      <c r="M29" s="42"/>
      <c r="N29" s="40">
        <f>-(N28-N5)/N5</f>
        <v>-0.41617164276091334</v>
      </c>
      <c r="O29" s="27"/>
      <c r="P29" s="27"/>
      <c r="Q29" s="28"/>
      <c r="R29" s="28"/>
      <c r="S29" s="28"/>
      <c r="T29" s="28"/>
      <c r="U29" s="42"/>
      <c r="V29" s="42"/>
      <c r="W29" s="42"/>
      <c r="X29" s="42"/>
      <c r="Y29" s="42"/>
      <c r="Z29" s="40">
        <f>-(Z28-Z5)/Z5</f>
        <v>-0.23523720178474844</v>
      </c>
      <c r="AA29" s="90"/>
      <c r="AB29" s="40">
        <f>-(AB28-AB5)/AB5</f>
        <v>0.44326507268147863</v>
      </c>
      <c r="AC29" s="10"/>
    </row>
    <row r="30" spans="1:30" ht="29" customHeight="1" x14ac:dyDescent="0.2">
      <c r="A30" s="138" t="s">
        <v>23</v>
      </c>
      <c r="B30" s="138"/>
      <c r="C30" s="138"/>
      <c r="D30" s="138"/>
      <c r="E30" s="138"/>
      <c r="F30" s="138"/>
      <c r="G30" s="123">
        <f>COUNT(G8:G12,G14:G22)</f>
        <v>3</v>
      </c>
      <c r="H30" s="27"/>
      <c r="I30" s="42"/>
      <c r="J30" s="42"/>
      <c r="K30" s="42"/>
      <c r="L30" s="42"/>
      <c r="M30" s="42"/>
      <c r="N30" s="122"/>
      <c r="O30" s="27"/>
      <c r="P30" s="27"/>
      <c r="Q30" s="28"/>
      <c r="R30" s="28"/>
      <c r="S30" s="28"/>
      <c r="T30" s="28"/>
      <c r="U30" s="153" t="s">
        <v>165</v>
      </c>
      <c r="V30" s="153"/>
      <c r="W30" s="153"/>
      <c r="X30" s="153"/>
      <c r="Y30" s="154"/>
      <c r="Z30" s="41">
        <f>Z26-AA36</f>
        <v>3628.3433333333328</v>
      </c>
      <c r="AB30" s="39"/>
      <c r="AC30" s="10"/>
    </row>
    <row r="31" spans="1:30" ht="29" customHeight="1" x14ac:dyDescent="0.2">
      <c r="A31" s="157"/>
      <c r="B31" s="157"/>
      <c r="C31" s="157"/>
      <c r="D31" s="157"/>
      <c r="E31" s="157"/>
      <c r="F31" s="157"/>
      <c r="G31" s="90"/>
      <c r="H31" s="27"/>
      <c r="I31" s="42"/>
      <c r="J31" s="42"/>
      <c r="K31" s="42"/>
      <c r="L31" s="42"/>
      <c r="M31" s="42"/>
      <c r="O31" s="27"/>
      <c r="P31" s="27"/>
      <c r="Q31" s="28"/>
      <c r="S31" s="126"/>
      <c r="T31" s="155" t="s">
        <v>166</v>
      </c>
      <c r="U31" s="155"/>
      <c r="V31" s="155"/>
      <c r="W31" s="155"/>
      <c r="X31" s="155"/>
      <c r="Y31" s="156"/>
      <c r="Z31" s="40">
        <f>-(Z30-Z5)/Z5</f>
        <v>0.27806288190932055</v>
      </c>
      <c r="AB31" s="40"/>
      <c r="AC31" s="10"/>
    </row>
    <row r="32" spans="1:30" ht="29" customHeight="1" x14ac:dyDescent="0.2">
      <c r="H32" s="26"/>
      <c r="I32" s="42"/>
      <c r="J32" s="42"/>
      <c r="K32" s="42"/>
      <c r="L32" s="42"/>
      <c r="M32" s="42"/>
      <c r="N32" s="26"/>
      <c r="O32" s="26"/>
      <c r="P32" s="26"/>
      <c r="Q32" s="26"/>
      <c r="R32" s="26"/>
      <c r="S32" s="26"/>
      <c r="T32" s="26"/>
      <c r="U32" s="42"/>
      <c r="V32" s="42"/>
      <c r="W32" s="42"/>
      <c r="X32" s="118"/>
      <c r="Y32" s="118"/>
      <c r="Z32" s="118"/>
      <c r="AA32" s="119"/>
      <c r="AB32" s="26"/>
      <c r="AC32" s="7"/>
    </row>
    <row r="33" spans="1:29" ht="16" x14ac:dyDescent="0.2">
      <c r="A33" s="36" t="s">
        <v>45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11"/>
      <c r="X33" s="11"/>
      <c r="Y33" s="153"/>
      <c r="Z33" s="153"/>
      <c r="AA33" s="7"/>
      <c r="AB33" s="7"/>
      <c r="AC33" s="7"/>
    </row>
    <row r="34" spans="1:29" x14ac:dyDescent="0.15">
      <c r="A34" s="43" t="s">
        <v>150</v>
      </c>
    </row>
    <row r="35" spans="1:29" ht="24" customHeight="1" x14ac:dyDescent="0.2">
      <c r="A35" s="43"/>
      <c r="W35" s="153" t="s">
        <v>167</v>
      </c>
      <c r="X35" s="153"/>
      <c r="Y35" s="153"/>
      <c r="Z35" s="153"/>
      <c r="AA35" s="127">
        <f>AVERAGE(AA8:AA12,AA14:AA22)</f>
        <v>3632.3333333333335</v>
      </c>
    </row>
    <row r="36" spans="1:29" ht="16" x14ac:dyDescent="0.2">
      <c r="W36" s="157" t="s">
        <v>168</v>
      </c>
      <c r="X36" s="157"/>
      <c r="Y36" s="157"/>
      <c r="Z36" s="157"/>
      <c r="AA36" s="128">
        <f>AA35-AA5</f>
        <v>2117.3333333333335</v>
      </c>
    </row>
    <row r="38" spans="1:29" ht="28.5" customHeight="1" x14ac:dyDescent="0.15"/>
    <row r="39" spans="1:29" ht="28.5" customHeight="1" x14ac:dyDescent="0.15"/>
    <row r="40" spans="1:29" ht="28.5" customHeight="1" x14ac:dyDescent="0.15"/>
    <row r="41" spans="1:29" ht="28.5" customHeight="1" x14ac:dyDescent="0.15"/>
    <row r="42" spans="1:29" ht="28.5" customHeight="1" x14ac:dyDescent="0.15">
      <c r="A42" t="s">
        <v>138</v>
      </c>
    </row>
    <row r="43" spans="1:29" ht="28.5" customHeight="1" x14ac:dyDescent="0.15"/>
    <row r="44" spans="1:29" ht="28.5" customHeight="1" x14ac:dyDescent="0.15"/>
  </sheetData>
  <mergeCells count="17">
    <mergeCell ref="T31:Y31"/>
    <mergeCell ref="W36:Z36"/>
    <mergeCell ref="Y33:Z33"/>
    <mergeCell ref="W35:Z35"/>
    <mergeCell ref="A31:F31"/>
    <mergeCell ref="A30:F30"/>
    <mergeCell ref="A6:AC6"/>
    <mergeCell ref="A23:AC23"/>
    <mergeCell ref="A24:F24"/>
    <mergeCell ref="A25:F25"/>
    <mergeCell ref="A28:F28"/>
    <mergeCell ref="A29:F29"/>
    <mergeCell ref="A13:AC13"/>
    <mergeCell ref="A7:AC7"/>
    <mergeCell ref="A26:F26"/>
    <mergeCell ref="A27:F27"/>
    <mergeCell ref="U30:Y30"/>
  </mergeCells>
  <pageMargins left="0.5" right="0.5" top="0.5" bottom="0.5" header="0.5" footer="0.5"/>
  <pageSetup paperSize="5" scale="33" orientation="landscape" r:id="rId1"/>
  <headerFooter alignWithMargins="0">
    <oddHeader>&amp;L&amp;K000000Appendix A&amp;C&amp;K000000Yolo County RCD
Total Compensation Study 
4/2021</oddHead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3:AD47"/>
  <sheetViews>
    <sheetView topLeftCell="R11" zoomScale="110" zoomScaleNormal="110" workbookViewId="0">
      <selection activeCell="AA35" sqref="AA35:AA36"/>
    </sheetView>
  </sheetViews>
  <sheetFormatPr baseColWidth="10" defaultColWidth="8.83203125" defaultRowHeight="13" x14ac:dyDescent="0.15"/>
  <cols>
    <col min="1" max="1" width="28.83203125" customWidth="1"/>
    <col min="2" max="2" width="30.83203125" customWidth="1"/>
    <col min="3" max="3" width="14.5" hidden="1" customWidth="1"/>
    <col min="4" max="5" width="14.5" customWidth="1"/>
    <col min="6" max="7" width="13.5" customWidth="1"/>
    <col min="8" max="8" width="14.83203125" customWidth="1"/>
    <col min="9" max="9" width="14.1640625" customWidth="1"/>
    <col min="10" max="10" width="19.33203125" customWidth="1"/>
    <col min="11" max="12" width="15.1640625" customWidth="1"/>
    <col min="13" max="13" width="19" customWidth="1"/>
    <col min="14" max="20" width="13.5" customWidth="1"/>
    <col min="21" max="21" width="15.1640625" customWidth="1"/>
    <col min="22" max="25" width="13.5" customWidth="1"/>
    <col min="26" max="27" width="17.1640625" customWidth="1"/>
    <col min="28" max="28" width="17.1640625" hidden="1" customWidth="1"/>
    <col min="29" max="29" width="49.5" customWidth="1"/>
  </cols>
  <sheetData>
    <row r="3" spans="1:30" ht="14" thickBot="1" x14ac:dyDescent="0.2">
      <c r="A3" s="44" t="s">
        <v>32</v>
      </c>
    </row>
    <row r="4" spans="1:30" ht="103" thickBot="1" x14ac:dyDescent="0.25">
      <c r="A4" s="21" t="s">
        <v>0</v>
      </c>
      <c r="B4" s="22" t="s">
        <v>1</v>
      </c>
      <c r="C4" s="23" t="s">
        <v>29</v>
      </c>
      <c r="D4" s="23" t="s">
        <v>134</v>
      </c>
      <c r="E4" s="23" t="s">
        <v>135</v>
      </c>
      <c r="F4" s="23" t="s">
        <v>2</v>
      </c>
      <c r="G4" s="23" t="s">
        <v>3</v>
      </c>
      <c r="H4" s="23" t="s">
        <v>7</v>
      </c>
      <c r="I4" s="23" t="s">
        <v>8</v>
      </c>
      <c r="J4" s="23" t="s">
        <v>9</v>
      </c>
      <c r="K4" s="23" t="s">
        <v>15</v>
      </c>
      <c r="L4" s="23" t="s">
        <v>40</v>
      </c>
      <c r="M4" s="23" t="s">
        <v>33</v>
      </c>
      <c r="N4" s="23" t="s">
        <v>21</v>
      </c>
      <c r="O4" s="23" t="s">
        <v>16</v>
      </c>
      <c r="P4" s="23" t="s">
        <v>14</v>
      </c>
      <c r="Q4" s="23" t="s">
        <v>10</v>
      </c>
      <c r="R4" s="23" t="s">
        <v>11</v>
      </c>
      <c r="S4" s="23" t="s">
        <v>12</v>
      </c>
      <c r="T4" s="23" t="s">
        <v>28</v>
      </c>
      <c r="U4" s="23" t="s">
        <v>41</v>
      </c>
      <c r="V4" s="23" t="s">
        <v>36</v>
      </c>
      <c r="W4" s="23" t="s">
        <v>25</v>
      </c>
      <c r="X4" s="23" t="s">
        <v>27</v>
      </c>
      <c r="Y4" s="23" t="s">
        <v>24</v>
      </c>
      <c r="Z4" s="23" t="s">
        <v>26</v>
      </c>
      <c r="AA4" s="85" t="s">
        <v>137</v>
      </c>
      <c r="AB4" s="23" t="s">
        <v>136</v>
      </c>
      <c r="AC4" s="24" t="s">
        <v>4</v>
      </c>
    </row>
    <row r="5" spans="1:30" ht="71.5" customHeight="1" thickBot="1" x14ac:dyDescent="0.25">
      <c r="A5" s="18" t="s">
        <v>44</v>
      </c>
      <c r="B5" s="19" t="s">
        <v>59</v>
      </c>
      <c r="C5" s="19"/>
      <c r="D5" s="67">
        <v>2.5</v>
      </c>
      <c r="E5" s="84">
        <v>398100</v>
      </c>
      <c r="F5" s="17">
        <f>43805/12</f>
        <v>3650.4166666666665</v>
      </c>
      <c r="G5" s="17">
        <f>67018/12</f>
        <v>5584.833333333333</v>
      </c>
      <c r="H5" s="50">
        <v>0</v>
      </c>
      <c r="I5" s="59">
        <f>H5*G5</f>
        <v>0</v>
      </c>
      <c r="J5" s="60">
        <f>0.03*G5</f>
        <v>167.54499999999999</v>
      </c>
      <c r="K5" s="60">
        <v>0</v>
      </c>
      <c r="L5" s="60">
        <v>0</v>
      </c>
      <c r="M5" s="60"/>
      <c r="N5" s="60">
        <f>SUM(G5,I5:L5)</f>
        <v>5752.3783333333331</v>
      </c>
      <c r="O5" s="34">
        <v>0</v>
      </c>
      <c r="P5" s="34">
        <v>1053.2</v>
      </c>
      <c r="Q5" s="34">
        <v>52.46</v>
      </c>
      <c r="R5" s="34">
        <v>7.6</v>
      </c>
      <c r="S5" s="34">
        <v>0</v>
      </c>
      <c r="T5" s="34">
        <v>0</v>
      </c>
      <c r="U5" s="34">
        <v>0</v>
      </c>
      <c r="V5" s="34">
        <v>0</v>
      </c>
      <c r="W5" s="60">
        <f>SUM(N5:V5)</f>
        <v>6865.6383333333333</v>
      </c>
      <c r="X5" s="50">
        <v>0</v>
      </c>
      <c r="Y5" s="60">
        <f>X5*G5</f>
        <v>0</v>
      </c>
      <c r="Z5" s="60">
        <f>W5-Y5</f>
        <v>6865.6383333333333</v>
      </c>
      <c r="AA5" s="86">
        <v>1515</v>
      </c>
      <c r="AB5" s="86">
        <f>Z5-AA5</f>
        <v>5350.6383333333333</v>
      </c>
      <c r="AC5" s="20"/>
      <c r="AD5" s="2"/>
    </row>
    <row r="6" spans="1:30" ht="12.5" customHeight="1" thickBot="1" x14ac:dyDescent="0.25">
      <c r="A6" s="139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1"/>
      <c r="AD6" s="2"/>
    </row>
    <row r="7" spans="1:30" ht="12.5" customHeight="1" x14ac:dyDescent="0.2">
      <c r="A7" s="147" t="s">
        <v>159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9"/>
      <c r="AD7" s="2"/>
    </row>
    <row r="8" spans="1:30" s="43" customFormat="1" ht="45" customHeight="1" x14ac:dyDescent="0.2">
      <c r="A8" s="15" t="s">
        <v>46</v>
      </c>
      <c r="B8" s="9" t="s">
        <v>43</v>
      </c>
      <c r="C8" s="116"/>
      <c r="D8" s="117"/>
      <c r="E8" s="70"/>
      <c r="F8" s="4"/>
      <c r="G8" s="4"/>
      <c r="H8" s="55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5"/>
      <c r="Y8" s="54"/>
      <c r="Z8" s="54"/>
      <c r="AA8" s="87"/>
      <c r="AB8" s="87"/>
      <c r="AC8" s="5"/>
      <c r="AD8" s="2"/>
    </row>
    <row r="9" spans="1:30" s="43" customFormat="1" ht="45" customHeight="1" x14ac:dyDescent="0.2">
      <c r="A9" s="51" t="s">
        <v>102</v>
      </c>
      <c r="B9" s="9" t="s">
        <v>62</v>
      </c>
      <c r="C9" s="8"/>
      <c r="D9" s="72">
        <v>2.5</v>
      </c>
      <c r="E9" s="70">
        <v>676900</v>
      </c>
      <c r="F9" s="4">
        <f>75199/12</f>
        <v>6266.583333333333</v>
      </c>
      <c r="G9" s="4">
        <f>91465/12</f>
        <v>7622.083333333333</v>
      </c>
      <c r="H9" s="53">
        <v>0</v>
      </c>
      <c r="I9" s="52">
        <f>H9*G9</f>
        <v>0</v>
      </c>
      <c r="J9" s="54">
        <v>0</v>
      </c>
      <c r="K9" s="54">
        <v>0</v>
      </c>
      <c r="L9" s="54">
        <v>0</v>
      </c>
      <c r="M9" s="54"/>
      <c r="N9" s="54">
        <f t="shared" ref="N9" si="0">SUM(G9,I9:L9)</f>
        <v>7622.083333333333</v>
      </c>
      <c r="O9" s="54">
        <v>0</v>
      </c>
      <c r="P9" s="54">
        <v>578.35</v>
      </c>
      <c r="Q9" s="54">
        <v>66.44</v>
      </c>
      <c r="R9" s="54" t="s">
        <v>34</v>
      </c>
      <c r="S9" s="54">
        <v>0</v>
      </c>
      <c r="T9" s="54">
        <v>0</v>
      </c>
      <c r="U9" s="54">
        <f>0.0145*G9</f>
        <v>110.52020833333333</v>
      </c>
      <c r="V9" s="54">
        <v>0</v>
      </c>
      <c r="W9" s="54">
        <f t="shared" ref="W9" si="1">SUM(N9:V9)</f>
        <v>8377.3935416666664</v>
      </c>
      <c r="X9" s="55">
        <v>0</v>
      </c>
      <c r="Y9" s="54">
        <f>X9*G9</f>
        <v>0</v>
      </c>
      <c r="Z9" s="54">
        <f>W9-Y9</f>
        <v>8377.3935416666664</v>
      </c>
      <c r="AA9" s="87">
        <v>2728</v>
      </c>
      <c r="AB9" s="87">
        <f>Z9-AA9</f>
        <v>5649.3935416666664</v>
      </c>
      <c r="AC9" s="58"/>
      <c r="AD9" s="2"/>
    </row>
    <row r="10" spans="1:30" s="43" customFormat="1" ht="45" customHeight="1" x14ac:dyDescent="0.2">
      <c r="A10" s="15" t="s">
        <v>94</v>
      </c>
      <c r="B10" s="9" t="s">
        <v>67</v>
      </c>
      <c r="C10" s="8"/>
      <c r="D10" s="72">
        <v>2.2999999999999998</v>
      </c>
      <c r="E10" s="70">
        <v>437700</v>
      </c>
      <c r="F10" s="4">
        <v>5000</v>
      </c>
      <c r="G10" s="4">
        <v>6250</v>
      </c>
      <c r="H10" s="55">
        <v>0</v>
      </c>
      <c r="I10" s="52">
        <f>H10*G10</f>
        <v>0</v>
      </c>
      <c r="J10" s="54">
        <f>0.1*G10</f>
        <v>625</v>
      </c>
      <c r="K10" s="4">
        <v>0</v>
      </c>
      <c r="L10" s="4">
        <v>0</v>
      </c>
      <c r="M10" s="4"/>
      <c r="N10" s="4">
        <f>SUM(G10,I10:L10)</f>
        <v>6875</v>
      </c>
      <c r="O10" s="4">
        <v>0</v>
      </c>
      <c r="P10" s="4">
        <v>786.34</v>
      </c>
      <c r="Q10" s="4">
        <v>60.52</v>
      </c>
      <c r="R10" s="4">
        <v>13.12</v>
      </c>
      <c r="S10" s="4">
        <v>0</v>
      </c>
      <c r="T10" s="4">
        <v>0</v>
      </c>
      <c r="U10" s="4">
        <f>IF(G10&gt;11900,(11900*0.062)+(0.0145*G10),(0.0765*G10))</f>
        <v>478.125</v>
      </c>
      <c r="V10" s="4">
        <v>0</v>
      </c>
      <c r="W10" s="4">
        <f>SUM(N10:V10)</f>
        <v>8213.1049999999996</v>
      </c>
      <c r="X10" s="55">
        <v>0</v>
      </c>
      <c r="Y10" s="54">
        <f>X10*G10</f>
        <v>0</v>
      </c>
      <c r="Z10" s="54">
        <f>W10-Y10</f>
        <v>8213.1049999999996</v>
      </c>
      <c r="AA10" s="87">
        <v>1687</v>
      </c>
      <c r="AB10" s="87">
        <f>Z10-AA10</f>
        <v>6526.1049999999996</v>
      </c>
      <c r="AC10" s="6"/>
      <c r="AD10" s="2"/>
    </row>
    <row r="11" spans="1:30" s="43" customFormat="1" ht="45" customHeight="1" x14ac:dyDescent="0.2">
      <c r="A11" s="15" t="s">
        <v>63</v>
      </c>
      <c r="B11" s="9" t="s">
        <v>112</v>
      </c>
      <c r="C11" s="8"/>
      <c r="D11" s="72">
        <v>2.6</v>
      </c>
      <c r="E11" s="70">
        <v>578900</v>
      </c>
      <c r="F11" s="4">
        <f>66414/12</f>
        <v>5534.5</v>
      </c>
      <c r="G11" s="4">
        <f>79331/12</f>
        <v>6610.916666666667</v>
      </c>
      <c r="H11" s="53">
        <v>0</v>
      </c>
      <c r="I11" s="52">
        <f>H11*G11</f>
        <v>0</v>
      </c>
      <c r="J11" s="54">
        <f>0.03*G11</f>
        <v>198.32750000000001</v>
      </c>
      <c r="K11" s="54">
        <v>0</v>
      </c>
      <c r="L11" s="57">
        <v>0</v>
      </c>
      <c r="M11" s="54"/>
      <c r="N11" s="54">
        <f>SUM(G11,I11:L11)</f>
        <v>6809.2441666666673</v>
      </c>
      <c r="O11" s="54">
        <v>0</v>
      </c>
      <c r="P11" s="54">
        <f>7734/12</f>
        <v>644.5</v>
      </c>
      <c r="Q11" s="54">
        <f>535/12</f>
        <v>44.583333333333336</v>
      </c>
      <c r="R11" s="54">
        <f>70/12</f>
        <v>5.833333333333333</v>
      </c>
      <c r="S11" s="54">
        <f>0.00146*25000</f>
        <v>36.5</v>
      </c>
      <c r="T11" s="54">
        <v>0</v>
      </c>
      <c r="U11" s="54">
        <f>IF(G11&gt;11900,(11900*0.062)+(0.0145*G11),(0.0765*G11))</f>
        <v>505.73512500000004</v>
      </c>
      <c r="V11" s="54">
        <v>0</v>
      </c>
      <c r="W11" s="54">
        <f t="shared" ref="W11" si="2">SUM(N11:V11)</f>
        <v>8046.3959583333335</v>
      </c>
      <c r="X11" s="55">
        <v>0</v>
      </c>
      <c r="Y11" s="54">
        <f>X11*G11</f>
        <v>0</v>
      </c>
      <c r="Z11" s="54">
        <f>W11-Y11</f>
        <v>8046.3959583333335</v>
      </c>
      <c r="AA11" s="87">
        <v>2302</v>
      </c>
      <c r="AB11" s="87">
        <f>Z11-AA11</f>
        <v>5744.3959583333335</v>
      </c>
      <c r="AC11" s="6"/>
      <c r="AD11" s="2"/>
    </row>
    <row r="12" spans="1:30" s="43" customFormat="1" ht="45" customHeight="1" x14ac:dyDescent="0.2">
      <c r="A12" s="15" t="s">
        <v>64</v>
      </c>
      <c r="B12" s="9" t="s">
        <v>76</v>
      </c>
      <c r="C12" s="9"/>
      <c r="D12" s="74">
        <v>2</v>
      </c>
      <c r="E12" s="74">
        <v>398600</v>
      </c>
      <c r="F12" s="4">
        <f>56760/12</f>
        <v>4730</v>
      </c>
      <c r="G12" s="4">
        <f>70584/12</f>
        <v>5882</v>
      </c>
      <c r="H12" s="53">
        <v>0</v>
      </c>
      <c r="I12" s="52">
        <f>H12*G12</f>
        <v>0</v>
      </c>
      <c r="J12" s="54">
        <v>0</v>
      </c>
      <c r="K12" s="54">
        <v>0</v>
      </c>
      <c r="L12" s="57">
        <v>0</v>
      </c>
      <c r="M12" s="54"/>
      <c r="N12" s="54">
        <f t="shared" ref="N12" si="3">SUM(G12,I12:L12)</f>
        <v>5882</v>
      </c>
      <c r="O12" s="54">
        <v>0</v>
      </c>
      <c r="P12" s="54">
        <f>21113.2/12</f>
        <v>1759.4333333333334</v>
      </c>
      <c r="Q12" s="54">
        <f>732/12</f>
        <v>61</v>
      </c>
      <c r="R12" s="54">
        <v>0</v>
      </c>
      <c r="S12" s="54">
        <v>0</v>
      </c>
      <c r="T12" s="54">
        <v>0</v>
      </c>
      <c r="U12" s="54">
        <f t="shared" ref="U12" si="4">IF(G12&gt;11900,(11900*0.062)+(0.0145*G12),(0.0765*G12))</f>
        <v>449.97300000000001</v>
      </c>
      <c r="V12" s="54">
        <v>0</v>
      </c>
      <c r="W12" s="54">
        <f t="shared" ref="W12" si="5">SUM(N12:V12)</f>
        <v>8152.4063333333334</v>
      </c>
      <c r="X12" s="55">
        <v>0</v>
      </c>
      <c r="Y12" s="54">
        <f>X12*G12</f>
        <v>0</v>
      </c>
      <c r="Z12" s="54">
        <f>W12-Y12</f>
        <v>8152.4063333333334</v>
      </c>
      <c r="AA12" s="87">
        <v>1517</v>
      </c>
      <c r="AB12" s="87">
        <f>Z12-AA12</f>
        <v>6635.4063333333334</v>
      </c>
      <c r="AC12" s="5"/>
      <c r="AD12" s="2"/>
    </row>
    <row r="13" spans="1:30" s="43" customFormat="1" ht="18" customHeight="1" x14ac:dyDescent="0.2">
      <c r="A13" s="144" t="s">
        <v>160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6"/>
      <c r="AD13" s="2"/>
    </row>
    <row r="14" spans="1:30" s="43" customFormat="1" ht="45" customHeight="1" x14ac:dyDescent="0.2">
      <c r="A14" s="15" t="s">
        <v>48</v>
      </c>
      <c r="B14" s="47" t="s">
        <v>75</v>
      </c>
      <c r="C14" s="16" t="s">
        <v>70</v>
      </c>
      <c r="D14" s="68"/>
      <c r="E14" s="70">
        <v>327000</v>
      </c>
      <c r="F14" s="14">
        <f>5923/1.0923</f>
        <v>5422.502975373066</v>
      </c>
      <c r="G14" s="14">
        <f>7364/1.0923</f>
        <v>6741.7376178705481</v>
      </c>
      <c r="H14" s="53">
        <v>0</v>
      </c>
      <c r="I14" s="52">
        <f t="shared" ref="I14:I16" si="6">H14*G14</f>
        <v>0</v>
      </c>
      <c r="J14" s="54">
        <v>0</v>
      </c>
      <c r="K14" s="54">
        <v>0</v>
      </c>
      <c r="L14" s="54">
        <v>0</v>
      </c>
      <c r="M14" s="54"/>
      <c r="N14" s="54">
        <f t="shared" ref="N14" si="7">SUM(G14,I14:L14)</f>
        <v>6741.7376178705481</v>
      </c>
      <c r="O14" s="54">
        <v>0</v>
      </c>
      <c r="P14" s="54">
        <v>1567</v>
      </c>
      <c r="Q14" s="54">
        <v>96.21</v>
      </c>
      <c r="R14" s="54">
        <v>8.27</v>
      </c>
      <c r="S14" s="54">
        <v>0</v>
      </c>
      <c r="T14" s="54">
        <v>0</v>
      </c>
      <c r="U14" s="54">
        <f t="shared" ref="U14" si="8">IF(G14&gt;11900,(11900*0.062)+(0.0145*G14),(0.0765*G14))</f>
        <v>515.74292776709694</v>
      </c>
      <c r="V14" s="54">
        <v>0</v>
      </c>
      <c r="W14" s="54">
        <f t="shared" ref="W14" si="9">SUM(N14:V14)</f>
        <v>8928.9605456376448</v>
      </c>
      <c r="X14" s="55">
        <v>0</v>
      </c>
      <c r="Y14" s="54">
        <f t="shared" ref="Y14" si="10">X14*G14</f>
        <v>0</v>
      </c>
      <c r="Z14" s="54">
        <f t="shared" ref="Z14" si="11">W14-Y14</f>
        <v>8928.9605456376448</v>
      </c>
      <c r="AA14" s="87">
        <v>1205</v>
      </c>
      <c r="AB14" s="87">
        <f>Z14-AA14</f>
        <v>7723.9605456376448</v>
      </c>
      <c r="AC14" s="6"/>
      <c r="AD14" s="2"/>
    </row>
    <row r="15" spans="1:30" s="43" customFormat="1" ht="45" customHeight="1" x14ac:dyDescent="0.2">
      <c r="A15" s="15" t="s">
        <v>53</v>
      </c>
      <c r="B15" s="9" t="s">
        <v>75</v>
      </c>
      <c r="C15" s="16" t="s">
        <v>70</v>
      </c>
      <c r="D15" s="69">
        <v>35.9</v>
      </c>
      <c r="E15" s="81">
        <v>384800</v>
      </c>
      <c r="F15" s="14">
        <f>5923/1.0923</f>
        <v>5422.502975373066</v>
      </c>
      <c r="G15" s="14">
        <f>7364/1.0923</f>
        <v>6741.7376178705481</v>
      </c>
      <c r="H15" s="53">
        <v>0</v>
      </c>
      <c r="I15" s="52">
        <f t="shared" si="6"/>
        <v>0</v>
      </c>
      <c r="J15" s="54">
        <v>0</v>
      </c>
      <c r="K15" s="54">
        <v>0</v>
      </c>
      <c r="L15" s="54">
        <v>0</v>
      </c>
      <c r="M15" s="54"/>
      <c r="N15" s="54">
        <f t="shared" ref="N15:N16" si="12">SUM(G15,I15:L15)</f>
        <v>6741.7376178705481</v>
      </c>
      <c r="O15" s="54">
        <v>0</v>
      </c>
      <c r="P15" s="54">
        <v>1567</v>
      </c>
      <c r="Q15" s="54">
        <v>96.21</v>
      </c>
      <c r="R15" s="54">
        <v>8.27</v>
      </c>
      <c r="S15" s="54">
        <v>0</v>
      </c>
      <c r="T15" s="54">
        <v>0</v>
      </c>
      <c r="U15" s="54">
        <f t="shared" ref="U15:U16" si="13">IF(G15&gt;11900,(11900*0.062)+(0.0145*G15),(0.0765*G15))</f>
        <v>515.74292776709694</v>
      </c>
      <c r="V15" s="54">
        <v>0</v>
      </c>
      <c r="W15" s="54">
        <f t="shared" ref="W15:W16" si="14">SUM(N15:V15)</f>
        <v>8928.9605456376448</v>
      </c>
      <c r="X15" s="55">
        <v>0</v>
      </c>
      <c r="Y15" s="54">
        <f t="shared" ref="Y15:Y17" si="15">X15*G15</f>
        <v>0</v>
      </c>
      <c r="Z15" s="54">
        <f t="shared" ref="Z15:Z17" si="16">W15-Y15</f>
        <v>8928.9605456376448</v>
      </c>
      <c r="AA15" s="87">
        <v>1457</v>
      </c>
      <c r="AB15" s="87">
        <f t="shared" ref="AB15:AB22" si="17">Z15-AA15</f>
        <v>7471.9605456376448</v>
      </c>
      <c r="AC15" s="5"/>
      <c r="AD15" s="2"/>
    </row>
    <row r="16" spans="1:30" s="43" customFormat="1" ht="45" customHeight="1" x14ac:dyDescent="0.2">
      <c r="A16" s="15" t="s">
        <v>54</v>
      </c>
      <c r="B16" s="9" t="s">
        <v>59</v>
      </c>
      <c r="C16" s="8"/>
      <c r="D16" s="70">
        <v>2</v>
      </c>
      <c r="E16" s="70">
        <v>854700</v>
      </c>
      <c r="F16" s="4">
        <f>32*2080/12</f>
        <v>5546.666666666667</v>
      </c>
      <c r="G16" s="4">
        <f>F16</f>
        <v>5546.666666666667</v>
      </c>
      <c r="H16" s="55">
        <v>0</v>
      </c>
      <c r="I16" s="52">
        <f t="shared" si="6"/>
        <v>0</v>
      </c>
      <c r="J16" s="54">
        <v>0</v>
      </c>
      <c r="K16" s="54">
        <v>0</v>
      </c>
      <c r="L16" s="54">
        <v>0</v>
      </c>
      <c r="M16" s="57"/>
      <c r="N16" s="54">
        <f t="shared" si="12"/>
        <v>5546.666666666667</v>
      </c>
      <c r="O16" s="54">
        <v>0</v>
      </c>
      <c r="P16" s="54">
        <v>828.83</v>
      </c>
      <c r="Q16" s="4">
        <v>50.25</v>
      </c>
      <c r="R16" s="4">
        <v>13.18</v>
      </c>
      <c r="S16" s="54">
        <v>0</v>
      </c>
      <c r="T16" s="54">
        <v>0</v>
      </c>
      <c r="U16" s="54">
        <f t="shared" si="13"/>
        <v>424.32</v>
      </c>
      <c r="V16" s="54">
        <v>0</v>
      </c>
      <c r="W16" s="54">
        <f t="shared" si="14"/>
        <v>6863.2466666666669</v>
      </c>
      <c r="X16" s="55">
        <v>0</v>
      </c>
      <c r="Y16" s="54">
        <f t="shared" si="15"/>
        <v>0</v>
      </c>
      <c r="Z16" s="54">
        <f t="shared" si="16"/>
        <v>6863.2466666666669</v>
      </c>
      <c r="AA16" s="87">
        <v>3502</v>
      </c>
      <c r="AB16" s="87">
        <f t="shared" si="17"/>
        <v>3361.2466666666669</v>
      </c>
      <c r="AC16" s="6"/>
      <c r="AD16" s="2"/>
    </row>
    <row r="17" spans="1:30" s="43" customFormat="1" ht="45" customHeight="1" x14ac:dyDescent="0.2">
      <c r="A17" s="15" t="s">
        <v>103</v>
      </c>
      <c r="B17" s="9" t="s">
        <v>121</v>
      </c>
      <c r="C17" s="8"/>
      <c r="D17" s="72">
        <v>1.1000000000000001</v>
      </c>
      <c r="E17" s="72">
        <v>1</v>
      </c>
      <c r="F17" s="4">
        <f>78104/12</f>
        <v>6508.666666666667</v>
      </c>
      <c r="G17" s="4">
        <f>96058/12</f>
        <v>8004.833333333333</v>
      </c>
      <c r="H17" s="55">
        <v>0</v>
      </c>
      <c r="I17" s="54">
        <f>H17*G17</f>
        <v>0</v>
      </c>
      <c r="J17" s="54">
        <f>0.04*G17</f>
        <v>320.19333333333333</v>
      </c>
      <c r="K17" s="54">
        <v>0</v>
      </c>
      <c r="L17" s="54">
        <v>0</v>
      </c>
      <c r="M17" s="54"/>
      <c r="N17" s="54">
        <f>SUM(G17,I17:L17)</f>
        <v>8325.0266666666666</v>
      </c>
      <c r="O17" s="54">
        <v>0</v>
      </c>
      <c r="P17" s="54">
        <f>5400/12</f>
        <v>450</v>
      </c>
      <c r="Q17" s="54">
        <f>600/12</f>
        <v>50</v>
      </c>
      <c r="R17" s="54" t="s">
        <v>34</v>
      </c>
      <c r="S17" s="54">
        <v>0</v>
      </c>
      <c r="T17" s="54">
        <v>0</v>
      </c>
      <c r="U17" s="54">
        <f>IF(G17&gt;11900,(0.062*11900)+(0.0145*G17),(0.0765*G17))</f>
        <v>612.36974999999995</v>
      </c>
      <c r="V17" s="54">
        <v>0</v>
      </c>
      <c r="W17" s="54">
        <f>SUM(N17:V17)</f>
        <v>9437.3964166666665</v>
      </c>
      <c r="X17" s="55">
        <v>0</v>
      </c>
      <c r="Y17" s="57">
        <f t="shared" si="15"/>
        <v>0</v>
      </c>
      <c r="Z17" s="54">
        <f t="shared" si="16"/>
        <v>9437.3964166666665</v>
      </c>
      <c r="AA17" s="87">
        <v>4134</v>
      </c>
      <c r="AB17" s="87">
        <f t="shared" si="17"/>
        <v>5303.3964166666665</v>
      </c>
      <c r="AC17" s="6"/>
      <c r="AD17" s="2"/>
    </row>
    <row r="18" spans="1:30" s="43" customFormat="1" ht="45" customHeight="1" x14ac:dyDescent="0.2">
      <c r="A18" s="15" t="s">
        <v>49</v>
      </c>
      <c r="B18" s="9" t="s">
        <v>59</v>
      </c>
      <c r="C18" s="8"/>
      <c r="D18" s="70">
        <v>13</v>
      </c>
      <c r="E18" s="70">
        <v>693700</v>
      </c>
      <c r="F18" s="4">
        <f>58240/12</f>
        <v>4853.333333333333</v>
      </c>
      <c r="G18" s="4">
        <f>81578/12</f>
        <v>6798.166666666667</v>
      </c>
      <c r="H18" s="55">
        <v>0</v>
      </c>
      <c r="I18" s="54">
        <f t="shared" ref="I18:I21" si="18">H18*G18</f>
        <v>0</v>
      </c>
      <c r="J18" s="54">
        <f>0.05*G18</f>
        <v>339.90833333333336</v>
      </c>
      <c r="K18" s="54">
        <v>0</v>
      </c>
      <c r="L18" s="54">
        <v>0</v>
      </c>
      <c r="M18" s="54"/>
      <c r="N18" s="54">
        <f>SUM(G18,I18:L18)</f>
        <v>7138.0750000000007</v>
      </c>
      <c r="O18" s="54">
        <v>0</v>
      </c>
      <c r="P18" s="4">
        <v>2166.63</v>
      </c>
      <c r="Q18" s="4">
        <f>6000/12</f>
        <v>500</v>
      </c>
      <c r="R18" s="4">
        <v>0</v>
      </c>
      <c r="S18" s="4">
        <v>4.5</v>
      </c>
      <c r="T18" s="54">
        <v>0</v>
      </c>
      <c r="U18" s="54">
        <f>IF(G18&gt;11900,(0.062*11900)+(0.0145*G18),(0.0765*G18))</f>
        <v>520.05975000000001</v>
      </c>
      <c r="V18" s="54">
        <v>0</v>
      </c>
      <c r="W18" s="54">
        <f>SUM(N18:V18)</f>
        <v>10329.264750000002</v>
      </c>
      <c r="X18" s="55">
        <v>0</v>
      </c>
      <c r="Y18" s="57">
        <f t="shared" ref="Y18" si="19">X18*G18</f>
        <v>0</v>
      </c>
      <c r="Z18" s="54">
        <f t="shared" ref="Z18" si="20">W18-Y18</f>
        <v>10329.264750000002</v>
      </c>
      <c r="AA18" s="88">
        <v>2801</v>
      </c>
      <c r="AB18" s="87">
        <f t="shared" si="17"/>
        <v>7528.2647500000021</v>
      </c>
      <c r="AC18" s="6"/>
      <c r="AD18" s="2"/>
    </row>
    <row r="19" spans="1:30" s="43" customFormat="1" ht="45" customHeight="1" x14ac:dyDescent="0.2">
      <c r="A19" s="15" t="s">
        <v>50</v>
      </c>
      <c r="B19" s="9" t="s">
        <v>110</v>
      </c>
      <c r="C19" s="8"/>
      <c r="D19" s="70">
        <v>9</v>
      </c>
      <c r="E19" s="70">
        <v>365800</v>
      </c>
      <c r="F19" s="4">
        <f>60000/12</f>
        <v>5000</v>
      </c>
      <c r="G19" s="4">
        <f>75000/12</f>
        <v>6250</v>
      </c>
      <c r="H19" s="55">
        <v>0</v>
      </c>
      <c r="I19" s="52">
        <f t="shared" si="18"/>
        <v>0</v>
      </c>
      <c r="J19" s="54">
        <f>0.04*G19</f>
        <v>250</v>
      </c>
      <c r="K19" s="54">
        <v>0</v>
      </c>
      <c r="L19" s="54">
        <v>0</v>
      </c>
      <c r="M19" s="54"/>
      <c r="N19" s="54">
        <f>SUM(G19,I19:L19)</f>
        <v>6500</v>
      </c>
      <c r="O19" s="54">
        <v>0</v>
      </c>
      <c r="P19" s="54">
        <f>1646+250+250+250</f>
        <v>2396</v>
      </c>
      <c r="Q19" s="54">
        <v>42.6</v>
      </c>
      <c r="R19" s="54">
        <v>0</v>
      </c>
      <c r="S19" s="54">
        <v>4.25</v>
      </c>
      <c r="T19" s="54">
        <v>0</v>
      </c>
      <c r="U19" s="54">
        <f t="shared" ref="U19" si="21">IF(G19&gt;11900,(11900*0.062)+(0.0145*G19),(0.0765*G19))</f>
        <v>478.125</v>
      </c>
      <c r="V19" s="54">
        <v>0</v>
      </c>
      <c r="W19" s="54">
        <f>SUM(N19:V19)</f>
        <v>9420.9750000000004</v>
      </c>
      <c r="X19" s="55">
        <v>0</v>
      </c>
      <c r="Y19" s="54">
        <f>X19*G19</f>
        <v>0</v>
      </c>
      <c r="Z19" s="54">
        <f>W19-Y19</f>
        <v>9420.9750000000004</v>
      </c>
      <c r="AA19" s="87">
        <v>1461</v>
      </c>
      <c r="AB19" s="87">
        <f t="shared" si="17"/>
        <v>7959.9750000000004</v>
      </c>
      <c r="AC19" s="6" t="s">
        <v>108</v>
      </c>
      <c r="AD19" s="2"/>
    </row>
    <row r="20" spans="1:30" s="43" customFormat="1" ht="45" customHeight="1" x14ac:dyDescent="0.2">
      <c r="A20" s="15" t="s">
        <v>105</v>
      </c>
      <c r="B20" s="9" t="s">
        <v>43</v>
      </c>
      <c r="C20" s="8"/>
      <c r="D20" s="72"/>
      <c r="E20" s="82"/>
      <c r="F20" s="4"/>
      <c r="G20" s="4"/>
      <c r="H20" s="55"/>
      <c r="I20" s="54"/>
      <c r="J20" s="57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5"/>
      <c r="Y20" s="57"/>
      <c r="Z20" s="54"/>
      <c r="AA20" s="88"/>
      <c r="AB20" s="87"/>
      <c r="AC20" s="6"/>
      <c r="AD20" s="2"/>
    </row>
    <row r="21" spans="1:30" s="43" customFormat="1" ht="45" customHeight="1" x14ac:dyDescent="0.2">
      <c r="A21" s="15" t="s">
        <v>52</v>
      </c>
      <c r="B21" s="9" t="s">
        <v>60</v>
      </c>
      <c r="C21" s="8" t="s">
        <v>89</v>
      </c>
      <c r="D21" s="72">
        <v>38.9</v>
      </c>
      <c r="E21" s="70">
        <v>462600</v>
      </c>
      <c r="F21" s="4">
        <v>6043</v>
      </c>
      <c r="G21" s="4">
        <v>7345</v>
      </c>
      <c r="H21" s="53">
        <v>0</v>
      </c>
      <c r="I21" s="52">
        <f t="shared" si="18"/>
        <v>0</v>
      </c>
      <c r="J21" s="54">
        <v>0</v>
      </c>
      <c r="K21" s="54">
        <v>0</v>
      </c>
      <c r="L21" s="54">
        <v>0</v>
      </c>
      <c r="M21" s="54"/>
      <c r="N21" s="54">
        <f>SUM(G21,I21:L21)</f>
        <v>7345</v>
      </c>
      <c r="O21" s="54">
        <v>0</v>
      </c>
      <c r="P21" s="54">
        <v>1692.37</v>
      </c>
      <c r="Q21" s="54">
        <v>147.38999999999999</v>
      </c>
      <c r="R21" s="54">
        <v>0</v>
      </c>
      <c r="S21" s="54">
        <v>0</v>
      </c>
      <c r="T21" s="54">
        <v>0</v>
      </c>
      <c r="U21" s="54">
        <f>0.0145*G21</f>
        <v>106.50250000000001</v>
      </c>
      <c r="V21" s="54">
        <v>0</v>
      </c>
      <c r="W21" s="54">
        <f>SUM(N21:V21)</f>
        <v>9291.2624999999989</v>
      </c>
      <c r="X21" s="55">
        <v>0</v>
      </c>
      <c r="Y21" s="54">
        <f>X21*G21</f>
        <v>0</v>
      </c>
      <c r="Z21" s="54">
        <f>W21-Y21</f>
        <v>9291.2624999999989</v>
      </c>
      <c r="AA21" s="87">
        <v>1796</v>
      </c>
      <c r="AB21" s="87">
        <f t="shared" si="17"/>
        <v>7495.2624999999989</v>
      </c>
      <c r="AC21" s="6"/>
      <c r="AD21" s="2"/>
    </row>
    <row r="22" spans="1:30" s="43" customFormat="1" ht="45" customHeight="1" x14ac:dyDescent="0.2">
      <c r="A22" s="15" t="s">
        <v>47</v>
      </c>
      <c r="B22" s="8" t="s">
        <v>131</v>
      </c>
      <c r="C22" s="8" t="s">
        <v>79</v>
      </c>
      <c r="D22" s="71"/>
      <c r="E22" s="74">
        <v>673000</v>
      </c>
      <c r="F22" s="4">
        <v>56830</v>
      </c>
      <c r="G22" s="4">
        <v>11408</v>
      </c>
      <c r="H22" s="55">
        <v>0</v>
      </c>
      <c r="I22" s="54">
        <f>H22*G22</f>
        <v>0</v>
      </c>
      <c r="J22" s="4">
        <v>0</v>
      </c>
      <c r="K22" s="54">
        <v>0</v>
      </c>
      <c r="L22" s="54">
        <v>0</v>
      </c>
      <c r="M22" s="54"/>
      <c r="N22" s="54">
        <f>SUM(G22,I22:L22)</f>
        <v>11408</v>
      </c>
      <c r="O22" s="4">
        <v>0</v>
      </c>
      <c r="P22" s="4">
        <f>AVERAGE(P14:P21)</f>
        <v>1523.975714285714</v>
      </c>
      <c r="Q22" s="4">
        <f>AVERAGE(Q14:Q21)</f>
        <v>140.38</v>
      </c>
      <c r="R22" s="4">
        <f>AVERAGE(R14:R21)</f>
        <v>4.9533333333333331</v>
      </c>
      <c r="S22" s="4">
        <f>AVERAGE(S14:S21)</f>
        <v>1.25</v>
      </c>
      <c r="T22" s="4">
        <f>AVERAGE(T14:T21)</f>
        <v>0</v>
      </c>
      <c r="U22" s="4">
        <f>0.0145*G22</f>
        <v>165.416</v>
      </c>
      <c r="V22" s="54">
        <v>0</v>
      </c>
      <c r="W22" s="54">
        <f>SUM(N22:V22)</f>
        <v>13243.975047619046</v>
      </c>
      <c r="X22" s="55">
        <v>0</v>
      </c>
      <c r="Y22" s="57">
        <f t="shared" ref="Y22" si="22">X22*G22</f>
        <v>0</v>
      </c>
      <c r="Z22" s="54">
        <f t="shared" ref="Z22" si="23">W22-Y22</f>
        <v>13243.975047619046</v>
      </c>
      <c r="AA22" s="88">
        <v>2711</v>
      </c>
      <c r="AB22" s="87">
        <f t="shared" si="17"/>
        <v>10532.975047619046</v>
      </c>
      <c r="AC22" s="6"/>
      <c r="AD22" s="2"/>
    </row>
    <row r="23" spans="1:30" ht="12.5" customHeight="1" x14ac:dyDescent="0.2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</row>
    <row r="24" spans="1:30" ht="29" customHeight="1" x14ac:dyDescent="0.2">
      <c r="A24" s="138" t="s">
        <v>161</v>
      </c>
      <c r="B24" s="138"/>
      <c r="C24" s="138"/>
      <c r="D24" s="138"/>
      <c r="E24" s="138"/>
      <c r="F24" s="138"/>
      <c r="G24" s="41">
        <f>MEDIAN(G8:G12)</f>
        <v>6430.4583333333339</v>
      </c>
      <c r="H24" s="27"/>
      <c r="I24" s="42"/>
      <c r="J24" s="42"/>
      <c r="K24" s="42"/>
      <c r="L24" s="42"/>
      <c r="M24" s="42"/>
      <c r="N24" s="41">
        <f>MEDIAN(N8:N12)</f>
        <v>6842.1220833333336</v>
      </c>
      <c r="O24" s="27"/>
      <c r="P24" s="27"/>
      <c r="Q24" s="29"/>
      <c r="R24" s="30"/>
      <c r="S24" s="30"/>
      <c r="T24" s="30"/>
      <c r="U24" s="42"/>
      <c r="V24" s="42"/>
      <c r="W24" s="42"/>
      <c r="X24" s="42"/>
      <c r="Y24" s="42"/>
      <c r="Z24" s="41">
        <f>MEDIAN(Z8:Z12)</f>
        <v>8182.755666666666</v>
      </c>
      <c r="AA24" s="89"/>
      <c r="AB24" s="41">
        <f>MEDIAN(AB8:AB12)</f>
        <v>6135.250479166667</v>
      </c>
      <c r="AC24" s="10"/>
    </row>
    <row r="25" spans="1:30" ht="29" customHeight="1" x14ac:dyDescent="0.2">
      <c r="A25" s="143" t="s">
        <v>162</v>
      </c>
      <c r="B25" s="143"/>
      <c r="C25" s="143"/>
      <c r="D25" s="143"/>
      <c r="E25" s="143"/>
      <c r="F25" s="143"/>
      <c r="G25" s="40">
        <f>-(G24-G5)/G5</f>
        <v>-0.15141454534602661</v>
      </c>
      <c r="H25" s="27"/>
      <c r="I25" s="42"/>
      <c r="J25" s="42"/>
      <c r="K25" s="42"/>
      <c r="L25" s="42"/>
      <c r="M25" s="42"/>
      <c r="N25" s="40">
        <f>-(N24-N5)/N5</f>
        <v>-0.18944229444806462</v>
      </c>
      <c r="O25" s="27"/>
      <c r="P25" s="27"/>
      <c r="Q25" s="28"/>
      <c r="R25" s="28"/>
      <c r="S25" s="28"/>
      <c r="T25" s="28"/>
      <c r="U25" s="42"/>
      <c r="V25" s="42"/>
      <c r="W25" s="42"/>
      <c r="X25" s="42"/>
      <c r="Y25" s="42"/>
      <c r="Z25" s="40">
        <f>-(Z24-Z5)/Z5</f>
        <v>-0.19184193360996044</v>
      </c>
      <c r="AA25" s="90"/>
      <c r="AB25" s="40">
        <f>-(AB24-AB5)/AB5</f>
        <v>-0.14663897967937164</v>
      </c>
      <c r="AC25" s="10"/>
    </row>
    <row r="26" spans="1:30" ht="29" customHeight="1" x14ac:dyDescent="0.2">
      <c r="A26" s="150" t="s">
        <v>163</v>
      </c>
      <c r="B26" s="151"/>
      <c r="C26" s="151"/>
      <c r="D26" s="151"/>
      <c r="E26" s="151"/>
      <c r="F26" s="152"/>
      <c r="G26" s="39">
        <f>MEDIAN(G8:G12,G14:G22)</f>
        <v>6741.7376178705481</v>
      </c>
      <c r="H26" s="27"/>
      <c r="I26" s="42"/>
      <c r="J26" s="42"/>
      <c r="K26" s="42"/>
      <c r="L26" s="42"/>
      <c r="M26" s="42"/>
      <c r="N26" s="39">
        <f>MEDIAN(N8:N12,N14:N22)</f>
        <v>6842.1220833333336</v>
      </c>
      <c r="O26" s="27"/>
      <c r="P26" s="27"/>
      <c r="Q26" s="28"/>
      <c r="R26" s="28"/>
      <c r="S26" s="28"/>
      <c r="T26" s="28"/>
      <c r="U26" s="42"/>
      <c r="V26" s="42"/>
      <c r="W26" s="42"/>
      <c r="X26" s="42"/>
      <c r="Y26" s="42"/>
      <c r="Z26" s="39">
        <f>MEDIAN(Z8:Z12,Z14:Z22)</f>
        <v>8928.9605456376448</v>
      </c>
      <c r="AA26" s="90"/>
      <c r="AB26" s="39">
        <f>MEDIAN(AB8:AB12,AB14:AB22)</f>
        <v>7053.6834394854886</v>
      </c>
      <c r="AC26" s="10"/>
    </row>
    <row r="27" spans="1:30" ht="29" customHeight="1" x14ac:dyDescent="0.2">
      <c r="A27" s="143" t="s">
        <v>164</v>
      </c>
      <c r="B27" s="143"/>
      <c r="C27" s="143"/>
      <c r="D27" s="143"/>
      <c r="E27" s="143"/>
      <c r="F27" s="143"/>
      <c r="G27" s="40">
        <f>-(G26-G5)/G5</f>
        <v>-0.20715108499875529</v>
      </c>
      <c r="H27" s="27"/>
      <c r="I27" s="42"/>
      <c r="J27" s="42"/>
      <c r="K27" s="42"/>
      <c r="L27" s="42"/>
      <c r="M27" s="42"/>
      <c r="N27" s="40">
        <f>-(N26-N5)/N5</f>
        <v>-0.18944229444806462</v>
      </c>
      <c r="O27" s="27"/>
      <c r="P27" s="27"/>
      <c r="Q27" s="28"/>
      <c r="R27" s="28"/>
      <c r="S27" s="28"/>
      <c r="T27" s="28"/>
      <c r="U27" s="42"/>
      <c r="V27" s="42"/>
      <c r="W27" s="42"/>
      <c r="X27" s="42"/>
      <c r="Y27" s="42"/>
      <c r="Z27" s="40">
        <f>-(Z26-Z5)/Z5</f>
        <v>-0.30052882370553718</v>
      </c>
      <c r="AA27" s="90"/>
      <c r="AB27" s="40">
        <f>-(AB26-AB5)/AB5</f>
        <v>-0.31828821162188226</v>
      </c>
      <c r="AC27" s="10"/>
    </row>
    <row r="28" spans="1:30" ht="29" hidden="1" customHeight="1" x14ac:dyDescent="0.2">
      <c r="A28" s="143" t="s">
        <v>35</v>
      </c>
      <c r="B28" s="143"/>
      <c r="C28" s="143"/>
      <c r="D28" s="143"/>
      <c r="E28" s="143"/>
      <c r="F28" s="143"/>
      <c r="G28" s="39">
        <f>AVERAGE(G14:G22)</f>
        <v>7354.5177378009703</v>
      </c>
      <c r="H28" s="27"/>
      <c r="I28" s="42"/>
      <c r="J28" s="42"/>
      <c r="K28" s="42"/>
      <c r="L28" s="42"/>
      <c r="M28" s="42"/>
      <c r="N28" s="39">
        <f>AVERAGE(N14:N22)</f>
        <v>7468.2804461343039</v>
      </c>
      <c r="O28" s="27"/>
      <c r="P28" s="27"/>
      <c r="Q28" s="28"/>
      <c r="R28" s="28"/>
      <c r="S28" s="28"/>
      <c r="T28" s="28"/>
      <c r="U28" s="42"/>
      <c r="V28" s="42"/>
      <c r="W28" s="42"/>
      <c r="X28" s="42"/>
      <c r="Y28" s="42"/>
      <c r="Z28" s="39">
        <f>AVERAGE(Z14:Z22)</f>
        <v>9555.5051840284577</v>
      </c>
      <c r="AA28" s="89"/>
      <c r="AB28" s="39">
        <f>AVERAGE(AB14:AB22)</f>
        <v>7172.1301840284586</v>
      </c>
      <c r="AC28" s="10"/>
    </row>
    <row r="29" spans="1:30" ht="29" hidden="1" customHeight="1" x14ac:dyDescent="0.2">
      <c r="A29" s="143" t="s">
        <v>95</v>
      </c>
      <c r="B29" s="143"/>
      <c r="C29" s="143"/>
      <c r="D29" s="143"/>
      <c r="E29" s="143"/>
      <c r="F29" s="143"/>
      <c r="G29" s="40">
        <f>-(G28-G5)/G5</f>
        <v>-0.31687327066775567</v>
      </c>
      <c r="H29" s="27"/>
      <c r="I29" s="42"/>
      <c r="J29" s="42"/>
      <c r="K29" s="42"/>
      <c r="L29" s="42"/>
      <c r="M29" s="42"/>
      <c r="N29" s="40">
        <f>-(N28-N5)/N5</f>
        <v>-0.29829437727658226</v>
      </c>
      <c r="O29" s="27"/>
      <c r="P29" s="27"/>
      <c r="Q29" s="28"/>
      <c r="R29" s="28"/>
      <c r="S29" s="28"/>
      <c r="T29" s="28"/>
      <c r="U29" s="42"/>
      <c r="V29" s="42"/>
      <c r="W29" s="42"/>
      <c r="X29" s="42"/>
      <c r="Y29" s="42"/>
      <c r="Z29" s="40">
        <f>-(Z28-Z5)/Z5</f>
        <v>-0.39178685507443095</v>
      </c>
      <c r="AA29" s="90"/>
      <c r="AB29" s="40">
        <f>-(AB28-AB5)/AB5</f>
        <v>-0.34042514878040259</v>
      </c>
      <c r="AC29" s="10"/>
    </row>
    <row r="30" spans="1:30" ht="29" customHeight="1" x14ac:dyDescent="0.2">
      <c r="A30" s="138" t="s">
        <v>23</v>
      </c>
      <c r="B30" s="138"/>
      <c r="C30" s="138"/>
      <c r="D30" s="138"/>
      <c r="E30" s="138"/>
      <c r="F30" s="138"/>
      <c r="G30" s="123">
        <f>COUNT(G8:G12,G14:G22)</f>
        <v>12</v>
      </c>
      <c r="H30" s="27"/>
      <c r="I30" s="42"/>
      <c r="J30" s="42"/>
      <c r="K30" s="42"/>
      <c r="L30" s="42"/>
      <c r="M30" s="42"/>
      <c r="N30" s="122"/>
      <c r="O30" s="27"/>
      <c r="P30" s="27"/>
      <c r="Q30" s="28"/>
      <c r="R30" s="28"/>
      <c r="S30" s="28"/>
      <c r="T30" s="28"/>
      <c r="U30" s="153" t="s">
        <v>165</v>
      </c>
      <c r="V30" s="153"/>
      <c r="W30" s="153"/>
      <c r="X30" s="153"/>
      <c r="Y30" s="154"/>
      <c r="Z30" s="41">
        <f>Z26-AA36</f>
        <v>8168.8772123043109</v>
      </c>
      <c r="AB30" s="39"/>
      <c r="AC30" s="10"/>
    </row>
    <row r="31" spans="1:30" ht="29" customHeight="1" x14ac:dyDescent="0.2">
      <c r="A31" s="157"/>
      <c r="B31" s="157"/>
      <c r="C31" s="157"/>
      <c r="D31" s="157"/>
      <c r="E31" s="157"/>
      <c r="F31" s="157"/>
      <c r="G31" s="90"/>
      <c r="H31" s="27"/>
      <c r="I31" s="42"/>
      <c r="J31" s="42"/>
      <c r="K31" s="42"/>
      <c r="L31" s="42"/>
      <c r="M31" s="42"/>
      <c r="O31" s="27"/>
      <c r="P31" s="27"/>
      <c r="Q31" s="28"/>
      <c r="S31" s="126"/>
      <c r="T31" s="155" t="s">
        <v>166</v>
      </c>
      <c r="U31" s="155"/>
      <c r="V31" s="155"/>
      <c r="W31" s="155"/>
      <c r="X31" s="155"/>
      <c r="Y31" s="156"/>
      <c r="Z31" s="40">
        <f>-(Z30-Z5)/Z5</f>
        <v>-0.18982049675463208</v>
      </c>
      <c r="AB31" s="40"/>
      <c r="AC31" s="10"/>
    </row>
    <row r="32" spans="1:30" ht="29" customHeight="1" x14ac:dyDescent="0.2">
      <c r="H32" s="26"/>
      <c r="I32" s="42"/>
      <c r="J32" s="42"/>
      <c r="K32" s="42"/>
      <c r="L32" s="42"/>
      <c r="M32" s="42"/>
      <c r="N32" s="26"/>
      <c r="O32" s="26"/>
      <c r="P32" s="26"/>
      <c r="Q32" s="26"/>
      <c r="R32" s="26"/>
      <c r="S32" s="26"/>
      <c r="T32" s="26"/>
      <c r="U32" s="42"/>
      <c r="V32" s="42"/>
      <c r="W32" s="42"/>
      <c r="X32" s="118"/>
      <c r="Y32" s="118"/>
      <c r="Z32" s="118"/>
      <c r="AA32" s="119"/>
      <c r="AB32" s="26"/>
      <c r="AC32" s="7"/>
    </row>
    <row r="33" spans="1:29" ht="16" x14ac:dyDescent="0.2">
      <c r="A33" s="36" t="s">
        <v>45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11"/>
      <c r="X33" s="11"/>
      <c r="Y33" s="153"/>
      <c r="Z33" s="153"/>
      <c r="AA33" s="7"/>
      <c r="AB33" s="7"/>
      <c r="AC33" s="7"/>
    </row>
    <row r="34" spans="1:29" x14ac:dyDescent="0.15">
      <c r="A34" t="s">
        <v>90</v>
      </c>
    </row>
    <row r="35" spans="1:29" ht="24" customHeight="1" x14ac:dyDescent="0.2">
      <c r="A35" s="43" t="s">
        <v>150</v>
      </c>
      <c r="W35" s="153" t="s">
        <v>167</v>
      </c>
      <c r="X35" s="153"/>
      <c r="Y35" s="153"/>
      <c r="Z35" s="153"/>
      <c r="AA35" s="127">
        <f>AVERAGE(AA8:AA12,AA14:AA22)</f>
        <v>2275.0833333333335</v>
      </c>
    </row>
    <row r="36" spans="1:29" ht="16" x14ac:dyDescent="0.2">
      <c r="A36" s="43" t="s">
        <v>91</v>
      </c>
      <c r="W36" s="157" t="s">
        <v>168</v>
      </c>
      <c r="X36" s="157"/>
      <c r="Y36" s="157"/>
      <c r="Z36" s="157"/>
      <c r="AA36" s="128">
        <f>AA35-AA5</f>
        <v>760.08333333333348</v>
      </c>
    </row>
    <row r="37" spans="1:29" x14ac:dyDescent="0.15">
      <c r="A37" s="43" t="s">
        <v>149</v>
      </c>
    </row>
    <row r="38" spans="1:29" x14ac:dyDescent="0.15">
      <c r="A38" s="43" t="s">
        <v>113</v>
      </c>
    </row>
    <row r="39" spans="1:29" x14ac:dyDescent="0.15">
      <c r="A39" s="43" t="s">
        <v>153</v>
      </c>
    </row>
    <row r="40" spans="1:29" x14ac:dyDescent="0.15">
      <c r="A40" s="43"/>
    </row>
    <row r="41" spans="1:29" ht="28.5" customHeight="1" x14ac:dyDescent="0.15"/>
    <row r="42" spans="1:29" ht="28.5" customHeight="1" x14ac:dyDescent="0.15">
      <c r="A42" t="s">
        <v>138</v>
      </c>
    </row>
    <row r="43" spans="1:29" ht="28.5" customHeight="1" x14ac:dyDescent="0.15"/>
    <row r="44" spans="1:29" ht="28.5" customHeight="1" x14ac:dyDescent="0.15"/>
    <row r="45" spans="1:29" ht="28.5" customHeight="1" x14ac:dyDescent="0.15"/>
    <row r="46" spans="1:29" ht="28.5" customHeight="1" x14ac:dyDescent="0.15"/>
    <row r="47" spans="1:29" ht="28.5" customHeight="1" x14ac:dyDescent="0.15"/>
  </sheetData>
  <mergeCells count="17">
    <mergeCell ref="T31:Y31"/>
    <mergeCell ref="W36:Z36"/>
    <mergeCell ref="Y33:Z33"/>
    <mergeCell ref="W35:Z35"/>
    <mergeCell ref="A31:F31"/>
    <mergeCell ref="A30:F30"/>
    <mergeCell ref="A6:AC6"/>
    <mergeCell ref="A23:AC23"/>
    <mergeCell ref="A24:F24"/>
    <mergeCell ref="A25:F25"/>
    <mergeCell ref="A28:F28"/>
    <mergeCell ref="A29:F29"/>
    <mergeCell ref="A13:AC13"/>
    <mergeCell ref="A7:AC7"/>
    <mergeCell ref="A26:F26"/>
    <mergeCell ref="A27:F27"/>
    <mergeCell ref="U30:Y30"/>
  </mergeCells>
  <pageMargins left="0.5" right="0.5" top="0.5" bottom="0.5" header="0.5" footer="0.5"/>
  <pageSetup paperSize="5" scale="33" orientation="landscape" r:id="rId1"/>
  <headerFooter alignWithMargins="0">
    <oddHeader>&amp;L&amp;K000000Appendix A&amp;C&amp;K000000Yolo County RCD
Total Compensation Study 
4/2021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  <pageSetUpPr fitToPage="1"/>
  </sheetPr>
  <dimension ref="A4:N20"/>
  <sheetViews>
    <sheetView topLeftCell="D7" zoomScale="110" zoomScaleNormal="110" workbookViewId="0">
      <selection activeCell="J25" sqref="J25"/>
    </sheetView>
  </sheetViews>
  <sheetFormatPr baseColWidth="10" defaultColWidth="8.83203125" defaultRowHeight="13" x14ac:dyDescent="0.15"/>
  <cols>
    <col min="1" max="1" width="41.5" customWidth="1"/>
    <col min="2" max="4" width="24.83203125" customWidth="1"/>
    <col min="5" max="10" width="20.83203125" customWidth="1"/>
    <col min="11" max="13" width="20.83203125" hidden="1" customWidth="1"/>
    <col min="14" max="14" width="20.83203125" customWidth="1"/>
  </cols>
  <sheetData>
    <row r="4" spans="1:14" ht="14" thickBot="1" x14ac:dyDescent="0.2"/>
    <row r="5" spans="1:14" ht="20" customHeight="1" thickBot="1" x14ac:dyDescent="0.25">
      <c r="A5" s="129" t="s">
        <v>20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1"/>
    </row>
    <row r="6" spans="1:14" ht="41.5" customHeight="1" thickBot="1" x14ac:dyDescent="0.25">
      <c r="A6" s="12"/>
      <c r="B6" s="132" t="s">
        <v>19</v>
      </c>
      <c r="C6" s="133"/>
      <c r="D6" s="133"/>
      <c r="E6" s="132" t="s">
        <v>21</v>
      </c>
      <c r="F6" s="133"/>
      <c r="G6" s="134"/>
      <c r="H6" s="135" t="s">
        <v>13</v>
      </c>
      <c r="I6" s="136"/>
      <c r="J6" s="137"/>
      <c r="K6" s="129" t="s">
        <v>147</v>
      </c>
      <c r="L6" s="130"/>
      <c r="M6" s="131"/>
      <c r="N6" s="105"/>
    </row>
    <row r="7" spans="1:14" ht="128.5" customHeight="1" x14ac:dyDescent="0.25">
      <c r="A7" s="31" t="s">
        <v>5</v>
      </c>
      <c r="B7" s="32" t="s">
        <v>96</v>
      </c>
      <c r="C7" s="32" t="s">
        <v>17</v>
      </c>
      <c r="D7" s="32" t="s">
        <v>139</v>
      </c>
      <c r="E7" s="32" t="s">
        <v>98</v>
      </c>
      <c r="F7" s="32" t="s">
        <v>22</v>
      </c>
      <c r="G7" s="32" t="s">
        <v>97</v>
      </c>
      <c r="H7" s="32" t="s">
        <v>148</v>
      </c>
      <c r="I7" s="32" t="s">
        <v>18</v>
      </c>
      <c r="J7" s="32" t="s">
        <v>97</v>
      </c>
      <c r="K7" s="93" t="s">
        <v>141</v>
      </c>
      <c r="L7" s="93" t="s">
        <v>142</v>
      </c>
      <c r="M7" s="93" t="s">
        <v>143</v>
      </c>
      <c r="N7" s="33" t="s">
        <v>6</v>
      </c>
    </row>
    <row r="8" spans="1:14" s="1" customFormat="1" ht="34" customHeight="1" x14ac:dyDescent="0.25">
      <c r="A8" s="106" t="str">
        <f>'Deputy Dir'!B5</f>
        <v>Deputy Director</v>
      </c>
      <c r="B8" s="37">
        <f>'Deputy Dir'!G5</f>
        <v>7716.25</v>
      </c>
      <c r="C8" s="37">
        <f>'Deputy Dir'!G26</f>
        <v>9658</v>
      </c>
      <c r="D8" s="38">
        <f>'Deputy Dir'!G27</f>
        <v>-0.2516442572493115</v>
      </c>
      <c r="E8" s="37">
        <f>'Deputy Dir'!N5</f>
        <v>7947.7375000000002</v>
      </c>
      <c r="F8" s="37">
        <f>'Deputy Dir'!N26</f>
        <v>9663.3333333333339</v>
      </c>
      <c r="G8" s="38">
        <f>'Deputy Dir'!N27</f>
        <v>-0.21585964978502797</v>
      </c>
      <c r="H8" s="37">
        <f>'Deputy Dir'!Z5</f>
        <v>9651.2906249999996</v>
      </c>
      <c r="I8" s="37">
        <f>'Deputy Dir'!Z26</f>
        <v>11644.955500000002</v>
      </c>
      <c r="J8" s="38">
        <f>'Deputy Dir'!Z27</f>
        <v>-0.20656976900434001</v>
      </c>
      <c r="K8" s="37">
        <f>'Deputy Dir'!AB5</f>
        <v>8136.2906249999996</v>
      </c>
      <c r="L8" s="37">
        <f>'Deputy Dir'!AB26</f>
        <v>9957.9555000000018</v>
      </c>
      <c r="M8" s="38">
        <f>'Deputy Dir'!AB27</f>
        <v>-0.22389378144908662</v>
      </c>
      <c r="N8" s="107">
        <f>'Deputy Dir'!G30</f>
        <v>3</v>
      </c>
    </row>
    <row r="9" spans="1:14" ht="27.5" customHeight="1" x14ac:dyDescent="0.25">
      <c r="A9" s="106" t="str">
        <f>'Executive Director'!B5</f>
        <v>Executive Director</v>
      </c>
      <c r="B9" s="37">
        <f>'Executive Director'!G5</f>
        <v>7838.166666666667</v>
      </c>
      <c r="C9" s="37">
        <f>'Executive Director'!G26</f>
        <v>10823.083333333334</v>
      </c>
      <c r="D9" s="38">
        <f>'Executive Director'!G27</f>
        <v>-0.38081821854600356</v>
      </c>
      <c r="E9" s="37">
        <f>'Executive Director'!N5</f>
        <v>8073.3116666666674</v>
      </c>
      <c r="F9" s="37">
        <f>'Executive Director'!N26</f>
        <v>11443.65</v>
      </c>
      <c r="G9" s="38">
        <f>'Executive Director'!N27</f>
        <v>-0.41746664472881517</v>
      </c>
      <c r="H9" s="37">
        <f>'Executive Director'!Z5</f>
        <v>9786.1914166666666</v>
      </c>
      <c r="I9" s="37">
        <f>'Executive Director'!Z26</f>
        <v>13438.487499999999</v>
      </c>
      <c r="J9" s="38">
        <f>'Executive Director'!Z27</f>
        <v>-0.37320914008622197</v>
      </c>
      <c r="K9" s="37">
        <f>'Executive Director'!AB5</f>
        <v>8271.1914166666666</v>
      </c>
      <c r="L9" s="37">
        <f>'Executive Director'!AB26</f>
        <v>11642.487499999999</v>
      </c>
      <c r="M9" s="38">
        <f>'Executive Director'!AB27</f>
        <v>-0.40759497797863598</v>
      </c>
      <c r="N9" s="107">
        <f>'Executive Director'!G30</f>
        <v>11</v>
      </c>
    </row>
    <row r="10" spans="1:14" ht="27.5" customHeight="1" x14ac:dyDescent="0.25">
      <c r="A10" s="106" t="str">
        <f>'Field Manager'!B5</f>
        <v>Field Manager</v>
      </c>
      <c r="B10" s="37">
        <f>'Field Manager'!G5</f>
        <v>5584.833333333333</v>
      </c>
      <c r="C10" s="37">
        <f>'Field Manager'!G26</f>
        <v>7251.666666666667</v>
      </c>
      <c r="D10" s="38">
        <f>'Field Manager'!G27</f>
        <v>-0.29845713092005144</v>
      </c>
      <c r="E10" s="37">
        <f>'Field Manager'!N5</f>
        <v>5752.3783333333331</v>
      </c>
      <c r="F10" s="37">
        <f>'Field Manager'!N26</f>
        <v>7640.5333333333338</v>
      </c>
      <c r="G10" s="38">
        <f>'Field Manager'!N27</f>
        <v>-0.3282390153406114</v>
      </c>
      <c r="H10" s="37">
        <f>'Field Manager'!Z5</f>
        <v>7292.8780833333331</v>
      </c>
      <c r="I10" s="37">
        <f>'Field Manager'!Z26</f>
        <v>9747.4566666666669</v>
      </c>
      <c r="J10" s="38">
        <f>'Field Manager'!Z27</f>
        <v>-0.33657200288907441</v>
      </c>
      <c r="K10" s="37">
        <f>'Field Manager'!AB5</f>
        <v>5777.8780833333331</v>
      </c>
      <c r="L10" s="37">
        <f>'Field Manager'!AB26</f>
        <v>6526.1049999999996</v>
      </c>
      <c r="M10" s="38">
        <f>'Field Manager'!AB27</f>
        <v>-0.12949856433021251</v>
      </c>
      <c r="N10" s="107">
        <f>'Field Manager'!G30</f>
        <v>4</v>
      </c>
    </row>
    <row r="11" spans="1:14" ht="27.5" customHeight="1" x14ac:dyDescent="0.25">
      <c r="A11" s="106" t="str">
        <f>'Field Technician '!B5</f>
        <v>Field Technician</v>
      </c>
      <c r="B11" s="37">
        <f>'Field Technician '!G5</f>
        <v>4073.3333333333335</v>
      </c>
      <c r="C11" s="37">
        <f>'Field Technician '!G26</f>
        <v>4689.875</v>
      </c>
      <c r="D11" s="38">
        <f>'Field Technician '!G27</f>
        <v>-0.15136047463175117</v>
      </c>
      <c r="E11" s="37">
        <f>'Field Technician '!N5</f>
        <v>4195.5333333333338</v>
      </c>
      <c r="F11" s="37">
        <f>'Field Technician '!N26</f>
        <v>4996.82125</v>
      </c>
      <c r="G11" s="38">
        <f>'Field Technician '!N27</f>
        <v>-0.19098594934295191</v>
      </c>
      <c r="H11" s="37">
        <f>'Field Technician '!Z5</f>
        <v>5620.4033333333336</v>
      </c>
      <c r="I11" s="37">
        <f>'Field Technician '!Z26</f>
        <v>6401.0561523848755</v>
      </c>
      <c r="J11" s="38">
        <f>'Field Technician '!Z27</f>
        <v>-0.13889622732618984</v>
      </c>
      <c r="K11" s="37">
        <f>'Field Technician '!AB5</f>
        <v>4105.4033333333336</v>
      </c>
      <c r="L11" s="37">
        <f>'Field Technician '!AB26</f>
        <v>4131.9637291666659</v>
      </c>
      <c r="M11" s="38">
        <f>'Field Technician '!AB27</f>
        <v>-6.469619103603841E-3</v>
      </c>
      <c r="N11" s="107">
        <f>'Field Technician '!G30</f>
        <v>8</v>
      </c>
    </row>
    <row r="12" spans="1:14" ht="27.5" customHeight="1" x14ac:dyDescent="0.25">
      <c r="A12" s="106" t="str">
        <f>'Financial Manager'!B5</f>
        <v>Financial Manager</v>
      </c>
      <c r="B12" s="37">
        <f>'Financial Manager'!G5</f>
        <v>6101.333333333333</v>
      </c>
      <c r="C12" s="37">
        <f>'Financial Manager'!G26</f>
        <v>6050.077817449418</v>
      </c>
      <c r="D12" s="38">
        <f>'Financial Manager'!G27</f>
        <v>8.4007073673374663E-3</v>
      </c>
      <c r="E12" s="37">
        <f>'Financial Manager'!N5</f>
        <v>6284.373333333333</v>
      </c>
      <c r="F12" s="37">
        <f>'Financial Manager'!N26</f>
        <v>6050.077817449418</v>
      </c>
      <c r="G12" s="38">
        <f>'Financial Manager'!N27</f>
        <v>3.7282240162463558E-2</v>
      </c>
      <c r="H12" s="37">
        <f>'Financial Manager'!Z5</f>
        <v>7864.3853333333336</v>
      </c>
      <c r="I12" s="37">
        <f>'Financial Manager'!Z26</f>
        <v>8669.4182333333338</v>
      </c>
      <c r="J12" s="38">
        <f>'Financial Manager'!Z27</f>
        <v>-0.10236437634710678</v>
      </c>
      <c r="K12" s="37">
        <f>'Financial Manager'!AB5</f>
        <v>6349.3853333333336</v>
      </c>
      <c r="L12" s="37">
        <f>'Financial Manager'!AB26</f>
        <v>6994.1978909365553</v>
      </c>
      <c r="M12" s="38">
        <f>'Financial Manager'!AB27</f>
        <v>-0.10155511498381602</v>
      </c>
      <c r="N12" s="107">
        <f>'Financial Manager'!G30</f>
        <v>6</v>
      </c>
    </row>
    <row r="13" spans="1:14" ht="27.5" customHeight="1" x14ac:dyDescent="0.25">
      <c r="A13" s="106" t="str">
        <f>'Office Manager'!B5</f>
        <v>Office Manager</v>
      </c>
      <c r="B13" s="37">
        <f>'Office Manager'!G5</f>
        <v>5416.666666666667</v>
      </c>
      <c r="C13" s="37">
        <f>'Office Manager'!G26</f>
        <v>6250</v>
      </c>
      <c r="D13" s="38">
        <f>'Office Manager'!G27</f>
        <v>-0.15384615384615377</v>
      </c>
      <c r="E13" s="37">
        <f>'Office Manager'!N5</f>
        <v>5579.166666666667</v>
      </c>
      <c r="F13" s="37">
        <f>'Office Manager'!N26</f>
        <v>6368.083333333333</v>
      </c>
      <c r="G13" s="38">
        <f>'Office Manager'!N27</f>
        <v>-0.14140403286034342</v>
      </c>
      <c r="H13" s="37">
        <f>'Office Manager'!Z5</f>
        <v>7106.8016666666672</v>
      </c>
      <c r="I13" s="37">
        <f>'Office Manager'!Z26</f>
        <v>7105.2105416666664</v>
      </c>
      <c r="J13" s="38">
        <f>'Office Manager'!Z27</f>
        <v>2.2388763252867327E-4</v>
      </c>
      <c r="K13" s="37">
        <f>'Office Manager'!AB5</f>
        <v>5591.8016666666672</v>
      </c>
      <c r="L13" s="37">
        <f>'Office Manager'!AB26</f>
        <v>4377.2105416666664</v>
      </c>
      <c r="M13" s="38">
        <f>'Office Manager'!AB27</f>
        <v>0.21720926409824395</v>
      </c>
      <c r="N13" s="107">
        <f>'Office Manager'!G30</f>
        <v>5</v>
      </c>
    </row>
    <row r="14" spans="1:14" ht="27.5" customHeight="1" x14ac:dyDescent="0.25">
      <c r="A14" s="106" t="str">
        <f>'Program Manager'!B5</f>
        <v>Program Manager</v>
      </c>
      <c r="B14" s="37">
        <f>'Program Manager'!G5</f>
        <v>6903.833333333333</v>
      </c>
      <c r="C14" s="37">
        <f>'Program Manager'!G26</f>
        <v>8823.3333333333339</v>
      </c>
      <c r="D14" s="38">
        <f>'Program Manager'!G27</f>
        <v>-0.27803394249571506</v>
      </c>
      <c r="E14" s="37">
        <f>'Program Manager'!N5</f>
        <v>7110.9483333333328</v>
      </c>
      <c r="F14" s="37">
        <f>'Program Manager'!N26</f>
        <v>9440.9666666666672</v>
      </c>
      <c r="G14" s="38">
        <f>'Program Manager'!N27</f>
        <v>-0.32766632861205353</v>
      </c>
      <c r="H14" s="37">
        <f>'Program Manager'!Z5</f>
        <v>8752.3515833333313</v>
      </c>
      <c r="I14" s="37">
        <f>'Program Manager'!Z26</f>
        <v>10565.951666666668</v>
      </c>
      <c r="J14" s="38">
        <f>'Program Manager'!Z27</f>
        <v>-0.20721289199429385</v>
      </c>
      <c r="K14" s="37">
        <f>'Program Manager'!AB5</f>
        <v>7237.3515833333313</v>
      </c>
      <c r="L14" s="37">
        <f>'Program Manager'!AB26</f>
        <v>7156.0133333333342</v>
      </c>
      <c r="M14" s="38">
        <f>'Program Manager'!AB27</f>
        <v>1.1238676063120708E-2</v>
      </c>
      <c r="N14" s="107">
        <f>'Program Manager'!G30</f>
        <v>3</v>
      </c>
    </row>
    <row r="15" spans="1:14" ht="27.5" customHeight="1" x14ac:dyDescent="0.25">
      <c r="A15" s="106" t="str">
        <f>'Project Assistant'!B5</f>
        <v>Project Assistant</v>
      </c>
      <c r="B15" s="37">
        <f>'Project Assistant'!G5</f>
        <v>3536</v>
      </c>
      <c r="C15" s="37">
        <f>'Project Assistant'!G26</f>
        <v>4246.666666666667</v>
      </c>
      <c r="D15" s="38">
        <f>'Project Assistant'!G27</f>
        <v>-0.20098039215686284</v>
      </c>
      <c r="E15" s="37">
        <f>'Project Assistant'!N5</f>
        <v>3642.08</v>
      </c>
      <c r="F15" s="37">
        <f>'Project Assistant'!N26</f>
        <v>4374.0666666666666</v>
      </c>
      <c r="G15" s="38">
        <f>'Project Assistant'!N27</f>
        <v>-0.20098039215686275</v>
      </c>
      <c r="H15" s="37">
        <f>'Project Assistant'!Z5</f>
        <v>5025.8440000000001</v>
      </c>
      <c r="I15" s="37">
        <f>'Project Assistant'!Z26</f>
        <v>5745.6766666666663</v>
      </c>
      <c r="J15" s="38">
        <f>'Project Assistant'!Z27</f>
        <v>-0.14322622561835707</v>
      </c>
      <c r="K15" s="37">
        <f>'Project Assistant'!AB5</f>
        <v>3510.8440000000001</v>
      </c>
      <c r="L15" s="37">
        <f>'Project Assistant'!AB26</f>
        <v>2040.7189583333338</v>
      </c>
      <c r="M15" s="38">
        <f>'Project Assistant'!AB27</f>
        <v>0.41873835512676333</v>
      </c>
      <c r="N15" s="107">
        <f>'Project Assistant'!G30</f>
        <v>3</v>
      </c>
    </row>
    <row r="16" spans="1:14" ht="27.5" customHeight="1" thickBot="1" x14ac:dyDescent="0.3">
      <c r="A16" s="108" t="str">
        <f>'Project Manager'!B5</f>
        <v>Project Manager</v>
      </c>
      <c r="B16" s="109">
        <f>'Project Manager'!G5</f>
        <v>5584.833333333333</v>
      </c>
      <c r="C16" s="109">
        <f>'Project Manager'!G26</f>
        <v>6741.7376178705481</v>
      </c>
      <c r="D16" s="110">
        <f>'Project Manager'!G27</f>
        <v>-0.20715108499875529</v>
      </c>
      <c r="E16" s="109">
        <f>'Project Manager'!N5</f>
        <v>5752.3783333333331</v>
      </c>
      <c r="F16" s="109">
        <f>'Project Manager'!N26</f>
        <v>6842.1220833333336</v>
      </c>
      <c r="G16" s="110">
        <f>'Project Manager'!N27</f>
        <v>-0.18944229444806462</v>
      </c>
      <c r="H16" s="109">
        <f>'Project Manager'!Z5</f>
        <v>6865.6383333333333</v>
      </c>
      <c r="I16" s="109">
        <f>'Project Manager'!Z26</f>
        <v>8928.9605456376448</v>
      </c>
      <c r="J16" s="110">
        <f>'Project Manager'!Z27</f>
        <v>-0.30052882370553718</v>
      </c>
      <c r="K16" s="109">
        <f>'Project Manager'!AB5</f>
        <v>5350.6383333333333</v>
      </c>
      <c r="L16" s="109">
        <f>'Project Manager'!AB26</f>
        <v>7053.6834394854886</v>
      </c>
      <c r="M16" s="110">
        <f>'Project Manager'!AB27</f>
        <v>-0.31828821162188226</v>
      </c>
      <c r="N16" s="111">
        <f>'Project Manager'!G30</f>
        <v>12</v>
      </c>
    </row>
    <row r="17" spans="3:10" ht="16" x14ac:dyDescent="0.2">
      <c r="C17" s="125" t="s">
        <v>171</v>
      </c>
      <c r="D17" s="124">
        <f>AVERAGE(D8:D16)</f>
        <v>-0.21265454971969633</v>
      </c>
      <c r="G17" s="124">
        <f>AVERAGE(G8:G16)</f>
        <v>-0.21941800745691861</v>
      </c>
      <c r="J17" s="124">
        <f>AVERAGE(J8:J16)</f>
        <v>-0.20092839659317696</v>
      </c>
    </row>
    <row r="18" spans="3:10" x14ac:dyDescent="0.15">
      <c r="D18" s="78"/>
    </row>
    <row r="19" spans="3:10" x14ac:dyDescent="0.15">
      <c r="D19" s="79"/>
    </row>
    <row r="20" spans="3:10" x14ac:dyDescent="0.15">
      <c r="D20" s="80"/>
    </row>
  </sheetData>
  <mergeCells count="5">
    <mergeCell ref="A5:N5"/>
    <mergeCell ref="E6:G6"/>
    <mergeCell ref="H6:J6"/>
    <mergeCell ref="B6:D6"/>
    <mergeCell ref="K6:M6"/>
  </mergeCells>
  <pageMargins left="0.5" right="0.5" top="0.5" bottom="0.5" header="0.5" footer="0.5"/>
  <pageSetup paperSize="5" scale="59" orientation="landscape" r:id="rId1"/>
  <headerFooter alignWithMargins="0">
    <oddHeader>&amp;L&amp;K000000Appendix A&amp;C&amp;K000000Yolo County RCD
Total Compensation Study 
4/2021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theme="0" tint="-0.499984740745262"/>
    <pageSetUpPr fitToPage="1"/>
  </sheetPr>
  <dimension ref="A4:N20"/>
  <sheetViews>
    <sheetView topLeftCell="E1" zoomScale="110" zoomScaleNormal="110" workbookViewId="0">
      <selection activeCell="F17" sqref="F17"/>
    </sheetView>
  </sheetViews>
  <sheetFormatPr baseColWidth="10" defaultColWidth="8.83203125" defaultRowHeight="13" x14ac:dyDescent="0.15"/>
  <cols>
    <col min="1" max="1" width="41.5" customWidth="1"/>
    <col min="2" max="2" width="24.83203125" customWidth="1"/>
    <col min="3" max="4" width="24.83203125" style="1" customWidth="1"/>
    <col min="5" max="5" width="20.83203125" customWidth="1"/>
    <col min="6" max="7" width="20.83203125" style="1" customWidth="1"/>
    <col min="8" max="8" width="20.83203125" customWidth="1"/>
    <col min="9" max="13" width="20.83203125" style="1" customWidth="1"/>
    <col min="14" max="14" width="20.83203125" customWidth="1"/>
  </cols>
  <sheetData>
    <row r="4" spans="1:14" ht="14" thickBot="1" x14ac:dyDescent="0.2"/>
    <row r="5" spans="1:14" ht="20" customHeight="1" thickBot="1" x14ac:dyDescent="0.25">
      <c r="A5" s="129" t="s">
        <v>31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1"/>
    </row>
    <row r="6" spans="1:14" ht="41.5" customHeight="1" thickBot="1" x14ac:dyDescent="0.25">
      <c r="A6" s="12"/>
      <c r="B6" s="132" t="s">
        <v>19</v>
      </c>
      <c r="C6" s="133"/>
      <c r="D6" s="134"/>
      <c r="E6" s="132" t="s">
        <v>21</v>
      </c>
      <c r="F6" s="133"/>
      <c r="G6" s="134"/>
      <c r="H6" s="135" t="s">
        <v>13</v>
      </c>
      <c r="I6" s="136"/>
      <c r="J6" s="137"/>
      <c r="K6" s="129" t="s">
        <v>147</v>
      </c>
      <c r="L6" s="130"/>
      <c r="M6" s="131"/>
      <c r="N6" s="3"/>
    </row>
    <row r="7" spans="1:14" ht="128.5" customHeight="1" x14ac:dyDescent="0.25">
      <c r="A7" s="31" t="s">
        <v>5</v>
      </c>
      <c r="B7" s="32" t="s">
        <v>96</v>
      </c>
      <c r="C7" s="32" t="s">
        <v>37</v>
      </c>
      <c r="D7" s="32" t="s">
        <v>140</v>
      </c>
      <c r="E7" s="32" t="s">
        <v>98</v>
      </c>
      <c r="F7" s="32" t="s">
        <v>38</v>
      </c>
      <c r="G7" s="32" t="s">
        <v>100</v>
      </c>
      <c r="H7" s="32" t="s">
        <v>99</v>
      </c>
      <c r="I7" s="32" t="s">
        <v>39</v>
      </c>
      <c r="J7" s="32" t="s">
        <v>100</v>
      </c>
      <c r="K7" s="93" t="s">
        <v>141</v>
      </c>
      <c r="L7" s="93" t="s">
        <v>144</v>
      </c>
      <c r="M7" s="93" t="s">
        <v>145</v>
      </c>
      <c r="N7" s="33" t="s">
        <v>6</v>
      </c>
    </row>
    <row r="8" spans="1:14" s="1" customFormat="1" ht="34" customHeight="1" x14ac:dyDescent="0.25">
      <c r="A8" s="106" t="str">
        <f>'Deputy Dir'!B5</f>
        <v>Deputy Director</v>
      </c>
      <c r="B8" s="37">
        <f>'Deputy Dir'!G5</f>
        <v>7716.25</v>
      </c>
      <c r="C8" s="37" t="e">
        <f>'Deputy Dir'!G28</f>
        <v>#DIV/0!</v>
      </c>
      <c r="D8" s="38" t="e">
        <f>'Deputy Dir'!G29</f>
        <v>#DIV/0!</v>
      </c>
      <c r="E8" s="37">
        <f>'Deputy Dir'!N5</f>
        <v>7947.7375000000002</v>
      </c>
      <c r="F8" s="37" t="e">
        <f>'Deputy Dir'!N28</f>
        <v>#DIV/0!</v>
      </c>
      <c r="G8" s="38" t="e">
        <f>'Deputy Dir'!N29</f>
        <v>#DIV/0!</v>
      </c>
      <c r="H8" s="37">
        <f>'Deputy Dir'!Z5</f>
        <v>9651.2906249999996</v>
      </c>
      <c r="I8" s="37" t="e">
        <f>'Deputy Dir'!Z28</f>
        <v>#DIV/0!</v>
      </c>
      <c r="J8" s="38" t="e">
        <f>'Deputy Dir'!Z29</f>
        <v>#DIV/0!</v>
      </c>
      <c r="K8" s="37">
        <f>'Deputy Dir'!AB5</f>
        <v>8136.2906249999996</v>
      </c>
      <c r="L8" s="37" t="e">
        <f>'Deputy Dir'!AB28</f>
        <v>#DIV/0!</v>
      </c>
      <c r="M8" s="38" t="e">
        <f>'Deputy Dir'!AB29</f>
        <v>#DIV/0!</v>
      </c>
      <c r="N8" s="107">
        <f>'Deputy Dir'!G30</f>
        <v>3</v>
      </c>
    </row>
    <row r="9" spans="1:14" ht="27.5" customHeight="1" x14ac:dyDescent="0.25">
      <c r="A9" s="106" t="str">
        <f>'Executive Director'!B5</f>
        <v>Executive Director</v>
      </c>
      <c r="B9" s="37">
        <f>'Executive Director'!G5</f>
        <v>7838.166666666667</v>
      </c>
      <c r="C9" s="37">
        <f>'Executive Director'!G28</f>
        <v>11615.658095303486</v>
      </c>
      <c r="D9" s="38">
        <f>'Executive Director'!G29</f>
        <v>-0.48193558382744511</v>
      </c>
      <c r="E9" s="37">
        <f>'Executive Director'!N5</f>
        <v>8073.3116666666674</v>
      </c>
      <c r="F9" s="37">
        <f>'Executive Director'!N28</f>
        <v>11983.698095303489</v>
      </c>
      <c r="G9" s="38">
        <f>'Executive Director'!N29</f>
        <v>-0.48435965191114111</v>
      </c>
      <c r="H9" s="37">
        <f>'Executive Director'!Z5</f>
        <v>9786.1914166666666</v>
      </c>
      <c r="I9" s="37">
        <f>'Executive Director'!Z28</f>
        <v>13731.831998796501</v>
      </c>
      <c r="J9" s="38">
        <f>'Executive Director'!Z29</f>
        <v>-0.40318448864694112</v>
      </c>
      <c r="K9" s="37">
        <f>'Executive Director'!AB5</f>
        <v>8271.1914166666666</v>
      </c>
      <c r="L9" s="37">
        <f>'Executive Director'!AB28</f>
        <v>10672.998665463167</v>
      </c>
      <c r="M9" s="38">
        <f>'Executive Director'!AB29</f>
        <v>-0.29038225907295478</v>
      </c>
      <c r="N9" s="107">
        <f>'Executive Director'!G30</f>
        <v>11</v>
      </c>
    </row>
    <row r="10" spans="1:14" ht="27.5" customHeight="1" x14ac:dyDescent="0.25">
      <c r="A10" s="106" t="str">
        <f>'Field Manager'!B5</f>
        <v>Field Manager</v>
      </c>
      <c r="B10" s="37">
        <f>'Field Manager'!G5</f>
        <v>5584.833333333333</v>
      </c>
      <c r="C10" s="37">
        <f>'Field Manager'!G28</f>
        <v>7628.6388888888896</v>
      </c>
      <c r="D10" s="38">
        <f>'Field Manager'!G29</f>
        <v>-0.36595640972077176</v>
      </c>
      <c r="E10" s="37">
        <f>'Field Manager'!N5</f>
        <v>5752.3783333333331</v>
      </c>
      <c r="F10" s="37">
        <f>'Field Manager'!N28</f>
        <v>8027.5930555555569</v>
      </c>
      <c r="G10" s="38">
        <f>'Field Manager'!N29</f>
        <v>-0.39552591821682287</v>
      </c>
      <c r="H10" s="37">
        <f>'Field Manager'!Z5</f>
        <v>7292.8780833333331</v>
      </c>
      <c r="I10" s="37">
        <f>'Field Manager'!Z28</f>
        <v>10465.843930555557</v>
      </c>
      <c r="J10" s="38">
        <f>'Field Manager'!Z29</f>
        <v>-0.43507731940199473</v>
      </c>
      <c r="K10" s="37">
        <f>'Field Manager'!AB5</f>
        <v>5777.8780833333331</v>
      </c>
      <c r="L10" s="37">
        <f>'Field Manager'!AB28</f>
        <v>5532.6329479166679</v>
      </c>
      <c r="M10" s="38">
        <f>'Field Manager'!AB29</f>
        <v>4.2445536558497268E-2</v>
      </c>
      <c r="N10" s="107">
        <f>'Field Manager'!G30</f>
        <v>4</v>
      </c>
    </row>
    <row r="11" spans="1:14" ht="27.5" customHeight="1" x14ac:dyDescent="0.25">
      <c r="A11" s="106" t="str">
        <f>'Field Technician '!B5</f>
        <v>Field Technician</v>
      </c>
      <c r="B11" s="37">
        <f>'Field Technician '!G5</f>
        <v>4073.3333333333335</v>
      </c>
      <c r="C11" s="37">
        <f>'Field Technician '!G28</f>
        <v>4843.1042012267699</v>
      </c>
      <c r="D11" s="38">
        <f>'Field Technician '!G29</f>
        <v>-0.18897811814077817</v>
      </c>
      <c r="E11" s="37">
        <f>'Field Technician '!N5</f>
        <v>4195.5333333333338</v>
      </c>
      <c r="F11" s="37">
        <f>'Field Technician '!N28</f>
        <v>4977.3117012267694</v>
      </c>
      <c r="G11" s="38">
        <f>'Field Technician '!N29</f>
        <v>-0.1863358733637604</v>
      </c>
      <c r="H11" s="37">
        <f>'Field Technician '!Z5</f>
        <v>5620.4033333333336</v>
      </c>
      <c r="I11" s="37">
        <f>'Field Technician '!Z28</f>
        <v>6708.1118126206175</v>
      </c>
      <c r="J11" s="38">
        <f>'Field Technician '!Z29</f>
        <v>-0.19352854497760547</v>
      </c>
      <c r="K11" s="37">
        <f>'Field Technician '!AB5</f>
        <v>4105.4033333333336</v>
      </c>
      <c r="L11" s="37">
        <f>'Field Technician '!AB28</f>
        <v>3663.3118126206173</v>
      </c>
      <c r="M11" s="38">
        <f>'Field Technician '!AB29</f>
        <v>0.10768528322740105</v>
      </c>
      <c r="N11" s="107">
        <f>'Field Technician '!G30</f>
        <v>8</v>
      </c>
    </row>
    <row r="12" spans="1:14" ht="27.5" customHeight="1" x14ac:dyDescent="0.25">
      <c r="A12" s="106" t="str">
        <f>'Financial Manager'!B5</f>
        <v>Financial Manager</v>
      </c>
      <c r="B12" s="37">
        <f>'Financial Manager'!G5</f>
        <v>6101.333333333333</v>
      </c>
      <c r="C12" s="37">
        <f>'Financial Manager'!G28</f>
        <v>6535.9759391498055</v>
      </c>
      <c r="D12" s="38">
        <f>'Financial Manager'!G29</f>
        <v>-7.1237315201563456E-2</v>
      </c>
      <c r="E12" s="37">
        <f>'Financial Manager'!N5</f>
        <v>6284.373333333333</v>
      </c>
      <c r="F12" s="37">
        <f>'Financial Manager'!N28</f>
        <v>6806.7642169275832</v>
      </c>
      <c r="G12" s="38">
        <f>'Financial Manager'!N29</f>
        <v>-8.3125373984929321E-2</v>
      </c>
      <c r="H12" s="37">
        <f>'Financial Manager'!Z5</f>
        <v>7864.3853333333336</v>
      </c>
      <c r="I12" s="37">
        <f>'Financial Manager'!Z28</f>
        <v>9067.8417096058765</v>
      </c>
      <c r="J12" s="38">
        <f>'Financial Manager'!Z29</f>
        <v>-0.15302612032140289</v>
      </c>
      <c r="K12" s="37">
        <f>'Financial Manager'!AB5</f>
        <v>6349.3853333333336</v>
      </c>
      <c r="L12" s="37">
        <f>'Financial Manager'!AB28</f>
        <v>6780.3417096058765</v>
      </c>
      <c r="M12" s="38">
        <f>'Financial Manager'!AB29</f>
        <v>-6.7873715902874207E-2</v>
      </c>
      <c r="N12" s="107">
        <f>'Financial Manager'!G30</f>
        <v>6</v>
      </c>
    </row>
    <row r="13" spans="1:14" ht="27.5" customHeight="1" x14ac:dyDescent="0.25">
      <c r="A13" s="106" t="str">
        <f>'Office Manager'!B5</f>
        <v>Office Manager</v>
      </c>
      <c r="B13" s="37">
        <f>'Office Manager'!G5</f>
        <v>5416.666666666667</v>
      </c>
      <c r="C13" s="37">
        <f>'Office Manager'!G28</f>
        <v>5777.3333333333339</v>
      </c>
      <c r="D13" s="38">
        <f>'Office Manager'!G29</f>
        <v>-6.6584615384615436E-2</v>
      </c>
      <c r="E13" s="37">
        <f>'Office Manager'!N5</f>
        <v>5579.166666666667</v>
      </c>
      <c r="F13" s="37">
        <f>'Office Manager'!N28</f>
        <v>5894.0266666666666</v>
      </c>
      <c r="G13" s="38">
        <f>'Office Manager'!N29</f>
        <v>-5.6434951456310618E-2</v>
      </c>
      <c r="H13" s="37">
        <f>'Office Manager'!Z5</f>
        <v>7106.8016666666672</v>
      </c>
      <c r="I13" s="37">
        <f>'Office Manager'!Z28</f>
        <v>7032.1226666666662</v>
      </c>
      <c r="J13" s="38">
        <f>'Office Manager'!Z29</f>
        <v>1.05081024492735E-2</v>
      </c>
      <c r="K13" s="37">
        <f>'Office Manager'!AB5</f>
        <v>5591.8016666666672</v>
      </c>
      <c r="L13" s="37">
        <f>'Office Manager'!AB28</f>
        <v>3214.1226666666666</v>
      </c>
      <c r="M13" s="38">
        <f>'Office Manager'!AB29</f>
        <v>0.42520803521584133</v>
      </c>
      <c r="N13" s="107">
        <f>'Office Manager'!G30</f>
        <v>5</v>
      </c>
    </row>
    <row r="14" spans="1:14" ht="27.5" customHeight="1" x14ac:dyDescent="0.25">
      <c r="A14" s="106" t="str">
        <f>'Program Manager'!B5</f>
        <v>Program Manager</v>
      </c>
      <c r="B14" s="37">
        <f>'Program Manager'!G5</f>
        <v>6903.833333333333</v>
      </c>
      <c r="C14" s="37">
        <f>'Program Manager'!G28</f>
        <v>11328.333333333334</v>
      </c>
      <c r="D14" s="38">
        <f>'Program Manager'!G29</f>
        <v>-0.64087584192356917</v>
      </c>
      <c r="E14" s="37">
        <f>'Program Manager'!N5</f>
        <v>7110.9483333333328</v>
      </c>
      <c r="F14" s="37">
        <f>'Program Manager'!N28</f>
        <v>11913.816666666668</v>
      </c>
      <c r="G14" s="38">
        <f>'Program Manager'!N29</f>
        <v>-0.67541882013392984</v>
      </c>
      <c r="H14" s="37">
        <f>'Program Manager'!Z5</f>
        <v>8752.3515833333313</v>
      </c>
      <c r="I14" s="37">
        <f>'Program Manager'!Z28</f>
        <v>14166.925833333335</v>
      </c>
      <c r="J14" s="38">
        <f>'Program Manager'!Z29</f>
        <v>-0.61864222414358994</v>
      </c>
      <c r="K14" s="37">
        <f>'Program Manager'!AB5</f>
        <v>7237.3515833333313</v>
      </c>
      <c r="L14" s="37">
        <f>'Program Manager'!AB28</f>
        <v>10933.925833333335</v>
      </c>
      <c r="M14" s="38">
        <f>'Program Manager'!AB29</f>
        <v>-0.51076339285668082</v>
      </c>
      <c r="N14" s="107">
        <f>'Program Manager'!G30</f>
        <v>3</v>
      </c>
    </row>
    <row r="15" spans="1:14" ht="27.5" customHeight="1" x14ac:dyDescent="0.25">
      <c r="A15" s="106" t="str">
        <f>'Project Assistant'!B5</f>
        <v>Project Assistant</v>
      </c>
      <c r="B15" s="37">
        <f>'Project Assistant'!G5</f>
        <v>3536</v>
      </c>
      <c r="C15" s="37">
        <f>'Project Assistant'!G28</f>
        <v>4956.4583333333339</v>
      </c>
      <c r="D15" s="38">
        <f>'Project Assistant'!G29</f>
        <v>-0.40171332956259442</v>
      </c>
      <c r="E15" s="37">
        <f>'Project Assistant'!N5</f>
        <v>3642.08</v>
      </c>
      <c r="F15" s="37">
        <f>'Project Assistant'!N28</f>
        <v>5157.8104166666672</v>
      </c>
      <c r="G15" s="38">
        <f>'Project Assistant'!N29</f>
        <v>-0.41617164276091334</v>
      </c>
      <c r="H15" s="37">
        <f>'Project Assistant'!Z5</f>
        <v>5025.8440000000001</v>
      </c>
      <c r="I15" s="37">
        <f>'Project Assistant'!Z28</f>
        <v>6208.1094791666674</v>
      </c>
      <c r="J15" s="38">
        <f>'Project Assistant'!Z29</f>
        <v>-0.23523720178474844</v>
      </c>
      <c r="K15" s="37">
        <f>'Project Assistant'!AB5</f>
        <v>3510.8440000000001</v>
      </c>
      <c r="L15" s="37">
        <f>'Project Assistant'!AB28</f>
        <v>1954.6094791666669</v>
      </c>
      <c r="M15" s="38">
        <f>'Project Assistant'!AB29</f>
        <v>0.44326507268147863</v>
      </c>
      <c r="N15" s="107">
        <f>'Project Assistant'!G30</f>
        <v>3</v>
      </c>
    </row>
    <row r="16" spans="1:14" ht="27.5" customHeight="1" thickBot="1" x14ac:dyDescent="0.3">
      <c r="A16" s="108" t="str">
        <f>'Project Manager'!B5</f>
        <v>Project Manager</v>
      </c>
      <c r="B16" s="109">
        <f>'Project Manager'!G5</f>
        <v>5584.833333333333</v>
      </c>
      <c r="C16" s="109">
        <f>'Project Manager'!G28</f>
        <v>7354.5177378009703</v>
      </c>
      <c r="D16" s="110">
        <f>'Project Manager'!G29</f>
        <v>-0.31687327066775567</v>
      </c>
      <c r="E16" s="109">
        <f>'Project Manager'!N5</f>
        <v>5752.3783333333331</v>
      </c>
      <c r="F16" s="109">
        <f>'Project Manager'!N28</f>
        <v>7468.2804461343039</v>
      </c>
      <c r="G16" s="110">
        <f>'Project Manager'!N29</f>
        <v>-0.29829437727658226</v>
      </c>
      <c r="H16" s="109">
        <f>'Project Manager'!Z5</f>
        <v>6865.6383333333333</v>
      </c>
      <c r="I16" s="109">
        <f>'Project Manager'!Z28</f>
        <v>9555.5051840284577</v>
      </c>
      <c r="J16" s="110">
        <f>'Project Manager'!Z29</f>
        <v>-0.39178685507443095</v>
      </c>
      <c r="K16" s="109">
        <f>'Project Manager'!AB5</f>
        <v>5350.6383333333333</v>
      </c>
      <c r="L16" s="109">
        <f>'Project Manager'!AB28</f>
        <v>7172.1301840284586</v>
      </c>
      <c r="M16" s="110">
        <f>'Project Manager'!AB29</f>
        <v>-0.34042514878040259</v>
      </c>
      <c r="N16" s="111">
        <f>'Project Manager'!G30</f>
        <v>12</v>
      </c>
    </row>
    <row r="17" spans="4:4" x14ac:dyDescent="0.15">
      <c r="D17" s="75"/>
    </row>
    <row r="18" spans="4:4" x14ac:dyDescent="0.15">
      <c r="D18" s="75"/>
    </row>
    <row r="19" spans="4:4" x14ac:dyDescent="0.15">
      <c r="D19" s="76"/>
    </row>
    <row r="20" spans="4:4" x14ac:dyDescent="0.15">
      <c r="D20" s="77"/>
    </row>
  </sheetData>
  <mergeCells count="5">
    <mergeCell ref="E6:G6"/>
    <mergeCell ref="H6:J6"/>
    <mergeCell ref="B6:D6"/>
    <mergeCell ref="K6:M6"/>
    <mergeCell ref="A5:N5"/>
  </mergeCells>
  <pageMargins left="0.5" right="0.5" top="0.5" bottom="0.5" header="0.5" footer="0.5"/>
  <pageSetup paperSize="5" scale="52" orientation="landscape" r:id="rId1"/>
  <headerFooter alignWithMargins="0">
    <oddHeader>&amp;CYolo County RCD
Total Compensation Study 
4/2021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84"/>
  <sheetViews>
    <sheetView topLeftCell="J17" zoomScale="110" zoomScaleNormal="110" workbookViewId="0">
      <selection activeCell="AA35" sqref="AA35:AA36"/>
    </sheetView>
  </sheetViews>
  <sheetFormatPr baseColWidth="10" defaultColWidth="8.83203125" defaultRowHeight="13" x14ac:dyDescent="0.15"/>
  <cols>
    <col min="1" max="1" width="28.83203125" customWidth="1"/>
    <col min="2" max="2" width="30.83203125" customWidth="1"/>
    <col min="3" max="3" width="14.5" hidden="1" customWidth="1"/>
    <col min="4" max="5" width="14.5" customWidth="1"/>
    <col min="6" max="7" width="13.5" customWidth="1"/>
    <col min="8" max="8" width="14.83203125" customWidth="1"/>
    <col min="9" max="9" width="14.1640625" customWidth="1"/>
    <col min="10" max="10" width="19.33203125" customWidth="1"/>
    <col min="11" max="12" width="15.1640625" customWidth="1"/>
    <col min="13" max="13" width="19" customWidth="1"/>
    <col min="14" max="20" width="13.5" customWidth="1"/>
    <col min="21" max="21" width="15.1640625" customWidth="1"/>
    <col min="22" max="25" width="13.5" customWidth="1"/>
    <col min="26" max="27" width="17.1640625" customWidth="1"/>
    <col min="28" max="28" width="17.1640625" hidden="1" customWidth="1"/>
    <col min="29" max="29" width="49.5" customWidth="1"/>
  </cols>
  <sheetData>
    <row r="1" spans="1:30" x14ac:dyDescent="0.15">
      <c r="L1" s="43"/>
    </row>
    <row r="3" spans="1:30" ht="14" thickBot="1" x14ac:dyDescent="0.2">
      <c r="A3" s="44" t="s">
        <v>32</v>
      </c>
    </row>
    <row r="4" spans="1:30" ht="103" thickBot="1" x14ac:dyDescent="0.25">
      <c r="A4" s="21" t="s">
        <v>0</v>
      </c>
      <c r="B4" s="22" t="s">
        <v>1</v>
      </c>
      <c r="C4" s="23" t="s">
        <v>29</v>
      </c>
      <c r="D4" s="23" t="s">
        <v>134</v>
      </c>
      <c r="E4" s="23" t="s">
        <v>135</v>
      </c>
      <c r="F4" s="23" t="s">
        <v>2</v>
      </c>
      <c r="G4" s="23" t="s">
        <v>3</v>
      </c>
      <c r="H4" s="23" t="s">
        <v>7</v>
      </c>
      <c r="I4" s="23" t="s">
        <v>8</v>
      </c>
      <c r="J4" s="23" t="s">
        <v>9</v>
      </c>
      <c r="K4" s="23" t="s">
        <v>15</v>
      </c>
      <c r="L4" s="23" t="s">
        <v>40</v>
      </c>
      <c r="M4" s="23" t="s">
        <v>33</v>
      </c>
      <c r="N4" s="23" t="s">
        <v>21</v>
      </c>
      <c r="O4" s="23" t="s">
        <v>16</v>
      </c>
      <c r="P4" s="23" t="s">
        <v>14</v>
      </c>
      <c r="Q4" s="23" t="s">
        <v>10</v>
      </c>
      <c r="R4" s="23" t="s">
        <v>11</v>
      </c>
      <c r="S4" s="23" t="s">
        <v>12</v>
      </c>
      <c r="T4" s="23" t="s">
        <v>28</v>
      </c>
      <c r="U4" s="23" t="s">
        <v>41</v>
      </c>
      <c r="V4" s="23" t="s">
        <v>36</v>
      </c>
      <c r="W4" s="23" t="s">
        <v>25</v>
      </c>
      <c r="X4" s="23" t="s">
        <v>27</v>
      </c>
      <c r="Y4" s="23" t="s">
        <v>24</v>
      </c>
      <c r="Z4" s="23" t="s">
        <v>26</v>
      </c>
      <c r="AA4" s="85" t="s">
        <v>137</v>
      </c>
      <c r="AB4" s="23" t="s">
        <v>136</v>
      </c>
      <c r="AC4" s="24" t="s">
        <v>4</v>
      </c>
    </row>
    <row r="5" spans="1:30" ht="71.5" customHeight="1" thickBot="1" x14ac:dyDescent="0.25">
      <c r="A5" s="18" t="s">
        <v>44</v>
      </c>
      <c r="B5" s="19" t="s">
        <v>172</v>
      </c>
      <c r="C5" s="19"/>
      <c r="D5" s="67">
        <v>2.5</v>
      </c>
      <c r="E5" s="84">
        <v>398100</v>
      </c>
      <c r="F5" s="60">
        <f>66768/12</f>
        <v>5564</v>
      </c>
      <c r="G5" s="60">
        <f>92595/12</f>
        <v>7716.25</v>
      </c>
      <c r="H5" s="50">
        <v>0</v>
      </c>
      <c r="I5" s="59">
        <f>H5*G5</f>
        <v>0</v>
      </c>
      <c r="J5" s="60">
        <f>0.03*G5</f>
        <v>231.48749999999998</v>
      </c>
      <c r="K5" s="60">
        <v>0</v>
      </c>
      <c r="L5" s="60">
        <v>0</v>
      </c>
      <c r="M5" s="60"/>
      <c r="N5" s="60">
        <f>SUM(G5,I5:L5)</f>
        <v>7947.7375000000002</v>
      </c>
      <c r="O5" s="34">
        <v>0</v>
      </c>
      <c r="P5" s="34">
        <v>1053.2</v>
      </c>
      <c r="Q5" s="34">
        <v>52.46</v>
      </c>
      <c r="R5" s="34">
        <v>7.6</v>
      </c>
      <c r="S5" s="34">
        <v>0</v>
      </c>
      <c r="T5" s="34">
        <v>0</v>
      </c>
      <c r="U5" s="34">
        <f>IF(G5&gt;11900,(11900*0.062)+(0.0145*G5),(0.0765*G5))</f>
        <v>590.29312500000003</v>
      </c>
      <c r="V5" s="34">
        <v>0</v>
      </c>
      <c r="W5" s="60">
        <f>SUM(N5:V5)</f>
        <v>9651.2906249999996</v>
      </c>
      <c r="X5" s="50">
        <v>0</v>
      </c>
      <c r="Y5" s="60">
        <f>X5*G5</f>
        <v>0</v>
      </c>
      <c r="Z5" s="60">
        <f>W5-Y5</f>
        <v>9651.2906249999996</v>
      </c>
      <c r="AA5" s="86">
        <v>1515</v>
      </c>
      <c r="AB5" s="86">
        <f>Z5-AA5</f>
        <v>8136.2906249999996</v>
      </c>
      <c r="AC5" s="20"/>
      <c r="AD5" s="2"/>
    </row>
    <row r="6" spans="1:30" ht="12.5" customHeight="1" thickBot="1" x14ac:dyDescent="0.25">
      <c r="A6" s="139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1"/>
      <c r="AD6" s="2"/>
    </row>
    <row r="7" spans="1:30" ht="12.5" customHeight="1" x14ac:dyDescent="0.2">
      <c r="A7" s="147" t="s">
        <v>159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9"/>
      <c r="AD7" s="2"/>
    </row>
    <row r="8" spans="1:30" s="43" customFormat="1" ht="45" customHeight="1" x14ac:dyDescent="0.2">
      <c r="A8" s="15" t="s">
        <v>46</v>
      </c>
      <c r="B8" s="56" t="s">
        <v>43</v>
      </c>
      <c r="C8" s="116"/>
      <c r="D8" s="117"/>
      <c r="E8" s="70"/>
      <c r="F8" s="4"/>
      <c r="G8" s="4"/>
      <c r="H8" s="55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5"/>
      <c r="Y8" s="54"/>
      <c r="Z8" s="54"/>
      <c r="AA8" s="87"/>
      <c r="AB8" s="87"/>
      <c r="AC8" s="5"/>
      <c r="AD8" s="2"/>
    </row>
    <row r="9" spans="1:30" s="43" customFormat="1" ht="45" customHeight="1" x14ac:dyDescent="0.2">
      <c r="A9" s="51" t="s">
        <v>102</v>
      </c>
      <c r="B9" s="9" t="s">
        <v>154</v>
      </c>
      <c r="C9" s="8"/>
      <c r="D9" s="115">
        <v>2.5</v>
      </c>
      <c r="E9" s="112">
        <v>676900</v>
      </c>
      <c r="F9" s="54">
        <f>100033/12</f>
        <v>8336.0833333333339</v>
      </c>
      <c r="G9" s="54">
        <f>115960/12</f>
        <v>9663.3333333333339</v>
      </c>
      <c r="H9" s="53">
        <v>0</v>
      </c>
      <c r="I9" s="52">
        <f>H9*G9</f>
        <v>0</v>
      </c>
      <c r="J9" s="54">
        <v>0</v>
      </c>
      <c r="K9" s="54">
        <v>0</v>
      </c>
      <c r="L9" s="54">
        <v>0</v>
      </c>
      <c r="M9" s="54"/>
      <c r="N9" s="54">
        <f t="shared" ref="N9" si="0">SUM(G9,I9:L9)</f>
        <v>9663.3333333333339</v>
      </c>
      <c r="O9" s="54">
        <v>0</v>
      </c>
      <c r="P9" s="54">
        <v>578.35</v>
      </c>
      <c r="Q9" s="54">
        <v>66.44</v>
      </c>
      <c r="R9" s="54" t="s">
        <v>34</v>
      </c>
      <c r="S9" s="54">
        <v>0</v>
      </c>
      <c r="T9" s="54">
        <v>0</v>
      </c>
      <c r="U9" s="54">
        <f>0.0145*G9</f>
        <v>140.11833333333334</v>
      </c>
      <c r="V9" s="54">
        <v>0</v>
      </c>
      <c r="W9" s="54">
        <f t="shared" ref="W9" si="1">SUM(N9:V9)</f>
        <v>10448.241666666669</v>
      </c>
      <c r="X9" s="55">
        <v>0</v>
      </c>
      <c r="Y9" s="54">
        <f t="shared" ref="Y9" si="2">X9*G9</f>
        <v>0</v>
      </c>
      <c r="Z9" s="54">
        <f t="shared" ref="Z9" si="3">W9-Y9</f>
        <v>10448.241666666669</v>
      </c>
      <c r="AA9" s="87">
        <v>2728</v>
      </c>
      <c r="AB9" s="87">
        <f t="shared" ref="AB9" si="4">Z9-AA9</f>
        <v>7720.2416666666686</v>
      </c>
      <c r="AC9" s="58"/>
      <c r="AD9" s="2"/>
    </row>
    <row r="10" spans="1:30" s="43" customFormat="1" ht="45" customHeight="1" x14ac:dyDescent="0.2">
      <c r="A10" s="15" t="s">
        <v>94</v>
      </c>
      <c r="B10" s="114" t="s">
        <v>129</v>
      </c>
      <c r="C10" s="63"/>
      <c r="D10" s="73">
        <v>2.2999999999999998</v>
      </c>
      <c r="E10" s="83">
        <v>437700</v>
      </c>
      <c r="F10" s="64">
        <v>6250</v>
      </c>
      <c r="G10" s="64">
        <v>9167</v>
      </c>
      <c r="H10" s="55">
        <v>0</v>
      </c>
      <c r="I10" s="52">
        <f>H10*G10</f>
        <v>0</v>
      </c>
      <c r="J10" s="54">
        <f>0.1*G10</f>
        <v>916.7</v>
      </c>
      <c r="K10" s="54">
        <v>0</v>
      </c>
      <c r="L10" s="54">
        <v>0</v>
      </c>
      <c r="M10" s="54"/>
      <c r="N10" s="54">
        <f>SUM(G10,I10:L10)</f>
        <v>10083.700000000001</v>
      </c>
      <c r="O10" s="54">
        <v>0</v>
      </c>
      <c r="P10" s="54">
        <v>786.34</v>
      </c>
      <c r="Q10" s="54">
        <v>60.52</v>
      </c>
      <c r="R10" s="54">
        <v>13.12</v>
      </c>
      <c r="S10" s="54">
        <v>0</v>
      </c>
      <c r="T10" s="54">
        <v>0</v>
      </c>
      <c r="U10" s="54">
        <f>IF(G10&gt;11900,(11900*0.062)+(0.0145*G10),(0.0765*G10))</f>
        <v>701.27549999999997</v>
      </c>
      <c r="V10" s="54">
        <v>0</v>
      </c>
      <c r="W10" s="54">
        <f>SUM(N10:V10)</f>
        <v>11644.955500000002</v>
      </c>
      <c r="X10" s="55">
        <v>0</v>
      </c>
      <c r="Y10" s="54">
        <f>X10*G10</f>
        <v>0</v>
      </c>
      <c r="Z10" s="54">
        <f>W10-Y10</f>
        <v>11644.955500000002</v>
      </c>
      <c r="AA10" s="87">
        <v>1687</v>
      </c>
      <c r="AB10" s="87">
        <f t="shared" ref="AB10" si="5">Z10-AA10</f>
        <v>9957.9555000000018</v>
      </c>
      <c r="AC10" s="6"/>
      <c r="AD10" s="2"/>
    </row>
    <row r="11" spans="1:30" s="43" customFormat="1" ht="45" customHeight="1" x14ac:dyDescent="0.2">
      <c r="A11" s="15" t="s">
        <v>63</v>
      </c>
      <c r="B11" s="9" t="s">
        <v>43</v>
      </c>
      <c r="C11" s="8"/>
      <c r="D11" s="72"/>
      <c r="E11" s="70"/>
      <c r="F11" s="4"/>
      <c r="G11" s="4"/>
      <c r="H11" s="53"/>
      <c r="I11" s="52"/>
      <c r="J11" s="54"/>
      <c r="K11" s="54"/>
      <c r="L11" s="57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5"/>
      <c r="Y11" s="54"/>
      <c r="Z11" s="54"/>
      <c r="AA11" s="87"/>
      <c r="AB11" s="87"/>
      <c r="AC11" s="6"/>
      <c r="AD11" s="2"/>
    </row>
    <row r="12" spans="1:30" s="43" customFormat="1" ht="45" customHeight="1" x14ac:dyDescent="0.2">
      <c r="A12" s="15" t="s">
        <v>64</v>
      </c>
      <c r="B12" s="9" t="s">
        <v>109</v>
      </c>
      <c r="C12" s="56"/>
      <c r="D12" s="113">
        <v>2</v>
      </c>
      <c r="E12" s="113">
        <v>398600</v>
      </c>
      <c r="F12" s="54">
        <f>80000/12</f>
        <v>6666.666666666667</v>
      </c>
      <c r="G12" s="54">
        <f>115896/12</f>
        <v>9658</v>
      </c>
      <c r="H12" s="53">
        <v>0</v>
      </c>
      <c r="I12" s="52">
        <f>H12*G12</f>
        <v>0</v>
      </c>
      <c r="J12" s="54">
        <v>0</v>
      </c>
      <c r="K12" s="54">
        <v>0</v>
      </c>
      <c r="L12" s="57">
        <v>0</v>
      </c>
      <c r="M12" s="54"/>
      <c r="N12" s="54">
        <f t="shared" ref="N12" si="6">SUM(G12,I12:L12)</f>
        <v>9658</v>
      </c>
      <c r="O12" s="54">
        <v>0</v>
      </c>
      <c r="P12" s="54">
        <f>21113.2/12</f>
        <v>1759.4333333333334</v>
      </c>
      <c r="Q12" s="54">
        <f>732/12</f>
        <v>61</v>
      </c>
      <c r="R12" s="54">
        <v>0</v>
      </c>
      <c r="S12" s="54">
        <v>0</v>
      </c>
      <c r="T12" s="54">
        <v>0</v>
      </c>
      <c r="U12" s="54">
        <f t="shared" ref="U12" si="7">IF(G12&gt;11900,(11900*0.062)+(0.0145*G12),(0.0765*G12))</f>
        <v>738.83699999999999</v>
      </c>
      <c r="V12" s="54">
        <v>0</v>
      </c>
      <c r="W12" s="54">
        <f t="shared" ref="W12" si="8">SUM(N12:V12)</f>
        <v>12217.270333333334</v>
      </c>
      <c r="X12" s="55">
        <v>0</v>
      </c>
      <c r="Y12" s="54">
        <f t="shared" ref="Y12" si="9">X12*G12</f>
        <v>0</v>
      </c>
      <c r="Z12" s="54">
        <f t="shared" ref="Z12" si="10">W12-Y12</f>
        <v>12217.270333333334</v>
      </c>
      <c r="AA12" s="87">
        <v>1517</v>
      </c>
      <c r="AB12" s="87">
        <f t="shared" ref="AB12" si="11">Z12-AA12</f>
        <v>10700.270333333334</v>
      </c>
      <c r="AC12" s="58"/>
      <c r="AD12" s="2"/>
    </row>
    <row r="13" spans="1:30" s="43" customFormat="1" ht="18" customHeight="1" x14ac:dyDescent="0.2">
      <c r="A13" s="144" t="s">
        <v>160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6"/>
      <c r="AD13" s="2"/>
    </row>
    <row r="14" spans="1:30" s="43" customFormat="1" ht="45" customHeight="1" x14ac:dyDescent="0.2">
      <c r="A14" s="15" t="s">
        <v>48</v>
      </c>
      <c r="B14" s="56" t="s">
        <v>43</v>
      </c>
      <c r="C14" s="16"/>
      <c r="D14" s="68"/>
      <c r="E14" s="70"/>
      <c r="F14" s="14"/>
      <c r="G14" s="14"/>
      <c r="H14" s="53"/>
      <c r="I14" s="52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5"/>
      <c r="Y14" s="54"/>
      <c r="Z14" s="54"/>
      <c r="AA14" s="87"/>
      <c r="AB14" s="87"/>
      <c r="AC14" s="6"/>
      <c r="AD14" s="2"/>
    </row>
    <row r="15" spans="1:30" s="43" customFormat="1" ht="45" customHeight="1" x14ac:dyDescent="0.2">
      <c r="A15" s="15" t="s">
        <v>53</v>
      </c>
      <c r="B15" s="9" t="s">
        <v>43</v>
      </c>
      <c r="C15" s="16" t="s">
        <v>68</v>
      </c>
      <c r="D15" s="69"/>
      <c r="E15" s="81"/>
      <c r="F15" s="54"/>
      <c r="G15" s="54"/>
      <c r="H15" s="53"/>
      <c r="I15" s="52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5"/>
      <c r="Y15" s="54"/>
      <c r="Z15" s="54"/>
      <c r="AA15" s="87"/>
      <c r="AB15" s="87"/>
      <c r="AC15" s="6"/>
      <c r="AD15" s="2"/>
    </row>
    <row r="16" spans="1:30" s="43" customFormat="1" ht="45" customHeight="1" x14ac:dyDescent="0.2">
      <c r="A16" s="15" t="s">
        <v>54</v>
      </c>
      <c r="B16" s="9" t="s">
        <v>43</v>
      </c>
      <c r="C16" s="8"/>
      <c r="D16" s="70"/>
      <c r="E16" s="70"/>
      <c r="F16" s="4"/>
      <c r="G16" s="4"/>
      <c r="H16" s="55"/>
      <c r="I16" s="52"/>
      <c r="J16" s="54"/>
      <c r="K16" s="54"/>
      <c r="L16" s="54"/>
      <c r="M16" s="57"/>
      <c r="N16" s="54"/>
      <c r="O16" s="54"/>
      <c r="P16" s="54"/>
      <c r="Q16" s="4"/>
      <c r="R16" s="4"/>
      <c r="S16" s="54"/>
      <c r="T16" s="54"/>
      <c r="U16" s="54"/>
      <c r="V16" s="54"/>
      <c r="W16" s="54"/>
      <c r="X16" s="55"/>
      <c r="Y16" s="54"/>
      <c r="Z16" s="54"/>
      <c r="AA16" s="87"/>
      <c r="AB16" s="87"/>
      <c r="AC16" s="5"/>
      <c r="AD16" s="2"/>
    </row>
    <row r="17" spans="1:30" s="43" customFormat="1" ht="45" customHeight="1" x14ac:dyDescent="0.2">
      <c r="A17" s="15" t="s">
        <v>103</v>
      </c>
      <c r="B17" s="9" t="s">
        <v>43</v>
      </c>
      <c r="C17" s="8"/>
      <c r="D17" s="72"/>
      <c r="E17" s="72"/>
      <c r="F17" s="4"/>
      <c r="G17" s="4"/>
      <c r="H17" s="45"/>
      <c r="I17" s="14"/>
      <c r="J17" s="4"/>
      <c r="K17" s="4"/>
      <c r="L17" s="4"/>
      <c r="M17" s="35"/>
      <c r="N17" s="4"/>
      <c r="O17" s="4"/>
      <c r="P17" s="4"/>
      <c r="Q17" s="4"/>
      <c r="R17" s="4"/>
      <c r="S17" s="4"/>
      <c r="T17" s="4"/>
      <c r="U17" s="4"/>
      <c r="V17" s="4"/>
      <c r="W17" s="4"/>
      <c r="X17" s="13"/>
      <c r="Y17" s="4"/>
      <c r="Z17" s="4"/>
      <c r="AA17" s="88"/>
      <c r="AB17" s="87"/>
      <c r="AC17" s="6"/>
      <c r="AD17" s="2"/>
    </row>
    <row r="18" spans="1:30" s="43" customFormat="1" ht="45" customHeight="1" x14ac:dyDescent="0.2">
      <c r="A18" s="15" t="s">
        <v>49</v>
      </c>
      <c r="B18" s="9" t="s">
        <v>43</v>
      </c>
      <c r="C18" s="8"/>
      <c r="D18" s="70"/>
      <c r="E18" s="70"/>
      <c r="F18" s="4"/>
      <c r="G18" s="4"/>
      <c r="H18" s="13"/>
      <c r="I18" s="4"/>
      <c r="J18" s="4"/>
      <c r="K18" s="4"/>
      <c r="L18" s="4"/>
      <c r="M18" s="35"/>
      <c r="N18" s="4"/>
      <c r="O18" s="4"/>
      <c r="P18" s="4"/>
      <c r="Q18" s="4"/>
      <c r="R18" s="4"/>
      <c r="S18" s="4"/>
      <c r="T18" s="4"/>
      <c r="U18" s="4"/>
      <c r="V18" s="4"/>
      <c r="W18" s="4"/>
      <c r="X18" s="13"/>
      <c r="Y18" s="4"/>
      <c r="Z18" s="4"/>
      <c r="AA18" s="88"/>
      <c r="AB18" s="87"/>
      <c r="AC18" s="6"/>
      <c r="AD18" s="2"/>
    </row>
    <row r="19" spans="1:30" s="43" customFormat="1" ht="45" customHeight="1" x14ac:dyDescent="0.2">
      <c r="A19" s="15" t="s">
        <v>50</v>
      </c>
      <c r="B19" s="9" t="s">
        <v>43</v>
      </c>
      <c r="C19" s="8"/>
      <c r="D19" s="70"/>
      <c r="E19" s="70"/>
      <c r="F19" s="4"/>
      <c r="G19" s="4"/>
      <c r="H19" s="55"/>
      <c r="I19" s="52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5"/>
      <c r="Y19" s="54"/>
      <c r="Z19" s="54"/>
      <c r="AA19" s="87"/>
      <c r="AB19" s="87"/>
      <c r="AC19" s="5"/>
      <c r="AD19" s="2"/>
    </row>
    <row r="20" spans="1:30" s="43" customFormat="1" ht="45" customHeight="1" x14ac:dyDescent="0.2">
      <c r="A20" s="15" t="s">
        <v>105</v>
      </c>
      <c r="B20" s="9" t="s">
        <v>43</v>
      </c>
      <c r="C20" s="8"/>
      <c r="D20" s="72"/>
      <c r="E20" s="82"/>
      <c r="F20" s="4"/>
      <c r="G20" s="4"/>
      <c r="H20" s="13"/>
      <c r="I20" s="14"/>
      <c r="J20" s="4"/>
      <c r="K20" s="4"/>
      <c r="L20" s="4"/>
      <c r="M20" s="35"/>
      <c r="N20" s="4"/>
      <c r="O20" s="4"/>
      <c r="P20" s="4"/>
      <c r="Q20" s="4"/>
      <c r="R20" s="4"/>
      <c r="S20" s="4"/>
      <c r="T20" s="4"/>
      <c r="U20" s="4"/>
      <c r="V20" s="4"/>
      <c r="W20" s="4"/>
      <c r="X20" s="13"/>
      <c r="Y20" s="4"/>
      <c r="Z20" s="4"/>
      <c r="AA20" s="88"/>
      <c r="AB20" s="87"/>
      <c r="AC20" s="6"/>
      <c r="AD20" s="2"/>
    </row>
    <row r="21" spans="1:30" s="43" customFormat="1" ht="45" customHeight="1" x14ac:dyDescent="0.2">
      <c r="A21" s="15" t="s">
        <v>52</v>
      </c>
      <c r="B21" s="9" t="s">
        <v>43</v>
      </c>
      <c r="C21" s="8"/>
      <c r="D21" s="72"/>
      <c r="E21" s="70"/>
      <c r="F21" s="54"/>
      <c r="G21" s="54"/>
      <c r="H21" s="53"/>
      <c r="I21" s="52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5"/>
      <c r="Y21" s="54"/>
      <c r="Z21" s="54"/>
      <c r="AA21" s="87"/>
      <c r="AB21" s="87"/>
      <c r="AC21" s="6"/>
      <c r="AD21" s="2"/>
    </row>
    <row r="22" spans="1:30" s="43" customFormat="1" ht="45" customHeight="1" x14ac:dyDescent="0.2">
      <c r="A22" s="15" t="s">
        <v>47</v>
      </c>
      <c r="B22" s="9" t="s">
        <v>43</v>
      </c>
      <c r="C22" s="8"/>
      <c r="D22" s="71"/>
      <c r="E22" s="74"/>
      <c r="F22" s="4"/>
      <c r="G22" s="4"/>
      <c r="H22" s="13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13"/>
      <c r="Y22" s="4"/>
      <c r="Z22" s="4"/>
      <c r="AA22" s="88"/>
      <c r="AB22" s="87"/>
      <c r="AC22" s="6"/>
      <c r="AD22" s="2"/>
    </row>
    <row r="23" spans="1:30" ht="12.5" customHeight="1" x14ac:dyDescent="0.2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</row>
    <row r="24" spans="1:30" ht="29" customHeight="1" x14ac:dyDescent="0.2">
      <c r="A24" s="138" t="s">
        <v>161</v>
      </c>
      <c r="B24" s="138"/>
      <c r="C24" s="138"/>
      <c r="D24" s="138"/>
      <c r="E24" s="138"/>
      <c r="F24" s="138"/>
      <c r="G24" s="41">
        <f>MEDIAN(G8:G12)</f>
        <v>9658</v>
      </c>
      <c r="H24" s="27"/>
      <c r="I24" s="42"/>
      <c r="J24" s="42"/>
      <c r="K24" s="42"/>
      <c r="L24" s="42"/>
      <c r="M24" s="42"/>
      <c r="N24" s="41">
        <f>MEDIAN(N8:N12)</f>
        <v>9663.3333333333339</v>
      </c>
      <c r="O24" s="27"/>
      <c r="P24" s="27"/>
      <c r="Q24" s="27"/>
      <c r="R24" s="30"/>
      <c r="S24" s="30"/>
      <c r="T24" s="30"/>
      <c r="U24" s="42"/>
      <c r="V24" s="42"/>
      <c r="W24" s="42"/>
      <c r="X24" s="42"/>
      <c r="Y24" s="42"/>
      <c r="Z24" s="41">
        <f>MEDIAN(Z8:Z12)</f>
        <v>11644.955500000002</v>
      </c>
      <c r="AA24" s="89"/>
      <c r="AB24" s="41">
        <f>MEDIAN(AB8:AB12)</f>
        <v>9957.9555000000018</v>
      </c>
      <c r="AC24" s="10"/>
    </row>
    <row r="25" spans="1:30" ht="29" customHeight="1" x14ac:dyDescent="0.2">
      <c r="A25" s="143" t="s">
        <v>162</v>
      </c>
      <c r="B25" s="143"/>
      <c r="C25" s="143"/>
      <c r="D25" s="143"/>
      <c r="E25" s="143"/>
      <c r="F25" s="143"/>
      <c r="G25" s="40">
        <f>-(G24-G5)/G5</f>
        <v>-0.2516442572493115</v>
      </c>
      <c r="H25" s="27"/>
      <c r="I25" s="42"/>
      <c r="J25" s="42"/>
      <c r="K25" s="42"/>
      <c r="L25" s="42"/>
      <c r="M25" s="42"/>
      <c r="N25" s="40">
        <f>-(N24-N5)/N5</f>
        <v>-0.21585964978502797</v>
      </c>
      <c r="O25" s="27"/>
      <c r="P25" s="27"/>
      <c r="Q25" s="28"/>
      <c r="R25" s="28"/>
      <c r="S25" s="28"/>
      <c r="T25" s="28"/>
      <c r="U25" s="42"/>
      <c r="V25" s="42"/>
      <c r="W25" s="42"/>
      <c r="X25" s="42"/>
      <c r="Y25" s="42"/>
      <c r="Z25" s="40">
        <f>-(Z24-Z5)/Z5</f>
        <v>-0.20656976900434001</v>
      </c>
      <c r="AA25" s="90"/>
      <c r="AB25" s="40">
        <f>-(AB24-AB5)/AB5</f>
        <v>-0.22389378144908662</v>
      </c>
      <c r="AC25" s="10"/>
    </row>
    <row r="26" spans="1:30" ht="29" customHeight="1" x14ac:dyDescent="0.2">
      <c r="A26" s="150" t="s">
        <v>163</v>
      </c>
      <c r="B26" s="151"/>
      <c r="C26" s="151"/>
      <c r="D26" s="151"/>
      <c r="E26" s="151"/>
      <c r="F26" s="152"/>
      <c r="G26" s="39">
        <f>MEDIAN(G8:G12,G14:G22)</f>
        <v>9658</v>
      </c>
      <c r="H26" s="27"/>
      <c r="I26" s="42"/>
      <c r="J26" s="42"/>
      <c r="K26" s="42"/>
      <c r="L26" s="42"/>
      <c r="M26" s="42"/>
      <c r="N26" s="39">
        <f>MEDIAN(N8:N12,N14:N22)</f>
        <v>9663.3333333333339</v>
      </c>
      <c r="O26" s="27"/>
      <c r="P26" s="27"/>
      <c r="Q26" s="28"/>
      <c r="R26" s="28"/>
      <c r="S26" s="28"/>
      <c r="T26" s="28"/>
      <c r="U26" s="42"/>
      <c r="V26" s="42"/>
      <c r="W26" s="42"/>
      <c r="X26" s="42"/>
      <c r="Y26" s="42"/>
      <c r="Z26" s="39">
        <f>MEDIAN(Z8:Z12,Z14:Z22)</f>
        <v>11644.955500000002</v>
      </c>
      <c r="AA26" s="90"/>
      <c r="AB26" s="39">
        <f>MEDIAN(AB8:AB12,AB14:AB22)</f>
        <v>9957.9555000000018</v>
      </c>
      <c r="AC26" s="10"/>
    </row>
    <row r="27" spans="1:30" ht="29" customHeight="1" x14ac:dyDescent="0.2">
      <c r="A27" s="143" t="s">
        <v>164</v>
      </c>
      <c r="B27" s="143"/>
      <c r="C27" s="143"/>
      <c r="D27" s="143"/>
      <c r="E27" s="143"/>
      <c r="F27" s="143"/>
      <c r="G27" s="40">
        <f>-(G26-G5)/G5</f>
        <v>-0.2516442572493115</v>
      </c>
      <c r="H27" s="27"/>
      <c r="I27" s="42"/>
      <c r="J27" s="42"/>
      <c r="K27" s="42"/>
      <c r="L27" s="42"/>
      <c r="M27" s="42"/>
      <c r="N27" s="40">
        <f>-(N26-N5)/N5</f>
        <v>-0.21585964978502797</v>
      </c>
      <c r="O27" s="27"/>
      <c r="P27" s="27"/>
      <c r="Q27" s="28"/>
      <c r="R27" s="28"/>
      <c r="S27" s="28"/>
      <c r="T27" s="28"/>
      <c r="U27" s="42"/>
      <c r="V27" s="42"/>
      <c r="W27" s="42"/>
      <c r="X27" s="42"/>
      <c r="Y27" s="42"/>
      <c r="Z27" s="40">
        <f>-(Z26-Z5)/Z5</f>
        <v>-0.20656976900434001</v>
      </c>
      <c r="AA27" s="90"/>
      <c r="AB27" s="40">
        <f>-(AB26-AB5)/AB5</f>
        <v>-0.22389378144908662</v>
      </c>
      <c r="AC27" s="10"/>
    </row>
    <row r="28" spans="1:30" ht="29" hidden="1" customHeight="1" x14ac:dyDescent="0.2">
      <c r="A28" s="143" t="s">
        <v>35</v>
      </c>
      <c r="B28" s="143"/>
      <c r="C28" s="143"/>
      <c r="D28" s="143"/>
      <c r="E28" s="143"/>
      <c r="F28" s="143"/>
      <c r="G28" s="39" t="e">
        <f>AVERAGE(G14:G22)</f>
        <v>#DIV/0!</v>
      </c>
      <c r="H28" s="27"/>
      <c r="I28" s="42"/>
      <c r="J28" s="42"/>
      <c r="K28" s="42"/>
      <c r="L28" s="42"/>
      <c r="M28" s="42"/>
      <c r="N28" s="39" t="e">
        <f>AVERAGE(N14:N22)</f>
        <v>#DIV/0!</v>
      </c>
      <c r="O28" s="27"/>
      <c r="P28" s="27"/>
      <c r="Q28" s="28"/>
      <c r="R28" s="28"/>
      <c r="S28" s="28"/>
      <c r="T28" s="28"/>
      <c r="U28" s="42"/>
      <c r="V28" s="42"/>
      <c r="W28" s="42"/>
      <c r="X28" s="42"/>
      <c r="Y28" s="42"/>
      <c r="Z28" s="39" t="e">
        <f>AVERAGE(Z14:Z22)</f>
        <v>#DIV/0!</v>
      </c>
      <c r="AA28" s="89"/>
      <c r="AB28" s="39" t="e">
        <f>AVERAGE(AB14:AB22)</f>
        <v>#DIV/0!</v>
      </c>
      <c r="AC28" s="10"/>
    </row>
    <row r="29" spans="1:30" ht="29" hidden="1" customHeight="1" x14ac:dyDescent="0.2">
      <c r="A29" s="143" t="s">
        <v>95</v>
      </c>
      <c r="B29" s="143"/>
      <c r="C29" s="143"/>
      <c r="D29" s="143"/>
      <c r="E29" s="143"/>
      <c r="F29" s="143"/>
      <c r="G29" s="40" t="e">
        <f>-(G28-G5)/G5</f>
        <v>#DIV/0!</v>
      </c>
      <c r="H29" s="27"/>
      <c r="I29" s="42"/>
      <c r="J29" s="42"/>
      <c r="K29" s="42"/>
      <c r="L29" s="42"/>
      <c r="M29" s="42"/>
      <c r="N29" s="40" t="e">
        <f>-(N28-N5)/N5</f>
        <v>#DIV/0!</v>
      </c>
      <c r="O29" s="27"/>
      <c r="P29" s="27"/>
      <c r="Q29" s="28"/>
      <c r="R29" s="28"/>
      <c r="S29" s="28"/>
      <c r="T29" s="28"/>
      <c r="U29" s="42"/>
      <c r="V29" s="42"/>
      <c r="W29" s="42"/>
      <c r="X29" s="42"/>
      <c r="Y29" s="42"/>
      <c r="Z29" s="40" t="e">
        <f>-(Z28-Z5)/Z5</f>
        <v>#DIV/0!</v>
      </c>
      <c r="AA29" s="90"/>
      <c r="AB29" s="40" t="e">
        <f>-(AB28-AB5)/AB5</f>
        <v>#DIV/0!</v>
      </c>
      <c r="AC29" s="10"/>
    </row>
    <row r="30" spans="1:30" ht="29" customHeight="1" x14ac:dyDescent="0.2">
      <c r="A30" s="138" t="s">
        <v>23</v>
      </c>
      <c r="B30" s="138"/>
      <c r="C30" s="138"/>
      <c r="D30" s="138"/>
      <c r="E30" s="138"/>
      <c r="F30" s="138"/>
      <c r="G30" s="123">
        <f>COUNT(G8:G12,G14:G22)</f>
        <v>3</v>
      </c>
      <c r="H30" s="27"/>
      <c r="I30" s="42"/>
      <c r="J30" s="42"/>
      <c r="K30" s="42"/>
      <c r="L30" s="42"/>
      <c r="M30" s="42"/>
      <c r="N30" s="121"/>
      <c r="O30" s="27"/>
      <c r="P30" s="27"/>
      <c r="Q30" s="28"/>
      <c r="R30" s="28"/>
      <c r="S30" s="28"/>
      <c r="T30" s="28"/>
      <c r="U30" s="153" t="s">
        <v>165</v>
      </c>
      <c r="V30" s="153"/>
      <c r="W30" s="153"/>
      <c r="X30" s="153"/>
      <c r="Y30" s="154"/>
      <c r="Z30" s="41">
        <f>Z26-AA36</f>
        <v>11182.622166666668</v>
      </c>
      <c r="AB30" s="39"/>
      <c r="AC30" s="10"/>
    </row>
    <row r="31" spans="1:30" ht="29" customHeight="1" x14ac:dyDescent="0.2">
      <c r="A31" s="157"/>
      <c r="B31" s="157"/>
      <c r="C31" s="157"/>
      <c r="D31" s="157"/>
      <c r="E31" s="157"/>
      <c r="F31" s="157"/>
      <c r="G31" s="90"/>
      <c r="H31" s="27"/>
      <c r="I31" s="42"/>
      <c r="J31" s="42"/>
      <c r="K31" s="42"/>
      <c r="L31" s="42"/>
      <c r="M31" s="42"/>
      <c r="O31" s="27"/>
      <c r="P31" s="27"/>
      <c r="Q31" s="28"/>
      <c r="S31" s="126"/>
      <c r="T31" s="155" t="s">
        <v>166</v>
      </c>
      <c r="U31" s="155"/>
      <c r="V31" s="155"/>
      <c r="W31" s="155"/>
      <c r="X31" s="155"/>
      <c r="Y31" s="156"/>
      <c r="Z31" s="40">
        <f>-(Z30-Z5)/Z5</f>
        <v>-0.15866598584235136</v>
      </c>
      <c r="AB31" s="40"/>
      <c r="AC31" s="10"/>
    </row>
    <row r="32" spans="1:30" ht="29" customHeight="1" x14ac:dyDescent="0.2">
      <c r="H32" s="26"/>
      <c r="I32" s="42"/>
      <c r="J32" s="42"/>
      <c r="K32" s="42"/>
      <c r="L32" s="42"/>
      <c r="M32" s="42"/>
      <c r="N32" s="26"/>
      <c r="O32" s="26"/>
      <c r="P32" s="26"/>
      <c r="Q32" s="26"/>
      <c r="R32" s="26"/>
      <c r="S32" s="26"/>
      <c r="T32" s="26"/>
      <c r="U32" s="42"/>
      <c r="V32" s="42"/>
      <c r="W32" s="42"/>
      <c r="X32" s="118"/>
      <c r="Y32" s="118"/>
      <c r="Z32" s="118"/>
      <c r="AA32" s="119"/>
      <c r="AB32" s="26"/>
      <c r="AC32" s="7"/>
    </row>
    <row r="33" spans="1:29" ht="16" x14ac:dyDescent="0.2">
      <c r="A33" s="36" t="s">
        <v>45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11"/>
      <c r="X33" s="11"/>
      <c r="Y33" s="153"/>
      <c r="Z33" s="153"/>
      <c r="AA33" s="7"/>
      <c r="AB33" s="7"/>
      <c r="AC33" s="7"/>
    </row>
    <row r="34" spans="1:29" x14ac:dyDescent="0.15">
      <c r="A34" s="43" t="s">
        <v>91</v>
      </c>
    </row>
    <row r="35" spans="1:29" ht="24" customHeight="1" x14ac:dyDescent="0.2">
      <c r="A35" s="43" t="s">
        <v>113</v>
      </c>
      <c r="W35" s="153" t="s">
        <v>167</v>
      </c>
      <c r="X35" s="153"/>
      <c r="Y35" s="153"/>
      <c r="Z35" s="153"/>
      <c r="AA35" s="127">
        <f>AVERAGE(AA8:AA12,AA14:AA22)</f>
        <v>1977.3333333333333</v>
      </c>
    </row>
    <row r="36" spans="1:29" ht="16" x14ac:dyDescent="0.2">
      <c r="A36" s="43"/>
      <c r="W36" s="157" t="s">
        <v>168</v>
      </c>
      <c r="X36" s="157"/>
      <c r="Y36" s="157"/>
      <c r="Z36" s="157"/>
      <c r="AA36" s="128">
        <f>AA35-AA5</f>
        <v>462.33333333333326</v>
      </c>
    </row>
    <row r="39" spans="1:29" ht="28.5" customHeight="1" x14ac:dyDescent="0.15"/>
    <row r="40" spans="1:29" ht="28.5" customHeight="1" x14ac:dyDescent="0.15"/>
    <row r="41" spans="1:29" ht="28.5" customHeight="1" x14ac:dyDescent="0.15"/>
    <row r="42" spans="1:29" ht="28.5" customHeight="1" x14ac:dyDescent="0.15">
      <c r="A42" t="s">
        <v>138</v>
      </c>
    </row>
    <row r="43" spans="1:29" ht="28.5" customHeight="1" x14ac:dyDescent="0.15"/>
    <row r="44" spans="1:29" ht="28.5" customHeight="1" x14ac:dyDescent="0.15"/>
    <row r="45" spans="1:29" ht="28.5" customHeight="1" x14ac:dyDescent="0.15"/>
    <row r="84" spans="1:1" x14ac:dyDescent="0.15">
      <c r="A84" t="s">
        <v>30</v>
      </c>
    </row>
  </sheetData>
  <mergeCells count="17">
    <mergeCell ref="T31:Y31"/>
    <mergeCell ref="W36:Z36"/>
    <mergeCell ref="Y33:Z33"/>
    <mergeCell ref="W35:Z35"/>
    <mergeCell ref="A31:F31"/>
    <mergeCell ref="A30:F30"/>
    <mergeCell ref="A6:AC6"/>
    <mergeCell ref="A23:AC23"/>
    <mergeCell ref="A24:F24"/>
    <mergeCell ref="A25:F25"/>
    <mergeCell ref="A28:F28"/>
    <mergeCell ref="A29:F29"/>
    <mergeCell ref="A13:AC13"/>
    <mergeCell ref="A7:AC7"/>
    <mergeCell ref="A26:F26"/>
    <mergeCell ref="A27:F27"/>
    <mergeCell ref="U30:Y30"/>
  </mergeCells>
  <pageMargins left="0.5" right="0.5" top="0.5" bottom="0.5" header="0.5" footer="0.5"/>
  <pageSetup paperSize="5" scale="28" orientation="landscape" r:id="rId1"/>
  <headerFooter alignWithMargins="0">
    <oddHeader>&amp;L&amp;K000000Appendix A&amp;C&amp;K000000Yolo County RCD
Total Compensation Study 
4/2021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87"/>
  <sheetViews>
    <sheetView topLeftCell="N16" zoomScale="110" zoomScaleNormal="110" workbookViewId="0">
      <selection activeCell="AA35" sqref="AA35:AA36"/>
    </sheetView>
  </sheetViews>
  <sheetFormatPr baseColWidth="10" defaultColWidth="8.83203125" defaultRowHeight="13" x14ac:dyDescent="0.15"/>
  <cols>
    <col min="1" max="1" width="28.83203125" customWidth="1"/>
    <col min="2" max="2" width="30.83203125" customWidth="1"/>
    <col min="3" max="3" width="14.5" hidden="1" customWidth="1"/>
    <col min="4" max="5" width="14.5" customWidth="1"/>
    <col min="6" max="7" width="13.5" customWidth="1"/>
    <col min="8" max="8" width="14.83203125" customWidth="1"/>
    <col min="9" max="9" width="14.1640625" customWidth="1"/>
    <col min="10" max="10" width="19.33203125" customWidth="1"/>
    <col min="11" max="12" width="15.1640625" customWidth="1"/>
    <col min="13" max="13" width="19" customWidth="1"/>
    <col min="14" max="20" width="13.5" customWidth="1"/>
    <col min="21" max="21" width="15.1640625" customWidth="1"/>
    <col min="22" max="25" width="13.5" customWidth="1"/>
    <col min="26" max="28" width="17.1640625" customWidth="1"/>
    <col min="29" max="29" width="49.5" customWidth="1"/>
  </cols>
  <sheetData>
    <row r="1" spans="1:30" x14ac:dyDescent="0.15">
      <c r="L1" s="43"/>
    </row>
    <row r="3" spans="1:30" ht="14" thickBot="1" x14ac:dyDescent="0.2">
      <c r="A3" s="44" t="s">
        <v>32</v>
      </c>
    </row>
    <row r="4" spans="1:30" ht="103" thickBot="1" x14ac:dyDescent="0.25">
      <c r="A4" s="21" t="s">
        <v>0</v>
      </c>
      <c r="B4" s="22" t="s">
        <v>1</v>
      </c>
      <c r="C4" s="23" t="s">
        <v>29</v>
      </c>
      <c r="D4" s="23" t="s">
        <v>134</v>
      </c>
      <c r="E4" s="23" t="s">
        <v>135</v>
      </c>
      <c r="F4" s="23" t="s">
        <v>2</v>
      </c>
      <c r="G4" s="23" t="s">
        <v>3</v>
      </c>
      <c r="H4" s="23" t="s">
        <v>7</v>
      </c>
      <c r="I4" s="23" t="s">
        <v>8</v>
      </c>
      <c r="J4" s="23" t="s">
        <v>9</v>
      </c>
      <c r="K4" s="23" t="s">
        <v>15</v>
      </c>
      <c r="L4" s="23" t="s">
        <v>40</v>
      </c>
      <c r="M4" s="23" t="s">
        <v>33</v>
      </c>
      <c r="N4" s="23" t="s">
        <v>21</v>
      </c>
      <c r="O4" s="23" t="s">
        <v>16</v>
      </c>
      <c r="P4" s="23" t="s">
        <v>14</v>
      </c>
      <c r="Q4" s="23" t="s">
        <v>10</v>
      </c>
      <c r="R4" s="23" t="s">
        <v>11</v>
      </c>
      <c r="S4" s="23" t="s">
        <v>12</v>
      </c>
      <c r="T4" s="23" t="s">
        <v>28</v>
      </c>
      <c r="U4" s="23" t="s">
        <v>41</v>
      </c>
      <c r="V4" s="23" t="s">
        <v>36</v>
      </c>
      <c r="W4" s="23" t="s">
        <v>25</v>
      </c>
      <c r="X4" s="23" t="s">
        <v>27</v>
      </c>
      <c r="Y4" s="23" t="s">
        <v>24</v>
      </c>
      <c r="Z4" s="23" t="s">
        <v>26</v>
      </c>
      <c r="AA4" s="85" t="s">
        <v>137</v>
      </c>
      <c r="AB4" s="23" t="s">
        <v>136</v>
      </c>
      <c r="AC4" s="24" t="s">
        <v>4</v>
      </c>
    </row>
    <row r="5" spans="1:30" ht="71.5" customHeight="1" thickBot="1" x14ac:dyDescent="0.25">
      <c r="A5" s="18" t="s">
        <v>44</v>
      </c>
      <c r="B5" s="19" t="s">
        <v>42</v>
      </c>
      <c r="C5" s="19"/>
      <c r="D5" s="67">
        <v>2.5</v>
      </c>
      <c r="E5" s="84">
        <v>398100</v>
      </c>
      <c r="F5" s="17">
        <f>72280/12</f>
        <v>6023.333333333333</v>
      </c>
      <c r="G5" s="17">
        <f>94058/12</f>
        <v>7838.166666666667</v>
      </c>
      <c r="H5" s="50">
        <v>0</v>
      </c>
      <c r="I5" s="59">
        <f>H5*G5</f>
        <v>0</v>
      </c>
      <c r="J5" s="60">
        <f>0.03*G5</f>
        <v>235.14500000000001</v>
      </c>
      <c r="K5" s="60">
        <v>0</v>
      </c>
      <c r="L5" s="60">
        <v>0</v>
      </c>
      <c r="M5" s="60"/>
      <c r="N5" s="60">
        <f>SUM(G5,I5:L5)</f>
        <v>8073.3116666666674</v>
      </c>
      <c r="O5" s="34">
        <v>0</v>
      </c>
      <c r="P5" s="34">
        <v>1053.2</v>
      </c>
      <c r="Q5" s="34">
        <v>52.46</v>
      </c>
      <c r="R5" s="34">
        <v>7.6</v>
      </c>
      <c r="S5" s="34">
        <v>0</v>
      </c>
      <c r="T5" s="34">
        <v>0</v>
      </c>
      <c r="U5" s="34">
        <f>IF(G5&gt;11900,(11900*0.062)+(0.0145*G5),(0.0765*G5))</f>
        <v>599.61975000000007</v>
      </c>
      <c r="V5" s="34">
        <v>0</v>
      </c>
      <c r="W5" s="60">
        <f>SUM(N5:V5)</f>
        <v>9786.1914166666666</v>
      </c>
      <c r="X5" s="50">
        <v>0</v>
      </c>
      <c r="Y5" s="60">
        <f>X5*G5</f>
        <v>0</v>
      </c>
      <c r="Z5" s="60">
        <f>W5-Y5</f>
        <v>9786.1914166666666</v>
      </c>
      <c r="AA5" s="86">
        <v>1515</v>
      </c>
      <c r="AB5" s="86">
        <f>Z5-AA5</f>
        <v>8271.1914166666666</v>
      </c>
      <c r="AC5" s="20"/>
      <c r="AD5" s="2"/>
    </row>
    <row r="6" spans="1:30" ht="12.5" customHeight="1" thickBot="1" x14ac:dyDescent="0.25">
      <c r="A6" s="139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1"/>
      <c r="AD6" s="2"/>
    </row>
    <row r="7" spans="1:30" ht="12.5" customHeight="1" x14ac:dyDescent="0.2">
      <c r="A7" s="147" t="s">
        <v>159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9"/>
      <c r="AD7" s="2"/>
    </row>
    <row r="8" spans="1:30" s="43" customFormat="1" ht="45" customHeight="1" x14ac:dyDescent="0.2">
      <c r="A8" s="15" t="s">
        <v>46</v>
      </c>
      <c r="B8" s="9" t="s">
        <v>42</v>
      </c>
      <c r="C8" s="116"/>
      <c r="D8" s="117">
        <v>733000</v>
      </c>
      <c r="E8" s="70">
        <v>599200</v>
      </c>
      <c r="F8" s="4">
        <f>105000/12</f>
        <v>8750</v>
      </c>
      <c r="G8" s="4">
        <f>105000/12</f>
        <v>8750</v>
      </c>
      <c r="H8" s="55">
        <v>0</v>
      </c>
      <c r="I8" s="54">
        <f>H8*G8</f>
        <v>0</v>
      </c>
      <c r="J8" s="54">
        <f>0.03*G8</f>
        <v>262.5</v>
      </c>
      <c r="K8" s="54">
        <v>0</v>
      </c>
      <c r="L8" s="54">
        <v>0</v>
      </c>
      <c r="M8" s="54"/>
      <c r="N8" s="54">
        <f>SUM(G8,I8:L8)</f>
        <v>9012.5</v>
      </c>
      <c r="O8" s="54">
        <v>0</v>
      </c>
      <c r="P8" s="54">
        <v>971.74</v>
      </c>
      <c r="Q8" s="54">
        <v>75</v>
      </c>
      <c r="R8" s="54" t="s">
        <v>34</v>
      </c>
      <c r="S8" s="54">
        <v>0</v>
      </c>
      <c r="T8" s="54">
        <v>0</v>
      </c>
      <c r="U8" s="54">
        <f t="shared" ref="U8" si="0">IF(G8&gt;11900,(11900*0.062)+(0.0145*G8),(0.0765*G8))</f>
        <v>669.375</v>
      </c>
      <c r="V8" s="54">
        <v>0</v>
      </c>
      <c r="W8" s="54">
        <f>SUM(N8:V8)</f>
        <v>10728.615</v>
      </c>
      <c r="X8" s="55">
        <v>0</v>
      </c>
      <c r="Y8" s="54">
        <f>X8*G8</f>
        <v>0</v>
      </c>
      <c r="Z8" s="54">
        <f>W8-Y8</f>
        <v>10728.615</v>
      </c>
      <c r="AA8" s="87">
        <v>2390</v>
      </c>
      <c r="AB8" s="87">
        <f>Z8-AA8</f>
        <v>8338.6149999999998</v>
      </c>
      <c r="AC8" s="5" t="s">
        <v>116</v>
      </c>
      <c r="AD8" s="2"/>
    </row>
    <row r="9" spans="1:30" s="43" customFormat="1" ht="45" customHeight="1" x14ac:dyDescent="0.2">
      <c r="A9" s="51" t="s">
        <v>102</v>
      </c>
      <c r="B9" s="9" t="s">
        <v>42</v>
      </c>
      <c r="C9" s="8"/>
      <c r="D9" s="72">
        <v>2.5</v>
      </c>
      <c r="E9" s="70">
        <v>676900</v>
      </c>
      <c r="F9" s="4">
        <f>107927/12</f>
        <v>8993.9166666666661</v>
      </c>
      <c r="G9" s="4">
        <f>125151/12</f>
        <v>10429.25</v>
      </c>
      <c r="H9" s="53">
        <v>0</v>
      </c>
      <c r="I9" s="52">
        <f>H9*G9</f>
        <v>0</v>
      </c>
      <c r="J9" s="54">
        <v>0</v>
      </c>
      <c r="K9" s="54">
        <v>0</v>
      </c>
      <c r="L9" s="54">
        <v>0</v>
      </c>
      <c r="M9" s="54"/>
      <c r="N9" s="54">
        <f t="shared" ref="N9" si="1">SUM(G9,I9:L9)</f>
        <v>10429.25</v>
      </c>
      <c r="O9" s="54">
        <v>0</v>
      </c>
      <c r="P9" s="54">
        <v>578.35</v>
      </c>
      <c r="Q9" s="54">
        <v>66.44</v>
      </c>
      <c r="R9" s="54" t="s">
        <v>34</v>
      </c>
      <c r="S9" s="54">
        <v>0</v>
      </c>
      <c r="T9" s="54">
        <v>0</v>
      </c>
      <c r="U9" s="54">
        <f>0.0145*G9</f>
        <v>151.22412500000002</v>
      </c>
      <c r="V9" s="54">
        <v>0</v>
      </c>
      <c r="W9" s="54">
        <f t="shared" ref="W9" si="2">SUM(N9:V9)</f>
        <v>11225.264125000002</v>
      </c>
      <c r="X9" s="55">
        <v>0</v>
      </c>
      <c r="Y9" s="54">
        <f t="shared" ref="Y9" si="3">X9*G9</f>
        <v>0</v>
      </c>
      <c r="Z9" s="54">
        <f t="shared" ref="Z9" si="4">W9-Y9</f>
        <v>11225.264125000002</v>
      </c>
      <c r="AA9" s="87">
        <v>2728</v>
      </c>
      <c r="AB9" s="87">
        <f>Z9-AA9</f>
        <v>8497.2641250000015</v>
      </c>
      <c r="AC9" s="58"/>
      <c r="AD9" s="2"/>
    </row>
    <row r="10" spans="1:30" s="43" customFormat="1" ht="45" customHeight="1" x14ac:dyDescent="0.2">
      <c r="A10" s="15" t="s">
        <v>94</v>
      </c>
      <c r="B10" s="8" t="s">
        <v>42</v>
      </c>
      <c r="C10" s="8"/>
      <c r="D10" s="72">
        <v>2.2999999999999998</v>
      </c>
      <c r="E10" s="70">
        <v>437700</v>
      </c>
      <c r="F10" s="4">
        <v>7083</v>
      </c>
      <c r="G10" s="4">
        <v>10000</v>
      </c>
      <c r="H10" s="55">
        <v>0</v>
      </c>
      <c r="I10" s="52">
        <f>H10*G10</f>
        <v>0</v>
      </c>
      <c r="J10" s="54">
        <f>0.1*G10</f>
        <v>1000</v>
      </c>
      <c r="K10" s="4">
        <v>0</v>
      </c>
      <c r="L10" s="4">
        <v>0</v>
      </c>
      <c r="M10" s="4"/>
      <c r="N10" s="4">
        <f>SUM(G10,I10:L10)</f>
        <v>11000</v>
      </c>
      <c r="O10" s="4">
        <v>0</v>
      </c>
      <c r="P10" s="4">
        <v>786.34</v>
      </c>
      <c r="Q10" s="4">
        <v>60.52</v>
      </c>
      <c r="R10" s="4">
        <v>13.12</v>
      </c>
      <c r="S10" s="4">
        <v>0</v>
      </c>
      <c r="T10" s="4">
        <v>0</v>
      </c>
      <c r="U10" s="4">
        <f>IF(G10&gt;11900,(11900*0.062)+(0.0145*G10),(0.0765*G10))</f>
        <v>765</v>
      </c>
      <c r="V10" s="4">
        <v>0</v>
      </c>
      <c r="W10" s="4">
        <f>SUM(N10:V10)</f>
        <v>12624.980000000001</v>
      </c>
      <c r="X10" s="55">
        <v>0</v>
      </c>
      <c r="Y10" s="54">
        <f>X10*G10</f>
        <v>0</v>
      </c>
      <c r="Z10" s="54">
        <f>W10-Y10</f>
        <v>12624.980000000001</v>
      </c>
      <c r="AA10" s="87">
        <v>1687</v>
      </c>
      <c r="AB10" s="87">
        <f>Z10-AA10</f>
        <v>10937.980000000001</v>
      </c>
      <c r="AC10" s="6"/>
      <c r="AD10" s="2"/>
    </row>
    <row r="11" spans="1:30" s="43" customFormat="1" ht="45" customHeight="1" x14ac:dyDescent="0.2">
      <c r="A11" s="15" t="s">
        <v>63</v>
      </c>
      <c r="B11" s="8" t="s">
        <v>42</v>
      </c>
      <c r="C11" s="8"/>
      <c r="D11" s="72">
        <v>2.6</v>
      </c>
      <c r="E11" s="70">
        <v>578900</v>
      </c>
      <c r="F11" s="4">
        <f>131539/12</f>
        <v>10961.583333333334</v>
      </c>
      <c r="G11" s="4">
        <f>157061/12</f>
        <v>13088.416666666666</v>
      </c>
      <c r="H11" s="53">
        <v>0</v>
      </c>
      <c r="I11" s="52">
        <f>H11*G11</f>
        <v>0</v>
      </c>
      <c r="J11" s="54">
        <f>0.03*G11</f>
        <v>392.65249999999997</v>
      </c>
      <c r="K11" s="54">
        <v>0</v>
      </c>
      <c r="L11" s="57">
        <v>0</v>
      </c>
      <c r="M11" s="54"/>
      <c r="N11" s="54">
        <f>SUM(G11,I11:L11)</f>
        <v>13481.069166666666</v>
      </c>
      <c r="O11" s="54">
        <v>0</v>
      </c>
      <c r="P11" s="54">
        <f>7734/12</f>
        <v>644.5</v>
      </c>
      <c r="Q11" s="54">
        <f>535/12</f>
        <v>44.583333333333336</v>
      </c>
      <c r="R11" s="54">
        <f>70/12</f>
        <v>5.833333333333333</v>
      </c>
      <c r="S11" s="54">
        <f>0.00146*25000</f>
        <v>36.5</v>
      </c>
      <c r="T11" s="54">
        <v>0</v>
      </c>
      <c r="U11" s="54">
        <f>IF(G11&gt;11900,(11900*0.062)+(0.0145*G11),(0.0765*G11))</f>
        <v>927.58204166666656</v>
      </c>
      <c r="V11" s="54">
        <v>0</v>
      </c>
      <c r="W11" s="54">
        <f>SUM(N11:V11)</f>
        <v>15140.067875000001</v>
      </c>
      <c r="X11" s="55">
        <v>0</v>
      </c>
      <c r="Y11" s="54">
        <f>X11*G11</f>
        <v>0</v>
      </c>
      <c r="Z11" s="54">
        <f>W11-Y11</f>
        <v>15140.067875000001</v>
      </c>
      <c r="AA11" s="87">
        <v>2302</v>
      </c>
      <c r="AB11" s="87">
        <f>Z11-AA11</f>
        <v>12838.067875000001</v>
      </c>
      <c r="AC11" s="6"/>
      <c r="AD11" s="2"/>
    </row>
    <row r="12" spans="1:30" s="43" customFormat="1" ht="45" customHeight="1" x14ac:dyDescent="0.2">
      <c r="A12" s="15" t="s">
        <v>64</v>
      </c>
      <c r="B12" s="9" t="s">
        <v>42</v>
      </c>
      <c r="C12" s="9"/>
      <c r="D12" s="74">
        <v>2</v>
      </c>
      <c r="E12" s="74">
        <v>398600</v>
      </c>
      <c r="F12" s="4">
        <f>150626/12</f>
        <v>12552.166666666666</v>
      </c>
      <c r="G12" s="4">
        <f>F12</f>
        <v>12552.166666666666</v>
      </c>
      <c r="H12" s="53">
        <v>0</v>
      </c>
      <c r="I12" s="52">
        <f>H12*G12</f>
        <v>0</v>
      </c>
      <c r="J12" s="54">
        <v>0</v>
      </c>
      <c r="K12" s="54">
        <v>0</v>
      </c>
      <c r="L12" s="57">
        <v>0</v>
      </c>
      <c r="M12" s="54"/>
      <c r="N12" s="54">
        <f t="shared" ref="N12" si="5">SUM(G12,I12:L12)</f>
        <v>12552.166666666666</v>
      </c>
      <c r="O12" s="54">
        <v>0</v>
      </c>
      <c r="P12" s="54">
        <f>21113.2/12</f>
        <v>1759.4333333333334</v>
      </c>
      <c r="Q12" s="54">
        <f>732/12</f>
        <v>61</v>
      </c>
      <c r="R12" s="54">
        <v>0</v>
      </c>
      <c r="S12" s="54">
        <v>0</v>
      </c>
      <c r="T12" s="54">
        <v>0</v>
      </c>
      <c r="U12" s="54">
        <f t="shared" ref="U12" si="6">IF(G12&gt;11900,(11900*0.062)+(0.0145*G12),(0.0765*G12))</f>
        <v>919.80641666666656</v>
      </c>
      <c r="V12" s="54">
        <v>0</v>
      </c>
      <c r="W12" s="54">
        <f t="shared" ref="W12" si="7">SUM(N12:V12)</f>
        <v>15292.406416666665</v>
      </c>
      <c r="X12" s="55">
        <v>0</v>
      </c>
      <c r="Y12" s="54">
        <f>X12*G12</f>
        <v>0</v>
      </c>
      <c r="Z12" s="54">
        <f>W12-Y12</f>
        <v>15292.406416666665</v>
      </c>
      <c r="AA12" s="87">
        <v>1517</v>
      </c>
      <c r="AB12" s="87">
        <f>Z12-AA12</f>
        <v>13775.406416666665</v>
      </c>
      <c r="AC12" s="58" t="s">
        <v>117</v>
      </c>
      <c r="AD12" s="2"/>
    </row>
    <row r="13" spans="1:30" s="43" customFormat="1" ht="18" customHeight="1" x14ac:dyDescent="0.2">
      <c r="A13" s="144" t="s">
        <v>160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6"/>
      <c r="AD13" s="2"/>
    </row>
    <row r="14" spans="1:30" s="43" customFormat="1" ht="45" customHeight="1" x14ac:dyDescent="0.2">
      <c r="A14" s="15" t="s">
        <v>48</v>
      </c>
      <c r="B14" s="16" t="s">
        <v>72</v>
      </c>
      <c r="C14" s="16" t="s">
        <v>68</v>
      </c>
      <c r="D14" s="68"/>
      <c r="E14" s="70">
        <v>327000</v>
      </c>
      <c r="F14" s="14">
        <f>10717/1.0923</f>
        <v>9811.4071225853695</v>
      </c>
      <c r="G14" s="14">
        <f>13323/1.0923</f>
        <v>12197.198571820927</v>
      </c>
      <c r="H14" s="53">
        <v>0</v>
      </c>
      <c r="I14" s="52">
        <f t="shared" ref="I14:I16" si="8">H14*G14</f>
        <v>0</v>
      </c>
      <c r="J14" s="54">
        <v>0</v>
      </c>
      <c r="K14" s="54">
        <v>0</v>
      </c>
      <c r="L14" s="54">
        <v>0</v>
      </c>
      <c r="M14" s="54"/>
      <c r="N14" s="54">
        <f t="shared" ref="N14" si="9">SUM(G14,I14:L14)</f>
        <v>12197.198571820927</v>
      </c>
      <c r="O14" s="54">
        <v>1723</v>
      </c>
      <c r="P14" s="54" t="s">
        <v>34</v>
      </c>
      <c r="Q14" s="54" t="s">
        <v>34</v>
      </c>
      <c r="R14" s="54" t="s">
        <v>34</v>
      </c>
      <c r="S14" s="54">
        <v>9.75</v>
      </c>
      <c r="T14" s="54">
        <v>0</v>
      </c>
      <c r="U14" s="54">
        <f t="shared" ref="U14" si="10">IF(G14&gt;11900,(11900*0.062)+(0.0145*G14),(0.0765*G14))</f>
        <v>914.65937929140341</v>
      </c>
      <c r="V14" s="54">
        <v>0</v>
      </c>
      <c r="W14" s="54">
        <f t="shared" ref="W14" si="11">SUM(N14:V14)</f>
        <v>14844.60795111233</v>
      </c>
      <c r="X14" s="55">
        <v>0</v>
      </c>
      <c r="Y14" s="54">
        <f t="shared" ref="Y14" si="12">X14*G14</f>
        <v>0</v>
      </c>
      <c r="Z14" s="54">
        <f t="shared" ref="Z14" si="13">W14-Y14</f>
        <v>14844.60795111233</v>
      </c>
      <c r="AA14" s="87">
        <v>1205</v>
      </c>
      <c r="AB14" s="87">
        <f>Z14-AA14</f>
        <v>13639.60795111233</v>
      </c>
      <c r="AC14" s="6"/>
      <c r="AD14" s="2"/>
    </row>
    <row r="15" spans="1:30" s="43" customFormat="1" ht="45" customHeight="1" x14ac:dyDescent="0.2">
      <c r="A15" s="15" t="s">
        <v>53</v>
      </c>
      <c r="B15" s="9" t="s">
        <v>43</v>
      </c>
      <c r="C15" s="16" t="s">
        <v>69</v>
      </c>
      <c r="D15" s="69"/>
      <c r="E15" s="81"/>
      <c r="F15" s="4"/>
      <c r="G15" s="4"/>
      <c r="H15" s="53"/>
      <c r="I15" s="52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5"/>
      <c r="Y15" s="54"/>
      <c r="Z15" s="54"/>
      <c r="AA15" s="87"/>
      <c r="AB15" s="87"/>
      <c r="AC15" s="6"/>
      <c r="AD15" s="2"/>
    </row>
    <row r="16" spans="1:30" s="43" customFormat="1" ht="45" customHeight="1" x14ac:dyDescent="0.2">
      <c r="A16" s="15" t="s">
        <v>54</v>
      </c>
      <c r="B16" s="9" t="s">
        <v>42</v>
      </c>
      <c r="C16" s="8"/>
      <c r="D16" s="70">
        <v>2</v>
      </c>
      <c r="E16" s="70">
        <v>854700</v>
      </c>
      <c r="F16" s="4">
        <f>48*2080/12</f>
        <v>8320</v>
      </c>
      <c r="G16" s="4">
        <f>F16</f>
        <v>8320</v>
      </c>
      <c r="H16" s="55">
        <v>0</v>
      </c>
      <c r="I16" s="52">
        <f t="shared" si="8"/>
        <v>0</v>
      </c>
      <c r="J16" s="54">
        <v>0</v>
      </c>
      <c r="K16" s="54">
        <v>0</v>
      </c>
      <c r="L16" s="54">
        <v>0</v>
      </c>
      <c r="M16" s="57"/>
      <c r="N16" s="54">
        <f t="shared" ref="N16" si="14">SUM(G16,I16:L16)</f>
        <v>8320</v>
      </c>
      <c r="O16" s="54">
        <v>0</v>
      </c>
      <c r="P16" s="54">
        <v>828.83</v>
      </c>
      <c r="Q16" s="4">
        <v>50.25</v>
      </c>
      <c r="R16" s="4">
        <v>13.18</v>
      </c>
      <c r="S16" s="54">
        <v>0</v>
      </c>
      <c r="T16" s="54">
        <v>0</v>
      </c>
      <c r="U16" s="54">
        <f t="shared" ref="U16" si="15">IF(G16&gt;11900,(11900*0.062)+(0.0145*G16),(0.0765*G16))</f>
        <v>636.48</v>
      </c>
      <c r="V16" s="54">
        <v>0</v>
      </c>
      <c r="W16" s="54">
        <f t="shared" ref="W16" si="16">SUM(N16:V16)</f>
        <v>9848.74</v>
      </c>
      <c r="X16" s="55">
        <v>0</v>
      </c>
      <c r="Y16" s="54">
        <f t="shared" ref="Y16:Y17" si="17">X16*G16</f>
        <v>0</v>
      </c>
      <c r="Z16" s="54">
        <f t="shared" ref="Z16:Z17" si="18">W16-Y16</f>
        <v>9848.74</v>
      </c>
      <c r="AA16" s="87">
        <v>3502</v>
      </c>
      <c r="AB16" s="87">
        <f t="shared" ref="AB16:AB22" si="19">Z16-AA16</f>
        <v>6346.74</v>
      </c>
      <c r="AC16" s="5"/>
      <c r="AD16" s="2"/>
    </row>
    <row r="17" spans="1:30" s="43" customFormat="1" ht="45" customHeight="1" x14ac:dyDescent="0.2">
      <c r="A17" s="15" t="s">
        <v>103</v>
      </c>
      <c r="B17" s="9" t="s">
        <v>42</v>
      </c>
      <c r="C17" s="8"/>
      <c r="D17" s="72">
        <v>1.1000000000000001</v>
      </c>
      <c r="E17" s="72">
        <v>1</v>
      </c>
      <c r="F17" s="4">
        <f>105602/12</f>
        <v>8800.1666666666661</v>
      </c>
      <c r="G17" s="4">
        <f>129877/12</f>
        <v>10823.083333333334</v>
      </c>
      <c r="H17" s="55">
        <v>0</v>
      </c>
      <c r="I17" s="54">
        <f>H17*G17</f>
        <v>0</v>
      </c>
      <c r="J17" s="54">
        <f>0.04*G17</f>
        <v>432.92333333333335</v>
      </c>
      <c r="K17" s="54">
        <v>0</v>
      </c>
      <c r="L17" s="54">
        <v>0</v>
      </c>
      <c r="M17" s="54"/>
      <c r="N17" s="54">
        <f>SUM(G17,I17:L17)</f>
        <v>11256.006666666668</v>
      </c>
      <c r="O17" s="54">
        <v>0</v>
      </c>
      <c r="P17" s="54">
        <f>5400/12</f>
        <v>450</v>
      </c>
      <c r="Q17" s="54">
        <f>600/12</f>
        <v>50</v>
      </c>
      <c r="R17" s="54" t="s">
        <v>34</v>
      </c>
      <c r="S17" s="54">
        <v>0</v>
      </c>
      <c r="T17" s="54">
        <v>0</v>
      </c>
      <c r="U17" s="54">
        <f>IF(G17&gt;11900,(0.062*11900)+(0.0145*G17),(0.0765*G17))</f>
        <v>827.96587499999998</v>
      </c>
      <c r="V17" s="54">
        <v>0</v>
      </c>
      <c r="W17" s="54">
        <f>SUM(N17:V17)</f>
        <v>12583.972541666668</v>
      </c>
      <c r="X17" s="55">
        <v>0</v>
      </c>
      <c r="Y17" s="57">
        <f t="shared" si="17"/>
        <v>0</v>
      </c>
      <c r="Z17" s="54">
        <f t="shared" si="18"/>
        <v>12583.972541666668</v>
      </c>
      <c r="AA17" s="87">
        <v>4134</v>
      </c>
      <c r="AB17" s="87">
        <f t="shared" si="19"/>
        <v>8449.9725416666679</v>
      </c>
      <c r="AC17" s="6"/>
      <c r="AD17" s="2"/>
    </row>
    <row r="18" spans="1:30" s="43" customFormat="1" ht="45" customHeight="1" x14ac:dyDescent="0.2">
      <c r="A18" s="15" t="s">
        <v>49</v>
      </c>
      <c r="B18" s="9" t="s">
        <v>43</v>
      </c>
      <c r="C18" s="8"/>
      <c r="D18" s="70"/>
      <c r="E18" s="70"/>
      <c r="F18" s="4"/>
      <c r="G18" s="4"/>
      <c r="H18" s="55"/>
      <c r="I18" s="54"/>
      <c r="J18" s="54"/>
      <c r="K18" s="54"/>
      <c r="L18" s="54"/>
      <c r="M18" s="54"/>
      <c r="N18" s="54"/>
      <c r="O18" s="54"/>
      <c r="P18" s="4"/>
      <c r="Q18" s="4"/>
      <c r="R18" s="4"/>
      <c r="S18" s="4"/>
      <c r="T18" s="54"/>
      <c r="U18" s="54"/>
      <c r="V18" s="54"/>
      <c r="W18" s="54"/>
      <c r="X18" s="55"/>
      <c r="Y18" s="57"/>
      <c r="Z18" s="54"/>
      <c r="AA18" s="88"/>
      <c r="AB18" s="87"/>
      <c r="AC18" s="6"/>
      <c r="AD18" s="2"/>
    </row>
    <row r="19" spans="1:30" s="43" customFormat="1" ht="45" customHeight="1" x14ac:dyDescent="0.2">
      <c r="A19" s="15" t="s">
        <v>50</v>
      </c>
      <c r="B19" s="9" t="s">
        <v>43</v>
      </c>
      <c r="C19" s="8"/>
      <c r="D19" s="70"/>
      <c r="E19" s="70"/>
      <c r="F19" s="4"/>
      <c r="G19" s="4"/>
      <c r="H19" s="55"/>
      <c r="I19" s="52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5"/>
      <c r="Y19" s="54"/>
      <c r="Z19" s="54"/>
      <c r="AA19" s="87"/>
      <c r="AB19" s="87"/>
      <c r="AC19" s="5"/>
      <c r="AD19" s="2"/>
    </row>
    <row r="20" spans="1:30" s="43" customFormat="1" ht="45" customHeight="1" x14ac:dyDescent="0.2">
      <c r="A20" s="15" t="s">
        <v>105</v>
      </c>
      <c r="B20" s="9" t="s">
        <v>42</v>
      </c>
      <c r="C20" s="8"/>
      <c r="D20" s="72">
        <v>8.1</v>
      </c>
      <c r="E20" s="82">
        <v>1.1200000000000001</v>
      </c>
      <c r="F20" s="4">
        <f>176000/12</f>
        <v>14666.666666666666</v>
      </c>
      <c r="G20" s="4">
        <f>F20</f>
        <v>14666.666666666666</v>
      </c>
      <c r="H20" s="55">
        <v>0</v>
      </c>
      <c r="I20" s="54">
        <f>H20*G20</f>
        <v>0</v>
      </c>
      <c r="J20" s="57">
        <f>0.07*G20</f>
        <v>1026.6666666666667</v>
      </c>
      <c r="K20" s="54">
        <v>0</v>
      </c>
      <c r="L20" s="54">
        <v>0</v>
      </c>
      <c r="M20" s="54"/>
      <c r="N20" s="54">
        <f>SUM(G20,I20:L20)</f>
        <v>15693.333333333332</v>
      </c>
      <c r="O20" s="54">
        <v>450</v>
      </c>
      <c r="P20" s="54" t="s">
        <v>34</v>
      </c>
      <c r="Q20" s="54" t="s">
        <v>34</v>
      </c>
      <c r="R20" s="54" t="s">
        <v>34</v>
      </c>
      <c r="S20" s="54" t="s">
        <v>34</v>
      </c>
      <c r="T20" s="54">
        <v>0</v>
      </c>
      <c r="U20" s="54">
        <f t="shared" ref="U20" si="20">IF(G20&gt;11900,(11900*0.062)+(0.0145*G20),(0.0765*G20))</f>
        <v>950.46666666666658</v>
      </c>
      <c r="V20" s="54">
        <v>0</v>
      </c>
      <c r="W20" s="54">
        <f>SUM(N20:V20)</f>
        <v>17093.8</v>
      </c>
      <c r="X20" s="55">
        <v>0</v>
      </c>
      <c r="Y20" s="57">
        <f t="shared" ref="Y20" si="21">X20*G20</f>
        <v>0</v>
      </c>
      <c r="Z20" s="54">
        <f t="shared" ref="Z20" si="22">W20-Y20</f>
        <v>17093.8</v>
      </c>
      <c r="AA20" s="87">
        <v>5005</v>
      </c>
      <c r="AB20" s="87">
        <f t="shared" si="19"/>
        <v>12088.8</v>
      </c>
      <c r="AC20" s="6"/>
      <c r="AD20" s="2"/>
    </row>
    <row r="21" spans="1:30" s="43" customFormat="1" ht="45" customHeight="1" x14ac:dyDescent="0.2">
      <c r="A21" s="15" t="s">
        <v>52</v>
      </c>
      <c r="B21" s="56" t="s">
        <v>114</v>
      </c>
      <c r="C21" s="8"/>
      <c r="D21" s="72">
        <v>38.9</v>
      </c>
      <c r="E21" s="70">
        <v>462600</v>
      </c>
      <c r="F21" s="54">
        <v>10695</v>
      </c>
      <c r="G21" s="54">
        <v>10695</v>
      </c>
      <c r="H21" s="53">
        <v>7.0000000000000007E-2</v>
      </c>
      <c r="I21" s="52">
        <f t="shared" ref="I21" si="23">H21*G21</f>
        <v>748.65000000000009</v>
      </c>
      <c r="J21" s="54">
        <v>0</v>
      </c>
      <c r="K21" s="54">
        <v>0</v>
      </c>
      <c r="L21" s="54">
        <v>0</v>
      </c>
      <c r="M21" s="54"/>
      <c r="N21" s="54">
        <f t="shared" ref="N21" si="24">SUM(G21,I21:L21)</f>
        <v>11443.65</v>
      </c>
      <c r="O21" s="54">
        <v>0</v>
      </c>
      <c r="P21" s="54">
        <v>1692.37</v>
      </c>
      <c r="Q21" s="54">
        <v>147.38999999999999</v>
      </c>
      <c r="R21" s="54">
        <v>0</v>
      </c>
      <c r="S21" s="54">
        <v>0</v>
      </c>
      <c r="T21" s="54">
        <v>0</v>
      </c>
      <c r="U21" s="54">
        <f>0.0145*G21</f>
        <v>155.07750000000001</v>
      </c>
      <c r="V21" s="54">
        <v>0</v>
      </c>
      <c r="W21" s="54">
        <f t="shared" ref="W21" si="25">SUM(N21:V21)</f>
        <v>13438.487499999999</v>
      </c>
      <c r="X21" s="55">
        <v>0</v>
      </c>
      <c r="Y21" s="54">
        <f t="shared" ref="Y21" si="26">X21*G21</f>
        <v>0</v>
      </c>
      <c r="Z21" s="54">
        <f t="shared" ref="Z21" si="27">W21-Y21</f>
        <v>13438.487499999999</v>
      </c>
      <c r="AA21" s="87">
        <v>1796</v>
      </c>
      <c r="AB21" s="87">
        <f t="shared" si="19"/>
        <v>11642.487499999999</v>
      </c>
      <c r="AC21" s="6"/>
      <c r="AD21" s="2"/>
    </row>
    <row r="22" spans="1:30" s="43" customFormat="1" ht="45" customHeight="1" x14ac:dyDescent="0.2">
      <c r="A22" s="15" t="s">
        <v>47</v>
      </c>
      <c r="B22" s="8" t="s">
        <v>155</v>
      </c>
      <c r="C22" s="8"/>
      <c r="D22" s="71"/>
      <c r="E22" s="74">
        <v>673000</v>
      </c>
      <c r="F22" s="4">
        <v>6150</v>
      </c>
      <c r="G22" s="4">
        <v>12992</v>
      </c>
      <c r="H22" s="55">
        <v>0</v>
      </c>
      <c r="I22" s="54">
        <f>H22*G22</f>
        <v>0</v>
      </c>
      <c r="J22" s="4">
        <v>0</v>
      </c>
      <c r="K22" s="54">
        <v>0</v>
      </c>
      <c r="L22" s="54">
        <v>0</v>
      </c>
      <c r="M22" s="54"/>
      <c r="N22" s="54">
        <f>SUM(G22,I22:L22)</f>
        <v>12992</v>
      </c>
      <c r="O22" s="4">
        <v>0</v>
      </c>
      <c r="P22" s="4">
        <v>1284</v>
      </c>
      <c r="Q22" s="4">
        <v>108</v>
      </c>
      <c r="R22" s="4">
        <v>5</v>
      </c>
      <c r="S22" s="4">
        <v>4</v>
      </c>
      <c r="T22" s="4">
        <v>0</v>
      </c>
      <c r="U22" s="4">
        <f>0.0145*G22</f>
        <v>188.38400000000001</v>
      </c>
      <c r="V22" s="54">
        <v>0</v>
      </c>
      <c r="W22" s="54">
        <f>SUM(N22:V22)</f>
        <v>14581.384</v>
      </c>
      <c r="X22" s="55">
        <v>0</v>
      </c>
      <c r="Y22" s="57">
        <f t="shared" ref="Y22" si="28">X22*G22</f>
        <v>0</v>
      </c>
      <c r="Z22" s="54">
        <f t="shared" ref="Z22" si="29">W22-Y22</f>
        <v>14581.384</v>
      </c>
      <c r="AA22" s="88">
        <v>2711</v>
      </c>
      <c r="AB22" s="87">
        <f t="shared" si="19"/>
        <v>11870.384</v>
      </c>
      <c r="AC22" s="6"/>
      <c r="AD22" s="2"/>
    </row>
    <row r="23" spans="1:30" ht="12.5" customHeight="1" x14ac:dyDescent="0.2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</row>
    <row r="24" spans="1:30" ht="29" customHeight="1" x14ac:dyDescent="0.2">
      <c r="A24" s="138" t="s">
        <v>161</v>
      </c>
      <c r="B24" s="138"/>
      <c r="C24" s="138"/>
      <c r="D24" s="138"/>
      <c r="E24" s="138"/>
      <c r="F24" s="138"/>
      <c r="G24" s="41">
        <f>MEDIAN(G8:G12)</f>
        <v>10429.25</v>
      </c>
      <c r="H24" s="27"/>
      <c r="I24" s="42"/>
      <c r="J24" s="42"/>
      <c r="K24" s="42"/>
      <c r="L24" s="42"/>
      <c r="M24" s="42"/>
      <c r="N24" s="41">
        <f>MEDIAN(N8:N12)</f>
        <v>11000</v>
      </c>
      <c r="O24" s="27"/>
      <c r="P24" s="27"/>
      <c r="Q24" s="27"/>
      <c r="R24" s="30"/>
      <c r="S24" s="30"/>
      <c r="T24" s="30"/>
      <c r="U24" s="42"/>
      <c r="V24" s="42"/>
      <c r="W24" s="42"/>
      <c r="X24" s="42"/>
      <c r="Y24" s="42"/>
      <c r="Z24" s="41">
        <f>MEDIAN(Z8:Z12)</f>
        <v>12624.980000000001</v>
      </c>
      <c r="AA24" s="89"/>
      <c r="AB24" s="41">
        <f>MEDIAN(AB8:AB12)</f>
        <v>10937.980000000001</v>
      </c>
      <c r="AC24" s="10"/>
    </row>
    <row r="25" spans="1:30" ht="29" customHeight="1" x14ac:dyDescent="0.2">
      <c r="A25" s="143" t="s">
        <v>162</v>
      </c>
      <c r="B25" s="143"/>
      <c r="C25" s="143"/>
      <c r="D25" s="143"/>
      <c r="E25" s="143"/>
      <c r="F25" s="143"/>
      <c r="G25" s="40">
        <f>-(G24-G5)/G5</f>
        <v>-0.33057262540134807</v>
      </c>
      <c r="H25" s="27"/>
      <c r="I25" s="42"/>
      <c r="J25" s="42"/>
      <c r="K25" s="42"/>
      <c r="L25" s="42"/>
      <c r="M25" s="42"/>
      <c r="N25" s="40">
        <f>-(N24-N5)/N5</f>
        <v>-0.36251397867087576</v>
      </c>
      <c r="O25" s="27"/>
      <c r="P25" s="27"/>
      <c r="Q25" s="28"/>
      <c r="R25" s="28"/>
      <c r="S25" s="28"/>
      <c r="T25" s="28"/>
      <c r="U25" s="42"/>
      <c r="V25" s="42"/>
      <c r="W25" s="42"/>
      <c r="X25" s="42"/>
      <c r="Y25" s="42"/>
      <c r="Z25" s="40">
        <f>-(Z24-Z5)/Z5</f>
        <v>-0.29008103995377105</v>
      </c>
      <c r="AA25" s="90"/>
      <c r="AB25" s="40">
        <f>-(AB24-AB5)/AB5</f>
        <v>-0.32241891754066848</v>
      </c>
      <c r="AC25" s="10"/>
    </row>
    <row r="26" spans="1:30" ht="29" customHeight="1" x14ac:dyDescent="0.2">
      <c r="A26" s="150" t="s">
        <v>163</v>
      </c>
      <c r="B26" s="151"/>
      <c r="C26" s="151"/>
      <c r="D26" s="151"/>
      <c r="E26" s="151"/>
      <c r="F26" s="152"/>
      <c r="G26" s="39">
        <f>MEDIAN(G8:G12,G14:G22)</f>
        <v>10823.083333333334</v>
      </c>
      <c r="H26" s="27"/>
      <c r="I26" s="42"/>
      <c r="J26" s="42"/>
      <c r="K26" s="42"/>
      <c r="L26" s="42"/>
      <c r="M26" s="42"/>
      <c r="N26" s="39">
        <f>MEDIAN(N8:N12,N14:N22)</f>
        <v>11443.65</v>
      </c>
      <c r="O26" s="27"/>
      <c r="P26" s="27"/>
      <c r="Q26" s="28"/>
      <c r="R26" s="28"/>
      <c r="S26" s="28"/>
      <c r="T26" s="28"/>
      <c r="U26" s="42"/>
      <c r="V26" s="42"/>
      <c r="W26" s="42"/>
      <c r="X26" s="42"/>
      <c r="Y26" s="42"/>
      <c r="Z26" s="39">
        <f>MEDIAN(Z8:Z12,Z14:Z22)</f>
        <v>13438.487499999999</v>
      </c>
      <c r="AA26" s="90"/>
      <c r="AB26" s="39">
        <f>MEDIAN(AB8:AB12,AB14:AB22)</f>
        <v>11642.487499999999</v>
      </c>
      <c r="AC26" s="10"/>
    </row>
    <row r="27" spans="1:30" ht="29" customHeight="1" x14ac:dyDescent="0.2">
      <c r="A27" s="143" t="s">
        <v>164</v>
      </c>
      <c r="B27" s="143"/>
      <c r="C27" s="143"/>
      <c r="D27" s="143"/>
      <c r="E27" s="143"/>
      <c r="F27" s="143"/>
      <c r="G27" s="40">
        <f>-(G26-G5)/G5</f>
        <v>-0.38081821854600356</v>
      </c>
      <c r="H27" s="27"/>
      <c r="I27" s="42"/>
      <c r="J27" s="42"/>
      <c r="K27" s="42"/>
      <c r="L27" s="42"/>
      <c r="M27" s="42"/>
      <c r="N27" s="40">
        <f>-(N26-N5)/N5</f>
        <v>-0.41746664472881517</v>
      </c>
      <c r="O27" s="27"/>
      <c r="P27" s="27"/>
      <c r="Q27" s="28"/>
      <c r="R27" s="28"/>
      <c r="S27" s="28"/>
      <c r="T27" s="28"/>
      <c r="U27" s="42"/>
      <c r="V27" s="42"/>
      <c r="W27" s="42"/>
      <c r="X27" s="42"/>
      <c r="Y27" s="42"/>
      <c r="Z27" s="40">
        <f>-(Z26-Z5)/Z5</f>
        <v>-0.37320914008622197</v>
      </c>
      <c r="AA27" s="90"/>
      <c r="AB27" s="40">
        <f>-(AB26-AB5)/AB5</f>
        <v>-0.40759497797863598</v>
      </c>
      <c r="AC27" s="10"/>
    </row>
    <row r="28" spans="1:30" ht="29" hidden="1" customHeight="1" x14ac:dyDescent="0.2">
      <c r="A28" s="143" t="s">
        <v>35</v>
      </c>
      <c r="B28" s="143"/>
      <c r="C28" s="143"/>
      <c r="D28" s="143"/>
      <c r="E28" s="143"/>
      <c r="F28" s="143"/>
      <c r="G28" s="39">
        <f>AVERAGE(G14:G22)</f>
        <v>11615.658095303486</v>
      </c>
      <c r="H28" s="27"/>
      <c r="I28" s="42"/>
      <c r="J28" s="42"/>
      <c r="K28" s="42"/>
      <c r="L28" s="42"/>
      <c r="M28" s="42"/>
      <c r="N28" s="39">
        <f>AVERAGE(N14:N22)</f>
        <v>11983.698095303489</v>
      </c>
      <c r="O28" s="27"/>
      <c r="P28" s="27"/>
      <c r="Q28" s="28"/>
      <c r="R28" s="28"/>
      <c r="S28" s="28"/>
      <c r="T28" s="28"/>
      <c r="U28" s="42"/>
      <c r="V28" s="42"/>
      <c r="W28" s="42"/>
      <c r="X28" s="42"/>
      <c r="Y28" s="42"/>
      <c r="Z28" s="39">
        <f>AVERAGE(Z14:Z22)</f>
        <v>13731.831998796501</v>
      </c>
      <c r="AA28" s="89"/>
      <c r="AB28" s="39">
        <f>AVERAGE(AB14:AB22)</f>
        <v>10672.998665463167</v>
      </c>
      <c r="AC28" s="10"/>
    </row>
    <row r="29" spans="1:30" ht="29" hidden="1" customHeight="1" x14ac:dyDescent="0.2">
      <c r="A29" s="143" t="s">
        <v>95</v>
      </c>
      <c r="B29" s="143"/>
      <c r="C29" s="143"/>
      <c r="D29" s="143"/>
      <c r="E29" s="143"/>
      <c r="F29" s="143"/>
      <c r="G29" s="40">
        <f>-(G28-G5)/G5</f>
        <v>-0.48193558382744511</v>
      </c>
      <c r="H29" s="27"/>
      <c r="I29" s="42"/>
      <c r="J29" s="42"/>
      <c r="K29" s="42"/>
      <c r="L29" s="42"/>
      <c r="M29" s="42"/>
      <c r="N29" s="40">
        <f>-(N28-N5)/N5</f>
        <v>-0.48435965191114111</v>
      </c>
      <c r="O29" s="27"/>
      <c r="P29" s="27"/>
      <c r="Q29" s="28"/>
      <c r="R29" s="28"/>
      <c r="S29" s="28"/>
      <c r="T29" s="28"/>
      <c r="U29" s="42"/>
      <c r="V29" s="42"/>
      <c r="W29" s="42"/>
      <c r="X29" s="42"/>
      <c r="Y29" s="42"/>
      <c r="Z29" s="40">
        <f>-(Z28-Z5)/Z5</f>
        <v>-0.40318448864694112</v>
      </c>
      <c r="AA29" s="90"/>
      <c r="AB29" s="40">
        <f>-(AB28-AB5)/AB5</f>
        <v>-0.29038225907295478</v>
      </c>
      <c r="AC29" s="10"/>
    </row>
    <row r="30" spans="1:30" ht="29" customHeight="1" x14ac:dyDescent="0.2">
      <c r="A30" s="138" t="s">
        <v>23</v>
      </c>
      <c r="B30" s="138"/>
      <c r="C30" s="138"/>
      <c r="D30" s="138"/>
      <c r="E30" s="138"/>
      <c r="F30" s="138"/>
      <c r="G30" s="123">
        <f>COUNT(G8:G12,G14:G22)</f>
        <v>11</v>
      </c>
      <c r="H30" s="27"/>
      <c r="I30" s="42"/>
      <c r="J30" s="42"/>
      <c r="K30" s="42"/>
      <c r="L30" s="42"/>
      <c r="M30" s="42"/>
      <c r="N30" s="122"/>
      <c r="O30" s="27"/>
      <c r="P30" s="27"/>
      <c r="Q30" s="28"/>
      <c r="R30" s="28"/>
      <c r="S30" s="28"/>
      <c r="T30" s="28"/>
      <c r="U30" s="153" t="s">
        <v>165</v>
      </c>
      <c r="V30" s="153"/>
      <c r="W30" s="153"/>
      <c r="X30" s="153"/>
      <c r="Y30" s="154"/>
      <c r="Z30" s="41">
        <f>Z26-AA36</f>
        <v>12319.214772727271</v>
      </c>
      <c r="AB30" s="39"/>
      <c r="AC30" s="10"/>
    </row>
    <row r="31" spans="1:30" ht="29" customHeight="1" x14ac:dyDescent="0.2">
      <c r="A31" s="157"/>
      <c r="B31" s="157"/>
      <c r="C31" s="157"/>
      <c r="D31" s="157"/>
      <c r="E31" s="157"/>
      <c r="F31" s="157"/>
      <c r="G31" s="90"/>
      <c r="H31" s="27"/>
      <c r="I31" s="42"/>
      <c r="J31" s="42"/>
      <c r="K31" s="42"/>
      <c r="L31" s="42"/>
      <c r="M31" s="42"/>
      <c r="O31" s="27"/>
      <c r="P31" s="27"/>
      <c r="Q31" s="28"/>
      <c r="S31" s="126"/>
      <c r="T31" s="155" t="s">
        <v>166</v>
      </c>
      <c r="U31" s="155"/>
      <c r="V31" s="155"/>
      <c r="W31" s="155"/>
      <c r="X31" s="155"/>
      <c r="Y31" s="156"/>
      <c r="Z31" s="40">
        <f>-(Z30-Z5)/Z5</f>
        <v>-0.25883648175393986</v>
      </c>
      <c r="AB31" s="40"/>
      <c r="AC31" s="10"/>
    </row>
    <row r="32" spans="1:30" ht="29" customHeight="1" x14ac:dyDescent="0.2">
      <c r="H32" s="26"/>
      <c r="I32" s="42"/>
      <c r="J32" s="42"/>
      <c r="K32" s="42"/>
      <c r="L32" s="42"/>
      <c r="M32" s="42"/>
      <c r="N32" s="26"/>
      <c r="O32" s="26"/>
      <c r="P32" s="26"/>
      <c r="Q32" s="26"/>
      <c r="R32" s="26"/>
      <c r="S32" s="26"/>
      <c r="T32" s="26"/>
      <c r="U32" s="42"/>
      <c r="V32" s="42"/>
      <c r="W32" s="42"/>
      <c r="X32" s="118"/>
      <c r="Y32" s="118"/>
      <c r="Z32" s="118"/>
      <c r="AA32" s="119"/>
      <c r="AB32" s="26"/>
      <c r="AC32" s="7"/>
    </row>
    <row r="33" spans="1:29" ht="16" x14ac:dyDescent="0.2">
      <c r="A33" s="36" t="s">
        <v>45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11"/>
      <c r="X33" s="11"/>
      <c r="Y33" s="153"/>
      <c r="Z33" s="153"/>
      <c r="AA33" s="7"/>
      <c r="AB33" s="7"/>
      <c r="AC33" s="7"/>
    </row>
    <row r="34" spans="1:29" x14ac:dyDescent="0.15">
      <c r="A34" t="s">
        <v>90</v>
      </c>
    </row>
    <row r="35" spans="1:29" ht="24" customHeight="1" x14ac:dyDescent="0.2">
      <c r="A35" s="43" t="s">
        <v>150</v>
      </c>
      <c r="W35" s="153" t="s">
        <v>167</v>
      </c>
      <c r="X35" s="153"/>
      <c r="Y35" s="153"/>
      <c r="Z35" s="153"/>
      <c r="AA35" s="127">
        <f>AVERAGE(AA8:AA12,AA14:AA22)</f>
        <v>2634.2727272727275</v>
      </c>
    </row>
    <row r="36" spans="1:29" ht="16" x14ac:dyDescent="0.2">
      <c r="A36" s="43" t="s">
        <v>91</v>
      </c>
      <c r="W36" s="157" t="s">
        <v>168</v>
      </c>
      <c r="X36" s="157"/>
      <c r="Y36" s="157"/>
      <c r="Z36" s="157"/>
      <c r="AA36" s="128">
        <f>AA35-AA5</f>
        <v>1119.2727272727275</v>
      </c>
    </row>
    <row r="37" spans="1:29" x14ac:dyDescent="0.15">
      <c r="A37" s="43" t="s">
        <v>149</v>
      </c>
    </row>
    <row r="38" spans="1:29" x14ac:dyDescent="0.15">
      <c r="A38" s="43" t="s">
        <v>113</v>
      </c>
    </row>
    <row r="39" spans="1:29" x14ac:dyDescent="0.15">
      <c r="A39" s="43" t="s">
        <v>153</v>
      </c>
    </row>
    <row r="40" spans="1:29" x14ac:dyDescent="0.15">
      <c r="A40" s="43"/>
    </row>
    <row r="42" spans="1:29" ht="28.5" customHeight="1" x14ac:dyDescent="0.15">
      <c r="A42" t="s">
        <v>138</v>
      </c>
    </row>
    <row r="43" spans="1:29" ht="28.5" customHeight="1" x14ac:dyDescent="0.15"/>
    <row r="44" spans="1:29" ht="28.5" customHeight="1" x14ac:dyDescent="0.15"/>
    <row r="45" spans="1:29" ht="28.5" customHeight="1" x14ac:dyDescent="0.15"/>
    <row r="46" spans="1:29" ht="28.5" customHeight="1" x14ac:dyDescent="0.15"/>
    <row r="47" spans="1:29" ht="28.5" customHeight="1" x14ac:dyDescent="0.15"/>
    <row r="48" spans="1:29" ht="28.5" customHeight="1" x14ac:dyDescent="0.15"/>
    <row r="87" spans="1:1" x14ac:dyDescent="0.15">
      <c r="A87" t="s">
        <v>30</v>
      </c>
    </row>
  </sheetData>
  <sortState xmlns:xlrd2="http://schemas.microsoft.com/office/spreadsheetml/2017/richdata2" ref="A14:A22">
    <sortCondition ref="A14:A22"/>
  </sortState>
  <mergeCells count="17">
    <mergeCell ref="T31:Y31"/>
    <mergeCell ref="W36:Z36"/>
    <mergeCell ref="Y33:Z33"/>
    <mergeCell ref="W35:Z35"/>
    <mergeCell ref="A31:F31"/>
    <mergeCell ref="A30:F30"/>
    <mergeCell ref="A6:AC6"/>
    <mergeCell ref="A23:AC23"/>
    <mergeCell ref="A24:F24"/>
    <mergeCell ref="A25:F25"/>
    <mergeCell ref="A28:F28"/>
    <mergeCell ref="A29:F29"/>
    <mergeCell ref="A13:AC13"/>
    <mergeCell ref="A7:AC7"/>
    <mergeCell ref="A26:F26"/>
    <mergeCell ref="A27:F27"/>
    <mergeCell ref="U30:Y30"/>
  </mergeCells>
  <pageMargins left="0.5" right="0.5" top="0.5" bottom="0.5" header="0.5" footer="0.5"/>
  <pageSetup paperSize="5" scale="27" orientation="landscape" r:id="rId1"/>
  <headerFooter alignWithMargins="0">
    <oddHeader>&amp;L&amp;K000000Appendix A&amp;C&amp;K000000Yolo County RCD
Total Compensation Study 
4/2021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AD43"/>
  <sheetViews>
    <sheetView tabSelected="1" topLeftCell="A20" zoomScale="110" zoomScaleNormal="110" workbookViewId="0">
      <selection activeCell="D22" sqref="D22:AA22"/>
    </sheetView>
  </sheetViews>
  <sheetFormatPr baseColWidth="10" defaultColWidth="8.83203125" defaultRowHeight="13" x14ac:dyDescent="0.15"/>
  <cols>
    <col min="1" max="1" width="28.83203125" customWidth="1"/>
    <col min="2" max="2" width="30.83203125" customWidth="1"/>
    <col min="3" max="3" width="14.5" hidden="1" customWidth="1"/>
    <col min="4" max="5" width="14.5" customWidth="1"/>
    <col min="6" max="7" width="13.5" customWidth="1"/>
    <col min="8" max="8" width="14.83203125" customWidth="1"/>
    <col min="9" max="9" width="14.1640625" customWidth="1"/>
    <col min="10" max="10" width="19.33203125" customWidth="1"/>
    <col min="11" max="12" width="15.1640625" customWidth="1"/>
    <col min="13" max="13" width="19" customWidth="1"/>
    <col min="14" max="20" width="13.5" customWidth="1"/>
    <col min="21" max="21" width="15.1640625" customWidth="1"/>
    <col min="22" max="25" width="13.5" customWidth="1"/>
    <col min="26" max="27" width="17.1640625" customWidth="1"/>
    <col min="28" max="28" width="17.1640625" hidden="1" customWidth="1"/>
    <col min="29" max="29" width="49.5" customWidth="1"/>
  </cols>
  <sheetData>
    <row r="3" spans="1:30" ht="14" thickBot="1" x14ac:dyDescent="0.2">
      <c r="A3" s="44" t="s">
        <v>32</v>
      </c>
    </row>
    <row r="4" spans="1:30" ht="103" thickBot="1" x14ac:dyDescent="0.25">
      <c r="A4" s="21" t="s">
        <v>0</v>
      </c>
      <c r="B4" s="22" t="s">
        <v>1</v>
      </c>
      <c r="C4" s="23" t="s">
        <v>29</v>
      </c>
      <c r="D4" s="23" t="s">
        <v>134</v>
      </c>
      <c r="E4" s="23" t="s">
        <v>135</v>
      </c>
      <c r="F4" s="23" t="s">
        <v>2</v>
      </c>
      <c r="G4" s="23" t="s">
        <v>3</v>
      </c>
      <c r="H4" s="23" t="s">
        <v>7</v>
      </c>
      <c r="I4" s="23" t="s">
        <v>8</v>
      </c>
      <c r="J4" s="23" t="s">
        <v>9</v>
      </c>
      <c r="K4" s="23" t="s">
        <v>15</v>
      </c>
      <c r="L4" s="23" t="s">
        <v>40</v>
      </c>
      <c r="M4" s="23" t="s">
        <v>33</v>
      </c>
      <c r="N4" s="23" t="s">
        <v>21</v>
      </c>
      <c r="O4" s="23" t="s">
        <v>16</v>
      </c>
      <c r="P4" s="23" t="s">
        <v>14</v>
      </c>
      <c r="Q4" s="23" t="s">
        <v>10</v>
      </c>
      <c r="R4" s="23" t="s">
        <v>11</v>
      </c>
      <c r="S4" s="23" t="s">
        <v>12</v>
      </c>
      <c r="T4" s="23" t="s">
        <v>28</v>
      </c>
      <c r="U4" s="23" t="s">
        <v>41</v>
      </c>
      <c r="V4" s="23" t="s">
        <v>36</v>
      </c>
      <c r="W4" s="23" t="s">
        <v>25</v>
      </c>
      <c r="X4" s="23" t="s">
        <v>27</v>
      </c>
      <c r="Y4" s="23" t="s">
        <v>24</v>
      </c>
      <c r="Z4" s="23" t="s">
        <v>26</v>
      </c>
      <c r="AA4" s="85" t="s">
        <v>137</v>
      </c>
      <c r="AB4" s="23" t="s">
        <v>136</v>
      </c>
      <c r="AC4" s="24" t="s">
        <v>4</v>
      </c>
    </row>
    <row r="5" spans="1:30" ht="71.5" customHeight="1" thickBot="1" x14ac:dyDescent="0.25">
      <c r="A5" s="18" t="s">
        <v>44</v>
      </c>
      <c r="B5" s="19" t="s">
        <v>55</v>
      </c>
      <c r="C5" s="19"/>
      <c r="D5" s="67">
        <v>2.5</v>
      </c>
      <c r="E5" s="84">
        <v>398100</v>
      </c>
      <c r="F5" s="17">
        <f>43805/12</f>
        <v>3650.4166666666665</v>
      </c>
      <c r="G5" s="17">
        <f>67018/12</f>
        <v>5584.833333333333</v>
      </c>
      <c r="H5" s="50">
        <v>0</v>
      </c>
      <c r="I5" s="59">
        <f>H5*G5</f>
        <v>0</v>
      </c>
      <c r="J5" s="60">
        <f>0.03*G5</f>
        <v>167.54499999999999</v>
      </c>
      <c r="K5" s="60">
        <v>0</v>
      </c>
      <c r="L5" s="60">
        <v>0</v>
      </c>
      <c r="M5" s="60"/>
      <c r="N5" s="60">
        <f>SUM(G5,I5:L5)</f>
        <v>5752.3783333333331</v>
      </c>
      <c r="O5" s="34">
        <v>0</v>
      </c>
      <c r="P5" s="34">
        <v>1053.2</v>
      </c>
      <c r="Q5" s="34">
        <v>52.46</v>
      </c>
      <c r="R5" s="34">
        <v>7.6</v>
      </c>
      <c r="S5" s="34">
        <v>0</v>
      </c>
      <c r="T5" s="34">
        <v>0</v>
      </c>
      <c r="U5" s="34">
        <f>IF(G5&gt;11900,(11900*0.062)+(0.0145*G5),(0.0765*G5))</f>
        <v>427.23974999999996</v>
      </c>
      <c r="V5" s="34">
        <v>0</v>
      </c>
      <c r="W5" s="60">
        <f>SUM(N5:V5)</f>
        <v>7292.8780833333331</v>
      </c>
      <c r="X5" s="50">
        <v>0</v>
      </c>
      <c r="Y5" s="60">
        <f>X5*G5</f>
        <v>0</v>
      </c>
      <c r="Z5" s="60">
        <f>W5-Y5</f>
        <v>7292.8780833333331</v>
      </c>
      <c r="AA5" s="86">
        <v>1515</v>
      </c>
      <c r="AB5" s="86">
        <f>Z5-AA5</f>
        <v>5777.8780833333331</v>
      </c>
      <c r="AC5" s="20"/>
      <c r="AD5" s="2"/>
    </row>
    <row r="6" spans="1:30" ht="12.5" customHeight="1" thickBot="1" x14ac:dyDescent="0.25">
      <c r="A6" s="139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1"/>
      <c r="AD6" s="2"/>
    </row>
    <row r="7" spans="1:30" ht="12.5" customHeight="1" x14ac:dyDescent="0.2">
      <c r="A7" s="147" t="s">
        <v>159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9"/>
      <c r="AD7" s="2"/>
    </row>
    <row r="8" spans="1:30" s="43" customFormat="1" ht="45" customHeight="1" x14ac:dyDescent="0.2">
      <c r="A8" s="15" t="s">
        <v>46</v>
      </c>
      <c r="B8" s="9" t="s">
        <v>43</v>
      </c>
      <c r="C8" s="116"/>
      <c r="D8" s="117"/>
      <c r="E8" s="70"/>
      <c r="F8" s="4"/>
      <c r="G8" s="4"/>
      <c r="H8" s="55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5"/>
      <c r="Y8" s="54"/>
      <c r="Z8" s="54"/>
      <c r="AA8" s="87"/>
      <c r="AB8" s="87"/>
      <c r="AC8" s="5"/>
      <c r="AD8" s="2"/>
    </row>
    <row r="9" spans="1:30" s="43" customFormat="1" ht="45" customHeight="1" x14ac:dyDescent="0.2">
      <c r="A9" s="51" t="s">
        <v>102</v>
      </c>
      <c r="B9" s="9" t="s">
        <v>43</v>
      </c>
      <c r="C9" s="8"/>
      <c r="D9" s="72"/>
      <c r="E9" s="70"/>
      <c r="F9" s="4"/>
      <c r="G9" s="4"/>
      <c r="H9" s="53"/>
      <c r="I9" s="52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5"/>
      <c r="Y9" s="54"/>
      <c r="Z9" s="54"/>
      <c r="AA9" s="87"/>
      <c r="AB9" s="87"/>
      <c r="AC9" s="58"/>
      <c r="AD9" s="2"/>
    </row>
    <row r="10" spans="1:30" s="43" customFormat="1" ht="45" customHeight="1" x14ac:dyDescent="0.2">
      <c r="A10" s="15" t="s">
        <v>94</v>
      </c>
      <c r="B10" s="9" t="s">
        <v>65</v>
      </c>
      <c r="C10" s="8"/>
      <c r="D10" s="72">
        <v>2.2999999999999998</v>
      </c>
      <c r="E10" s="70">
        <v>437700</v>
      </c>
      <c r="F10" s="4">
        <v>5000</v>
      </c>
      <c r="G10" s="4">
        <v>6250</v>
      </c>
      <c r="H10" s="55">
        <v>0</v>
      </c>
      <c r="I10" s="52">
        <f>H10*G10</f>
        <v>0</v>
      </c>
      <c r="J10" s="54">
        <f>0.1*G10</f>
        <v>625</v>
      </c>
      <c r="K10" s="4">
        <v>0</v>
      </c>
      <c r="L10" s="4">
        <v>0</v>
      </c>
      <c r="M10" s="4"/>
      <c r="N10" s="4">
        <f>SUM(G10,I10:L10)</f>
        <v>6875</v>
      </c>
      <c r="O10" s="4">
        <v>0</v>
      </c>
      <c r="P10" s="4">
        <v>786.34</v>
      </c>
      <c r="Q10" s="4">
        <v>60.52</v>
      </c>
      <c r="R10" s="4">
        <v>13.12</v>
      </c>
      <c r="S10" s="4">
        <v>0</v>
      </c>
      <c r="T10" s="4">
        <v>0</v>
      </c>
      <c r="U10" s="4">
        <f>IF(G10&gt;11900,(11900*0.062)+(0.0145*G10),(0.0765*G10))</f>
        <v>478.125</v>
      </c>
      <c r="V10" s="4">
        <v>0</v>
      </c>
      <c r="W10" s="4">
        <f>SUM(N10:V10)</f>
        <v>8213.1049999999996</v>
      </c>
      <c r="X10" s="55">
        <v>0</v>
      </c>
      <c r="Y10" s="54">
        <f>X10*G10</f>
        <v>0</v>
      </c>
      <c r="Z10" s="54">
        <f>W10-Y10</f>
        <v>8213.1049999999996</v>
      </c>
      <c r="AA10" s="87">
        <v>1687</v>
      </c>
      <c r="AB10" s="87">
        <f>Z10-AA10</f>
        <v>6526.1049999999996</v>
      </c>
      <c r="AC10" s="6"/>
      <c r="AD10" s="2"/>
    </row>
    <row r="11" spans="1:30" s="43" customFormat="1" ht="45" customHeight="1" x14ac:dyDescent="0.2">
      <c r="A11" s="15" t="s">
        <v>63</v>
      </c>
      <c r="B11" s="9" t="s">
        <v>43</v>
      </c>
      <c r="C11" s="8"/>
      <c r="D11" s="72"/>
      <c r="E11" s="70"/>
      <c r="F11" s="4"/>
      <c r="G11" s="4"/>
      <c r="H11" s="13"/>
      <c r="I11" s="4"/>
      <c r="J11" s="4"/>
      <c r="K11" s="4"/>
      <c r="L11" s="4"/>
      <c r="M11" s="35"/>
      <c r="N11" s="4"/>
      <c r="O11" s="4"/>
      <c r="P11" s="4"/>
      <c r="Q11" s="4"/>
      <c r="R11" s="4"/>
      <c r="S11" s="4"/>
      <c r="T11" s="4"/>
      <c r="U11" s="4"/>
      <c r="V11" s="4"/>
      <c r="W11" s="4"/>
      <c r="X11" s="13"/>
      <c r="Y11" s="4"/>
      <c r="Z11" s="4"/>
      <c r="AA11" s="88"/>
      <c r="AB11" s="87"/>
      <c r="AC11" s="6"/>
      <c r="AD11" s="2"/>
    </row>
    <row r="12" spans="1:30" s="43" customFormat="1" ht="45" customHeight="1" x14ac:dyDescent="0.2">
      <c r="A12" s="15" t="s">
        <v>64</v>
      </c>
      <c r="B12" s="9" t="s">
        <v>43</v>
      </c>
      <c r="C12" s="9"/>
      <c r="D12" s="74"/>
      <c r="E12" s="74"/>
      <c r="F12" s="4"/>
      <c r="G12" s="4"/>
      <c r="H12" s="53"/>
      <c r="I12" s="52"/>
      <c r="J12" s="54"/>
      <c r="K12" s="54"/>
      <c r="L12" s="57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5"/>
      <c r="Y12" s="54"/>
      <c r="Z12" s="54"/>
      <c r="AA12" s="87"/>
      <c r="AB12" s="87"/>
      <c r="AC12" s="5"/>
      <c r="AD12" s="2"/>
    </row>
    <row r="13" spans="1:30" s="43" customFormat="1" ht="18" customHeight="1" x14ac:dyDescent="0.2">
      <c r="A13" s="144" t="s">
        <v>160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6"/>
      <c r="AD13" s="2"/>
    </row>
    <row r="14" spans="1:30" s="43" customFormat="1" ht="45" customHeight="1" x14ac:dyDescent="0.2">
      <c r="A14" s="15" t="s">
        <v>48</v>
      </c>
      <c r="B14" s="47" t="s">
        <v>43</v>
      </c>
      <c r="C14" s="16" t="s">
        <v>70</v>
      </c>
      <c r="D14" s="68"/>
      <c r="E14" s="70"/>
      <c r="F14" s="14"/>
      <c r="G14" s="14"/>
      <c r="H14" s="53"/>
      <c r="I14" s="52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5"/>
      <c r="Y14" s="54"/>
      <c r="Z14" s="54"/>
      <c r="AA14" s="87"/>
      <c r="AB14" s="87"/>
      <c r="AC14" s="6"/>
      <c r="AD14" s="2"/>
    </row>
    <row r="15" spans="1:30" s="43" customFormat="1" ht="45" customHeight="1" x14ac:dyDescent="0.2">
      <c r="A15" s="15" t="s">
        <v>53</v>
      </c>
      <c r="B15" s="9" t="s">
        <v>43</v>
      </c>
      <c r="C15" s="16" t="s">
        <v>70</v>
      </c>
      <c r="D15" s="69"/>
      <c r="E15" s="81"/>
      <c r="F15" s="14"/>
      <c r="G15" s="14"/>
      <c r="H15" s="53"/>
      <c r="I15" s="52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5"/>
      <c r="Y15" s="54"/>
      <c r="Z15" s="54"/>
      <c r="AA15" s="87"/>
      <c r="AB15" s="87"/>
      <c r="AC15" s="5"/>
      <c r="AD15" s="2"/>
    </row>
    <row r="16" spans="1:30" s="43" customFormat="1" ht="45" customHeight="1" x14ac:dyDescent="0.2">
      <c r="A16" s="15" t="s">
        <v>54</v>
      </c>
      <c r="B16" s="9" t="s">
        <v>43</v>
      </c>
      <c r="C16" s="8"/>
      <c r="D16" s="70"/>
      <c r="E16" s="70"/>
      <c r="F16" s="4"/>
      <c r="G16" s="4"/>
      <c r="H16" s="13"/>
      <c r="I16" s="4"/>
      <c r="J16" s="4"/>
      <c r="K16" s="4"/>
      <c r="L16" s="4"/>
      <c r="M16" s="35"/>
      <c r="N16" s="4"/>
      <c r="O16" s="4"/>
      <c r="P16" s="4"/>
      <c r="Q16" s="4"/>
      <c r="R16" s="4"/>
      <c r="S16" s="4"/>
      <c r="T16" s="4"/>
      <c r="U16" s="4"/>
      <c r="V16" s="4"/>
      <c r="W16" s="4"/>
      <c r="X16" s="13"/>
      <c r="Y16" s="4"/>
      <c r="Z16" s="4"/>
      <c r="AA16" s="88"/>
      <c r="AB16" s="87"/>
      <c r="AC16" s="6"/>
      <c r="AD16" s="2"/>
    </row>
    <row r="17" spans="1:30" s="43" customFormat="1" ht="45" customHeight="1" x14ac:dyDescent="0.2">
      <c r="A17" s="15" t="s">
        <v>103</v>
      </c>
      <c r="B17" s="56" t="s">
        <v>43</v>
      </c>
      <c r="C17" s="8"/>
      <c r="D17" s="72"/>
      <c r="E17" s="72"/>
      <c r="F17" s="4"/>
      <c r="G17" s="4"/>
      <c r="H17" s="45"/>
      <c r="I17" s="14"/>
      <c r="J17" s="4"/>
      <c r="K17" s="4"/>
      <c r="L17" s="4"/>
      <c r="M17" s="35"/>
      <c r="N17" s="4"/>
      <c r="O17" s="4"/>
      <c r="P17" s="4"/>
      <c r="Q17" s="4"/>
      <c r="R17" s="4"/>
      <c r="S17" s="4"/>
      <c r="T17" s="4"/>
      <c r="U17" s="4"/>
      <c r="V17" s="4"/>
      <c r="W17" s="4"/>
      <c r="X17" s="13"/>
      <c r="Y17" s="4"/>
      <c r="Z17" s="4"/>
      <c r="AA17" s="88"/>
      <c r="AB17" s="87"/>
      <c r="AC17" s="6"/>
      <c r="AD17" s="2"/>
    </row>
    <row r="18" spans="1:30" s="43" customFormat="1" ht="45" customHeight="1" x14ac:dyDescent="0.2">
      <c r="A18" s="15" t="s">
        <v>49</v>
      </c>
      <c r="B18" s="56" t="s">
        <v>120</v>
      </c>
      <c r="C18" s="8"/>
      <c r="D18" s="70">
        <v>13</v>
      </c>
      <c r="E18" s="70">
        <v>693700</v>
      </c>
      <c r="F18" s="4">
        <f>67061/12</f>
        <v>5588.416666666667</v>
      </c>
      <c r="G18" s="4">
        <f>100591/12</f>
        <v>8382.5833333333339</v>
      </c>
      <c r="H18" s="55">
        <v>0</v>
      </c>
      <c r="I18" s="54">
        <f>H18*G18</f>
        <v>0</v>
      </c>
      <c r="J18" s="54">
        <f>0.05*G18</f>
        <v>419.12916666666672</v>
      </c>
      <c r="K18" s="54">
        <v>0</v>
      </c>
      <c r="L18" s="54">
        <v>0</v>
      </c>
      <c r="M18" s="54"/>
      <c r="N18" s="54">
        <f>SUM(G18,I18:L18)</f>
        <v>8801.7125000000015</v>
      </c>
      <c r="O18" s="54">
        <v>0</v>
      </c>
      <c r="P18" s="4">
        <v>2166.63</v>
      </c>
      <c r="Q18" s="4">
        <f>6000/12</f>
        <v>500</v>
      </c>
      <c r="R18" s="4">
        <v>0</v>
      </c>
      <c r="S18" s="4">
        <v>4.5</v>
      </c>
      <c r="T18" s="54">
        <v>0</v>
      </c>
      <c r="U18" s="54">
        <f>IF(G18&gt;11900,(0.062*11900)+(0.0145*G18),(0.0765*G18))</f>
        <v>641.26762500000007</v>
      </c>
      <c r="V18" s="54">
        <v>0</v>
      </c>
      <c r="W18" s="54">
        <f>SUM(N18:V18)</f>
        <v>12114.110125000003</v>
      </c>
      <c r="X18" s="55">
        <v>0</v>
      </c>
      <c r="Y18" s="57">
        <f t="shared" ref="Y18" si="0">X18*G18</f>
        <v>0</v>
      </c>
      <c r="Z18" s="54">
        <f t="shared" ref="Z18" si="1">W18-Y18</f>
        <v>12114.110125000003</v>
      </c>
      <c r="AA18" s="88">
        <v>2801</v>
      </c>
      <c r="AB18" s="87">
        <f t="shared" ref="AB18:AB20" si="2">Z18-AA18</f>
        <v>9313.1101250000029</v>
      </c>
      <c r="AC18" s="6"/>
      <c r="AD18" s="2"/>
    </row>
    <row r="19" spans="1:30" s="43" customFormat="1" ht="45" customHeight="1" x14ac:dyDescent="0.2">
      <c r="A19" s="15" t="s">
        <v>50</v>
      </c>
      <c r="B19" s="56" t="s">
        <v>55</v>
      </c>
      <c r="C19" s="8"/>
      <c r="D19" s="70">
        <v>9</v>
      </c>
      <c r="E19" s="70">
        <v>365800</v>
      </c>
      <c r="F19" s="54">
        <f>68000/12</f>
        <v>5666.666666666667</v>
      </c>
      <c r="G19" s="54">
        <f>95000/12</f>
        <v>7916.666666666667</v>
      </c>
      <c r="H19" s="55">
        <v>0</v>
      </c>
      <c r="I19" s="52">
        <f>H19*G19</f>
        <v>0</v>
      </c>
      <c r="J19" s="54">
        <f>0.04*G19</f>
        <v>316.66666666666669</v>
      </c>
      <c r="K19" s="54">
        <v>0</v>
      </c>
      <c r="L19" s="54">
        <v>0</v>
      </c>
      <c r="M19" s="54"/>
      <c r="N19" s="54">
        <f>SUM(G19,I19:L19)</f>
        <v>8233.3333333333339</v>
      </c>
      <c r="O19" s="54">
        <v>0</v>
      </c>
      <c r="P19" s="54">
        <f>1646+250+250+250</f>
        <v>2396</v>
      </c>
      <c r="Q19" s="54">
        <v>42.6</v>
      </c>
      <c r="R19" s="54">
        <v>0</v>
      </c>
      <c r="S19" s="54">
        <v>4.25</v>
      </c>
      <c r="T19" s="54">
        <v>0</v>
      </c>
      <c r="U19" s="54">
        <f t="shared" ref="U19:U20" si="3">IF(G19&gt;11900,(11900*0.062)+(0.0145*G19),(0.0765*G19))</f>
        <v>605.625</v>
      </c>
      <c r="V19" s="54">
        <v>0</v>
      </c>
      <c r="W19" s="54">
        <f>SUM(N19:V19)</f>
        <v>11281.808333333334</v>
      </c>
      <c r="X19" s="55">
        <v>0</v>
      </c>
      <c r="Y19" s="54">
        <f>X19*G19</f>
        <v>0</v>
      </c>
      <c r="Z19" s="54">
        <f>W19-Y19</f>
        <v>11281.808333333334</v>
      </c>
      <c r="AA19" s="87">
        <v>1461</v>
      </c>
      <c r="AB19" s="87">
        <f t="shared" si="2"/>
        <v>9820.8083333333343</v>
      </c>
      <c r="AC19" s="58" t="s">
        <v>115</v>
      </c>
      <c r="AD19" s="2"/>
    </row>
    <row r="20" spans="1:30" s="43" customFormat="1" ht="45" customHeight="1" x14ac:dyDescent="0.2">
      <c r="A20" s="15" t="s">
        <v>105</v>
      </c>
      <c r="B20" s="9" t="s">
        <v>62</v>
      </c>
      <c r="C20" s="8"/>
      <c r="D20" s="72">
        <v>8.1</v>
      </c>
      <c r="E20" s="82">
        <v>1.1200000000000001</v>
      </c>
      <c r="F20" s="4">
        <f>66560/12</f>
        <v>5546.666666666667</v>
      </c>
      <c r="G20" s="4">
        <f>79040/12</f>
        <v>6586.666666666667</v>
      </c>
      <c r="H20" s="55">
        <v>0</v>
      </c>
      <c r="I20" s="54">
        <f>H20*G20</f>
        <v>0</v>
      </c>
      <c r="J20" s="57">
        <f>0.07*G20</f>
        <v>461.06666666666672</v>
      </c>
      <c r="K20" s="54">
        <v>0</v>
      </c>
      <c r="L20" s="54">
        <v>0</v>
      </c>
      <c r="M20" s="54"/>
      <c r="N20" s="54">
        <f>SUM(G20,I20:L20)</f>
        <v>7047.7333333333336</v>
      </c>
      <c r="O20" s="54">
        <v>450</v>
      </c>
      <c r="P20" s="54" t="s">
        <v>34</v>
      </c>
      <c r="Q20" s="54" t="s">
        <v>34</v>
      </c>
      <c r="R20" s="54" t="s">
        <v>34</v>
      </c>
      <c r="S20" s="54" t="s">
        <v>34</v>
      </c>
      <c r="T20" s="54">
        <v>0</v>
      </c>
      <c r="U20" s="54">
        <f t="shared" si="3"/>
        <v>503.88</v>
      </c>
      <c r="V20" s="54">
        <v>0</v>
      </c>
      <c r="W20" s="54">
        <f>SUM(N20:V20)</f>
        <v>8001.6133333333337</v>
      </c>
      <c r="X20" s="55">
        <v>0</v>
      </c>
      <c r="Y20" s="57">
        <f t="shared" ref="Y20" si="4">X20*G20</f>
        <v>0</v>
      </c>
      <c r="Z20" s="54">
        <f t="shared" ref="Z20" si="5">W20-Y20</f>
        <v>8001.6133333333337</v>
      </c>
      <c r="AA20" s="88">
        <v>5005</v>
      </c>
      <c r="AB20" s="87">
        <f t="shared" si="2"/>
        <v>2996.6133333333337</v>
      </c>
      <c r="AC20" s="6"/>
      <c r="AD20" s="2"/>
    </row>
    <row r="21" spans="1:30" s="43" customFormat="1" ht="45" customHeight="1" x14ac:dyDescent="0.2">
      <c r="A21" s="15" t="s">
        <v>52</v>
      </c>
      <c r="B21" s="56" t="s">
        <v>43</v>
      </c>
      <c r="C21" s="8"/>
      <c r="D21" s="72"/>
      <c r="E21" s="70"/>
      <c r="F21" s="54"/>
      <c r="G21" s="54"/>
      <c r="H21" s="53"/>
      <c r="I21" s="52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5"/>
      <c r="Y21" s="54"/>
      <c r="Z21" s="54"/>
      <c r="AA21" s="87"/>
      <c r="AB21" s="87"/>
      <c r="AC21" s="6"/>
      <c r="AD21" s="2"/>
    </row>
    <row r="22" spans="1:30" s="43" customFormat="1" ht="45" customHeight="1" x14ac:dyDescent="0.2">
      <c r="A22" s="15" t="s">
        <v>47</v>
      </c>
      <c r="B22" s="8" t="s">
        <v>43</v>
      </c>
      <c r="C22" s="8" t="s">
        <v>79</v>
      </c>
      <c r="D22" s="71"/>
      <c r="E22" s="74"/>
      <c r="F22" s="4"/>
      <c r="G22" s="4"/>
      <c r="H22" s="55"/>
      <c r="I22" s="54"/>
      <c r="J22" s="4"/>
      <c r="K22" s="54"/>
      <c r="L22" s="54"/>
      <c r="M22" s="54"/>
      <c r="N22" s="54"/>
      <c r="O22" s="4"/>
      <c r="P22" s="4"/>
      <c r="Q22" s="4"/>
      <c r="R22" s="4"/>
      <c r="S22" s="4"/>
      <c r="T22" s="4"/>
      <c r="U22" s="4"/>
      <c r="V22" s="54"/>
      <c r="W22" s="54"/>
      <c r="X22" s="55"/>
      <c r="Y22" s="57"/>
      <c r="Z22" s="54"/>
      <c r="AA22" s="88"/>
      <c r="AB22" s="87">
        <f t="shared" ref="AB22" si="6">Z22-AA22</f>
        <v>0</v>
      </c>
      <c r="AC22" s="6"/>
      <c r="AD22" s="2"/>
    </row>
    <row r="23" spans="1:30" ht="12.5" customHeight="1" x14ac:dyDescent="0.2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</row>
    <row r="24" spans="1:30" ht="29" customHeight="1" x14ac:dyDescent="0.2">
      <c r="A24" s="138" t="s">
        <v>161</v>
      </c>
      <c r="B24" s="138"/>
      <c r="C24" s="138"/>
      <c r="D24" s="138"/>
      <c r="E24" s="138"/>
      <c r="F24" s="138"/>
      <c r="G24" s="41">
        <f>MEDIAN(G8:G12)</f>
        <v>6250</v>
      </c>
      <c r="H24" s="27"/>
      <c r="I24" s="42"/>
      <c r="J24" s="42"/>
      <c r="K24" s="42"/>
      <c r="L24" s="42"/>
      <c r="M24" s="42"/>
      <c r="N24" s="41">
        <f>MEDIAN(N8:N12)</f>
        <v>6875</v>
      </c>
      <c r="O24" s="27"/>
      <c r="P24" s="27"/>
      <c r="Q24" s="29"/>
      <c r="R24" s="30"/>
      <c r="S24" s="30"/>
      <c r="T24" s="30"/>
      <c r="U24" s="42"/>
      <c r="V24" s="42"/>
      <c r="W24" s="42"/>
      <c r="X24" s="42"/>
      <c r="Y24" s="42"/>
      <c r="Z24" s="41">
        <f>MEDIAN(Z8:Z12)</f>
        <v>8213.1049999999996</v>
      </c>
      <c r="AA24" s="89"/>
      <c r="AB24" s="41">
        <f>MEDIAN(AB8:AB12)</f>
        <v>6526.1049999999996</v>
      </c>
      <c r="AC24" s="10"/>
    </row>
    <row r="25" spans="1:30" ht="29" customHeight="1" x14ac:dyDescent="0.2">
      <c r="A25" s="143" t="s">
        <v>162</v>
      </c>
      <c r="B25" s="143"/>
      <c r="C25" s="143"/>
      <c r="D25" s="143"/>
      <c r="E25" s="143"/>
      <c r="F25" s="143"/>
      <c r="G25" s="40">
        <f>-(G24-G5)/G5</f>
        <v>-0.11910233071712084</v>
      </c>
      <c r="H25" s="27"/>
      <c r="I25" s="42"/>
      <c r="J25" s="42"/>
      <c r="K25" s="42"/>
      <c r="L25" s="42"/>
      <c r="M25" s="42"/>
      <c r="N25" s="40">
        <f>-(N24-N5)/N5</f>
        <v>-0.19515782892119699</v>
      </c>
      <c r="O25" s="27"/>
      <c r="P25" s="27"/>
      <c r="Q25" s="28"/>
      <c r="R25" s="28"/>
      <c r="S25" s="28"/>
      <c r="T25" s="28"/>
      <c r="U25" s="42"/>
      <c r="V25" s="42"/>
      <c r="W25" s="42"/>
      <c r="X25" s="42"/>
      <c r="Y25" s="42"/>
      <c r="Z25" s="40">
        <f>-(Z24-Z5)/Z5</f>
        <v>-0.12618158512339497</v>
      </c>
      <c r="AA25" s="90"/>
      <c r="AB25" s="40">
        <f>-(AB24-AB5)/AB5</f>
        <v>-0.12949856433021251</v>
      </c>
      <c r="AC25" s="10"/>
    </row>
    <row r="26" spans="1:30" ht="29" customHeight="1" x14ac:dyDescent="0.2">
      <c r="A26" s="150" t="s">
        <v>163</v>
      </c>
      <c r="B26" s="151"/>
      <c r="C26" s="151"/>
      <c r="D26" s="151"/>
      <c r="E26" s="151"/>
      <c r="F26" s="152"/>
      <c r="G26" s="39">
        <f>MEDIAN(G8:G12,G14:G22)</f>
        <v>7251.666666666667</v>
      </c>
      <c r="H26" s="27"/>
      <c r="I26" s="42"/>
      <c r="J26" s="42"/>
      <c r="K26" s="42"/>
      <c r="L26" s="42"/>
      <c r="M26" s="42"/>
      <c r="N26" s="39">
        <f>MEDIAN(N8:N12,N14:N22)</f>
        <v>7640.5333333333338</v>
      </c>
      <c r="O26" s="27"/>
      <c r="P26" s="27"/>
      <c r="Q26" s="28"/>
      <c r="R26" s="28"/>
      <c r="S26" s="28"/>
      <c r="T26" s="28"/>
      <c r="U26" s="42"/>
      <c r="V26" s="42"/>
      <c r="W26" s="42"/>
      <c r="X26" s="42"/>
      <c r="Y26" s="42"/>
      <c r="Z26" s="39">
        <f>MEDIAN(Z8:Z12,Z14:Z22)</f>
        <v>9747.4566666666669</v>
      </c>
      <c r="AA26" s="90"/>
      <c r="AB26" s="39">
        <f>MEDIAN(AB8:AB12,AB14:AB22)</f>
        <v>6526.1049999999996</v>
      </c>
      <c r="AC26" s="10"/>
    </row>
    <row r="27" spans="1:30" ht="29" customHeight="1" x14ac:dyDescent="0.2">
      <c r="A27" s="143" t="s">
        <v>164</v>
      </c>
      <c r="B27" s="143"/>
      <c r="C27" s="143"/>
      <c r="D27" s="143"/>
      <c r="E27" s="143"/>
      <c r="F27" s="143"/>
      <c r="G27" s="40">
        <f>-(G26-G5)/G5</f>
        <v>-0.29845713092005144</v>
      </c>
      <c r="H27" s="27"/>
      <c r="I27" s="42"/>
      <c r="J27" s="42"/>
      <c r="K27" s="42"/>
      <c r="L27" s="42"/>
      <c r="M27" s="42"/>
      <c r="N27" s="40">
        <f>-(N26-N5)/N5</f>
        <v>-0.3282390153406114</v>
      </c>
      <c r="O27" s="27"/>
      <c r="P27" s="27"/>
      <c r="Q27" s="28"/>
      <c r="R27" s="28"/>
      <c r="S27" s="28"/>
      <c r="T27" s="28"/>
      <c r="U27" s="42"/>
      <c r="V27" s="42"/>
      <c r="W27" s="42"/>
      <c r="X27" s="42"/>
      <c r="Y27" s="42"/>
      <c r="Z27" s="40">
        <f>-(Z26-Z5)/Z5</f>
        <v>-0.33657200288907441</v>
      </c>
      <c r="AA27" s="90"/>
      <c r="AB27" s="40">
        <f>-(AB26-AB5)/AB5</f>
        <v>-0.12949856433021251</v>
      </c>
      <c r="AC27" s="10"/>
    </row>
    <row r="28" spans="1:30" ht="29" hidden="1" customHeight="1" x14ac:dyDescent="0.2">
      <c r="A28" s="143" t="s">
        <v>35</v>
      </c>
      <c r="B28" s="143"/>
      <c r="C28" s="143"/>
      <c r="D28" s="143"/>
      <c r="E28" s="143"/>
      <c r="F28" s="143"/>
      <c r="G28" s="39">
        <f>AVERAGE(G14:G22)</f>
        <v>7628.6388888888896</v>
      </c>
      <c r="H28" s="27"/>
      <c r="I28" s="42"/>
      <c r="J28" s="42"/>
      <c r="K28" s="42"/>
      <c r="L28" s="42"/>
      <c r="M28" s="42"/>
      <c r="N28" s="39">
        <f>AVERAGE(N14:N22)</f>
        <v>8027.5930555555569</v>
      </c>
      <c r="O28" s="27"/>
      <c r="P28" s="27"/>
      <c r="Q28" s="28"/>
      <c r="R28" s="28"/>
      <c r="S28" s="28"/>
      <c r="T28" s="28"/>
      <c r="U28" s="42"/>
      <c r="V28" s="42"/>
      <c r="W28" s="42"/>
      <c r="X28" s="42"/>
      <c r="Y28" s="42"/>
      <c r="Z28" s="39">
        <f>AVERAGE(Z14:Z22)</f>
        <v>10465.843930555557</v>
      </c>
      <c r="AA28" s="89"/>
      <c r="AB28" s="39">
        <f>AVERAGE(AB14:AB22)</f>
        <v>5532.6329479166679</v>
      </c>
      <c r="AC28" s="10"/>
    </row>
    <row r="29" spans="1:30" ht="29" hidden="1" customHeight="1" x14ac:dyDescent="0.2">
      <c r="A29" s="143" t="s">
        <v>95</v>
      </c>
      <c r="B29" s="143"/>
      <c r="C29" s="143"/>
      <c r="D29" s="143"/>
      <c r="E29" s="143"/>
      <c r="F29" s="143"/>
      <c r="G29" s="40">
        <f>-(G28-G5)/G5</f>
        <v>-0.36595640972077176</v>
      </c>
      <c r="H29" s="27"/>
      <c r="I29" s="42"/>
      <c r="J29" s="42"/>
      <c r="K29" s="42"/>
      <c r="L29" s="42"/>
      <c r="M29" s="42"/>
      <c r="N29" s="40">
        <f>-(N28-N5)/N5</f>
        <v>-0.39552591821682287</v>
      </c>
      <c r="O29" s="27"/>
      <c r="P29" s="27"/>
      <c r="Q29" s="28"/>
      <c r="R29" s="28"/>
      <c r="S29" s="28"/>
      <c r="T29" s="28"/>
      <c r="U29" s="42"/>
      <c r="V29" s="42"/>
      <c r="W29" s="42"/>
      <c r="X29" s="42"/>
      <c r="Y29" s="42"/>
      <c r="Z29" s="40">
        <f>-(Z28-Z5)/Z5</f>
        <v>-0.43507731940199473</v>
      </c>
      <c r="AA29" s="90"/>
      <c r="AB29" s="40">
        <f>-(AB28-AB5)/AB5</f>
        <v>4.2445536558497268E-2</v>
      </c>
      <c r="AC29" s="10"/>
    </row>
    <row r="30" spans="1:30" ht="29" customHeight="1" x14ac:dyDescent="0.2">
      <c r="A30" s="138" t="s">
        <v>23</v>
      </c>
      <c r="B30" s="138"/>
      <c r="C30" s="138"/>
      <c r="D30" s="138"/>
      <c r="E30" s="138"/>
      <c r="F30" s="138"/>
      <c r="G30" s="123">
        <f>COUNT(G8:G12,G14:G22)</f>
        <v>4</v>
      </c>
      <c r="H30" s="27"/>
      <c r="I30" s="42"/>
      <c r="J30" s="42"/>
      <c r="K30" s="42"/>
      <c r="L30" s="42"/>
      <c r="M30" s="42"/>
      <c r="N30" s="122"/>
      <c r="O30" s="27"/>
      <c r="P30" s="27"/>
      <c r="Q30" s="28"/>
      <c r="R30" s="28"/>
      <c r="S30" s="28"/>
      <c r="T30" s="28"/>
      <c r="U30" s="153" t="s">
        <v>165</v>
      </c>
      <c r="V30" s="153"/>
      <c r="W30" s="153"/>
      <c r="X30" s="153"/>
      <c r="Y30" s="154"/>
      <c r="Z30" s="41">
        <f>Z26-AA36</f>
        <v>8523.9566666666669</v>
      </c>
      <c r="AB30" s="39"/>
      <c r="AC30" s="10"/>
    </row>
    <row r="31" spans="1:30" ht="29" customHeight="1" x14ac:dyDescent="0.2">
      <c r="A31" s="157"/>
      <c r="B31" s="157"/>
      <c r="C31" s="157"/>
      <c r="D31" s="157"/>
      <c r="E31" s="157"/>
      <c r="F31" s="157"/>
      <c r="G31" s="90"/>
      <c r="H31" s="27"/>
      <c r="I31" s="42"/>
      <c r="J31" s="42"/>
      <c r="K31" s="42"/>
      <c r="L31" s="42"/>
      <c r="M31" s="42"/>
      <c r="O31" s="27"/>
      <c r="P31" s="27"/>
      <c r="Q31" s="28"/>
      <c r="S31" s="126"/>
      <c r="T31" s="155" t="s">
        <v>166</v>
      </c>
      <c r="U31" s="155"/>
      <c r="V31" s="155"/>
      <c r="W31" s="155"/>
      <c r="X31" s="155"/>
      <c r="Y31" s="156"/>
      <c r="Z31" s="40">
        <f>-(Z30-Z5)/Z5</f>
        <v>-0.1688055894073919</v>
      </c>
      <c r="AB31" s="40"/>
      <c r="AC31" s="10"/>
    </row>
    <row r="32" spans="1:30" ht="29" customHeight="1" x14ac:dyDescent="0.2">
      <c r="H32" s="26"/>
      <c r="I32" s="42"/>
      <c r="J32" s="42"/>
      <c r="K32" s="42"/>
      <c r="L32" s="42"/>
      <c r="M32" s="42"/>
      <c r="N32" s="26"/>
      <c r="O32" s="26"/>
      <c r="P32" s="26"/>
      <c r="Q32" s="26"/>
      <c r="R32" s="26"/>
      <c r="S32" s="26"/>
      <c r="T32" s="26"/>
      <c r="U32" s="42"/>
      <c r="V32" s="42"/>
      <c r="W32" s="42"/>
      <c r="X32" s="118"/>
      <c r="Y32" s="118"/>
      <c r="Z32" s="118"/>
      <c r="AA32" s="119"/>
      <c r="AB32" s="26"/>
      <c r="AC32" s="7"/>
    </row>
    <row r="33" spans="1:29" ht="16" x14ac:dyDescent="0.2">
      <c r="A33" s="36" t="s">
        <v>45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11"/>
      <c r="X33" s="11"/>
      <c r="Y33" s="153"/>
      <c r="Z33" s="153"/>
      <c r="AA33" s="7"/>
      <c r="AB33" s="7"/>
      <c r="AC33" s="7"/>
    </row>
    <row r="34" spans="1:29" x14ac:dyDescent="0.15">
      <c r="A34" s="43" t="s">
        <v>149</v>
      </c>
    </row>
    <row r="35" spans="1:29" ht="24" customHeight="1" x14ac:dyDescent="0.2">
      <c r="A35" s="43" t="s">
        <v>153</v>
      </c>
      <c r="W35" s="153" t="s">
        <v>167</v>
      </c>
      <c r="X35" s="153"/>
      <c r="Y35" s="153"/>
      <c r="Z35" s="153"/>
      <c r="AA35" s="127">
        <f>AVERAGE(AA8:AA12,AA14:AA22)</f>
        <v>2738.5</v>
      </c>
    </row>
    <row r="36" spans="1:29" ht="16" x14ac:dyDescent="0.2">
      <c r="W36" s="157" t="s">
        <v>168</v>
      </c>
      <c r="X36" s="157"/>
      <c r="Y36" s="157"/>
      <c r="Z36" s="157"/>
      <c r="AA36" s="128">
        <f>AA35-AA5</f>
        <v>1223.5</v>
      </c>
    </row>
    <row r="37" spans="1:29" ht="28.5" customHeight="1" x14ac:dyDescent="0.15"/>
    <row r="38" spans="1:29" ht="28.5" customHeight="1" x14ac:dyDescent="0.15"/>
    <row r="39" spans="1:29" ht="28.5" customHeight="1" x14ac:dyDescent="0.15"/>
    <row r="40" spans="1:29" ht="28.5" customHeight="1" x14ac:dyDescent="0.15"/>
    <row r="41" spans="1:29" ht="28.5" customHeight="1" x14ac:dyDescent="0.15"/>
    <row r="42" spans="1:29" ht="28.5" customHeight="1" x14ac:dyDescent="0.15">
      <c r="A42" t="s">
        <v>138</v>
      </c>
    </row>
    <row r="43" spans="1:29" ht="28.5" customHeight="1" x14ac:dyDescent="0.15"/>
  </sheetData>
  <sortState xmlns:xlrd2="http://schemas.microsoft.com/office/spreadsheetml/2017/richdata2" ref="A14:A22">
    <sortCondition ref="A14:A22"/>
  </sortState>
  <mergeCells count="17">
    <mergeCell ref="T31:Y31"/>
    <mergeCell ref="W36:Z36"/>
    <mergeCell ref="Y33:Z33"/>
    <mergeCell ref="W35:Z35"/>
    <mergeCell ref="A31:F31"/>
    <mergeCell ref="A30:F30"/>
    <mergeCell ref="A6:AC6"/>
    <mergeCell ref="A23:AC23"/>
    <mergeCell ref="A24:F24"/>
    <mergeCell ref="A25:F25"/>
    <mergeCell ref="A28:F28"/>
    <mergeCell ref="A29:F29"/>
    <mergeCell ref="A13:AC13"/>
    <mergeCell ref="A7:AC7"/>
    <mergeCell ref="A26:F26"/>
    <mergeCell ref="A27:F27"/>
    <mergeCell ref="U30:Y30"/>
  </mergeCells>
  <pageMargins left="0.5" right="0.5" top="0.5" bottom="0.5" header="0.5" footer="0.5"/>
  <pageSetup paperSize="5" scale="33" orientation="landscape" r:id="rId1"/>
  <headerFooter alignWithMargins="0">
    <oddHeader>&amp;L&amp;K000000Appendix A&amp;C&amp;K000000Yolo County RCD
Total Compensation Study 
4/2021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D86"/>
  <sheetViews>
    <sheetView topLeftCell="S14" zoomScale="110" zoomScaleNormal="110" workbookViewId="0">
      <selection activeCell="AA35" sqref="AA35:AA36"/>
    </sheetView>
  </sheetViews>
  <sheetFormatPr baseColWidth="10" defaultColWidth="8.83203125" defaultRowHeight="13" x14ac:dyDescent="0.15"/>
  <cols>
    <col min="1" max="1" width="28.83203125" customWidth="1"/>
    <col min="2" max="2" width="30.83203125" customWidth="1"/>
    <col min="3" max="3" width="14.5" hidden="1" customWidth="1"/>
    <col min="4" max="5" width="14.5" customWidth="1"/>
    <col min="6" max="7" width="13.5" customWidth="1"/>
    <col min="8" max="8" width="14.83203125" customWidth="1"/>
    <col min="9" max="9" width="14.1640625" customWidth="1"/>
    <col min="10" max="10" width="19.33203125" customWidth="1"/>
    <col min="11" max="12" width="15.1640625" customWidth="1"/>
    <col min="13" max="13" width="19" customWidth="1"/>
    <col min="14" max="20" width="13.5" customWidth="1"/>
    <col min="21" max="21" width="15.1640625" customWidth="1"/>
    <col min="22" max="25" width="13.5" customWidth="1"/>
    <col min="26" max="27" width="17.1640625" customWidth="1"/>
    <col min="28" max="28" width="17.1640625" hidden="1" customWidth="1"/>
    <col min="29" max="29" width="49.5" customWidth="1"/>
  </cols>
  <sheetData>
    <row r="1" spans="1:30" x14ac:dyDescent="0.15">
      <c r="L1" s="43"/>
    </row>
    <row r="3" spans="1:30" ht="14" thickBot="1" x14ac:dyDescent="0.2">
      <c r="A3" s="44" t="s">
        <v>32</v>
      </c>
    </row>
    <row r="4" spans="1:30" ht="103" thickBot="1" x14ac:dyDescent="0.25">
      <c r="A4" s="21" t="s">
        <v>0</v>
      </c>
      <c r="B4" s="22" t="s">
        <v>1</v>
      </c>
      <c r="C4" s="23" t="s">
        <v>29</v>
      </c>
      <c r="D4" s="23" t="s">
        <v>134</v>
      </c>
      <c r="E4" s="23" t="s">
        <v>135</v>
      </c>
      <c r="F4" s="23" t="s">
        <v>2</v>
      </c>
      <c r="G4" s="23" t="s">
        <v>3</v>
      </c>
      <c r="H4" s="23" t="s">
        <v>7</v>
      </c>
      <c r="I4" s="23" t="s">
        <v>8</v>
      </c>
      <c r="J4" s="23" t="s">
        <v>9</v>
      </c>
      <c r="K4" s="23" t="s">
        <v>15</v>
      </c>
      <c r="L4" s="23" t="s">
        <v>40</v>
      </c>
      <c r="M4" s="23" t="s">
        <v>33</v>
      </c>
      <c r="N4" s="23" t="s">
        <v>21</v>
      </c>
      <c r="O4" s="23" t="s">
        <v>16</v>
      </c>
      <c r="P4" s="23" t="s">
        <v>14</v>
      </c>
      <c r="Q4" s="23" t="s">
        <v>10</v>
      </c>
      <c r="R4" s="23" t="s">
        <v>11</v>
      </c>
      <c r="S4" s="23" t="s">
        <v>12</v>
      </c>
      <c r="T4" s="23" t="s">
        <v>28</v>
      </c>
      <c r="U4" s="23" t="s">
        <v>41</v>
      </c>
      <c r="V4" s="23" t="s">
        <v>36</v>
      </c>
      <c r="W4" s="23" t="s">
        <v>25</v>
      </c>
      <c r="X4" s="23" t="s">
        <v>27</v>
      </c>
      <c r="Y4" s="23" t="s">
        <v>24</v>
      </c>
      <c r="Z4" s="23" t="s">
        <v>26</v>
      </c>
      <c r="AA4" s="85" t="s">
        <v>137</v>
      </c>
      <c r="AB4" s="23" t="s">
        <v>136</v>
      </c>
      <c r="AC4" s="24" t="s">
        <v>4</v>
      </c>
    </row>
    <row r="5" spans="1:30" ht="71.5" customHeight="1" thickBot="1" x14ac:dyDescent="0.25">
      <c r="A5" s="18" t="s">
        <v>44</v>
      </c>
      <c r="B5" s="19" t="s">
        <v>158</v>
      </c>
      <c r="C5" s="19"/>
      <c r="D5" s="67">
        <v>2.5</v>
      </c>
      <c r="E5" s="84">
        <v>398100</v>
      </c>
      <c r="F5" s="17">
        <f>18*2080/12</f>
        <v>3120</v>
      </c>
      <c r="G5" s="17">
        <f>23.5*2080/12</f>
        <v>4073.3333333333335</v>
      </c>
      <c r="H5" s="50">
        <v>0</v>
      </c>
      <c r="I5" s="59">
        <f>H5*G5</f>
        <v>0</v>
      </c>
      <c r="J5" s="60">
        <f>0.03*G5</f>
        <v>122.2</v>
      </c>
      <c r="K5" s="60">
        <v>0</v>
      </c>
      <c r="L5" s="60">
        <v>0</v>
      </c>
      <c r="M5" s="60"/>
      <c r="N5" s="60">
        <f>SUM(G5,I5:L5)</f>
        <v>4195.5333333333338</v>
      </c>
      <c r="O5" s="34">
        <v>0</v>
      </c>
      <c r="P5" s="34">
        <v>1053.2</v>
      </c>
      <c r="Q5" s="34">
        <v>52.46</v>
      </c>
      <c r="R5" s="34">
        <v>7.6</v>
      </c>
      <c r="S5" s="34">
        <v>0</v>
      </c>
      <c r="T5" s="34">
        <v>0</v>
      </c>
      <c r="U5" s="34">
        <f>IF(G5&gt;11900,(11900*0.062)+(0.0145*G5),(0.0765*G5))</f>
        <v>311.61</v>
      </c>
      <c r="V5" s="34">
        <v>0</v>
      </c>
      <c r="W5" s="60">
        <f>SUM(N5:V5)</f>
        <v>5620.4033333333336</v>
      </c>
      <c r="X5" s="50">
        <v>0</v>
      </c>
      <c r="Y5" s="60">
        <f>X5*G5</f>
        <v>0</v>
      </c>
      <c r="Z5" s="60">
        <f>W5-Y5</f>
        <v>5620.4033333333336</v>
      </c>
      <c r="AA5" s="86">
        <v>1515</v>
      </c>
      <c r="AB5" s="86">
        <f>Z5-AA5</f>
        <v>4105.4033333333336</v>
      </c>
      <c r="AC5" s="20"/>
      <c r="AD5" s="2"/>
    </row>
    <row r="6" spans="1:30" ht="12.5" customHeight="1" thickBot="1" x14ac:dyDescent="0.25">
      <c r="A6" s="139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1"/>
      <c r="AD6" s="2"/>
    </row>
    <row r="7" spans="1:30" ht="12.5" customHeight="1" x14ac:dyDescent="0.2">
      <c r="A7" s="147" t="s">
        <v>159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9"/>
      <c r="AD7" s="2"/>
    </row>
    <row r="8" spans="1:30" s="43" customFormat="1" ht="45" customHeight="1" x14ac:dyDescent="0.2">
      <c r="A8" s="15" t="s">
        <v>46</v>
      </c>
      <c r="B8" s="9" t="s">
        <v>101</v>
      </c>
      <c r="C8" s="116"/>
      <c r="D8" s="117">
        <v>733000</v>
      </c>
      <c r="E8" s="70">
        <v>599200</v>
      </c>
      <c r="F8" s="54">
        <f>55557/12</f>
        <v>4629.75</v>
      </c>
      <c r="G8" s="54">
        <f>F8</f>
        <v>4629.75</v>
      </c>
      <c r="H8" s="55">
        <v>0</v>
      </c>
      <c r="I8" s="54">
        <f>H8*G8</f>
        <v>0</v>
      </c>
      <c r="J8" s="54">
        <f>0.03*G8</f>
        <v>138.89249999999998</v>
      </c>
      <c r="K8" s="54">
        <v>0</v>
      </c>
      <c r="L8" s="54">
        <v>0</v>
      </c>
      <c r="M8" s="54"/>
      <c r="N8" s="54">
        <f>SUM(G8,I8:L8)</f>
        <v>4768.6424999999999</v>
      </c>
      <c r="O8" s="54">
        <v>0</v>
      </c>
      <c r="P8" s="54">
        <v>971.74</v>
      </c>
      <c r="Q8" s="54">
        <v>75</v>
      </c>
      <c r="R8" s="54" t="s">
        <v>34</v>
      </c>
      <c r="S8" s="54">
        <v>0</v>
      </c>
      <c r="T8" s="54">
        <v>0</v>
      </c>
      <c r="U8" s="54">
        <f>IF(G8&gt;11900,(11900*0.062)+(0.0145*G8),(0.0765*G8))</f>
        <v>354.17587500000002</v>
      </c>
      <c r="V8" s="54">
        <v>0</v>
      </c>
      <c r="W8" s="54">
        <f>SUM(N8:V8)</f>
        <v>6169.5583749999996</v>
      </c>
      <c r="X8" s="55">
        <v>0</v>
      </c>
      <c r="Y8" s="54">
        <f>X8*G8</f>
        <v>0</v>
      </c>
      <c r="Z8" s="54">
        <f>W8-Y8</f>
        <v>6169.5583749999996</v>
      </c>
      <c r="AA8" s="87">
        <v>2390</v>
      </c>
      <c r="AB8" s="87">
        <f t="shared" ref="AB8" si="0">Z8-AA8</f>
        <v>3779.5583749999996</v>
      </c>
      <c r="AC8" s="5"/>
      <c r="AD8" s="2"/>
    </row>
    <row r="9" spans="1:30" s="43" customFormat="1" ht="45" customHeight="1" x14ac:dyDescent="0.2">
      <c r="A9" s="51" t="s">
        <v>102</v>
      </c>
      <c r="B9" s="9" t="s">
        <v>43</v>
      </c>
      <c r="C9" s="8"/>
      <c r="D9" s="72"/>
      <c r="E9" s="70"/>
      <c r="F9" s="4"/>
      <c r="G9" s="4"/>
      <c r="H9" s="13"/>
      <c r="I9" s="4"/>
      <c r="J9" s="4"/>
      <c r="K9" s="4"/>
      <c r="L9" s="4"/>
      <c r="M9" s="35"/>
      <c r="N9" s="4"/>
      <c r="O9" s="4"/>
      <c r="P9" s="4"/>
      <c r="Q9" s="4"/>
      <c r="R9" s="4"/>
      <c r="S9" s="4"/>
      <c r="T9" s="4"/>
      <c r="U9" s="4"/>
      <c r="V9" s="4"/>
      <c r="W9" s="4"/>
      <c r="X9" s="13"/>
      <c r="Y9" s="4"/>
      <c r="Z9" s="4"/>
      <c r="AA9" s="88"/>
      <c r="AB9" s="87"/>
      <c r="AC9" s="6"/>
      <c r="AD9" s="2"/>
    </row>
    <row r="10" spans="1:30" s="43" customFormat="1" ht="45" customHeight="1" x14ac:dyDescent="0.2">
      <c r="A10" s="15" t="s">
        <v>94</v>
      </c>
      <c r="B10" s="9" t="s">
        <v>66</v>
      </c>
      <c r="C10" s="8"/>
      <c r="D10" s="72">
        <v>2.2999999999999998</v>
      </c>
      <c r="E10" s="70">
        <v>437700</v>
      </c>
      <c r="F10" s="4">
        <v>3640</v>
      </c>
      <c r="G10" s="4">
        <v>4750</v>
      </c>
      <c r="H10" s="55">
        <v>0</v>
      </c>
      <c r="I10" s="52">
        <f>H10*G10</f>
        <v>0</v>
      </c>
      <c r="J10" s="54">
        <f>0.1*G10</f>
        <v>475</v>
      </c>
      <c r="K10" s="4">
        <v>0</v>
      </c>
      <c r="L10" s="4">
        <v>0</v>
      </c>
      <c r="M10" s="4"/>
      <c r="N10" s="4">
        <f>SUM(G10,I10:L10)</f>
        <v>5225</v>
      </c>
      <c r="O10" s="4">
        <v>0</v>
      </c>
      <c r="P10" s="4">
        <v>786.34</v>
      </c>
      <c r="Q10" s="4">
        <v>60.52</v>
      </c>
      <c r="R10" s="4">
        <v>13.12</v>
      </c>
      <c r="S10" s="4">
        <v>0</v>
      </c>
      <c r="T10" s="4">
        <v>0</v>
      </c>
      <c r="U10" s="4">
        <f>IF(G10&gt;11900,(11900*0.062)+(0.0145*G10),(0.0765*G10))</f>
        <v>363.375</v>
      </c>
      <c r="V10" s="4">
        <v>0</v>
      </c>
      <c r="W10" s="4">
        <f>SUM(N10:V10)</f>
        <v>6448.3550000000005</v>
      </c>
      <c r="X10" s="55">
        <v>0</v>
      </c>
      <c r="Y10" s="54">
        <f>X10*G10</f>
        <v>0</v>
      </c>
      <c r="Z10" s="54">
        <f>W10-Y10</f>
        <v>6448.3550000000005</v>
      </c>
      <c r="AA10" s="87">
        <v>1687</v>
      </c>
      <c r="AB10" s="87">
        <f>Z10-AA10</f>
        <v>4761.3550000000005</v>
      </c>
      <c r="AC10" s="6"/>
      <c r="AD10" s="2"/>
    </row>
    <row r="11" spans="1:30" s="43" customFormat="1" ht="45" customHeight="1" x14ac:dyDescent="0.2">
      <c r="A11" s="15" t="s">
        <v>63</v>
      </c>
      <c r="B11" s="9" t="s">
        <v>157</v>
      </c>
      <c r="C11" s="8"/>
      <c r="D11" s="72">
        <v>2.6</v>
      </c>
      <c r="E11" s="70">
        <v>578900</v>
      </c>
      <c r="F11" s="54">
        <f>54995/12</f>
        <v>4582.916666666667</v>
      </c>
      <c r="G11" s="54">
        <f>65666/12</f>
        <v>5472.166666666667</v>
      </c>
      <c r="H11" s="53">
        <v>0</v>
      </c>
      <c r="I11" s="52">
        <f>H11*G11</f>
        <v>0</v>
      </c>
      <c r="J11" s="54">
        <f>0.03*G11</f>
        <v>164.16499999999999</v>
      </c>
      <c r="K11" s="54">
        <v>0</v>
      </c>
      <c r="L11" s="57">
        <v>0</v>
      </c>
      <c r="M11" s="54"/>
      <c r="N11" s="54">
        <f t="shared" ref="N11" si="1">SUM(G11,I11:L11)</f>
        <v>5636.3316666666669</v>
      </c>
      <c r="O11" s="54">
        <v>0</v>
      </c>
      <c r="P11" s="54">
        <f>7734/12</f>
        <v>644.5</v>
      </c>
      <c r="Q11" s="54">
        <f>535/12</f>
        <v>44.583333333333336</v>
      </c>
      <c r="R11" s="54">
        <f>70/12</f>
        <v>5.833333333333333</v>
      </c>
      <c r="S11" s="54">
        <f>0.00146*25000</f>
        <v>36.5</v>
      </c>
      <c r="T11" s="54">
        <v>0</v>
      </c>
      <c r="U11" s="54">
        <f t="shared" ref="U11" si="2">IF(G11&gt;11900,(11900*0.062)+(0.0145*G11),(0.0765*G11))</f>
        <v>418.62075000000004</v>
      </c>
      <c r="V11" s="54">
        <v>0</v>
      </c>
      <c r="W11" s="54">
        <f t="shared" ref="W11" si="3">SUM(N11:V11)</f>
        <v>6786.369083333333</v>
      </c>
      <c r="X11" s="55">
        <v>0</v>
      </c>
      <c r="Y11" s="54">
        <f t="shared" ref="Y11" si="4">X11*G11</f>
        <v>0</v>
      </c>
      <c r="Z11" s="54">
        <f t="shared" ref="Z11" si="5">W11-Y11</f>
        <v>6786.369083333333</v>
      </c>
      <c r="AA11" s="87">
        <v>2302</v>
      </c>
      <c r="AB11" s="87">
        <f>Z11-AA11</f>
        <v>4484.369083333333</v>
      </c>
      <c r="AC11" s="6"/>
      <c r="AD11" s="2"/>
    </row>
    <row r="12" spans="1:30" s="43" customFormat="1" ht="45" customHeight="1" x14ac:dyDescent="0.2">
      <c r="A12" s="15" t="s">
        <v>64</v>
      </c>
      <c r="B12" s="9" t="s">
        <v>43</v>
      </c>
      <c r="C12" s="9"/>
      <c r="D12" s="74"/>
      <c r="E12" s="74"/>
      <c r="F12" s="4"/>
      <c r="G12" s="4"/>
      <c r="H12" s="13"/>
      <c r="I12" s="4"/>
      <c r="J12" s="4"/>
      <c r="K12" s="4"/>
      <c r="L12" s="4"/>
      <c r="M12" s="35"/>
      <c r="N12" s="4"/>
      <c r="O12" s="4"/>
      <c r="P12" s="4"/>
      <c r="Q12" s="4"/>
      <c r="R12" s="4"/>
      <c r="S12" s="4"/>
      <c r="T12" s="4"/>
      <c r="U12" s="4"/>
      <c r="V12" s="4"/>
      <c r="W12" s="4"/>
      <c r="X12" s="13"/>
      <c r="Y12" s="4"/>
      <c r="Z12" s="4"/>
      <c r="AA12" s="88"/>
      <c r="AB12" s="87"/>
      <c r="AC12" s="5"/>
      <c r="AD12" s="2"/>
    </row>
    <row r="13" spans="1:30" s="43" customFormat="1" ht="18" customHeight="1" x14ac:dyDescent="0.2">
      <c r="A13" s="144" t="s">
        <v>160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6"/>
      <c r="AD13" s="2"/>
    </row>
    <row r="14" spans="1:30" s="43" customFormat="1" ht="45" customHeight="1" x14ac:dyDescent="0.2">
      <c r="A14" s="15" t="s">
        <v>48</v>
      </c>
      <c r="B14" s="47" t="s">
        <v>73</v>
      </c>
      <c r="C14" s="16" t="s">
        <v>74</v>
      </c>
      <c r="D14" s="68"/>
      <c r="E14" s="70">
        <v>327000</v>
      </c>
      <c r="F14" s="14">
        <f>3766/1.0923</f>
        <v>3447.7707589490064</v>
      </c>
      <c r="G14" s="14">
        <f>4751/1.0923</f>
        <v>4349.5376728005122</v>
      </c>
      <c r="H14" s="53">
        <v>0</v>
      </c>
      <c r="I14" s="52">
        <f>H14*G14</f>
        <v>0</v>
      </c>
      <c r="J14" s="54">
        <v>0</v>
      </c>
      <c r="K14" s="54">
        <v>0</v>
      </c>
      <c r="L14" s="54">
        <v>0</v>
      </c>
      <c r="M14" s="54"/>
      <c r="N14" s="54">
        <f t="shared" ref="N14" si="6">SUM(G14,I14:L14)</f>
        <v>4349.5376728005122</v>
      </c>
      <c r="O14" s="54">
        <v>0</v>
      </c>
      <c r="P14" s="54">
        <v>1567</v>
      </c>
      <c r="Q14" s="54">
        <v>96.21</v>
      </c>
      <c r="R14" s="54">
        <v>8.27</v>
      </c>
      <c r="S14" s="54">
        <v>0</v>
      </c>
      <c r="T14" s="54">
        <v>0</v>
      </c>
      <c r="U14" s="54">
        <f t="shared" ref="U14" si="7">IF(G14&gt;11900,(11900*0.062)+(0.0145*G14),(0.0765*G14))</f>
        <v>332.73963196923916</v>
      </c>
      <c r="V14" s="54">
        <v>0</v>
      </c>
      <c r="W14" s="54">
        <f t="shared" ref="W14" si="8">SUM(N14:V14)</f>
        <v>6353.7573047697515</v>
      </c>
      <c r="X14" s="55">
        <v>0</v>
      </c>
      <c r="Y14" s="54">
        <f t="shared" ref="Y14" si="9">X14*G14</f>
        <v>0</v>
      </c>
      <c r="Z14" s="54">
        <f t="shared" ref="Z14" si="10">W14-Y14</f>
        <v>6353.7573047697515</v>
      </c>
      <c r="AA14" s="87">
        <v>1205</v>
      </c>
      <c r="AB14" s="87">
        <f>Z14-AA14</f>
        <v>5148.7573047697515</v>
      </c>
      <c r="AC14" s="6"/>
      <c r="AD14" s="2"/>
    </row>
    <row r="15" spans="1:30" s="43" customFormat="1" ht="45" customHeight="1" x14ac:dyDescent="0.2">
      <c r="A15" s="15" t="s">
        <v>53</v>
      </c>
      <c r="B15" s="9" t="s">
        <v>43</v>
      </c>
      <c r="C15" s="16" t="s">
        <v>126</v>
      </c>
      <c r="D15" s="69"/>
      <c r="E15" s="81"/>
      <c r="F15" s="54"/>
      <c r="G15" s="54"/>
      <c r="H15" s="53"/>
      <c r="I15" s="52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5"/>
      <c r="Y15" s="54"/>
      <c r="Z15" s="54"/>
      <c r="AA15" s="87"/>
      <c r="AB15" s="87"/>
      <c r="AC15" s="5"/>
      <c r="AD15" s="2"/>
    </row>
    <row r="16" spans="1:30" s="43" customFormat="1" ht="45" customHeight="1" x14ac:dyDescent="0.2">
      <c r="A16" s="15" t="s">
        <v>54</v>
      </c>
      <c r="B16" s="9" t="s">
        <v>119</v>
      </c>
      <c r="C16" s="8"/>
      <c r="D16" s="70">
        <v>2</v>
      </c>
      <c r="E16" s="70">
        <v>854700</v>
      </c>
      <c r="F16" s="54">
        <f>24*2080/12</f>
        <v>4160</v>
      </c>
      <c r="G16" s="54">
        <f>F16</f>
        <v>4160</v>
      </c>
      <c r="H16" s="55">
        <v>0</v>
      </c>
      <c r="I16" s="52">
        <f>H16*G16</f>
        <v>0</v>
      </c>
      <c r="J16" s="54">
        <v>0</v>
      </c>
      <c r="K16" s="54">
        <v>0</v>
      </c>
      <c r="L16" s="54">
        <v>0</v>
      </c>
      <c r="M16" s="57"/>
      <c r="N16" s="54">
        <f t="shared" ref="N16" si="11">SUM(G16,I16:L16)</f>
        <v>4160</v>
      </c>
      <c r="O16" s="54">
        <v>0</v>
      </c>
      <c r="P16" s="54">
        <v>828.83</v>
      </c>
      <c r="Q16" s="54">
        <v>50.25</v>
      </c>
      <c r="R16" s="54">
        <v>13.18</v>
      </c>
      <c r="S16" s="54">
        <v>0</v>
      </c>
      <c r="T16" s="54">
        <v>0</v>
      </c>
      <c r="U16" s="54">
        <f t="shared" ref="U16" si="12">IF(G16&gt;11900,(11900*0.062)+(0.0145*G16),(0.0765*G16))</f>
        <v>318.24</v>
      </c>
      <c r="V16" s="54">
        <v>0</v>
      </c>
      <c r="W16" s="54">
        <f t="shared" ref="W16" si="13">SUM(N16:V16)</f>
        <v>5370.5</v>
      </c>
      <c r="X16" s="55">
        <v>0</v>
      </c>
      <c r="Y16" s="54">
        <f t="shared" ref="Y16" si="14">X16*G16</f>
        <v>0</v>
      </c>
      <c r="Z16" s="54">
        <f t="shared" ref="Z16" si="15">W16-Y16</f>
        <v>5370.5</v>
      </c>
      <c r="AA16" s="87">
        <v>3502</v>
      </c>
      <c r="AB16" s="91">
        <f t="shared" ref="AB16" si="16">Z16-AA16</f>
        <v>1868.5</v>
      </c>
      <c r="AC16" s="6"/>
      <c r="AD16" s="2"/>
    </row>
    <row r="17" spans="1:30" s="43" customFormat="1" ht="45" customHeight="1" x14ac:dyDescent="0.2">
      <c r="A17" s="15" t="s">
        <v>103</v>
      </c>
      <c r="B17" s="9" t="s">
        <v>43</v>
      </c>
      <c r="C17" s="8"/>
      <c r="D17" s="72"/>
      <c r="E17" s="72"/>
      <c r="F17" s="4"/>
      <c r="G17" s="4"/>
      <c r="H17" s="13"/>
      <c r="I17" s="4"/>
      <c r="J17" s="4"/>
      <c r="K17" s="4"/>
      <c r="L17" s="4"/>
      <c r="M17" s="35"/>
      <c r="N17" s="4"/>
      <c r="O17" s="4"/>
      <c r="P17" s="4"/>
      <c r="Q17" s="4"/>
      <c r="R17" s="4"/>
      <c r="S17" s="4"/>
      <c r="T17" s="4"/>
      <c r="U17" s="4"/>
      <c r="V17" s="4"/>
      <c r="W17" s="4"/>
      <c r="X17" s="13"/>
      <c r="Y17" s="4"/>
      <c r="Z17" s="4"/>
      <c r="AA17" s="88"/>
      <c r="AB17" s="87"/>
      <c r="AC17" s="6"/>
      <c r="AD17" s="2"/>
    </row>
    <row r="18" spans="1:30" s="43" customFormat="1" ht="45" customHeight="1" x14ac:dyDescent="0.2">
      <c r="A18" s="15" t="s">
        <v>49</v>
      </c>
      <c r="B18" s="9" t="s">
        <v>66</v>
      </c>
      <c r="C18" s="8"/>
      <c r="D18" s="70">
        <v>13</v>
      </c>
      <c r="E18" s="70">
        <v>693700</v>
      </c>
      <c r="F18" s="4">
        <f>47600/12</f>
        <v>3966.6666666666665</v>
      </c>
      <c r="G18" s="4">
        <f>64400/12</f>
        <v>5366.666666666667</v>
      </c>
      <c r="H18" s="55">
        <v>0</v>
      </c>
      <c r="I18" s="54">
        <f>H18*G18</f>
        <v>0</v>
      </c>
      <c r="J18" s="54">
        <f>0.05*G18</f>
        <v>268.33333333333337</v>
      </c>
      <c r="K18" s="54">
        <v>0</v>
      </c>
      <c r="L18" s="54">
        <v>0</v>
      </c>
      <c r="M18" s="54"/>
      <c r="N18" s="54">
        <f>SUM(G18,I18:L18)</f>
        <v>5635</v>
      </c>
      <c r="O18" s="54">
        <v>0</v>
      </c>
      <c r="P18" s="4">
        <v>2166.63</v>
      </c>
      <c r="Q18" s="4">
        <f>6000/12</f>
        <v>500</v>
      </c>
      <c r="R18" s="4">
        <v>0</v>
      </c>
      <c r="S18" s="4">
        <v>4.5</v>
      </c>
      <c r="T18" s="54">
        <v>0</v>
      </c>
      <c r="U18" s="54">
        <f>IF(G18&gt;11900,(0.062*11900)+(0.0145*G18),(0.0765*G18))</f>
        <v>410.55</v>
      </c>
      <c r="V18" s="54">
        <v>0</v>
      </c>
      <c r="W18" s="54">
        <f>SUM(N18:V18)</f>
        <v>8716.68</v>
      </c>
      <c r="X18" s="55">
        <v>0</v>
      </c>
      <c r="Y18" s="57">
        <f t="shared" ref="Y18" si="17">X18*G18</f>
        <v>0</v>
      </c>
      <c r="Z18" s="54">
        <f t="shared" ref="Z18" si="18">W18-Y18</f>
        <v>8716.68</v>
      </c>
      <c r="AA18" s="88">
        <v>2801</v>
      </c>
      <c r="AB18" s="87">
        <f t="shared" ref="AB18" si="19">Z18-AA18</f>
        <v>5915.68</v>
      </c>
      <c r="AC18" s="6"/>
      <c r="AD18" s="2"/>
    </row>
    <row r="19" spans="1:30" s="43" customFormat="1" ht="45" customHeight="1" x14ac:dyDescent="0.2">
      <c r="A19" s="15" t="s">
        <v>50</v>
      </c>
      <c r="B19" s="9" t="s">
        <v>43</v>
      </c>
      <c r="C19" s="8"/>
      <c r="D19" s="70"/>
      <c r="E19" s="70"/>
      <c r="F19" s="4"/>
      <c r="G19" s="4"/>
      <c r="H19" s="55"/>
      <c r="I19" s="52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5"/>
      <c r="Y19" s="54"/>
      <c r="Z19" s="54"/>
      <c r="AA19" s="87"/>
      <c r="AB19" s="87"/>
      <c r="AC19" s="6"/>
      <c r="AD19" s="2"/>
    </row>
    <row r="20" spans="1:30" s="43" customFormat="1" ht="45" customHeight="1" x14ac:dyDescent="0.2">
      <c r="A20" s="15" t="s">
        <v>105</v>
      </c>
      <c r="B20" s="9" t="s">
        <v>133</v>
      </c>
      <c r="C20" s="8"/>
      <c r="D20" s="72">
        <v>8.1</v>
      </c>
      <c r="E20" s="82">
        <v>1.1200000000000001</v>
      </c>
      <c r="F20" s="54">
        <f>49920/12</f>
        <v>4160</v>
      </c>
      <c r="G20" s="54">
        <f>69035/12</f>
        <v>5752.916666666667</v>
      </c>
      <c r="H20" s="53">
        <v>0</v>
      </c>
      <c r="I20" s="52">
        <f>H20*G20</f>
        <v>0</v>
      </c>
      <c r="J20" s="54">
        <f>0.07*G20</f>
        <v>402.70416666666671</v>
      </c>
      <c r="K20" s="54">
        <v>0</v>
      </c>
      <c r="L20" s="57">
        <v>0</v>
      </c>
      <c r="M20" s="54"/>
      <c r="N20" s="54">
        <f t="shared" ref="N20" si="20">SUM(G20,I20:L20)</f>
        <v>6155.6208333333334</v>
      </c>
      <c r="O20" s="54">
        <v>450</v>
      </c>
      <c r="P20" s="54" t="s">
        <v>34</v>
      </c>
      <c r="Q20" s="54" t="s">
        <v>34</v>
      </c>
      <c r="R20" s="54" t="s">
        <v>34</v>
      </c>
      <c r="S20" s="54" t="s">
        <v>34</v>
      </c>
      <c r="T20" s="54">
        <v>0</v>
      </c>
      <c r="U20" s="54">
        <f t="shared" ref="U20" si="21">IF(G20&gt;11900,(11900*0.062)+(0.0145*G20),(0.0765*G20))</f>
        <v>440.09812500000004</v>
      </c>
      <c r="V20" s="54">
        <v>0</v>
      </c>
      <c r="W20" s="54">
        <f t="shared" ref="W20" si="22">SUM(N20:V20)</f>
        <v>7045.7189583333338</v>
      </c>
      <c r="X20" s="55">
        <v>0</v>
      </c>
      <c r="Y20" s="54">
        <f t="shared" ref="Y20" si="23">X20*G20</f>
        <v>0</v>
      </c>
      <c r="Z20" s="54">
        <f t="shared" ref="Z20" si="24">W20-Y20</f>
        <v>7045.7189583333338</v>
      </c>
      <c r="AA20" s="87">
        <v>5005</v>
      </c>
      <c r="AB20" s="91">
        <f t="shared" ref="AB20" si="25">Z20-AA20</f>
        <v>2040.7189583333338</v>
      </c>
      <c r="AC20" s="6"/>
      <c r="AD20" s="2"/>
    </row>
    <row r="21" spans="1:30" s="43" customFormat="1" ht="45" customHeight="1" x14ac:dyDescent="0.2">
      <c r="A21" s="15" t="s">
        <v>52</v>
      </c>
      <c r="B21" s="9" t="s">
        <v>43</v>
      </c>
      <c r="C21" s="8" t="s">
        <v>88</v>
      </c>
      <c r="D21" s="72"/>
      <c r="E21" s="70"/>
      <c r="F21" s="54"/>
      <c r="G21" s="54"/>
      <c r="H21" s="53"/>
      <c r="I21" s="52"/>
      <c r="J21" s="54"/>
      <c r="K21" s="54"/>
      <c r="L21" s="57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5"/>
      <c r="Y21" s="54"/>
      <c r="Z21" s="54"/>
      <c r="AA21" s="87"/>
      <c r="AB21" s="87"/>
      <c r="AC21" s="6"/>
      <c r="AD21" s="2"/>
    </row>
    <row r="22" spans="1:30" s="43" customFormat="1" ht="45" customHeight="1" x14ac:dyDescent="0.2">
      <c r="A22" s="15" t="s">
        <v>47</v>
      </c>
      <c r="B22" s="8" t="s">
        <v>77</v>
      </c>
      <c r="C22" s="8" t="s">
        <v>78</v>
      </c>
      <c r="D22" s="71"/>
      <c r="E22" s="74">
        <v>673000</v>
      </c>
      <c r="F22" s="4">
        <f>20.06*2080/12</f>
        <v>3477.0666666666662</v>
      </c>
      <c r="G22" s="4">
        <f>26.46*2080/12</f>
        <v>4586.4000000000005</v>
      </c>
      <c r="H22" s="55">
        <v>0</v>
      </c>
      <c r="I22" s="54">
        <f>H22*G22</f>
        <v>0</v>
      </c>
      <c r="J22" s="4">
        <v>0</v>
      </c>
      <c r="K22" s="54">
        <v>0</v>
      </c>
      <c r="L22" s="54">
        <v>0</v>
      </c>
      <c r="M22" s="54"/>
      <c r="N22" s="54">
        <f>SUM(G22,I22:L22)</f>
        <v>4586.4000000000005</v>
      </c>
      <c r="O22" s="4">
        <v>0</v>
      </c>
      <c r="P22" s="4">
        <v>1284</v>
      </c>
      <c r="Q22" s="4">
        <v>108</v>
      </c>
      <c r="R22" s="4">
        <v>5</v>
      </c>
      <c r="S22" s="4">
        <v>4</v>
      </c>
      <c r="T22" s="4">
        <v>0</v>
      </c>
      <c r="U22" s="4">
        <f>0.0145*G22</f>
        <v>66.502800000000008</v>
      </c>
      <c r="V22" s="54">
        <v>0</v>
      </c>
      <c r="W22" s="54">
        <f>SUM(N22:V22)</f>
        <v>6053.9028000000008</v>
      </c>
      <c r="X22" s="55">
        <v>0</v>
      </c>
      <c r="Y22" s="57">
        <f t="shared" ref="Y22" si="26">X22*G22</f>
        <v>0</v>
      </c>
      <c r="Z22" s="54">
        <f t="shared" ref="Z22" si="27">W22-Y22</f>
        <v>6053.9028000000008</v>
      </c>
      <c r="AA22" s="88">
        <v>2711</v>
      </c>
      <c r="AB22" s="87">
        <f t="shared" ref="AB22" si="28">Z22-AA22</f>
        <v>3342.9028000000008</v>
      </c>
      <c r="AC22" s="6"/>
      <c r="AD22" s="2"/>
    </row>
    <row r="23" spans="1:30" ht="12.5" customHeight="1" x14ac:dyDescent="0.2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</row>
    <row r="24" spans="1:30" ht="29" customHeight="1" x14ac:dyDescent="0.2">
      <c r="A24" s="138" t="s">
        <v>161</v>
      </c>
      <c r="B24" s="138"/>
      <c r="C24" s="138"/>
      <c r="D24" s="138"/>
      <c r="E24" s="138"/>
      <c r="F24" s="138"/>
      <c r="G24" s="41">
        <f>MEDIAN(G8:G12)</f>
        <v>4750</v>
      </c>
      <c r="H24" s="27"/>
      <c r="I24" s="42"/>
      <c r="J24" s="42"/>
      <c r="K24" s="42"/>
      <c r="L24" s="42"/>
      <c r="M24" s="42"/>
      <c r="N24" s="41">
        <f>MEDIAN(N8:N12)</f>
        <v>5225</v>
      </c>
      <c r="O24" s="27"/>
      <c r="P24" s="27"/>
      <c r="Q24" s="29"/>
      <c r="R24" s="30"/>
      <c r="S24" s="30"/>
      <c r="T24" s="30"/>
      <c r="U24" s="42"/>
      <c r="V24" s="42"/>
      <c r="W24" s="42"/>
      <c r="X24" s="42"/>
      <c r="Y24" s="42"/>
      <c r="Z24" s="41">
        <f>MEDIAN(Z8:Z12)</f>
        <v>6448.3550000000005</v>
      </c>
      <c r="AA24" s="89"/>
      <c r="AB24" s="41">
        <f>MEDIAN(AB8:AB12)</f>
        <v>4484.369083333333</v>
      </c>
      <c r="AC24" s="10"/>
    </row>
    <row r="25" spans="1:30" ht="29" customHeight="1" x14ac:dyDescent="0.2">
      <c r="A25" s="143" t="s">
        <v>162</v>
      </c>
      <c r="B25" s="143"/>
      <c r="C25" s="143"/>
      <c r="D25" s="143"/>
      <c r="E25" s="143"/>
      <c r="F25" s="143"/>
      <c r="G25" s="40">
        <f>-(G24-G5)/G5</f>
        <v>-0.16612111292962353</v>
      </c>
      <c r="H25" s="27"/>
      <c r="I25" s="42"/>
      <c r="J25" s="42"/>
      <c r="K25" s="42"/>
      <c r="L25" s="42"/>
      <c r="M25" s="42"/>
      <c r="N25" s="40">
        <f>-(N24-N5)/N5</f>
        <v>-0.24537206235202505</v>
      </c>
      <c r="O25" s="27"/>
      <c r="P25" s="27"/>
      <c r="Q25" s="28"/>
      <c r="R25" s="28"/>
      <c r="S25" s="28"/>
      <c r="T25" s="28"/>
      <c r="U25" s="42"/>
      <c r="V25" s="42"/>
      <c r="W25" s="42"/>
      <c r="X25" s="42"/>
      <c r="Y25" s="42"/>
      <c r="Z25" s="40">
        <f>-(Z24-Z5)/Z5</f>
        <v>-0.14731178841850617</v>
      </c>
      <c r="AA25" s="90"/>
      <c r="AB25" s="40">
        <f>-(AB24-AB5)/AB5</f>
        <v>-9.2309017952762903E-2</v>
      </c>
      <c r="AC25" s="10"/>
    </row>
    <row r="26" spans="1:30" ht="29" customHeight="1" x14ac:dyDescent="0.2">
      <c r="A26" s="150" t="s">
        <v>163</v>
      </c>
      <c r="B26" s="151"/>
      <c r="C26" s="151"/>
      <c r="D26" s="151"/>
      <c r="E26" s="151"/>
      <c r="F26" s="152"/>
      <c r="G26" s="39">
        <f>MEDIAN(G8:G12,G14:G22)</f>
        <v>4689.875</v>
      </c>
      <c r="H26" s="27"/>
      <c r="I26" s="42"/>
      <c r="J26" s="42"/>
      <c r="K26" s="42"/>
      <c r="L26" s="42"/>
      <c r="M26" s="42"/>
      <c r="N26" s="39">
        <f>MEDIAN(N8:N12,N14:N22)</f>
        <v>4996.82125</v>
      </c>
      <c r="O26" s="27"/>
      <c r="P26" s="27"/>
      <c r="Q26" s="28"/>
      <c r="R26" s="28"/>
      <c r="S26" s="28"/>
      <c r="T26" s="28"/>
      <c r="U26" s="42"/>
      <c r="V26" s="42"/>
      <c r="W26" s="42"/>
      <c r="X26" s="42"/>
      <c r="Y26" s="42"/>
      <c r="Z26" s="39">
        <f>MEDIAN(Z8:Z12,Z14:Z22)</f>
        <v>6401.0561523848755</v>
      </c>
      <c r="AA26" s="90"/>
      <c r="AB26" s="39">
        <f>MEDIAN(AB8:AB12,AB14:AB22)</f>
        <v>4131.9637291666659</v>
      </c>
      <c r="AC26" s="10"/>
    </row>
    <row r="27" spans="1:30" ht="29" customHeight="1" x14ac:dyDescent="0.2">
      <c r="A27" s="143" t="s">
        <v>164</v>
      </c>
      <c r="B27" s="143"/>
      <c r="C27" s="143"/>
      <c r="D27" s="143"/>
      <c r="E27" s="143"/>
      <c r="F27" s="143"/>
      <c r="G27" s="40">
        <f>-(G26-G5)/G5</f>
        <v>-0.15136047463175117</v>
      </c>
      <c r="H27" s="27"/>
      <c r="I27" s="42"/>
      <c r="J27" s="42"/>
      <c r="K27" s="42"/>
      <c r="L27" s="42"/>
      <c r="M27" s="42"/>
      <c r="N27" s="40">
        <f>-(N26-N5)/N5</f>
        <v>-0.19098594934295191</v>
      </c>
      <c r="O27" s="27"/>
      <c r="P27" s="27"/>
      <c r="Q27" s="28"/>
      <c r="R27" s="28"/>
      <c r="S27" s="28"/>
      <c r="T27" s="28"/>
      <c r="U27" s="42"/>
      <c r="V27" s="42"/>
      <c r="W27" s="42"/>
      <c r="X27" s="42"/>
      <c r="Y27" s="42"/>
      <c r="Z27" s="40">
        <f>-(Z26-Z5)/Z5</f>
        <v>-0.13889622732618984</v>
      </c>
      <c r="AA27" s="90"/>
      <c r="AB27" s="40">
        <f>-(AB26-AB5)/AB5</f>
        <v>-6.469619103603841E-3</v>
      </c>
      <c r="AC27" s="10"/>
    </row>
    <row r="28" spans="1:30" ht="29" hidden="1" customHeight="1" x14ac:dyDescent="0.2">
      <c r="A28" s="143" t="s">
        <v>35</v>
      </c>
      <c r="B28" s="143"/>
      <c r="C28" s="143"/>
      <c r="D28" s="143"/>
      <c r="E28" s="143"/>
      <c r="F28" s="143"/>
      <c r="G28" s="39">
        <f>AVERAGE(G14:G22)</f>
        <v>4843.1042012267699</v>
      </c>
      <c r="H28" s="27"/>
      <c r="I28" s="42"/>
      <c r="J28" s="42"/>
      <c r="K28" s="42"/>
      <c r="L28" s="42"/>
      <c r="M28" s="42"/>
      <c r="N28" s="39">
        <f>AVERAGE(N14:N22)</f>
        <v>4977.3117012267694</v>
      </c>
      <c r="O28" s="27"/>
      <c r="P28" s="27"/>
      <c r="Q28" s="28"/>
      <c r="R28" s="28"/>
      <c r="S28" s="28"/>
      <c r="T28" s="28"/>
      <c r="U28" s="42"/>
      <c r="V28" s="42"/>
      <c r="W28" s="42"/>
      <c r="X28" s="42"/>
      <c r="Y28" s="42"/>
      <c r="Z28" s="39">
        <f>AVERAGE(Z14:Z22)</f>
        <v>6708.1118126206175</v>
      </c>
      <c r="AA28" s="89"/>
      <c r="AB28" s="39">
        <f>AVERAGE(AB14:AB22)</f>
        <v>3663.3118126206173</v>
      </c>
      <c r="AC28" s="10"/>
    </row>
    <row r="29" spans="1:30" ht="29" hidden="1" customHeight="1" x14ac:dyDescent="0.2">
      <c r="A29" s="143" t="s">
        <v>95</v>
      </c>
      <c r="B29" s="143"/>
      <c r="C29" s="143"/>
      <c r="D29" s="143"/>
      <c r="E29" s="143"/>
      <c r="F29" s="143"/>
      <c r="G29" s="40">
        <f>-(G28-G5)/G5</f>
        <v>-0.18897811814077817</v>
      </c>
      <c r="H29" s="27"/>
      <c r="I29" s="42"/>
      <c r="J29" s="42"/>
      <c r="K29" s="42"/>
      <c r="L29" s="42"/>
      <c r="M29" s="42"/>
      <c r="N29" s="40">
        <f>-(N28-N5)/N5</f>
        <v>-0.1863358733637604</v>
      </c>
      <c r="O29" s="27"/>
      <c r="P29" s="27"/>
      <c r="Q29" s="28"/>
      <c r="R29" s="28"/>
      <c r="S29" s="28"/>
      <c r="T29" s="28"/>
      <c r="U29" s="42"/>
      <c r="V29" s="42"/>
      <c r="W29" s="42"/>
      <c r="X29" s="42"/>
      <c r="Y29" s="42"/>
      <c r="Z29" s="40">
        <f>-(Z28-Z5)/Z5</f>
        <v>-0.19352854497760547</v>
      </c>
      <c r="AA29" s="90"/>
      <c r="AB29" s="40">
        <f>-(AB28-AB5)/AB5</f>
        <v>0.10768528322740105</v>
      </c>
      <c r="AC29" s="10"/>
    </row>
    <row r="30" spans="1:30" ht="29" customHeight="1" x14ac:dyDescent="0.2">
      <c r="A30" s="138" t="s">
        <v>23</v>
      </c>
      <c r="B30" s="138"/>
      <c r="C30" s="138"/>
      <c r="D30" s="138"/>
      <c r="E30" s="138"/>
      <c r="F30" s="138"/>
      <c r="G30" s="123">
        <f>COUNT(G8:G12,G14:G22)</f>
        <v>8</v>
      </c>
      <c r="H30" s="27"/>
      <c r="I30" s="42"/>
      <c r="J30" s="42"/>
      <c r="K30" s="42"/>
      <c r="L30" s="42"/>
      <c r="M30" s="42"/>
      <c r="N30" s="122"/>
      <c r="O30" s="27"/>
      <c r="P30" s="27"/>
      <c r="Q30" s="28"/>
      <c r="R30" s="28"/>
      <c r="S30" s="28"/>
      <c r="T30" s="28"/>
      <c r="U30" s="153" t="s">
        <v>165</v>
      </c>
      <c r="V30" s="153"/>
      <c r="W30" s="153"/>
      <c r="X30" s="153"/>
      <c r="Y30" s="154"/>
      <c r="Z30" s="41">
        <f>Z26-AA36</f>
        <v>5215.6811523848755</v>
      </c>
      <c r="AB30" s="39"/>
      <c r="AC30" s="10"/>
    </row>
    <row r="31" spans="1:30" ht="29" customHeight="1" x14ac:dyDescent="0.2">
      <c r="A31" s="157"/>
      <c r="B31" s="157"/>
      <c r="C31" s="157"/>
      <c r="D31" s="157"/>
      <c r="E31" s="157"/>
      <c r="F31" s="157"/>
      <c r="G31" s="90"/>
      <c r="H31" s="27"/>
      <c r="I31" s="42"/>
      <c r="J31" s="42"/>
      <c r="K31" s="42"/>
      <c r="L31" s="42"/>
      <c r="M31" s="42"/>
      <c r="O31" s="27"/>
      <c r="P31" s="27"/>
      <c r="Q31" s="28"/>
      <c r="S31" s="126"/>
      <c r="T31" s="155" t="s">
        <v>166</v>
      </c>
      <c r="U31" s="155"/>
      <c r="V31" s="155"/>
      <c r="W31" s="155"/>
      <c r="X31" s="155"/>
      <c r="Y31" s="156"/>
      <c r="Z31" s="40">
        <f>-(Z30-Z5)/Z5</f>
        <v>7.2009455006216888E-2</v>
      </c>
      <c r="AB31" s="40"/>
      <c r="AC31" s="10"/>
    </row>
    <row r="32" spans="1:30" ht="29" customHeight="1" x14ac:dyDescent="0.2">
      <c r="H32" s="26"/>
      <c r="I32" s="42"/>
      <c r="J32" s="42"/>
      <c r="K32" s="42"/>
      <c r="L32" s="42"/>
      <c r="M32" s="42"/>
      <c r="N32" s="26"/>
      <c r="O32" s="26"/>
      <c r="P32" s="26"/>
      <c r="Q32" s="26"/>
      <c r="R32" s="26"/>
      <c r="S32" s="26"/>
      <c r="T32" s="26"/>
      <c r="U32" s="42"/>
      <c r="V32" s="42"/>
      <c r="W32" s="42"/>
      <c r="X32" s="118"/>
      <c r="Y32" s="118"/>
      <c r="Z32" s="118"/>
      <c r="AA32" s="119"/>
      <c r="AB32" s="26"/>
      <c r="AC32" s="7"/>
    </row>
    <row r="33" spans="1:29" ht="16" x14ac:dyDescent="0.2">
      <c r="A33" s="36" t="s">
        <v>45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11"/>
      <c r="X33" s="11"/>
      <c r="Y33" s="153"/>
      <c r="Z33" s="153"/>
      <c r="AA33" s="7"/>
      <c r="AB33" s="7"/>
      <c r="AC33" s="7"/>
    </row>
    <row r="34" spans="1:29" ht="16" x14ac:dyDescent="0.2">
      <c r="A34" t="s">
        <v>90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11"/>
      <c r="X34" s="11"/>
      <c r="Y34" s="11"/>
      <c r="Z34" s="7"/>
      <c r="AA34" s="7"/>
      <c r="AB34" s="7"/>
      <c r="AC34" s="7"/>
    </row>
    <row r="35" spans="1:29" ht="24" customHeight="1" x14ac:dyDescent="0.2">
      <c r="A35" s="43" t="s">
        <v>149</v>
      </c>
      <c r="W35" s="153" t="s">
        <v>167</v>
      </c>
      <c r="X35" s="153"/>
      <c r="Y35" s="153"/>
      <c r="Z35" s="153"/>
      <c r="AA35" s="127">
        <f>AVERAGE(AA8:AA12,AA14:AA22)</f>
        <v>2700.375</v>
      </c>
    </row>
    <row r="36" spans="1:29" ht="16" x14ac:dyDescent="0.2">
      <c r="A36" s="43" t="s">
        <v>153</v>
      </c>
      <c r="W36" s="157" t="s">
        <v>168</v>
      </c>
      <c r="X36" s="157"/>
      <c r="Y36" s="157"/>
      <c r="Z36" s="157"/>
      <c r="AA36" s="128">
        <f>AA35-AA5</f>
        <v>1185.375</v>
      </c>
    </row>
    <row r="37" spans="1:29" x14ac:dyDescent="0.15">
      <c r="A37" s="43"/>
    </row>
    <row r="38" spans="1:29" x14ac:dyDescent="0.15">
      <c r="A38" s="43"/>
    </row>
    <row r="41" spans="1:29" ht="28.5" customHeight="1" x14ac:dyDescent="0.15"/>
    <row r="42" spans="1:29" ht="28.5" customHeight="1" x14ac:dyDescent="0.15">
      <c r="A42" t="s">
        <v>138</v>
      </c>
    </row>
    <row r="43" spans="1:29" ht="28.5" customHeight="1" x14ac:dyDescent="0.15"/>
    <row r="44" spans="1:29" ht="28.5" customHeight="1" x14ac:dyDescent="0.15"/>
    <row r="45" spans="1:29" ht="28.5" customHeight="1" x14ac:dyDescent="0.15"/>
    <row r="46" spans="1:29" ht="28.5" customHeight="1" x14ac:dyDescent="0.15"/>
    <row r="47" spans="1:29" ht="28.5" customHeight="1" x14ac:dyDescent="0.15"/>
    <row r="86" spans="1:1" x14ac:dyDescent="0.15">
      <c r="A86" t="s">
        <v>30</v>
      </c>
    </row>
  </sheetData>
  <sortState xmlns:xlrd2="http://schemas.microsoft.com/office/spreadsheetml/2017/richdata2" ref="A14:C22">
    <sortCondition ref="A14:A22"/>
  </sortState>
  <mergeCells count="17">
    <mergeCell ref="T31:Y31"/>
    <mergeCell ref="W36:Z36"/>
    <mergeCell ref="Y33:Z33"/>
    <mergeCell ref="W35:Z35"/>
    <mergeCell ref="A31:F31"/>
    <mergeCell ref="A30:F30"/>
    <mergeCell ref="A6:AC6"/>
    <mergeCell ref="A23:AC23"/>
    <mergeCell ref="A24:F24"/>
    <mergeCell ref="A25:F25"/>
    <mergeCell ref="A28:F28"/>
    <mergeCell ref="A29:F29"/>
    <mergeCell ref="A13:AC13"/>
    <mergeCell ref="A7:AC7"/>
    <mergeCell ref="A26:F26"/>
    <mergeCell ref="A27:F27"/>
    <mergeCell ref="U30:Y30"/>
  </mergeCells>
  <pageMargins left="0.5" right="0.5" top="0.5" bottom="0.5" header="0.5" footer="0.5"/>
  <pageSetup paperSize="5" scale="27" orientation="landscape" r:id="rId1"/>
  <headerFooter alignWithMargins="0">
    <oddHeader>&amp;L&amp;K000000Appendix A&amp;C&amp;K000000Yolo County RCD
Total Compensation Study 
4/2021</oddHead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AD46"/>
  <sheetViews>
    <sheetView topLeftCell="T19" zoomScale="110" zoomScaleNormal="110" workbookViewId="0">
      <selection activeCell="AA35" sqref="AA35:AA36"/>
    </sheetView>
  </sheetViews>
  <sheetFormatPr baseColWidth="10" defaultColWidth="8.83203125" defaultRowHeight="13" x14ac:dyDescent="0.15"/>
  <cols>
    <col min="1" max="1" width="28.83203125" customWidth="1"/>
    <col min="2" max="2" width="30.83203125" customWidth="1"/>
    <col min="3" max="3" width="14.5" hidden="1" customWidth="1"/>
    <col min="4" max="5" width="14.5" customWidth="1"/>
    <col min="6" max="7" width="13.5" customWidth="1"/>
    <col min="8" max="8" width="14.83203125" customWidth="1"/>
    <col min="9" max="9" width="14.1640625" customWidth="1"/>
    <col min="10" max="10" width="19.33203125" customWidth="1"/>
    <col min="11" max="12" width="15.1640625" customWidth="1"/>
    <col min="13" max="13" width="19" customWidth="1"/>
    <col min="14" max="20" width="13.5" customWidth="1"/>
    <col min="21" max="21" width="15.1640625" customWidth="1"/>
    <col min="22" max="25" width="13.5" customWidth="1"/>
    <col min="26" max="27" width="17.1640625" customWidth="1"/>
    <col min="28" max="28" width="17.1640625" hidden="1" customWidth="1"/>
    <col min="29" max="29" width="49.5" customWidth="1"/>
  </cols>
  <sheetData>
    <row r="3" spans="1:30" ht="14" thickBot="1" x14ac:dyDescent="0.2">
      <c r="A3" s="44" t="s">
        <v>32</v>
      </c>
    </row>
    <row r="4" spans="1:30" ht="103" thickBot="1" x14ac:dyDescent="0.25">
      <c r="A4" s="21" t="s">
        <v>0</v>
      </c>
      <c r="B4" s="22" t="s">
        <v>1</v>
      </c>
      <c r="C4" s="23" t="s">
        <v>29</v>
      </c>
      <c r="D4" s="23" t="s">
        <v>134</v>
      </c>
      <c r="E4" s="23" t="s">
        <v>135</v>
      </c>
      <c r="F4" s="23" t="s">
        <v>2</v>
      </c>
      <c r="G4" s="23" t="s">
        <v>3</v>
      </c>
      <c r="H4" s="23" t="s">
        <v>7</v>
      </c>
      <c r="I4" s="23" t="s">
        <v>8</v>
      </c>
      <c r="J4" s="23" t="s">
        <v>9</v>
      </c>
      <c r="K4" s="23" t="s">
        <v>15</v>
      </c>
      <c r="L4" s="23" t="s">
        <v>40</v>
      </c>
      <c r="M4" s="23" t="s">
        <v>33</v>
      </c>
      <c r="N4" s="23" t="s">
        <v>21</v>
      </c>
      <c r="O4" s="23" t="s">
        <v>16</v>
      </c>
      <c r="P4" s="23" t="s">
        <v>14</v>
      </c>
      <c r="Q4" s="23" t="s">
        <v>10</v>
      </c>
      <c r="R4" s="23" t="s">
        <v>11</v>
      </c>
      <c r="S4" s="23" t="s">
        <v>12</v>
      </c>
      <c r="T4" s="23" t="s">
        <v>28</v>
      </c>
      <c r="U4" s="23" t="s">
        <v>41</v>
      </c>
      <c r="V4" s="23" t="s">
        <v>36</v>
      </c>
      <c r="W4" s="23" t="s">
        <v>25</v>
      </c>
      <c r="X4" s="23" t="s">
        <v>27</v>
      </c>
      <c r="Y4" s="23" t="s">
        <v>24</v>
      </c>
      <c r="Z4" s="23" t="s">
        <v>26</v>
      </c>
      <c r="AA4" s="85" t="s">
        <v>137</v>
      </c>
      <c r="AB4" s="23" t="s">
        <v>136</v>
      </c>
      <c r="AC4" s="24" t="s">
        <v>4</v>
      </c>
    </row>
    <row r="5" spans="1:30" ht="71.5" customHeight="1" thickBot="1" x14ac:dyDescent="0.25">
      <c r="A5" s="18" t="s">
        <v>44</v>
      </c>
      <c r="B5" s="19" t="s">
        <v>56</v>
      </c>
      <c r="C5" s="19"/>
      <c r="D5" s="67">
        <v>2.5</v>
      </c>
      <c r="E5" s="84">
        <v>398100</v>
      </c>
      <c r="F5" s="17">
        <f>24.93*2080/12</f>
        <v>4321.2</v>
      </c>
      <c r="G5" s="17">
        <f>35.2*2080/12</f>
        <v>6101.333333333333</v>
      </c>
      <c r="H5" s="50">
        <v>0</v>
      </c>
      <c r="I5" s="59">
        <f>H5*G5</f>
        <v>0</v>
      </c>
      <c r="J5" s="60">
        <f>0.03*G5</f>
        <v>183.04</v>
      </c>
      <c r="K5" s="60">
        <v>0</v>
      </c>
      <c r="L5" s="60">
        <v>0</v>
      </c>
      <c r="M5" s="60"/>
      <c r="N5" s="60">
        <f>SUM(G5,I5:L5)</f>
        <v>6284.373333333333</v>
      </c>
      <c r="O5" s="34">
        <v>0</v>
      </c>
      <c r="P5" s="34">
        <v>1053.2</v>
      </c>
      <c r="Q5" s="34">
        <v>52.46</v>
      </c>
      <c r="R5" s="34">
        <v>7.6</v>
      </c>
      <c r="S5" s="34">
        <v>0</v>
      </c>
      <c r="T5" s="34">
        <v>0</v>
      </c>
      <c r="U5" s="34">
        <f>IF(G5&gt;11900,(11900*0.062)+(0.0145*G5),(0.0765*G5))</f>
        <v>466.75199999999995</v>
      </c>
      <c r="V5" s="34">
        <v>0</v>
      </c>
      <c r="W5" s="60">
        <f>SUM(N5:V5)</f>
        <v>7864.3853333333336</v>
      </c>
      <c r="X5" s="50">
        <v>0</v>
      </c>
      <c r="Y5" s="60">
        <f>X5*G5</f>
        <v>0</v>
      </c>
      <c r="Z5" s="60">
        <f>W5-Y5</f>
        <v>7864.3853333333336</v>
      </c>
      <c r="AA5" s="86">
        <v>1515</v>
      </c>
      <c r="AB5" s="86">
        <f>Z5-AA5</f>
        <v>6349.3853333333336</v>
      </c>
      <c r="AC5" s="20"/>
      <c r="AD5" s="2"/>
    </row>
    <row r="6" spans="1:30" ht="12.5" customHeight="1" thickBot="1" x14ac:dyDescent="0.25">
      <c r="A6" s="139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1"/>
      <c r="AD6" s="2"/>
    </row>
    <row r="7" spans="1:30" ht="12.5" customHeight="1" x14ac:dyDescent="0.2">
      <c r="A7" s="147" t="s">
        <v>159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9"/>
      <c r="AD7" s="2"/>
    </row>
    <row r="8" spans="1:30" s="43" customFormat="1" ht="45" customHeight="1" x14ac:dyDescent="0.2">
      <c r="A8" s="15" t="s">
        <v>46</v>
      </c>
      <c r="B8" s="9" t="s">
        <v>43</v>
      </c>
      <c r="C8" s="116"/>
      <c r="D8" s="117"/>
      <c r="E8" s="70"/>
      <c r="F8" s="4"/>
      <c r="G8" s="4"/>
      <c r="H8" s="13"/>
      <c r="I8" s="4"/>
      <c r="J8" s="4"/>
      <c r="K8" s="4"/>
      <c r="L8" s="4"/>
      <c r="M8" s="35"/>
      <c r="N8" s="4"/>
      <c r="O8" s="4"/>
      <c r="P8" s="4"/>
      <c r="Q8" s="4"/>
      <c r="R8" s="4"/>
      <c r="S8" s="4"/>
      <c r="T8" s="4"/>
      <c r="U8" s="4"/>
      <c r="V8" s="4"/>
      <c r="W8" s="4"/>
      <c r="X8" s="13"/>
      <c r="Y8" s="4"/>
      <c r="Z8" s="4"/>
      <c r="AA8" s="88"/>
      <c r="AB8" s="87"/>
      <c r="AC8" s="5"/>
      <c r="AD8" s="2"/>
    </row>
    <row r="9" spans="1:30" s="43" customFormat="1" ht="45" customHeight="1" x14ac:dyDescent="0.2">
      <c r="A9" s="51" t="s">
        <v>102</v>
      </c>
      <c r="B9" s="9" t="s">
        <v>43</v>
      </c>
      <c r="C9" s="8"/>
      <c r="D9" s="72"/>
      <c r="E9" s="70"/>
      <c r="F9" s="4"/>
      <c r="G9" s="4"/>
      <c r="H9" s="13"/>
      <c r="I9" s="4"/>
      <c r="J9" s="4"/>
      <c r="K9" s="4"/>
      <c r="L9" s="4"/>
      <c r="M9" s="35"/>
      <c r="N9" s="4"/>
      <c r="O9" s="4"/>
      <c r="P9" s="4"/>
      <c r="Q9" s="4"/>
      <c r="R9" s="4"/>
      <c r="S9" s="4"/>
      <c r="T9" s="4"/>
      <c r="U9" s="4"/>
      <c r="V9" s="4"/>
      <c r="W9" s="4"/>
      <c r="X9" s="13"/>
      <c r="Y9" s="4"/>
      <c r="Z9" s="4"/>
      <c r="AA9" s="88"/>
      <c r="AB9" s="91"/>
      <c r="AC9" s="6"/>
      <c r="AD9" s="2"/>
    </row>
    <row r="10" spans="1:30" s="43" customFormat="1" ht="45" customHeight="1" x14ac:dyDescent="0.2">
      <c r="A10" s="15" t="s">
        <v>94</v>
      </c>
      <c r="B10" s="9" t="s">
        <v>43</v>
      </c>
      <c r="C10" s="8"/>
      <c r="D10" s="72"/>
      <c r="E10" s="70"/>
      <c r="F10" s="4"/>
      <c r="G10" s="4"/>
      <c r="H10" s="13"/>
      <c r="I10" s="4"/>
      <c r="J10" s="4"/>
      <c r="K10" s="4"/>
      <c r="L10" s="4"/>
      <c r="M10" s="35"/>
      <c r="N10" s="4"/>
      <c r="O10" s="4"/>
      <c r="P10" s="4"/>
      <c r="Q10" s="4"/>
      <c r="R10" s="4"/>
      <c r="S10" s="4"/>
      <c r="T10" s="4"/>
      <c r="U10" s="4"/>
      <c r="V10" s="4"/>
      <c r="W10" s="4"/>
      <c r="X10" s="13"/>
      <c r="Y10" s="4"/>
      <c r="Z10" s="4"/>
      <c r="AA10" s="88"/>
      <c r="AB10" s="91"/>
      <c r="AC10" s="6"/>
      <c r="AD10" s="2"/>
    </row>
    <row r="11" spans="1:30" s="43" customFormat="1" ht="45" customHeight="1" x14ac:dyDescent="0.2">
      <c r="A11" s="15" t="s">
        <v>63</v>
      </c>
      <c r="B11" s="9" t="s">
        <v>43</v>
      </c>
      <c r="C11" s="8"/>
      <c r="D11" s="72"/>
      <c r="E11" s="70"/>
      <c r="F11" s="4"/>
      <c r="G11" s="4"/>
      <c r="H11" s="53"/>
      <c r="I11" s="52"/>
      <c r="J11" s="54"/>
      <c r="K11" s="54"/>
      <c r="L11" s="57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5"/>
      <c r="Y11" s="54"/>
      <c r="Z11" s="54"/>
      <c r="AA11" s="87"/>
      <c r="AB11" s="91"/>
      <c r="AC11" s="6"/>
      <c r="AD11" s="2"/>
    </row>
    <row r="12" spans="1:30" s="43" customFormat="1" ht="45" customHeight="1" x14ac:dyDescent="0.2">
      <c r="A12" s="15" t="s">
        <v>64</v>
      </c>
      <c r="B12" s="9" t="s">
        <v>43</v>
      </c>
      <c r="C12" s="9"/>
      <c r="D12" s="74"/>
      <c r="E12" s="74"/>
      <c r="F12" s="4"/>
      <c r="G12" s="4"/>
      <c r="H12" s="13"/>
      <c r="I12" s="4"/>
      <c r="J12" s="4"/>
      <c r="K12" s="4"/>
      <c r="L12" s="4"/>
      <c r="M12" s="35"/>
      <c r="N12" s="4"/>
      <c r="O12" s="4"/>
      <c r="P12" s="4"/>
      <c r="Q12" s="4"/>
      <c r="R12" s="4"/>
      <c r="S12" s="4"/>
      <c r="T12" s="4"/>
      <c r="U12" s="4"/>
      <c r="V12" s="4"/>
      <c r="W12" s="4"/>
      <c r="X12" s="13"/>
      <c r="Y12" s="4"/>
      <c r="Z12" s="4"/>
      <c r="AA12" s="88"/>
      <c r="AB12" s="91"/>
      <c r="AC12" s="5"/>
      <c r="AD12" s="2"/>
    </row>
    <row r="13" spans="1:30" s="43" customFormat="1" ht="18" customHeight="1" x14ac:dyDescent="0.2">
      <c r="A13" s="144" t="s">
        <v>160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6"/>
      <c r="AD13" s="2"/>
    </row>
    <row r="14" spans="1:30" s="43" customFormat="1" ht="45" customHeight="1" x14ac:dyDescent="0.2">
      <c r="A14" s="15" t="s">
        <v>48</v>
      </c>
      <c r="B14" s="47" t="s">
        <v>122</v>
      </c>
      <c r="C14" s="61" t="s">
        <v>128</v>
      </c>
      <c r="D14" s="92"/>
      <c r="E14" s="70">
        <v>327000</v>
      </c>
      <c r="F14" s="14">
        <f>5406/1.0923</f>
        <v>4949.1897830266407</v>
      </c>
      <c r="G14" s="14">
        <f>6771/1.0923</f>
        <v>6198.8464707497933</v>
      </c>
      <c r="H14" s="53">
        <v>0</v>
      </c>
      <c r="I14" s="52">
        <f>H14*G14</f>
        <v>0</v>
      </c>
      <c r="J14" s="54">
        <v>0</v>
      </c>
      <c r="K14" s="54">
        <v>0</v>
      </c>
      <c r="L14" s="54">
        <v>0</v>
      </c>
      <c r="M14" s="54"/>
      <c r="N14" s="54">
        <f t="shared" ref="N14" si="0">SUM(G14,I14:L14)</f>
        <v>6198.8464707497933</v>
      </c>
      <c r="O14" s="54">
        <v>1723</v>
      </c>
      <c r="P14" s="54" t="s">
        <v>34</v>
      </c>
      <c r="Q14" s="54" t="s">
        <v>34</v>
      </c>
      <c r="R14" s="54" t="s">
        <v>34</v>
      </c>
      <c r="S14" s="54">
        <v>9.75</v>
      </c>
      <c r="T14" s="54">
        <v>0</v>
      </c>
      <c r="U14" s="54">
        <f t="shared" ref="U14" si="1">IF(G14&gt;11900,(11900*0.062)+(0.0145*G14),(0.0765*G14))</f>
        <v>474.21175501235916</v>
      </c>
      <c r="V14" s="54">
        <v>0</v>
      </c>
      <c r="W14" s="54">
        <f t="shared" ref="W14" si="2">SUM(N14:V14)</f>
        <v>8405.8082257621518</v>
      </c>
      <c r="X14" s="55">
        <v>0</v>
      </c>
      <c r="Y14" s="54">
        <f t="shared" ref="Y14" si="3">X14*G14</f>
        <v>0</v>
      </c>
      <c r="Z14" s="54">
        <f t="shared" ref="Z14" si="4">W14-Y14</f>
        <v>8405.8082257621518</v>
      </c>
      <c r="AA14" s="91">
        <v>1205</v>
      </c>
      <c r="AB14" s="91">
        <f>Z14-AA14</f>
        <v>7200.8082257621518</v>
      </c>
      <c r="AC14" s="25"/>
      <c r="AD14" s="2"/>
    </row>
    <row r="15" spans="1:30" s="43" customFormat="1" ht="45" customHeight="1" x14ac:dyDescent="0.2">
      <c r="A15" s="15" t="s">
        <v>53</v>
      </c>
      <c r="B15" s="56" t="s">
        <v>127</v>
      </c>
      <c r="C15" s="16" t="s">
        <v>126</v>
      </c>
      <c r="D15" s="69">
        <v>35.9</v>
      </c>
      <c r="E15" s="81">
        <v>384800</v>
      </c>
      <c r="F15" s="54">
        <f>5149/1.0923</f>
        <v>4713.9064359608165</v>
      </c>
      <c r="G15" s="54">
        <f>6446/1.0923</f>
        <v>5901.3091641490428</v>
      </c>
      <c r="H15" s="53">
        <v>0</v>
      </c>
      <c r="I15" s="52">
        <f t="shared" ref="I15" si="5">H15*G15</f>
        <v>0</v>
      </c>
      <c r="J15" s="54">
        <v>0</v>
      </c>
      <c r="K15" s="54">
        <v>0</v>
      </c>
      <c r="L15" s="54">
        <v>0</v>
      </c>
      <c r="M15" s="54"/>
      <c r="N15" s="54">
        <f>SUM(G15,I15:L15)</f>
        <v>5901.3091641490428</v>
      </c>
      <c r="O15" s="54">
        <v>260</v>
      </c>
      <c r="P15" s="54">
        <v>1567</v>
      </c>
      <c r="Q15" s="54">
        <v>96.21</v>
      </c>
      <c r="R15" s="54">
        <v>8.27</v>
      </c>
      <c r="S15" s="54">
        <v>0</v>
      </c>
      <c r="T15" s="54">
        <v>0</v>
      </c>
      <c r="U15" s="54">
        <f>IF(G15&gt;11900,(11900*0.062)+(0.0145*G15),(0.0765*G15))</f>
        <v>451.45015105740174</v>
      </c>
      <c r="V15" s="54">
        <v>0</v>
      </c>
      <c r="W15" s="54">
        <f>SUM(N15:V15)</f>
        <v>8284.2393152064451</v>
      </c>
      <c r="X15" s="55">
        <v>0</v>
      </c>
      <c r="Y15" s="54">
        <f>X15*G15</f>
        <v>0</v>
      </c>
      <c r="Z15" s="54">
        <f>W15-Y15</f>
        <v>8284.2393152064451</v>
      </c>
      <c r="AA15" s="87">
        <v>1457</v>
      </c>
      <c r="AB15" s="91">
        <f t="shared" ref="AB15:AB21" si="6">Z15-AA15</f>
        <v>6827.2393152064451</v>
      </c>
      <c r="AC15" s="5"/>
      <c r="AD15" s="2"/>
    </row>
    <row r="16" spans="1:30" s="43" customFormat="1" ht="45" customHeight="1" x14ac:dyDescent="0.2">
      <c r="A16" s="15" t="s">
        <v>54</v>
      </c>
      <c r="B16" s="9" t="s">
        <v>43</v>
      </c>
      <c r="C16" s="8"/>
      <c r="D16" s="70"/>
      <c r="E16" s="70"/>
      <c r="F16" s="62"/>
      <c r="G16" s="4"/>
      <c r="H16" s="55"/>
      <c r="I16" s="52"/>
      <c r="J16" s="54"/>
      <c r="K16" s="54"/>
      <c r="L16" s="54"/>
      <c r="M16" s="57"/>
      <c r="N16" s="54"/>
      <c r="O16" s="54"/>
      <c r="P16" s="54"/>
      <c r="Q16" s="4"/>
      <c r="R16" s="4"/>
      <c r="S16" s="54"/>
      <c r="T16" s="54"/>
      <c r="U16" s="54"/>
      <c r="V16" s="54"/>
      <c r="W16" s="54"/>
      <c r="X16" s="55"/>
      <c r="Y16" s="54"/>
      <c r="Z16" s="54"/>
      <c r="AA16" s="87"/>
      <c r="AB16" s="91"/>
      <c r="AC16" s="6"/>
      <c r="AD16" s="2"/>
    </row>
    <row r="17" spans="1:30" s="43" customFormat="1" ht="45" customHeight="1" x14ac:dyDescent="0.2">
      <c r="A17" s="15" t="s">
        <v>103</v>
      </c>
      <c r="B17" s="56" t="s">
        <v>43</v>
      </c>
      <c r="C17" s="8"/>
      <c r="D17" s="72"/>
      <c r="E17" s="72"/>
      <c r="F17" s="4"/>
      <c r="G17" s="4"/>
      <c r="H17" s="13"/>
      <c r="I17" s="4"/>
      <c r="J17" s="4"/>
      <c r="K17" s="4"/>
      <c r="L17" s="4"/>
      <c r="M17" s="35"/>
      <c r="N17" s="4"/>
      <c r="O17" s="4"/>
      <c r="P17" s="4"/>
      <c r="Q17" s="4"/>
      <c r="R17" s="4"/>
      <c r="S17" s="4"/>
      <c r="T17" s="4"/>
      <c r="U17" s="4"/>
      <c r="V17" s="4"/>
      <c r="W17" s="4"/>
      <c r="X17" s="13"/>
      <c r="Y17" s="4"/>
      <c r="Z17" s="4"/>
      <c r="AA17" s="88"/>
      <c r="AB17" s="91"/>
      <c r="AC17" s="6"/>
      <c r="AD17" s="2"/>
    </row>
    <row r="18" spans="1:30" s="43" customFormat="1" ht="45" customHeight="1" x14ac:dyDescent="0.2">
      <c r="A18" s="15" t="s">
        <v>49</v>
      </c>
      <c r="B18" s="56" t="s">
        <v>123</v>
      </c>
      <c r="C18" s="8"/>
      <c r="D18" s="70">
        <v>13</v>
      </c>
      <c r="E18" s="70">
        <v>693700</v>
      </c>
      <c r="F18" s="4">
        <f>47600/12</f>
        <v>3966.6666666666665</v>
      </c>
      <c r="G18" s="4">
        <f>64400/12</f>
        <v>5366.666666666667</v>
      </c>
      <c r="H18" s="55">
        <v>0</v>
      </c>
      <c r="I18" s="54">
        <f>H18*G18</f>
        <v>0</v>
      </c>
      <c r="J18" s="54">
        <f>0.05*G18</f>
        <v>268.33333333333337</v>
      </c>
      <c r="K18" s="54">
        <v>0</v>
      </c>
      <c r="L18" s="54">
        <v>0</v>
      </c>
      <c r="M18" s="54"/>
      <c r="N18" s="54">
        <f>SUM(G18,I18:L18)</f>
        <v>5635</v>
      </c>
      <c r="O18" s="54">
        <v>0</v>
      </c>
      <c r="P18" s="4">
        <v>2166.63</v>
      </c>
      <c r="Q18" s="4">
        <f>6000/12</f>
        <v>500</v>
      </c>
      <c r="R18" s="4">
        <v>0</v>
      </c>
      <c r="S18" s="4">
        <v>4.5</v>
      </c>
      <c r="T18" s="54">
        <v>0</v>
      </c>
      <c r="U18" s="54">
        <f>IF(G18&gt;11900,(0.062*11900)+(0.0145*G18),(0.0765*G18))</f>
        <v>410.55</v>
      </c>
      <c r="V18" s="54">
        <v>0</v>
      </c>
      <c r="W18" s="54">
        <f>SUM(N18:V18)</f>
        <v>8716.68</v>
      </c>
      <c r="X18" s="55">
        <v>0</v>
      </c>
      <c r="Y18" s="57">
        <f t="shared" ref="Y18" si="7">X18*G18</f>
        <v>0</v>
      </c>
      <c r="Z18" s="54">
        <f t="shared" ref="Z18" si="8">W18-Y18</f>
        <v>8716.68</v>
      </c>
      <c r="AA18" s="88">
        <v>2801</v>
      </c>
      <c r="AB18" s="91">
        <f t="shared" si="6"/>
        <v>5915.68</v>
      </c>
      <c r="AC18" s="6"/>
      <c r="AD18" s="2"/>
    </row>
    <row r="19" spans="1:30" s="43" customFormat="1" ht="45" customHeight="1" x14ac:dyDescent="0.2">
      <c r="A19" s="15" t="s">
        <v>50</v>
      </c>
      <c r="B19" s="9" t="s">
        <v>124</v>
      </c>
      <c r="C19" s="8"/>
      <c r="D19" s="70">
        <v>9</v>
      </c>
      <c r="E19" s="70">
        <v>365800</v>
      </c>
      <c r="F19" s="4">
        <f>31.93*2080/12</f>
        <v>5534.5333333333328</v>
      </c>
      <c r="G19" s="4">
        <f>F19</f>
        <v>5534.5333333333328</v>
      </c>
      <c r="H19" s="55">
        <v>0</v>
      </c>
      <c r="I19" s="52">
        <f>H19*G19</f>
        <v>0</v>
      </c>
      <c r="J19" s="54">
        <f>0.04*G19</f>
        <v>221.38133333333332</v>
      </c>
      <c r="K19" s="54">
        <v>0</v>
      </c>
      <c r="L19" s="54">
        <v>0</v>
      </c>
      <c r="M19" s="54"/>
      <c r="N19" s="54">
        <f>SUM(G19,I19:L19)</f>
        <v>5755.9146666666666</v>
      </c>
      <c r="O19" s="54">
        <v>0</v>
      </c>
      <c r="P19" s="54">
        <f>1646+250+250+250</f>
        <v>2396</v>
      </c>
      <c r="Q19" s="54">
        <v>42.6</v>
      </c>
      <c r="R19" s="54">
        <v>0</v>
      </c>
      <c r="S19" s="54">
        <v>4.25</v>
      </c>
      <c r="T19" s="54">
        <v>0</v>
      </c>
      <c r="U19" s="54">
        <f t="shared" ref="U19:U20" si="9">IF(G19&gt;11900,(11900*0.062)+(0.0145*G19),(0.0765*G19))</f>
        <v>423.39179999999993</v>
      </c>
      <c r="V19" s="54">
        <v>0</v>
      </c>
      <c r="W19" s="54">
        <f>SUM(N19:V19)</f>
        <v>8622.1564666666654</v>
      </c>
      <c r="X19" s="55">
        <v>0</v>
      </c>
      <c r="Y19" s="54">
        <f>X19*G19</f>
        <v>0</v>
      </c>
      <c r="Z19" s="54">
        <f>W19-Y19</f>
        <v>8622.1564666666654</v>
      </c>
      <c r="AA19" s="87">
        <v>1461</v>
      </c>
      <c r="AB19" s="91">
        <f t="shared" si="6"/>
        <v>7161.1564666666654</v>
      </c>
      <c r="AC19" s="58" t="s">
        <v>108</v>
      </c>
      <c r="AD19" s="2"/>
    </row>
    <row r="20" spans="1:30" s="43" customFormat="1" ht="45" customHeight="1" x14ac:dyDescent="0.2">
      <c r="A20" s="15" t="s">
        <v>105</v>
      </c>
      <c r="B20" s="9" t="s">
        <v>132</v>
      </c>
      <c r="C20" s="8"/>
      <c r="D20" s="72">
        <v>8.1</v>
      </c>
      <c r="E20" s="82">
        <v>1.1200000000000001</v>
      </c>
      <c r="F20" s="4">
        <f>97506/12</f>
        <v>8125.5</v>
      </c>
      <c r="G20" s="4">
        <f>97506/12</f>
        <v>8125.5</v>
      </c>
      <c r="H20" s="55">
        <v>0</v>
      </c>
      <c r="I20" s="54">
        <f>H20*G20</f>
        <v>0</v>
      </c>
      <c r="J20" s="57">
        <f>0.07*G20</f>
        <v>568.78500000000008</v>
      </c>
      <c r="K20" s="54">
        <v>0</v>
      </c>
      <c r="L20" s="54">
        <v>0</v>
      </c>
      <c r="M20" s="54"/>
      <c r="N20" s="54">
        <f>SUM(G20,I20:L20)</f>
        <v>8694.2849999999999</v>
      </c>
      <c r="O20" s="54">
        <v>450</v>
      </c>
      <c r="P20" s="54" t="s">
        <v>34</v>
      </c>
      <c r="Q20" s="54" t="s">
        <v>34</v>
      </c>
      <c r="R20" s="54" t="s">
        <v>34</v>
      </c>
      <c r="S20" s="54" t="s">
        <v>34</v>
      </c>
      <c r="T20" s="54">
        <v>0</v>
      </c>
      <c r="U20" s="54">
        <f t="shared" si="9"/>
        <v>621.60074999999995</v>
      </c>
      <c r="V20" s="54">
        <v>0</v>
      </c>
      <c r="W20" s="54">
        <f>SUM(N20:V20)</f>
        <v>9765.8857499999995</v>
      </c>
      <c r="X20" s="55">
        <v>0</v>
      </c>
      <c r="Y20" s="57">
        <f t="shared" ref="Y20" si="10">X20*G20</f>
        <v>0</v>
      </c>
      <c r="Z20" s="54">
        <f t="shared" ref="Z20" si="11">W20-Y20</f>
        <v>9765.8857499999995</v>
      </c>
      <c r="AA20" s="88">
        <v>5005</v>
      </c>
      <c r="AB20" s="91">
        <f t="shared" si="6"/>
        <v>4760.8857499999995</v>
      </c>
      <c r="AC20" s="6"/>
      <c r="AD20" s="2"/>
    </row>
    <row r="21" spans="1:30" s="43" customFormat="1" ht="45" customHeight="1" x14ac:dyDescent="0.2">
      <c r="A21" s="15" t="s">
        <v>52</v>
      </c>
      <c r="B21" s="9" t="s">
        <v>125</v>
      </c>
      <c r="C21" s="8"/>
      <c r="D21" s="72">
        <v>38.9</v>
      </c>
      <c r="E21" s="70">
        <v>462600</v>
      </c>
      <c r="F21" s="4">
        <v>6662</v>
      </c>
      <c r="G21" s="4">
        <v>8089</v>
      </c>
      <c r="H21" s="53">
        <v>7.0000000000000007E-2</v>
      </c>
      <c r="I21" s="52">
        <f>H21*G21</f>
        <v>566.23</v>
      </c>
      <c r="J21" s="54">
        <v>0</v>
      </c>
      <c r="K21" s="54">
        <v>0</v>
      </c>
      <c r="L21" s="54">
        <v>0</v>
      </c>
      <c r="M21" s="54"/>
      <c r="N21" s="54">
        <f t="shared" ref="N21" si="12">SUM(G21,I21:L21)</f>
        <v>8655.23</v>
      </c>
      <c r="O21" s="54">
        <v>0</v>
      </c>
      <c r="P21" s="54">
        <v>1692.37</v>
      </c>
      <c r="Q21" s="54">
        <v>147.38999999999999</v>
      </c>
      <c r="R21" s="54">
        <v>0</v>
      </c>
      <c r="S21" s="54">
        <v>0</v>
      </c>
      <c r="T21" s="54">
        <v>0</v>
      </c>
      <c r="U21" s="54">
        <f>0.0145*G21</f>
        <v>117.29050000000001</v>
      </c>
      <c r="V21" s="54">
        <v>0</v>
      </c>
      <c r="W21" s="54">
        <f t="shared" ref="W21" si="13">SUM(N21:V21)</f>
        <v>10612.280499999997</v>
      </c>
      <c r="X21" s="55">
        <v>0</v>
      </c>
      <c r="Y21" s="54">
        <f t="shared" ref="Y21" si="14">X21*G21</f>
        <v>0</v>
      </c>
      <c r="Z21" s="54">
        <f t="shared" ref="Z21" si="15">W21-Y21</f>
        <v>10612.280499999997</v>
      </c>
      <c r="AA21" s="87">
        <v>1796</v>
      </c>
      <c r="AB21" s="91">
        <f t="shared" si="6"/>
        <v>8816.2804999999971</v>
      </c>
      <c r="AC21" s="6"/>
      <c r="AD21" s="2"/>
    </row>
    <row r="22" spans="1:30" s="43" customFormat="1" ht="45" customHeight="1" x14ac:dyDescent="0.2">
      <c r="A22" s="15" t="s">
        <v>47</v>
      </c>
      <c r="B22" s="48" t="s">
        <v>43</v>
      </c>
      <c r="C22" s="8"/>
      <c r="D22" s="71"/>
      <c r="E22" s="74"/>
      <c r="F22" s="4"/>
      <c r="G22" s="4"/>
      <c r="H22" s="13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13"/>
      <c r="Y22" s="4"/>
      <c r="Z22" s="4"/>
      <c r="AA22" s="88"/>
      <c r="AB22" s="91"/>
      <c r="AC22" s="6"/>
      <c r="AD22" s="2"/>
    </row>
    <row r="23" spans="1:30" ht="12.5" customHeight="1" x14ac:dyDescent="0.2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</row>
    <row r="24" spans="1:30" ht="29" customHeight="1" x14ac:dyDescent="0.2">
      <c r="A24" s="138" t="s">
        <v>161</v>
      </c>
      <c r="B24" s="138"/>
      <c r="C24" s="138"/>
      <c r="D24" s="138"/>
      <c r="E24" s="138"/>
      <c r="F24" s="138"/>
      <c r="G24" s="41" t="s">
        <v>169</v>
      </c>
      <c r="H24" s="27"/>
      <c r="I24" s="42"/>
      <c r="J24" s="42"/>
      <c r="K24" s="42"/>
      <c r="L24" s="42"/>
      <c r="M24" s="42"/>
      <c r="N24" s="41" t="s">
        <v>169</v>
      </c>
      <c r="O24" s="27"/>
      <c r="P24" s="27"/>
      <c r="Q24" s="29"/>
      <c r="R24" s="30"/>
      <c r="S24" s="30"/>
      <c r="T24" s="30"/>
      <c r="U24" s="42"/>
      <c r="V24" s="42"/>
      <c r="W24" s="42"/>
      <c r="X24" s="42"/>
      <c r="Y24" s="42"/>
      <c r="Z24" s="41" t="s">
        <v>169</v>
      </c>
      <c r="AA24" s="89"/>
      <c r="AB24" s="41" t="s">
        <v>169</v>
      </c>
      <c r="AC24" s="10"/>
    </row>
    <row r="25" spans="1:30" ht="29" customHeight="1" x14ac:dyDescent="0.2">
      <c r="A25" s="143" t="s">
        <v>162</v>
      </c>
      <c r="B25" s="143"/>
      <c r="C25" s="143"/>
      <c r="D25" s="143"/>
      <c r="E25" s="143"/>
      <c r="F25" s="143"/>
      <c r="G25" s="120" t="s">
        <v>170</v>
      </c>
      <c r="H25" s="27"/>
      <c r="I25" s="42"/>
      <c r="J25" s="42"/>
      <c r="K25" s="42"/>
      <c r="L25" s="42"/>
      <c r="M25" s="42"/>
      <c r="N25" s="120" t="s">
        <v>170</v>
      </c>
      <c r="O25" s="27"/>
      <c r="P25" s="27"/>
      <c r="Q25" s="28"/>
      <c r="R25" s="28"/>
      <c r="S25" s="28"/>
      <c r="T25" s="28"/>
      <c r="U25" s="42"/>
      <c r="V25" s="42"/>
      <c r="W25" s="42"/>
      <c r="X25" s="42"/>
      <c r="Y25" s="42"/>
      <c r="Z25" s="120" t="s">
        <v>170</v>
      </c>
      <c r="AA25" s="90"/>
      <c r="AB25" s="120" t="s">
        <v>170</v>
      </c>
      <c r="AC25" s="10"/>
    </row>
    <row r="26" spans="1:30" ht="29" customHeight="1" x14ac:dyDescent="0.2">
      <c r="A26" s="150" t="s">
        <v>163</v>
      </c>
      <c r="B26" s="151"/>
      <c r="C26" s="151"/>
      <c r="D26" s="151"/>
      <c r="E26" s="151"/>
      <c r="F26" s="152"/>
      <c r="G26" s="39">
        <f>MEDIAN(G8:G12,G14:G22)</f>
        <v>6050.077817449418</v>
      </c>
      <c r="H26" s="27"/>
      <c r="I26" s="42"/>
      <c r="J26" s="42"/>
      <c r="K26" s="42"/>
      <c r="L26" s="42"/>
      <c r="M26" s="42"/>
      <c r="N26" s="39">
        <f>MEDIAN(N8:N12,N14:N22)</f>
        <v>6050.077817449418</v>
      </c>
      <c r="O26" s="27"/>
      <c r="P26" s="27"/>
      <c r="Q26" s="28"/>
      <c r="R26" s="28"/>
      <c r="S26" s="28"/>
      <c r="T26" s="28"/>
      <c r="U26" s="42"/>
      <c r="V26" s="42"/>
      <c r="W26" s="42"/>
      <c r="X26" s="42"/>
      <c r="Y26" s="42"/>
      <c r="Z26" s="39">
        <f>MEDIAN(Z8:Z12,Z14:Z22)</f>
        <v>8669.4182333333338</v>
      </c>
      <c r="AA26" s="90"/>
      <c r="AB26" s="39">
        <f>MEDIAN(AB8:AB12,AB14:AB22)</f>
        <v>6994.1978909365553</v>
      </c>
      <c r="AC26" s="10"/>
    </row>
    <row r="27" spans="1:30" ht="29" customHeight="1" x14ac:dyDescent="0.2">
      <c r="A27" s="143" t="s">
        <v>164</v>
      </c>
      <c r="B27" s="143"/>
      <c r="C27" s="143"/>
      <c r="D27" s="143"/>
      <c r="E27" s="143"/>
      <c r="F27" s="143"/>
      <c r="G27" s="40">
        <f>-(G26-G5)/G5</f>
        <v>8.4007073673374663E-3</v>
      </c>
      <c r="H27" s="27"/>
      <c r="I27" s="42"/>
      <c r="J27" s="42"/>
      <c r="K27" s="42"/>
      <c r="L27" s="42"/>
      <c r="M27" s="42"/>
      <c r="N27" s="40">
        <f>-(N26-N5)/N5</f>
        <v>3.7282240162463558E-2</v>
      </c>
      <c r="O27" s="27"/>
      <c r="P27" s="27"/>
      <c r="Q27" s="28"/>
      <c r="R27" s="28"/>
      <c r="S27" s="28"/>
      <c r="T27" s="28"/>
      <c r="U27" s="42"/>
      <c r="V27" s="42"/>
      <c r="W27" s="42"/>
      <c r="X27" s="42"/>
      <c r="Y27" s="42"/>
      <c r="Z27" s="40">
        <f>-(Z26-Z5)/Z5</f>
        <v>-0.10236437634710678</v>
      </c>
      <c r="AA27" s="90"/>
      <c r="AB27" s="40">
        <f>-(AB26-AB5)/AB5</f>
        <v>-0.10155511498381602</v>
      </c>
      <c r="AC27" s="10"/>
    </row>
    <row r="28" spans="1:30" ht="29" hidden="1" customHeight="1" x14ac:dyDescent="0.2">
      <c r="A28" s="143" t="s">
        <v>35</v>
      </c>
      <c r="B28" s="143"/>
      <c r="C28" s="143"/>
      <c r="D28" s="143"/>
      <c r="E28" s="143"/>
      <c r="F28" s="143"/>
      <c r="G28" s="39">
        <f>AVERAGE(G14:G22)</f>
        <v>6535.9759391498055</v>
      </c>
      <c r="H28" s="27"/>
      <c r="I28" s="42"/>
      <c r="J28" s="42"/>
      <c r="K28" s="42"/>
      <c r="L28" s="42"/>
      <c r="M28" s="42"/>
      <c r="N28" s="39">
        <f>AVERAGE(N14:N22)</f>
        <v>6806.7642169275832</v>
      </c>
      <c r="O28" s="27"/>
      <c r="P28" s="27"/>
      <c r="Q28" s="28"/>
      <c r="R28" s="28"/>
      <c r="S28" s="28"/>
      <c r="T28" s="28"/>
      <c r="U28" s="42"/>
      <c r="V28" s="42"/>
      <c r="W28" s="42"/>
      <c r="X28" s="42"/>
      <c r="Y28" s="42"/>
      <c r="Z28" s="39">
        <f>AVERAGE(Z14:Z22)</f>
        <v>9067.8417096058765</v>
      </c>
      <c r="AA28" s="89"/>
      <c r="AB28" s="39">
        <f>AVERAGE(AB14:AB22)</f>
        <v>6780.3417096058765</v>
      </c>
      <c r="AC28" s="10"/>
    </row>
    <row r="29" spans="1:30" ht="29" hidden="1" customHeight="1" x14ac:dyDescent="0.2">
      <c r="A29" s="143" t="s">
        <v>95</v>
      </c>
      <c r="B29" s="143"/>
      <c r="C29" s="143"/>
      <c r="D29" s="143"/>
      <c r="E29" s="143"/>
      <c r="F29" s="143"/>
      <c r="G29" s="40">
        <f>-(G28-G5)/G5</f>
        <v>-7.1237315201563456E-2</v>
      </c>
      <c r="H29" s="27"/>
      <c r="I29" s="42"/>
      <c r="J29" s="42"/>
      <c r="K29" s="42"/>
      <c r="L29" s="42"/>
      <c r="M29" s="42"/>
      <c r="N29" s="40">
        <f>-(N28-N5)/N5</f>
        <v>-8.3125373984929321E-2</v>
      </c>
      <c r="O29" s="27"/>
      <c r="P29" s="27"/>
      <c r="Q29" s="28"/>
      <c r="R29" s="28"/>
      <c r="S29" s="28"/>
      <c r="T29" s="28"/>
      <c r="U29" s="42"/>
      <c r="V29" s="42"/>
      <c r="W29" s="42"/>
      <c r="X29" s="42"/>
      <c r="Y29" s="42"/>
      <c r="Z29" s="40">
        <f>-(Z28-Z5)/Z5</f>
        <v>-0.15302612032140289</v>
      </c>
      <c r="AA29" s="90"/>
      <c r="AB29" s="40">
        <f>-(AB28-AB5)/AB5</f>
        <v>-6.7873715902874207E-2</v>
      </c>
      <c r="AC29" s="10"/>
    </row>
    <row r="30" spans="1:30" ht="29" customHeight="1" x14ac:dyDescent="0.2">
      <c r="A30" s="138" t="s">
        <v>23</v>
      </c>
      <c r="B30" s="138"/>
      <c r="C30" s="138"/>
      <c r="D30" s="138"/>
      <c r="E30" s="138"/>
      <c r="F30" s="138"/>
      <c r="G30" s="123">
        <f>COUNT(G8:G12,G14:G22)</f>
        <v>6</v>
      </c>
      <c r="H30" s="27"/>
      <c r="I30" s="42"/>
      <c r="J30" s="42"/>
      <c r="K30" s="42"/>
      <c r="L30" s="42"/>
      <c r="M30" s="42"/>
      <c r="N30" s="122"/>
      <c r="O30" s="27"/>
      <c r="P30" s="27"/>
      <c r="Q30" s="28"/>
      <c r="R30" s="28"/>
      <c r="S30" s="28"/>
      <c r="T30" s="28"/>
      <c r="U30" s="153" t="s">
        <v>165</v>
      </c>
      <c r="V30" s="153"/>
      <c r="W30" s="153"/>
      <c r="X30" s="153"/>
      <c r="Y30" s="154"/>
      <c r="Z30" s="41">
        <f>Z26-AA36</f>
        <v>7896.9182333333338</v>
      </c>
      <c r="AB30" s="39"/>
      <c r="AC30" s="10"/>
    </row>
    <row r="31" spans="1:30" ht="29" customHeight="1" x14ac:dyDescent="0.2">
      <c r="A31" s="157"/>
      <c r="B31" s="157"/>
      <c r="C31" s="157"/>
      <c r="D31" s="157"/>
      <c r="E31" s="157"/>
      <c r="F31" s="157"/>
      <c r="G31" s="90"/>
      <c r="H31" s="27"/>
      <c r="I31" s="42"/>
      <c r="J31" s="42"/>
      <c r="K31" s="42"/>
      <c r="L31" s="42"/>
      <c r="M31" s="42"/>
      <c r="O31" s="27"/>
      <c r="P31" s="27"/>
      <c r="Q31" s="28"/>
      <c r="S31" s="126"/>
      <c r="T31" s="155" t="s">
        <v>166</v>
      </c>
      <c r="U31" s="155"/>
      <c r="V31" s="155"/>
      <c r="W31" s="155"/>
      <c r="X31" s="155"/>
      <c r="Y31" s="156"/>
      <c r="Z31" s="120">
        <f>-(Z30-Z5)/Z5</f>
        <v>-4.1367377895522098E-3</v>
      </c>
      <c r="AB31" s="40"/>
      <c r="AC31" s="10"/>
    </row>
    <row r="32" spans="1:30" ht="29" customHeight="1" x14ac:dyDescent="0.2">
      <c r="H32" s="26"/>
      <c r="I32" s="42"/>
      <c r="J32" s="42"/>
      <c r="K32" s="42"/>
      <c r="L32" s="42"/>
      <c r="M32" s="42"/>
      <c r="N32" s="26"/>
      <c r="O32" s="26"/>
      <c r="P32" s="26"/>
      <c r="Q32" s="26"/>
      <c r="R32" s="26"/>
      <c r="S32" s="26"/>
      <c r="T32" s="26"/>
      <c r="U32" s="42"/>
      <c r="V32" s="42"/>
      <c r="W32" s="42"/>
      <c r="X32" s="118"/>
      <c r="Y32" s="118"/>
      <c r="Z32" s="118"/>
      <c r="AA32" s="119"/>
      <c r="AB32" s="26"/>
      <c r="AC32" s="7"/>
    </row>
    <row r="33" spans="1:29" ht="16" x14ac:dyDescent="0.2">
      <c r="A33" s="36" t="s">
        <v>45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11"/>
      <c r="X33" s="11"/>
      <c r="Y33" s="153"/>
      <c r="Z33" s="153"/>
      <c r="AA33" s="7"/>
      <c r="AB33" s="7"/>
      <c r="AC33" s="7"/>
    </row>
    <row r="34" spans="1:29" x14ac:dyDescent="0.15">
      <c r="A34" t="s">
        <v>90</v>
      </c>
    </row>
    <row r="35" spans="1:29" ht="24" customHeight="1" x14ac:dyDescent="0.2">
      <c r="A35" s="43" t="s">
        <v>113</v>
      </c>
      <c r="W35" s="153" t="s">
        <v>167</v>
      </c>
      <c r="X35" s="153"/>
      <c r="Y35" s="153"/>
      <c r="Z35" s="153"/>
      <c r="AA35" s="127">
        <f>AVERAGE(AA8:AA12,AA14:AA22)</f>
        <v>2287.5</v>
      </c>
    </row>
    <row r="36" spans="1:29" ht="16" x14ac:dyDescent="0.2">
      <c r="A36" s="43" t="s">
        <v>149</v>
      </c>
      <c r="W36" s="157" t="s">
        <v>168</v>
      </c>
      <c r="X36" s="157"/>
      <c r="Y36" s="157"/>
      <c r="Z36" s="157"/>
      <c r="AA36" s="128">
        <f>AA35-AA5</f>
        <v>772.5</v>
      </c>
    </row>
    <row r="37" spans="1:29" x14ac:dyDescent="0.15">
      <c r="A37" s="43" t="s">
        <v>91</v>
      </c>
    </row>
    <row r="40" spans="1:29" ht="28.5" customHeight="1" x14ac:dyDescent="0.15"/>
    <row r="41" spans="1:29" ht="28.5" customHeight="1" x14ac:dyDescent="0.15"/>
    <row r="42" spans="1:29" ht="28.5" customHeight="1" x14ac:dyDescent="0.15">
      <c r="A42" t="s">
        <v>138</v>
      </c>
    </row>
    <row r="43" spans="1:29" ht="28.5" customHeight="1" x14ac:dyDescent="0.15"/>
    <row r="44" spans="1:29" ht="28.5" customHeight="1" x14ac:dyDescent="0.15"/>
    <row r="45" spans="1:29" ht="28.5" customHeight="1" x14ac:dyDescent="0.15"/>
    <row r="46" spans="1:29" ht="28.5" customHeight="1" x14ac:dyDescent="0.15"/>
  </sheetData>
  <mergeCells count="17">
    <mergeCell ref="T31:Y31"/>
    <mergeCell ref="W36:Z36"/>
    <mergeCell ref="Y33:Z33"/>
    <mergeCell ref="W35:Z35"/>
    <mergeCell ref="A31:F31"/>
    <mergeCell ref="A30:F30"/>
    <mergeCell ref="A6:AC6"/>
    <mergeCell ref="A23:AC23"/>
    <mergeCell ref="A24:F24"/>
    <mergeCell ref="A25:F25"/>
    <mergeCell ref="A28:F28"/>
    <mergeCell ref="A29:F29"/>
    <mergeCell ref="A13:AC13"/>
    <mergeCell ref="A7:AC7"/>
    <mergeCell ref="A26:F26"/>
    <mergeCell ref="A27:F27"/>
    <mergeCell ref="U30:Y30"/>
  </mergeCells>
  <pageMargins left="0.5" right="0.5" top="0.5" bottom="0.5" header="0.5" footer="0.5"/>
  <pageSetup paperSize="5" scale="33" orientation="landscape" r:id="rId1"/>
  <headerFooter alignWithMargins="0">
    <oddHeader>&amp;L&amp;K000000Appendix A&amp;C&amp;K000000Yolo County RCD
Total Compensation Study 
4/2021</oddHead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AD85"/>
  <sheetViews>
    <sheetView topLeftCell="T17" zoomScale="110" zoomScaleNormal="110" workbookViewId="0">
      <selection activeCell="AA35" sqref="AA35:AA36"/>
    </sheetView>
  </sheetViews>
  <sheetFormatPr baseColWidth="10" defaultColWidth="8.83203125" defaultRowHeight="13" x14ac:dyDescent="0.15"/>
  <cols>
    <col min="1" max="1" width="28.83203125" customWidth="1"/>
    <col min="2" max="2" width="30.83203125" customWidth="1"/>
    <col min="3" max="3" width="14.5" hidden="1" customWidth="1"/>
    <col min="4" max="5" width="14.5" customWidth="1"/>
    <col min="6" max="7" width="15.1640625" customWidth="1"/>
    <col min="8" max="8" width="14.83203125" customWidth="1"/>
    <col min="9" max="9" width="14.1640625" customWidth="1"/>
    <col min="10" max="10" width="19.33203125" customWidth="1"/>
    <col min="11" max="12" width="15.1640625" customWidth="1"/>
    <col min="13" max="13" width="19" customWidth="1"/>
    <col min="14" max="20" width="13.5" customWidth="1"/>
    <col min="21" max="21" width="15.1640625" customWidth="1"/>
    <col min="22" max="25" width="13.5" customWidth="1"/>
    <col min="26" max="27" width="17.1640625" customWidth="1"/>
    <col min="28" max="28" width="17.1640625" hidden="1" customWidth="1"/>
    <col min="29" max="29" width="49.5" customWidth="1"/>
  </cols>
  <sheetData>
    <row r="1" spans="1:30" x14ac:dyDescent="0.15">
      <c r="L1" s="43"/>
    </row>
    <row r="3" spans="1:30" ht="14" thickBot="1" x14ac:dyDescent="0.2">
      <c r="A3" s="44" t="s">
        <v>32</v>
      </c>
    </row>
    <row r="4" spans="1:30" ht="103" thickBot="1" x14ac:dyDescent="0.25">
      <c r="A4" s="21" t="s">
        <v>0</v>
      </c>
      <c r="B4" s="22" t="s">
        <v>1</v>
      </c>
      <c r="C4" s="23" t="s">
        <v>29</v>
      </c>
      <c r="D4" s="23" t="s">
        <v>134</v>
      </c>
      <c r="E4" s="23" t="s">
        <v>135</v>
      </c>
      <c r="F4" s="23" t="s">
        <v>2</v>
      </c>
      <c r="G4" s="23" t="s">
        <v>3</v>
      </c>
      <c r="H4" s="23" t="s">
        <v>7</v>
      </c>
      <c r="I4" s="23" t="s">
        <v>8</v>
      </c>
      <c r="J4" s="23" t="s">
        <v>9</v>
      </c>
      <c r="K4" s="23" t="s">
        <v>15</v>
      </c>
      <c r="L4" s="23" t="s">
        <v>40</v>
      </c>
      <c r="M4" s="23" t="s">
        <v>33</v>
      </c>
      <c r="N4" s="23" t="s">
        <v>21</v>
      </c>
      <c r="O4" s="23" t="s">
        <v>16</v>
      </c>
      <c r="P4" s="23" t="s">
        <v>14</v>
      </c>
      <c r="Q4" s="23" t="s">
        <v>10</v>
      </c>
      <c r="R4" s="23" t="s">
        <v>11</v>
      </c>
      <c r="S4" s="23" t="s">
        <v>12</v>
      </c>
      <c r="T4" s="23" t="s">
        <v>28</v>
      </c>
      <c r="U4" s="23" t="s">
        <v>41</v>
      </c>
      <c r="V4" s="23" t="s">
        <v>36</v>
      </c>
      <c r="W4" s="23" t="s">
        <v>25</v>
      </c>
      <c r="X4" s="23" t="s">
        <v>27</v>
      </c>
      <c r="Y4" s="23" t="s">
        <v>24</v>
      </c>
      <c r="Z4" s="23" t="s">
        <v>26</v>
      </c>
      <c r="AA4" s="85" t="s">
        <v>137</v>
      </c>
      <c r="AB4" s="23" t="s">
        <v>136</v>
      </c>
      <c r="AC4" s="24" t="s">
        <v>4</v>
      </c>
    </row>
    <row r="5" spans="1:30" ht="71.5" customHeight="1" thickBot="1" x14ac:dyDescent="0.25">
      <c r="A5" s="18" t="s">
        <v>44</v>
      </c>
      <c r="B5" s="19" t="s">
        <v>61</v>
      </c>
      <c r="C5" s="19"/>
      <c r="D5" s="67">
        <v>2.5</v>
      </c>
      <c r="E5" s="84">
        <v>398100</v>
      </c>
      <c r="F5" s="65">
        <f>50000/12</f>
        <v>4166.666666666667</v>
      </c>
      <c r="G5" s="65">
        <f>65000/12</f>
        <v>5416.666666666667</v>
      </c>
      <c r="H5" s="50">
        <v>0</v>
      </c>
      <c r="I5" s="59">
        <f>H5*G5</f>
        <v>0</v>
      </c>
      <c r="J5" s="60">
        <f>0.03*G5</f>
        <v>162.5</v>
      </c>
      <c r="K5" s="60">
        <v>0</v>
      </c>
      <c r="L5" s="60">
        <v>0</v>
      </c>
      <c r="M5" s="60"/>
      <c r="N5" s="60">
        <f>SUM(G5,I5:L5)</f>
        <v>5579.166666666667</v>
      </c>
      <c r="O5" s="34">
        <v>0</v>
      </c>
      <c r="P5" s="34">
        <v>1053.2</v>
      </c>
      <c r="Q5" s="34">
        <v>52.46</v>
      </c>
      <c r="R5" s="34">
        <v>7.6</v>
      </c>
      <c r="S5" s="34">
        <v>0</v>
      </c>
      <c r="T5" s="34">
        <v>0</v>
      </c>
      <c r="U5" s="34">
        <f>IF(G5&gt;11900,(11900*0.062)+(0.0145*G5),(0.0765*G5))</f>
        <v>414.375</v>
      </c>
      <c r="V5" s="34">
        <v>0</v>
      </c>
      <c r="W5" s="60">
        <f>SUM(N5:V5)</f>
        <v>7106.8016666666672</v>
      </c>
      <c r="X5" s="50">
        <v>0</v>
      </c>
      <c r="Y5" s="60">
        <f>X5*G5</f>
        <v>0</v>
      </c>
      <c r="Z5" s="60">
        <f>W5-Y5</f>
        <v>7106.8016666666672</v>
      </c>
      <c r="AA5" s="86">
        <v>1515</v>
      </c>
      <c r="AB5" s="86">
        <f>Z5-AA5</f>
        <v>5591.8016666666672</v>
      </c>
      <c r="AC5" s="20"/>
      <c r="AD5" s="2"/>
    </row>
    <row r="6" spans="1:30" ht="12.5" customHeight="1" thickBot="1" x14ac:dyDescent="0.25">
      <c r="A6" s="139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1"/>
      <c r="AD6" s="2"/>
    </row>
    <row r="7" spans="1:30" ht="12.5" customHeight="1" x14ac:dyDescent="0.2">
      <c r="A7" s="147" t="s">
        <v>159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9"/>
      <c r="AD7" s="2"/>
    </row>
    <row r="8" spans="1:30" s="43" customFormat="1" ht="45" customHeight="1" x14ac:dyDescent="0.2">
      <c r="A8" s="15" t="s">
        <v>46</v>
      </c>
      <c r="B8" s="9" t="s">
        <v>156</v>
      </c>
      <c r="C8" s="56" t="s">
        <v>156</v>
      </c>
      <c r="D8" s="117">
        <v>733000</v>
      </c>
      <c r="E8" s="70">
        <v>599200</v>
      </c>
      <c r="F8" s="54">
        <f>83470/12</f>
        <v>6955.833333333333</v>
      </c>
      <c r="G8" s="54">
        <f>83470/12</f>
        <v>6955.833333333333</v>
      </c>
      <c r="H8" s="55">
        <v>0</v>
      </c>
      <c r="I8" s="54">
        <f>H8*G8</f>
        <v>0</v>
      </c>
      <c r="J8" s="54">
        <f>0.03*G8</f>
        <v>208.67499999999998</v>
      </c>
      <c r="K8" s="54">
        <v>0</v>
      </c>
      <c r="L8" s="54">
        <v>0</v>
      </c>
      <c r="M8" s="54"/>
      <c r="N8" s="54">
        <f>SUM(G8,I8:L8)</f>
        <v>7164.5083333333332</v>
      </c>
      <c r="O8" s="54">
        <v>0</v>
      </c>
      <c r="P8" s="54">
        <v>971.74</v>
      </c>
      <c r="Q8" s="54">
        <v>75</v>
      </c>
      <c r="R8" s="54" t="s">
        <v>34</v>
      </c>
      <c r="S8" s="54">
        <v>0</v>
      </c>
      <c r="T8" s="54">
        <v>0</v>
      </c>
      <c r="U8" s="54">
        <f t="shared" ref="U8" si="0">IF(G8&gt;11900,(11900*0.062)+(0.0145*G8),(0.0765*G8))</f>
        <v>532.12124999999992</v>
      </c>
      <c r="V8" s="54">
        <v>0</v>
      </c>
      <c r="W8" s="54">
        <f>SUM(N8:V8)</f>
        <v>8743.3695833333331</v>
      </c>
      <c r="X8" s="55">
        <v>0</v>
      </c>
      <c r="Y8" s="54">
        <f>X8*G8</f>
        <v>0</v>
      </c>
      <c r="Z8" s="54">
        <f>W8-Y8</f>
        <v>8743.3695833333331</v>
      </c>
      <c r="AA8" s="87">
        <v>2390</v>
      </c>
      <c r="AB8" s="87">
        <f t="shared" ref="AB8" si="1">Z8-AA8</f>
        <v>6353.3695833333331</v>
      </c>
      <c r="AC8" s="5"/>
      <c r="AD8" s="2"/>
    </row>
    <row r="9" spans="1:30" s="43" customFormat="1" ht="45" customHeight="1" x14ac:dyDescent="0.2">
      <c r="A9" s="51" t="s">
        <v>102</v>
      </c>
      <c r="B9" s="9" t="s">
        <v>61</v>
      </c>
      <c r="C9" s="8"/>
      <c r="D9" s="72">
        <v>2.5</v>
      </c>
      <c r="E9" s="70">
        <v>676900</v>
      </c>
      <c r="F9" s="4">
        <f>64043/12</f>
        <v>5336.916666666667</v>
      </c>
      <c r="G9" s="4">
        <f>76417/12</f>
        <v>6368.083333333333</v>
      </c>
      <c r="H9" s="53">
        <v>0</v>
      </c>
      <c r="I9" s="52">
        <f>H9*G9</f>
        <v>0</v>
      </c>
      <c r="J9" s="54">
        <v>0</v>
      </c>
      <c r="K9" s="54">
        <v>0</v>
      </c>
      <c r="L9" s="54">
        <v>0</v>
      </c>
      <c r="M9" s="54"/>
      <c r="N9" s="54">
        <f t="shared" ref="N9" si="2">SUM(G9,I9:L9)</f>
        <v>6368.083333333333</v>
      </c>
      <c r="O9" s="54">
        <v>0</v>
      </c>
      <c r="P9" s="54">
        <v>578.35</v>
      </c>
      <c r="Q9" s="54">
        <v>66.44</v>
      </c>
      <c r="R9" s="54" t="s">
        <v>34</v>
      </c>
      <c r="S9" s="54">
        <v>0</v>
      </c>
      <c r="T9" s="54">
        <v>0</v>
      </c>
      <c r="U9" s="54">
        <f>0.0145*G9</f>
        <v>92.337208333333336</v>
      </c>
      <c r="V9" s="54">
        <v>0</v>
      </c>
      <c r="W9" s="54">
        <f t="shared" ref="W9" si="3">SUM(N9:V9)</f>
        <v>7105.2105416666664</v>
      </c>
      <c r="X9" s="55">
        <v>0</v>
      </c>
      <c r="Y9" s="54">
        <f t="shared" ref="Y9" si="4">X9*G9</f>
        <v>0</v>
      </c>
      <c r="Z9" s="54">
        <f t="shared" ref="Z9" si="5">W9-Y9</f>
        <v>7105.2105416666664</v>
      </c>
      <c r="AA9" s="87">
        <v>2728</v>
      </c>
      <c r="AB9" s="91">
        <f>Z9-AA9</f>
        <v>4377.2105416666664</v>
      </c>
      <c r="AC9" s="58"/>
      <c r="AD9" s="2"/>
    </row>
    <row r="10" spans="1:30" s="43" customFormat="1" ht="45" customHeight="1" x14ac:dyDescent="0.2">
      <c r="A10" s="15" t="s">
        <v>94</v>
      </c>
      <c r="B10" s="8" t="s">
        <v>61</v>
      </c>
      <c r="C10" s="8"/>
      <c r="D10" s="72">
        <v>2.2999999999999998</v>
      </c>
      <c r="E10" s="70">
        <v>437700</v>
      </c>
      <c r="F10" s="4">
        <v>4583</v>
      </c>
      <c r="G10" s="4">
        <v>6250</v>
      </c>
      <c r="H10" s="55">
        <v>0</v>
      </c>
      <c r="I10" s="52">
        <f>H10*G10</f>
        <v>0</v>
      </c>
      <c r="J10" s="54">
        <f>0.1*G10</f>
        <v>625</v>
      </c>
      <c r="K10" s="4">
        <v>0</v>
      </c>
      <c r="L10" s="4">
        <v>0</v>
      </c>
      <c r="M10" s="4"/>
      <c r="N10" s="4">
        <f>SUM(G10,I10:L10)</f>
        <v>6875</v>
      </c>
      <c r="O10" s="4">
        <v>0</v>
      </c>
      <c r="P10" s="4">
        <v>786.34</v>
      </c>
      <c r="Q10" s="4">
        <v>60.52</v>
      </c>
      <c r="R10" s="4">
        <v>13.12</v>
      </c>
      <c r="S10" s="4">
        <v>0</v>
      </c>
      <c r="T10" s="4">
        <v>0</v>
      </c>
      <c r="U10" s="4">
        <f>IF(G10&gt;11900,(11900*0.062)+(0.0145*G10),(0.0765*G10))</f>
        <v>478.125</v>
      </c>
      <c r="V10" s="4">
        <v>0</v>
      </c>
      <c r="W10" s="4">
        <f>SUM(N10:V10)</f>
        <v>8213.1049999999996</v>
      </c>
      <c r="X10" s="55">
        <v>0</v>
      </c>
      <c r="Y10" s="54">
        <f>X10*G10</f>
        <v>0</v>
      </c>
      <c r="Z10" s="54">
        <f>W10-Y10</f>
        <v>8213.1049999999996</v>
      </c>
      <c r="AA10" s="87">
        <v>1687</v>
      </c>
      <c r="AB10" s="91">
        <f>Z10-AA10</f>
        <v>6526.1049999999996</v>
      </c>
      <c r="AC10" s="6"/>
      <c r="AD10" s="2"/>
    </row>
    <row r="11" spans="1:30" s="43" customFormat="1" ht="45" customHeight="1" x14ac:dyDescent="0.2">
      <c r="A11" s="15" t="s">
        <v>63</v>
      </c>
      <c r="B11" s="8" t="s">
        <v>43</v>
      </c>
      <c r="C11" s="8"/>
      <c r="D11" s="72"/>
      <c r="E11" s="70"/>
      <c r="F11" s="4"/>
      <c r="G11" s="4"/>
      <c r="H11" s="13"/>
      <c r="I11" s="4"/>
      <c r="J11" s="4"/>
      <c r="K11" s="4"/>
      <c r="L11" s="4"/>
      <c r="M11" s="35"/>
      <c r="N11" s="4"/>
      <c r="O11" s="4"/>
      <c r="P11" s="4"/>
      <c r="Q11" s="4"/>
      <c r="R11" s="4"/>
      <c r="S11" s="4"/>
      <c r="T11" s="4"/>
      <c r="U11" s="4"/>
      <c r="V11" s="4"/>
      <c r="W11" s="4"/>
      <c r="X11" s="13"/>
      <c r="Y11" s="4"/>
      <c r="Z11" s="4"/>
      <c r="AA11" s="88"/>
      <c r="AB11" s="91"/>
      <c r="AC11" s="6"/>
      <c r="AD11" s="2"/>
    </row>
    <row r="12" spans="1:30" s="43" customFormat="1" ht="45" customHeight="1" x14ac:dyDescent="0.2">
      <c r="A12" s="15" t="s">
        <v>64</v>
      </c>
      <c r="B12" s="9" t="s">
        <v>43</v>
      </c>
      <c r="C12" s="9"/>
      <c r="D12" s="74"/>
      <c r="E12" s="74"/>
      <c r="F12" s="4"/>
      <c r="G12" s="4"/>
      <c r="H12" s="53"/>
      <c r="I12" s="52"/>
      <c r="J12" s="54"/>
      <c r="K12" s="54"/>
      <c r="L12" s="57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5"/>
      <c r="Y12" s="54"/>
      <c r="Z12" s="54"/>
      <c r="AA12" s="87"/>
      <c r="AB12" s="91"/>
      <c r="AC12" s="6"/>
      <c r="AD12" s="2"/>
    </row>
    <row r="13" spans="1:30" s="43" customFormat="1" ht="18" customHeight="1" x14ac:dyDescent="0.2">
      <c r="A13" s="144" t="s">
        <v>160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6"/>
      <c r="AD13" s="2"/>
    </row>
    <row r="14" spans="1:30" s="43" customFormat="1" ht="45" customHeight="1" x14ac:dyDescent="0.2">
      <c r="A14" s="15" t="s">
        <v>48</v>
      </c>
      <c r="B14" s="47" t="s">
        <v>43</v>
      </c>
      <c r="C14" s="16" t="s">
        <v>71</v>
      </c>
      <c r="D14" s="68"/>
      <c r="E14" s="70"/>
      <c r="F14" s="14"/>
      <c r="G14" s="14"/>
      <c r="H14" s="53"/>
      <c r="I14" s="52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5"/>
      <c r="Y14" s="54"/>
      <c r="Z14" s="54"/>
      <c r="AA14" s="91"/>
      <c r="AB14" s="91"/>
      <c r="AC14" s="25"/>
      <c r="AD14" s="2"/>
    </row>
    <row r="15" spans="1:30" s="43" customFormat="1" ht="45" customHeight="1" x14ac:dyDescent="0.2">
      <c r="A15" s="15" t="s">
        <v>53</v>
      </c>
      <c r="B15" s="9" t="s">
        <v>43</v>
      </c>
      <c r="C15" s="16"/>
      <c r="D15" s="69"/>
      <c r="E15" s="81"/>
      <c r="F15" s="4"/>
      <c r="G15" s="4"/>
      <c r="H15" s="13"/>
      <c r="I15" s="4"/>
      <c r="J15" s="4"/>
      <c r="K15" s="4"/>
      <c r="L15" s="4"/>
      <c r="M15" s="35"/>
      <c r="N15" s="4"/>
      <c r="O15" s="4"/>
      <c r="P15" s="4"/>
      <c r="Q15" s="4"/>
      <c r="R15" s="4"/>
      <c r="S15" s="4"/>
      <c r="T15" s="4"/>
      <c r="U15" s="4"/>
      <c r="V15" s="4"/>
      <c r="W15" s="4"/>
      <c r="X15" s="13"/>
      <c r="Y15" s="4"/>
      <c r="Z15" s="4"/>
      <c r="AA15" s="88"/>
      <c r="AB15" s="91"/>
      <c r="AC15" s="6"/>
      <c r="AD15" s="2"/>
    </row>
    <row r="16" spans="1:30" s="43" customFormat="1" ht="45" customHeight="1" x14ac:dyDescent="0.2">
      <c r="A16" s="15" t="s">
        <v>54</v>
      </c>
      <c r="B16" s="9" t="s">
        <v>107</v>
      </c>
      <c r="C16" s="8"/>
      <c r="D16" s="70">
        <v>2</v>
      </c>
      <c r="E16" s="70">
        <v>854700</v>
      </c>
      <c r="F16" s="4">
        <f>33*2080/12</f>
        <v>5720</v>
      </c>
      <c r="G16" s="4">
        <f>F16</f>
        <v>5720</v>
      </c>
      <c r="H16" s="55">
        <v>0</v>
      </c>
      <c r="I16" s="52">
        <f>H16*G16</f>
        <v>0</v>
      </c>
      <c r="J16" s="54">
        <v>0</v>
      </c>
      <c r="K16" s="54">
        <v>0</v>
      </c>
      <c r="L16" s="54">
        <v>0</v>
      </c>
      <c r="M16" s="57"/>
      <c r="N16" s="54">
        <f t="shared" ref="N16" si="6">SUM(G16,I16:L16)</f>
        <v>5720</v>
      </c>
      <c r="O16" s="54">
        <v>0</v>
      </c>
      <c r="P16" s="54">
        <v>828.83</v>
      </c>
      <c r="Q16" s="4">
        <v>50.25</v>
      </c>
      <c r="R16" s="4">
        <v>13.18</v>
      </c>
      <c r="S16" s="54">
        <v>0</v>
      </c>
      <c r="T16" s="54">
        <v>0</v>
      </c>
      <c r="U16" s="54">
        <f t="shared" ref="U16" si="7">IF(G16&gt;11900,(11900*0.062)+(0.0145*G16),(0.0765*G16))</f>
        <v>437.58</v>
      </c>
      <c r="V16" s="54">
        <v>0</v>
      </c>
      <c r="W16" s="54">
        <f t="shared" ref="W16" si="8">SUM(N16:V16)</f>
        <v>7049.84</v>
      </c>
      <c r="X16" s="55">
        <v>0</v>
      </c>
      <c r="Y16" s="54">
        <f t="shared" ref="Y16:Y17" si="9">X16*G16</f>
        <v>0</v>
      </c>
      <c r="Z16" s="54">
        <f t="shared" ref="Z16:Z17" si="10">W16-Y16</f>
        <v>7049.84</v>
      </c>
      <c r="AA16" s="87">
        <v>3502</v>
      </c>
      <c r="AB16" s="91">
        <f t="shared" ref="AB16:AB17" si="11">Z16-AA16</f>
        <v>3547.84</v>
      </c>
      <c r="AC16" s="6"/>
      <c r="AD16" s="2"/>
    </row>
    <row r="17" spans="1:30" s="43" customFormat="1" ht="45" customHeight="1" x14ac:dyDescent="0.2">
      <c r="A17" s="15" t="s">
        <v>103</v>
      </c>
      <c r="B17" s="9" t="s">
        <v>130</v>
      </c>
      <c r="C17" s="8"/>
      <c r="D17" s="72">
        <v>1.1000000000000001</v>
      </c>
      <c r="E17" s="72">
        <v>1</v>
      </c>
      <c r="F17" s="4">
        <f>56930/12</f>
        <v>4744.166666666667</v>
      </c>
      <c r="G17" s="4">
        <f>70016/12</f>
        <v>5834.666666666667</v>
      </c>
      <c r="H17" s="55">
        <v>0</v>
      </c>
      <c r="I17" s="54">
        <f>H17*G17</f>
        <v>0</v>
      </c>
      <c r="J17" s="54">
        <f>0.04*G17</f>
        <v>233.38666666666668</v>
      </c>
      <c r="K17" s="54">
        <v>0</v>
      </c>
      <c r="L17" s="54">
        <v>0</v>
      </c>
      <c r="M17" s="54"/>
      <c r="N17" s="54">
        <f>SUM(G17,I17:L17)</f>
        <v>6068.0533333333333</v>
      </c>
      <c r="O17" s="54">
        <v>0</v>
      </c>
      <c r="P17" s="54">
        <f>5400/12</f>
        <v>450</v>
      </c>
      <c r="Q17" s="54">
        <f>600/12</f>
        <v>50</v>
      </c>
      <c r="R17" s="54" t="s">
        <v>34</v>
      </c>
      <c r="S17" s="54">
        <v>0</v>
      </c>
      <c r="T17" s="54">
        <v>0</v>
      </c>
      <c r="U17" s="54">
        <f>IF(G17&gt;11900,(0.062*11900)+(0.0145*G17),(0.0765*G17))</f>
        <v>446.35200000000003</v>
      </c>
      <c r="V17" s="54">
        <v>0</v>
      </c>
      <c r="W17" s="54">
        <f>SUM(N17:V17)</f>
        <v>7014.4053333333331</v>
      </c>
      <c r="X17" s="55">
        <v>0</v>
      </c>
      <c r="Y17" s="57">
        <f t="shared" si="9"/>
        <v>0</v>
      </c>
      <c r="Z17" s="54">
        <f t="shared" si="10"/>
        <v>7014.4053333333331</v>
      </c>
      <c r="AA17" s="87">
        <v>4134</v>
      </c>
      <c r="AB17" s="91">
        <f t="shared" si="11"/>
        <v>2880.4053333333331</v>
      </c>
      <c r="AC17" s="6"/>
      <c r="AD17" s="2"/>
    </row>
    <row r="18" spans="1:30" s="43" customFormat="1" ht="45" customHeight="1" x14ac:dyDescent="0.2">
      <c r="A18" s="15" t="s">
        <v>49</v>
      </c>
      <c r="B18" s="9" t="s">
        <v>43</v>
      </c>
      <c r="C18" s="8"/>
      <c r="D18" s="70"/>
      <c r="E18" s="70"/>
      <c r="F18" s="4"/>
      <c r="G18" s="4"/>
      <c r="H18" s="55"/>
      <c r="I18" s="54"/>
      <c r="J18" s="54"/>
      <c r="K18" s="54"/>
      <c r="L18" s="54"/>
      <c r="M18" s="54"/>
      <c r="N18" s="54"/>
      <c r="O18" s="54"/>
      <c r="P18" s="4"/>
      <c r="Q18" s="4"/>
      <c r="R18" s="4"/>
      <c r="S18" s="4"/>
      <c r="T18" s="54"/>
      <c r="U18" s="54"/>
      <c r="V18" s="54"/>
      <c r="W18" s="54"/>
      <c r="X18" s="55"/>
      <c r="Y18" s="57"/>
      <c r="Z18" s="54"/>
      <c r="AA18" s="88"/>
      <c r="AB18" s="91"/>
      <c r="AC18" s="6"/>
      <c r="AD18" s="2"/>
    </row>
    <row r="19" spans="1:30" s="43" customFormat="1" ht="45" customHeight="1" x14ac:dyDescent="0.2">
      <c r="A19" s="15" t="s">
        <v>50</v>
      </c>
      <c r="B19" s="9" t="s">
        <v>43</v>
      </c>
      <c r="C19" s="8"/>
      <c r="D19" s="70"/>
      <c r="E19" s="70"/>
      <c r="F19" s="4"/>
      <c r="G19" s="4"/>
      <c r="H19" s="55"/>
      <c r="I19" s="52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5"/>
      <c r="Y19" s="54"/>
      <c r="Z19" s="54"/>
      <c r="AA19" s="87"/>
      <c r="AB19" s="91"/>
      <c r="AC19" s="58"/>
      <c r="AD19" s="2"/>
    </row>
    <row r="20" spans="1:30" s="43" customFormat="1" ht="45" customHeight="1" x14ac:dyDescent="0.2">
      <c r="A20" s="15" t="s">
        <v>105</v>
      </c>
      <c r="B20" s="9" t="s">
        <v>43</v>
      </c>
      <c r="C20" s="8"/>
      <c r="D20" s="72"/>
      <c r="E20" s="82"/>
      <c r="F20" s="4"/>
      <c r="G20" s="4"/>
      <c r="H20" s="13"/>
      <c r="I20" s="14"/>
      <c r="J20" s="4"/>
      <c r="K20" s="4"/>
      <c r="L20" s="4"/>
      <c r="M20" s="35"/>
      <c r="N20" s="4"/>
      <c r="O20" s="4"/>
      <c r="P20" s="4"/>
      <c r="Q20" s="4"/>
      <c r="R20" s="4"/>
      <c r="S20" s="4"/>
      <c r="T20" s="4"/>
      <c r="U20" s="4"/>
      <c r="V20" s="4"/>
      <c r="W20" s="4"/>
      <c r="X20" s="13"/>
      <c r="Y20" s="4"/>
      <c r="Z20" s="4"/>
      <c r="AA20" s="88"/>
      <c r="AB20" s="91"/>
      <c r="AC20" s="6"/>
      <c r="AD20" s="2"/>
    </row>
    <row r="21" spans="1:30" s="43" customFormat="1" ht="45" customHeight="1" x14ac:dyDescent="0.2">
      <c r="A21" s="15" t="s">
        <v>52</v>
      </c>
      <c r="B21" s="8" t="s">
        <v>43</v>
      </c>
      <c r="C21" s="8"/>
      <c r="D21" s="72"/>
      <c r="E21" s="70"/>
      <c r="F21" s="4"/>
      <c r="G21" s="4"/>
      <c r="H21" s="13"/>
      <c r="I21" s="4"/>
      <c r="J21" s="4"/>
      <c r="K21" s="4"/>
      <c r="L21" s="4"/>
      <c r="M21" s="35"/>
      <c r="N21" s="4"/>
      <c r="O21" s="4"/>
      <c r="P21" s="4"/>
      <c r="Q21" s="4"/>
      <c r="R21" s="4"/>
      <c r="S21" s="4"/>
      <c r="T21" s="4"/>
      <c r="U21" s="4"/>
      <c r="V21" s="4"/>
      <c r="W21" s="4"/>
      <c r="X21" s="13"/>
      <c r="Y21" s="4"/>
      <c r="Z21" s="4"/>
      <c r="AA21" s="88"/>
      <c r="AB21" s="91"/>
      <c r="AC21" s="6"/>
      <c r="AD21" s="2"/>
    </row>
    <row r="22" spans="1:30" s="43" customFormat="1" ht="45" customHeight="1" x14ac:dyDescent="0.2">
      <c r="A22" s="15" t="s">
        <v>47</v>
      </c>
      <c r="B22" s="8" t="s">
        <v>43</v>
      </c>
      <c r="C22" s="8"/>
      <c r="D22" s="71"/>
      <c r="E22" s="74"/>
      <c r="F22" s="4"/>
      <c r="G22" s="4"/>
      <c r="H22" s="13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13"/>
      <c r="Y22" s="4"/>
      <c r="Z22" s="4"/>
      <c r="AA22" s="88"/>
      <c r="AB22" s="91"/>
      <c r="AC22" s="6"/>
      <c r="AD22" s="2"/>
    </row>
    <row r="23" spans="1:30" ht="12.5" customHeight="1" x14ac:dyDescent="0.2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</row>
    <row r="24" spans="1:30" ht="29" customHeight="1" x14ac:dyDescent="0.2">
      <c r="A24" s="138" t="s">
        <v>161</v>
      </c>
      <c r="B24" s="138"/>
      <c r="C24" s="138"/>
      <c r="D24" s="138"/>
      <c r="E24" s="138"/>
      <c r="F24" s="138"/>
      <c r="G24" s="41">
        <f>MEDIAN(G8:G12)</f>
        <v>6368.083333333333</v>
      </c>
      <c r="H24" s="27"/>
      <c r="I24" s="42"/>
      <c r="J24" s="42"/>
      <c r="K24" s="42"/>
      <c r="L24" s="42"/>
      <c r="M24" s="42"/>
      <c r="N24" s="41">
        <f>MEDIAN(N8:N12)</f>
        <v>6875</v>
      </c>
      <c r="O24" s="27"/>
      <c r="P24" s="27"/>
      <c r="Q24" s="27"/>
      <c r="R24" s="30"/>
      <c r="S24" s="30"/>
      <c r="T24" s="30"/>
      <c r="U24" s="42"/>
      <c r="V24" s="42"/>
      <c r="W24" s="42"/>
      <c r="X24" s="42"/>
      <c r="Y24" s="42"/>
      <c r="Z24" s="41">
        <f>MEDIAN(Z8:Z12)</f>
        <v>8213.1049999999996</v>
      </c>
      <c r="AA24" s="89"/>
      <c r="AB24" s="41">
        <f>MEDIAN(AB8:AB12)</f>
        <v>6353.3695833333331</v>
      </c>
      <c r="AC24" s="10"/>
    </row>
    <row r="25" spans="1:30" ht="29" customHeight="1" x14ac:dyDescent="0.2">
      <c r="A25" s="143" t="s">
        <v>162</v>
      </c>
      <c r="B25" s="143"/>
      <c r="C25" s="143"/>
      <c r="D25" s="143"/>
      <c r="E25" s="143"/>
      <c r="F25" s="143"/>
      <c r="G25" s="40">
        <f>-(G24-G5)/G5</f>
        <v>-0.17564615384615373</v>
      </c>
      <c r="H25" s="27"/>
      <c r="I25" s="42"/>
      <c r="J25" s="42"/>
      <c r="K25" s="42"/>
      <c r="L25" s="42"/>
      <c r="M25" s="42"/>
      <c r="N25" s="40">
        <f>-(N24-N5)/N5</f>
        <v>-0.23226288274831958</v>
      </c>
      <c r="O25" s="27"/>
      <c r="P25" s="27"/>
      <c r="Q25" s="28"/>
      <c r="R25" s="28"/>
      <c r="S25" s="28"/>
      <c r="T25" s="28"/>
      <c r="U25" s="42"/>
      <c r="V25" s="42"/>
      <c r="W25" s="42"/>
      <c r="X25" s="42"/>
      <c r="Y25" s="42"/>
      <c r="Z25" s="40">
        <f>-(Z24-Z5)/Z5</f>
        <v>-0.15566824363796075</v>
      </c>
      <c r="AA25" s="90"/>
      <c r="AB25" s="40">
        <f>-(AB24-AB5)/AB5</f>
        <v>-0.13619365672542616</v>
      </c>
      <c r="AC25" s="10"/>
    </row>
    <row r="26" spans="1:30" ht="29" customHeight="1" x14ac:dyDescent="0.2">
      <c r="A26" s="150" t="s">
        <v>163</v>
      </c>
      <c r="B26" s="151"/>
      <c r="C26" s="151"/>
      <c r="D26" s="151"/>
      <c r="E26" s="151"/>
      <c r="F26" s="152"/>
      <c r="G26" s="39">
        <f>MEDIAN(G8:G12,G14:G22)</f>
        <v>6250</v>
      </c>
      <c r="H26" s="27"/>
      <c r="I26" s="42"/>
      <c r="J26" s="42"/>
      <c r="K26" s="42"/>
      <c r="L26" s="42"/>
      <c r="M26" s="42"/>
      <c r="N26" s="39">
        <f>MEDIAN(N8:N12,N14:N22)</f>
        <v>6368.083333333333</v>
      </c>
      <c r="O26" s="27"/>
      <c r="P26" s="27"/>
      <c r="Q26" s="28"/>
      <c r="R26" s="28"/>
      <c r="S26" s="28"/>
      <c r="T26" s="28"/>
      <c r="U26" s="42"/>
      <c r="V26" s="42"/>
      <c r="W26" s="42"/>
      <c r="X26" s="42"/>
      <c r="Y26" s="42"/>
      <c r="Z26" s="39">
        <f>MEDIAN(Z8:Z12,Z14:Z22)</f>
        <v>7105.2105416666664</v>
      </c>
      <c r="AA26" s="90"/>
      <c r="AB26" s="39">
        <f>MEDIAN(AB8:AB12,AB14:AB22)</f>
        <v>4377.2105416666664</v>
      </c>
      <c r="AC26" s="10"/>
    </row>
    <row r="27" spans="1:30" ht="29" customHeight="1" x14ac:dyDescent="0.2">
      <c r="A27" s="143" t="s">
        <v>164</v>
      </c>
      <c r="B27" s="143"/>
      <c r="C27" s="143"/>
      <c r="D27" s="143"/>
      <c r="E27" s="143"/>
      <c r="F27" s="143"/>
      <c r="G27" s="40">
        <f>-(G26-G5)/G5</f>
        <v>-0.15384615384615377</v>
      </c>
      <c r="H27" s="27"/>
      <c r="I27" s="42"/>
      <c r="J27" s="42"/>
      <c r="K27" s="42"/>
      <c r="L27" s="42"/>
      <c r="M27" s="42"/>
      <c r="N27" s="40">
        <f>-(N26-N5)/N5</f>
        <v>-0.14140403286034342</v>
      </c>
      <c r="O27" s="27"/>
      <c r="P27" s="27"/>
      <c r="Q27" s="28"/>
      <c r="R27" s="28"/>
      <c r="S27" s="28"/>
      <c r="T27" s="28"/>
      <c r="U27" s="42"/>
      <c r="V27" s="42"/>
      <c r="W27" s="42"/>
      <c r="X27" s="42"/>
      <c r="Y27" s="42"/>
      <c r="Z27" s="40">
        <f>-(Z26-Z5)/Z5</f>
        <v>2.2388763252867327E-4</v>
      </c>
      <c r="AA27" s="90"/>
      <c r="AB27" s="40">
        <f>-(AB26-AB5)/AB5</f>
        <v>0.21720926409824395</v>
      </c>
      <c r="AC27" s="10"/>
    </row>
    <row r="28" spans="1:30" ht="29" hidden="1" customHeight="1" x14ac:dyDescent="0.2">
      <c r="A28" s="143" t="s">
        <v>35</v>
      </c>
      <c r="B28" s="143"/>
      <c r="C28" s="143"/>
      <c r="D28" s="143"/>
      <c r="E28" s="143"/>
      <c r="F28" s="143"/>
      <c r="G28" s="39">
        <f>AVERAGE(G14:G22)</f>
        <v>5777.3333333333339</v>
      </c>
      <c r="H28" s="27"/>
      <c r="I28" s="42"/>
      <c r="J28" s="42"/>
      <c r="K28" s="42"/>
      <c r="L28" s="42"/>
      <c r="M28" s="42"/>
      <c r="N28" s="39">
        <f>AVERAGE(N14:N22)</f>
        <v>5894.0266666666666</v>
      </c>
      <c r="O28" s="27"/>
      <c r="P28" s="27"/>
      <c r="Q28" s="28"/>
      <c r="R28" s="28"/>
      <c r="S28" s="28"/>
      <c r="T28" s="28"/>
      <c r="U28" s="42"/>
      <c r="V28" s="42"/>
      <c r="W28" s="42"/>
      <c r="X28" s="42"/>
      <c r="Y28" s="42"/>
      <c r="Z28" s="39">
        <f>AVERAGE(Z14:Z22)</f>
        <v>7032.1226666666662</v>
      </c>
      <c r="AA28" s="89"/>
      <c r="AB28" s="39">
        <f>AVERAGE(AB14:AB22)</f>
        <v>3214.1226666666666</v>
      </c>
      <c r="AC28" s="10"/>
    </row>
    <row r="29" spans="1:30" ht="29" hidden="1" customHeight="1" x14ac:dyDescent="0.2">
      <c r="A29" s="143" t="s">
        <v>95</v>
      </c>
      <c r="B29" s="143"/>
      <c r="C29" s="143"/>
      <c r="D29" s="143"/>
      <c r="E29" s="143"/>
      <c r="F29" s="143"/>
      <c r="G29" s="40">
        <f>-(G28-G5)/G5</f>
        <v>-6.6584615384615436E-2</v>
      </c>
      <c r="H29" s="27"/>
      <c r="I29" s="42"/>
      <c r="J29" s="42"/>
      <c r="K29" s="42"/>
      <c r="L29" s="42"/>
      <c r="M29" s="42"/>
      <c r="N29" s="40">
        <f>-(N28-N5)/N5</f>
        <v>-5.6434951456310618E-2</v>
      </c>
      <c r="O29" s="27"/>
      <c r="P29" s="27"/>
      <c r="Q29" s="28"/>
      <c r="R29" s="28"/>
      <c r="S29" s="28"/>
      <c r="T29" s="28"/>
      <c r="U29" s="42"/>
      <c r="V29" s="42"/>
      <c r="W29" s="42"/>
      <c r="X29" s="42"/>
      <c r="Y29" s="42"/>
      <c r="Z29" s="40">
        <f>-(Z28-Z5)/Z5</f>
        <v>1.05081024492735E-2</v>
      </c>
      <c r="AA29" s="90"/>
      <c r="AB29" s="40">
        <f>-(AB28-AB5)/AB5</f>
        <v>0.42520803521584133</v>
      </c>
      <c r="AC29" s="10"/>
    </row>
    <row r="30" spans="1:30" ht="29" customHeight="1" x14ac:dyDescent="0.2">
      <c r="A30" s="138" t="s">
        <v>23</v>
      </c>
      <c r="B30" s="138"/>
      <c r="C30" s="138"/>
      <c r="D30" s="138"/>
      <c r="E30" s="138"/>
      <c r="F30" s="138"/>
      <c r="G30" s="123">
        <f>COUNT(G8:G12,G14:G22)</f>
        <v>5</v>
      </c>
      <c r="H30" s="27"/>
      <c r="I30" s="42"/>
      <c r="J30" s="42"/>
      <c r="K30" s="42"/>
      <c r="L30" s="42"/>
      <c r="M30" s="42"/>
      <c r="N30" s="122"/>
      <c r="O30" s="27"/>
      <c r="P30" s="27"/>
      <c r="Q30" s="28"/>
      <c r="R30" s="28"/>
      <c r="S30" s="28"/>
      <c r="T30" s="28"/>
      <c r="U30" s="153" t="s">
        <v>165</v>
      </c>
      <c r="V30" s="153"/>
      <c r="W30" s="153"/>
      <c r="X30" s="153"/>
      <c r="Y30" s="154"/>
      <c r="Z30" s="41">
        <f>Z26-AA36</f>
        <v>5732.0105416666665</v>
      </c>
      <c r="AB30" s="39"/>
      <c r="AC30" s="10"/>
    </row>
    <row r="31" spans="1:30" ht="29" customHeight="1" x14ac:dyDescent="0.2">
      <c r="A31" s="157"/>
      <c r="B31" s="157"/>
      <c r="C31" s="157"/>
      <c r="D31" s="157"/>
      <c r="E31" s="157"/>
      <c r="F31" s="157"/>
      <c r="G31" s="90"/>
      <c r="H31" s="27"/>
      <c r="I31" s="42"/>
      <c r="J31" s="42"/>
      <c r="K31" s="42"/>
      <c r="L31" s="42"/>
      <c r="M31" s="42"/>
      <c r="O31" s="27"/>
      <c r="P31" s="27"/>
      <c r="Q31" s="28"/>
      <c r="S31" s="126"/>
      <c r="T31" s="155" t="s">
        <v>166</v>
      </c>
      <c r="U31" s="155"/>
      <c r="V31" s="155"/>
      <c r="W31" s="155"/>
      <c r="X31" s="155"/>
      <c r="Y31" s="156"/>
      <c r="Z31" s="40">
        <f>-(Z30-Z5)/Z5</f>
        <v>0.19344723399954183</v>
      </c>
      <c r="AB31" s="40"/>
      <c r="AC31" s="10"/>
    </row>
    <row r="32" spans="1:30" ht="29" customHeight="1" x14ac:dyDescent="0.2">
      <c r="H32" s="26"/>
      <c r="I32" s="42"/>
      <c r="J32" s="42"/>
      <c r="K32" s="42"/>
      <c r="L32" s="42"/>
      <c r="M32" s="42"/>
      <c r="N32" s="26"/>
      <c r="O32" s="26"/>
      <c r="P32" s="26"/>
      <c r="Q32" s="26"/>
      <c r="R32" s="26"/>
      <c r="S32" s="26"/>
      <c r="T32" s="26"/>
      <c r="U32" s="42"/>
      <c r="V32" s="42"/>
      <c r="W32" s="42"/>
      <c r="X32" s="118"/>
      <c r="Y32" s="118"/>
      <c r="Z32" s="118"/>
      <c r="AA32" s="119"/>
      <c r="AB32" s="26"/>
      <c r="AC32" s="7"/>
    </row>
    <row r="33" spans="1:29" ht="16" x14ac:dyDescent="0.2">
      <c r="A33" s="36" t="s">
        <v>45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11"/>
      <c r="X33" s="11"/>
      <c r="Y33" s="153"/>
      <c r="Z33" s="153"/>
      <c r="AA33" s="7"/>
      <c r="AB33" s="7"/>
      <c r="AC33" s="7"/>
    </row>
    <row r="34" spans="1:29" x14ac:dyDescent="0.15">
      <c r="A34" t="s">
        <v>90</v>
      </c>
    </row>
    <row r="35" spans="1:29" ht="24" customHeight="1" x14ac:dyDescent="0.2">
      <c r="A35" s="43" t="s">
        <v>113</v>
      </c>
      <c r="W35" s="153" t="s">
        <v>167</v>
      </c>
      <c r="X35" s="153"/>
      <c r="Y35" s="153"/>
      <c r="Z35" s="153"/>
      <c r="AA35" s="127">
        <f>AVERAGE(AA8:AA12,AA14:AA22)</f>
        <v>2888.2</v>
      </c>
    </row>
    <row r="36" spans="1:29" ht="16" x14ac:dyDescent="0.2">
      <c r="A36" s="43" t="s">
        <v>149</v>
      </c>
      <c r="W36" s="157" t="s">
        <v>168</v>
      </c>
      <c r="X36" s="157"/>
      <c r="Y36" s="157"/>
      <c r="Z36" s="157"/>
      <c r="AA36" s="128">
        <f>AA35-AA5</f>
        <v>1373.1999999999998</v>
      </c>
    </row>
    <row r="37" spans="1:29" x14ac:dyDescent="0.15">
      <c r="A37" s="43"/>
    </row>
    <row r="40" spans="1:29" ht="28.5" customHeight="1" x14ac:dyDescent="0.15"/>
    <row r="41" spans="1:29" ht="28.5" customHeight="1" x14ac:dyDescent="0.15"/>
    <row r="42" spans="1:29" ht="28.5" customHeight="1" x14ac:dyDescent="0.15">
      <c r="A42" t="s">
        <v>138</v>
      </c>
    </row>
    <row r="43" spans="1:29" ht="28.5" customHeight="1" x14ac:dyDescent="0.15"/>
    <row r="44" spans="1:29" ht="28.5" customHeight="1" x14ac:dyDescent="0.15"/>
    <row r="45" spans="1:29" ht="28.5" customHeight="1" x14ac:dyDescent="0.15"/>
    <row r="46" spans="1:29" ht="28.5" customHeight="1" x14ac:dyDescent="0.15"/>
    <row r="85" spans="1:1" x14ac:dyDescent="0.15">
      <c r="A85" t="s">
        <v>30</v>
      </c>
    </row>
  </sheetData>
  <sortState xmlns:xlrd2="http://schemas.microsoft.com/office/spreadsheetml/2017/richdata2" ref="A14:A22">
    <sortCondition ref="A14:A22"/>
  </sortState>
  <mergeCells count="17">
    <mergeCell ref="T31:Y31"/>
    <mergeCell ref="W36:Z36"/>
    <mergeCell ref="Y33:Z33"/>
    <mergeCell ref="W35:Z35"/>
    <mergeCell ref="A31:F31"/>
    <mergeCell ref="A30:F30"/>
    <mergeCell ref="A6:AC6"/>
    <mergeCell ref="A23:AC23"/>
    <mergeCell ref="A24:F24"/>
    <mergeCell ref="A29:F29"/>
    <mergeCell ref="A28:F28"/>
    <mergeCell ref="A25:F25"/>
    <mergeCell ref="A13:AC13"/>
    <mergeCell ref="A7:AC7"/>
    <mergeCell ref="A26:F26"/>
    <mergeCell ref="A27:F27"/>
    <mergeCell ref="U30:Y30"/>
  </mergeCells>
  <pageMargins left="0.5" right="0.5" top="0.5" bottom="0.5" header="0.5" footer="0.5"/>
  <pageSetup paperSize="5" scale="28" orientation="landscape" r:id="rId1"/>
  <headerFooter alignWithMargins="0">
    <oddHeader>&amp;L&amp;K000000Appendix A&amp;C&amp;K000000Yolo County RCD
Total Compensation Study 
4/2021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Benefits </vt:lpstr>
      <vt:lpstr>Summary of Median</vt:lpstr>
      <vt:lpstr>Summary of Mean</vt:lpstr>
      <vt:lpstr>Deputy Dir</vt:lpstr>
      <vt:lpstr>Executive Director</vt:lpstr>
      <vt:lpstr>Field Manager</vt:lpstr>
      <vt:lpstr>Field Technician </vt:lpstr>
      <vt:lpstr>Financial Manager</vt:lpstr>
      <vt:lpstr>Office Manager</vt:lpstr>
      <vt:lpstr>Program Manager</vt:lpstr>
      <vt:lpstr>Project Assistant</vt:lpstr>
      <vt:lpstr>Project Manager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Shellie Anderson</dc:creator>
  <cp:lastModifiedBy>Shellie Anderson</cp:lastModifiedBy>
  <cp:lastPrinted>2021-04-30T20:28:32Z</cp:lastPrinted>
  <dcterms:created xsi:type="dcterms:W3CDTF">2008-07-16T22:31:54Z</dcterms:created>
  <dcterms:modified xsi:type="dcterms:W3CDTF">2021-06-11T20:35:11Z</dcterms:modified>
</cp:coreProperties>
</file>