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0"/>
  <workbookPr/>
  <mc:AlternateContent xmlns:mc="http://schemas.openxmlformats.org/markup-compatibility/2006">
    <mc:Choice Requires="x15">
      <x15ac:absPath xmlns:x15ac="http://schemas.microsoft.com/office/spreadsheetml/2010/11/ac" url="https://starrestaurantgroup.sharepoint.com/sites/NationalHarbor/Shared Documents/Financials/Investor Reports/2020/P13/"/>
    </mc:Choice>
  </mc:AlternateContent>
  <xr:revisionPtr revIDLastSave="0" documentId="8_{E74AAA7B-EDCD-45F3-8581-18F6DEBA33E8}" xr6:coauthVersionLast="47" xr6:coauthVersionMax="47" xr10:uidLastSave="{00000000-0000-0000-0000-000000000000}"/>
  <bookViews>
    <workbookView xWindow="-90" yWindow="-90" windowWidth="19380" windowHeight="1158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34" i="2" l="1"/>
  <c r="DU35" i="2"/>
  <c r="DU36" i="2"/>
  <c r="DU33" i="2"/>
  <c r="DU32" i="2"/>
  <c r="DM117" i="2"/>
  <c r="DT117" i="2"/>
  <c r="DT116" i="2"/>
  <c r="DR117" i="2"/>
  <c r="DR116" i="2"/>
  <c r="DD122" i="2"/>
  <c r="DD78" i="2"/>
  <c r="DD27" i="2"/>
  <c r="DD125" i="2" l="1"/>
  <c r="DD171" i="2" l="1"/>
  <c r="DD149" i="2"/>
  <c r="DK116" i="2"/>
  <c r="DD117" i="2"/>
  <c r="DD104" i="2"/>
  <c r="DD94" i="2"/>
  <c r="DD91" i="2"/>
  <c r="DD100" i="2"/>
  <c r="DD85" i="2"/>
  <c r="DD88" i="2" s="1"/>
  <c r="DD72" i="2"/>
  <c r="DD70" i="2"/>
  <c r="DD32" i="2"/>
  <c r="DD36" i="2"/>
  <c r="CW125" i="2"/>
  <c r="C12" i="2" l="1"/>
  <c r="DK98" i="2"/>
  <c r="DK92" i="2"/>
  <c r="DK95" i="2"/>
  <c r="DK96" i="2"/>
  <c r="DK97" i="2"/>
  <c r="DK99" i="2"/>
  <c r="DK159" i="2" l="1"/>
  <c r="DR159" i="2" s="1"/>
  <c r="CW27" i="2"/>
  <c r="DR98" i="2" l="1"/>
  <c r="CW171" i="2"/>
  <c r="CW173" i="2" s="1"/>
  <c r="CW149" i="2"/>
  <c r="CW136" i="2"/>
  <c r="CW94" i="2"/>
  <c r="DK94" i="2" s="1"/>
  <c r="CW85" i="2"/>
  <c r="CW88" i="2" s="1"/>
  <c r="CW72" i="2"/>
  <c r="CW36" i="2"/>
  <c r="CW32" i="2"/>
  <c r="CZ16" i="2"/>
  <c r="CX16" i="2"/>
  <c r="CX21" i="2"/>
  <c r="CW100" i="2" l="1"/>
  <c r="CP93" i="2"/>
  <c r="DK93" i="2" s="1"/>
  <c r="DK86" i="2" l="1"/>
  <c r="DR86" i="2" s="1"/>
  <c r="CP61" i="2" l="1"/>
  <c r="CP125" i="2"/>
  <c r="CP72" i="2"/>
  <c r="CP71" i="2"/>
  <c r="CP27" i="2" l="1"/>
  <c r="CP32" i="2" l="1"/>
  <c r="CP36" i="2"/>
  <c r="CP91" i="2"/>
  <c r="CP100" i="2" s="1"/>
  <c r="CP85" i="2"/>
  <c r="CP88" i="2" s="1"/>
  <c r="CP104" i="2"/>
  <c r="CP149" i="2"/>
  <c r="CP171" i="2"/>
  <c r="CI91" i="2" l="1"/>
  <c r="CI100" i="2" s="1"/>
  <c r="CI27" i="2" l="1"/>
  <c r="CI61" i="2" l="1"/>
  <c r="CI32" i="2"/>
  <c r="CI70" i="2"/>
  <c r="CI28" i="2"/>
  <c r="X96" i="2" l="1"/>
  <c r="DR96" i="2" s="1"/>
  <c r="BU61" i="2"/>
  <c r="BU7" i="2"/>
  <c r="BN7" i="2"/>
  <c r="BN61" i="2"/>
  <c r="DK166" i="2" l="1"/>
  <c r="CI171" i="2"/>
  <c r="CI36" i="2"/>
  <c r="CI125" i="2" l="1"/>
  <c r="AE120" i="2"/>
  <c r="AE58" i="2"/>
  <c r="C91" i="2"/>
  <c r="J47" i="2" l="1"/>
  <c r="CI149" i="2" l="1"/>
  <c r="CI85" i="2"/>
  <c r="DK85" i="2" s="1"/>
  <c r="BU122" i="2" l="1"/>
  <c r="BU125" i="2"/>
  <c r="BU104" i="2"/>
  <c r="BU27" i="2" l="1"/>
  <c r="BU149" i="2" l="1"/>
  <c r="BU171" i="2"/>
  <c r="BU91" i="2"/>
  <c r="BU94" i="2"/>
  <c r="BU85" i="2"/>
  <c r="BU32" i="2"/>
  <c r="BU36" i="2"/>
  <c r="BU23" i="2"/>
  <c r="CR108" i="2" l="1"/>
  <c r="CK108" i="2"/>
  <c r="BN27" i="2" l="1"/>
  <c r="BN91" i="2" l="1"/>
  <c r="BN36" i="2" l="1"/>
  <c r="BN173" i="2" l="1"/>
  <c r="DD173" i="2"/>
  <c r="CP173" i="2"/>
  <c r="CI173" i="2"/>
  <c r="CB165" i="2"/>
  <c r="DR165" i="2" s="1"/>
  <c r="BU173" i="2"/>
  <c r="DT165" i="2"/>
  <c r="BN149" i="2"/>
  <c r="BN125" i="2"/>
  <c r="BN142" i="2"/>
  <c r="BN104" i="2"/>
  <c r="BN108" i="2" s="1"/>
  <c r="BN85" i="2"/>
  <c r="BN47" i="2"/>
  <c r="BN29" i="2" l="1"/>
  <c r="BN23" i="2"/>
  <c r="DK22" i="2"/>
  <c r="DK21" i="2"/>
  <c r="DK20" i="2"/>
  <c r="DK19" i="2"/>
  <c r="DK18" i="2"/>
  <c r="DK17" i="2"/>
  <c r="DK16" i="2"/>
  <c r="DK28" i="2"/>
  <c r="DK27" i="2"/>
  <c r="DK36" i="2"/>
  <c r="DK35" i="2"/>
  <c r="DK34" i="2"/>
  <c r="DK33" i="2"/>
  <c r="DK32" i="2"/>
  <c r="DK57" i="2"/>
  <c r="DK56" i="2"/>
  <c r="DK55" i="2"/>
  <c r="DK54" i="2"/>
  <c r="DK53" i="2"/>
  <c r="DK52" i="2"/>
  <c r="DK51" i="2"/>
  <c r="DK50" i="2"/>
  <c r="DK49" i="2"/>
  <c r="DK48" i="2"/>
  <c r="DK47" i="2"/>
  <c r="DK46" i="2"/>
  <c r="DK45" i="2"/>
  <c r="DK44" i="2"/>
  <c r="DK43" i="2"/>
  <c r="DK42" i="2"/>
  <c r="DK41" i="2"/>
  <c r="DK40" i="2"/>
  <c r="DK81" i="2"/>
  <c r="DK80" i="2"/>
  <c r="DK79" i="2"/>
  <c r="DK78" i="2"/>
  <c r="DK77" i="2"/>
  <c r="DK76" i="2"/>
  <c r="DK75" i="2"/>
  <c r="DK74" i="2"/>
  <c r="DK73" i="2"/>
  <c r="DK72" i="2"/>
  <c r="DK71" i="2"/>
  <c r="DK70" i="2"/>
  <c r="DK69" i="2"/>
  <c r="DK68" i="2"/>
  <c r="DK67" i="2"/>
  <c r="DK66" i="2"/>
  <c r="DK65" i="2"/>
  <c r="DK64" i="2"/>
  <c r="DK63" i="2"/>
  <c r="DK62" i="2"/>
  <c r="DK61" i="2"/>
  <c r="DK87" i="2"/>
  <c r="DK91" i="2"/>
  <c r="DK100" i="2" s="1"/>
  <c r="DK107" i="2"/>
  <c r="DK106" i="2"/>
  <c r="DK105" i="2"/>
  <c r="DK104" i="2"/>
  <c r="DK103" i="2"/>
  <c r="DK115" i="2"/>
  <c r="DK114" i="2"/>
  <c r="DK113" i="2"/>
  <c r="DK112" i="2"/>
  <c r="DK111" i="2"/>
  <c r="DK135" i="2"/>
  <c r="DK134" i="2"/>
  <c r="DK133" i="2"/>
  <c r="DK132" i="2"/>
  <c r="DK131" i="2"/>
  <c r="DK130" i="2"/>
  <c r="DK129" i="2"/>
  <c r="DK128" i="2"/>
  <c r="DK127" i="2"/>
  <c r="DK126" i="2"/>
  <c r="DK125" i="2"/>
  <c r="DK124" i="2"/>
  <c r="DK123" i="2"/>
  <c r="DK122" i="2"/>
  <c r="DK121" i="2"/>
  <c r="DK120" i="2"/>
  <c r="DK141" i="2"/>
  <c r="DK148" i="2"/>
  <c r="DK147" i="2"/>
  <c r="DK146" i="2"/>
  <c r="DK145" i="2"/>
  <c r="DK157" i="2"/>
  <c r="DK160" i="2"/>
  <c r="DK158" i="2"/>
  <c r="DK167" i="2"/>
  <c r="DK168" i="2"/>
  <c r="DK169" i="2"/>
  <c r="DK170" i="2"/>
  <c r="DK171" i="2"/>
  <c r="DK172" i="2"/>
  <c r="CB172" i="2"/>
  <c r="CB170" i="2"/>
  <c r="CB169" i="2"/>
  <c r="CB168" i="2"/>
  <c r="CB167" i="2"/>
  <c r="CB166" i="2"/>
  <c r="CB160" i="2"/>
  <c r="CB158" i="2"/>
  <c r="CB157" i="2"/>
  <c r="CB148" i="2"/>
  <c r="CB147" i="2"/>
  <c r="CB146" i="2"/>
  <c r="CB145" i="2"/>
  <c r="CB121" i="2"/>
  <c r="CB122" i="2"/>
  <c r="CB123" i="2"/>
  <c r="CB124" i="2"/>
  <c r="CB125" i="2"/>
  <c r="CB126" i="2"/>
  <c r="CB127" i="2"/>
  <c r="CB128" i="2"/>
  <c r="CB129" i="2"/>
  <c r="CB130" i="2"/>
  <c r="CB131" i="2"/>
  <c r="CB132" i="2"/>
  <c r="CB133" i="2"/>
  <c r="CB134" i="2"/>
  <c r="CB135" i="2"/>
  <c r="CB112" i="2"/>
  <c r="CB113" i="2"/>
  <c r="CB114" i="2"/>
  <c r="CB115" i="2"/>
  <c r="CB104" i="2"/>
  <c r="CB105" i="2"/>
  <c r="CB106" i="2"/>
  <c r="CB107" i="2"/>
  <c r="CB92" i="2"/>
  <c r="CB93" i="2"/>
  <c r="CB94" i="2"/>
  <c r="CB95" i="2"/>
  <c r="CB97" i="2"/>
  <c r="CB99" i="2"/>
  <c r="CB87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74" i="2"/>
  <c r="CB75" i="2"/>
  <c r="CB76" i="2"/>
  <c r="CB77" i="2"/>
  <c r="CB78" i="2"/>
  <c r="CB79" i="2"/>
  <c r="CB80" i="2"/>
  <c r="CB81" i="2"/>
  <c r="CB41" i="2"/>
  <c r="CB42" i="2"/>
  <c r="CB43" i="2"/>
  <c r="CB44" i="2"/>
  <c r="CB45" i="2"/>
  <c r="CB46" i="2"/>
  <c r="CB47" i="2"/>
  <c r="CB48" i="2"/>
  <c r="CB49" i="2"/>
  <c r="CB50" i="2"/>
  <c r="CB51" i="2"/>
  <c r="CB52" i="2"/>
  <c r="CB53" i="2"/>
  <c r="CB54" i="2"/>
  <c r="CB55" i="2"/>
  <c r="CB56" i="2"/>
  <c r="CB57" i="2"/>
  <c r="CB33" i="2"/>
  <c r="CB34" i="2"/>
  <c r="CB35" i="2"/>
  <c r="CB36" i="2"/>
  <c r="CB8" i="2"/>
  <c r="CB9" i="2"/>
  <c r="CB10" i="2"/>
  <c r="CB11" i="2"/>
  <c r="CB12" i="2"/>
  <c r="CB17" i="2"/>
  <c r="CB18" i="2"/>
  <c r="CB19" i="2"/>
  <c r="CB20" i="2"/>
  <c r="CB21" i="2"/>
  <c r="CB22" i="2"/>
  <c r="CB28" i="2"/>
  <c r="BG171" i="2"/>
  <c r="BG173" i="2" s="1"/>
  <c r="BG149" i="2"/>
  <c r="BG108" i="2"/>
  <c r="DK117" i="2" l="1"/>
  <c r="DK88" i="2"/>
  <c r="DK136" i="2"/>
  <c r="CB171" i="2"/>
  <c r="CB173" i="2" s="1"/>
  <c r="DK149" i="2"/>
  <c r="CB149" i="2"/>
  <c r="BG27" i="2"/>
  <c r="DO148" i="2" l="1"/>
  <c r="DO87" i="2"/>
  <c r="DF173" i="2"/>
  <c r="DM172" i="2"/>
  <c r="DO172" i="2" s="1"/>
  <c r="DH172" i="2"/>
  <c r="DH171" i="2"/>
  <c r="DH170" i="2"/>
  <c r="DH169" i="2"/>
  <c r="DH168" i="2"/>
  <c r="DH167" i="2"/>
  <c r="DH166" i="2"/>
  <c r="DH160" i="2"/>
  <c r="DH158" i="2"/>
  <c r="DH157" i="2"/>
  <c r="DF149" i="2"/>
  <c r="DH148" i="2"/>
  <c r="DH147" i="2"/>
  <c r="DH146" i="2"/>
  <c r="DH145" i="2"/>
  <c r="DH141" i="2"/>
  <c r="DH135" i="2"/>
  <c r="DH134" i="2"/>
  <c r="DH133" i="2"/>
  <c r="DH132" i="2"/>
  <c r="DH131" i="2"/>
  <c r="DH130" i="2"/>
  <c r="DH129" i="2"/>
  <c r="DH128" i="2"/>
  <c r="DH127" i="2"/>
  <c r="DH126" i="2"/>
  <c r="DH125" i="2"/>
  <c r="DH124" i="2"/>
  <c r="DH123" i="2"/>
  <c r="DH122" i="2"/>
  <c r="DH121" i="2"/>
  <c r="DH120" i="2"/>
  <c r="DH115" i="2"/>
  <c r="DH114" i="2"/>
  <c r="DH113" i="2"/>
  <c r="DH112" i="2"/>
  <c r="DH111" i="2"/>
  <c r="DF108" i="2"/>
  <c r="DH107" i="2"/>
  <c r="DH106" i="2"/>
  <c r="DH105" i="2"/>
  <c r="DH104" i="2"/>
  <c r="DH103" i="2"/>
  <c r="DH99" i="2"/>
  <c r="DH97" i="2"/>
  <c r="DH95" i="2"/>
  <c r="DH94" i="2"/>
  <c r="DH93" i="2"/>
  <c r="DH92" i="2"/>
  <c r="DH91" i="2"/>
  <c r="CY88" i="2"/>
  <c r="DF88" i="2"/>
  <c r="DH87" i="2"/>
  <c r="DH85" i="2"/>
  <c r="DH81" i="2"/>
  <c r="DH80" i="2"/>
  <c r="DH79" i="2"/>
  <c r="DH78" i="2"/>
  <c r="DH77" i="2"/>
  <c r="DH76" i="2"/>
  <c r="DH75" i="2"/>
  <c r="DH74" i="2"/>
  <c r="DH73" i="2"/>
  <c r="DH72" i="2"/>
  <c r="DH71" i="2"/>
  <c r="DH70" i="2"/>
  <c r="DH69" i="2"/>
  <c r="DH68" i="2"/>
  <c r="DH67" i="2"/>
  <c r="DH66" i="2"/>
  <c r="DH65" i="2"/>
  <c r="DH64" i="2"/>
  <c r="DH63" i="2"/>
  <c r="DH62" i="2"/>
  <c r="DH61" i="2"/>
  <c r="DH57" i="2"/>
  <c r="DH56" i="2"/>
  <c r="DH55" i="2"/>
  <c r="DH54" i="2"/>
  <c r="DH53" i="2"/>
  <c r="DH52" i="2"/>
  <c r="DH51" i="2"/>
  <c r="DH50" i="2"/>
  <c r="DH49" i="2"/>
  <c r="DH48" i="2"/>
  <c r="DH47" i="2"/>
  <c r="DH46" i="2"/>
  <c r="DH45" i="2"/>
  <c r="DH44" i="2"/>
  <c r="DH43" i="2"/>
  <c r="DH42" i="2"/>
  <c r="DH41" i="2"/>
  <c r="DH40" i="2"/>
  <c r="DH36" i="2"/>
  <c r="DH35" i="2"/>
  <c r="DH34" i="2"/>
  <c r="DH33" i="2"/>
  <c r="DH32" i="2"/>
  <c r="DH28" i="2"/>
  <c r="DH27" i="2"/>
  <c r="DH22" i="2"/>
  <c r="DH21" i="2"/>
  <c r="DH20" i="2"/>
  <c r="DH19" i="2"/>
  <c r="DH18" i="2"/>
  <c r="DH17" i="2"/>
  <c r="DH16" i="2"/>
  <c r="DA172" i="2"/>
  <c r="DA171" i="2"/>
  <c r="DA170" i="2"/>
  <c r="DA169" i="2"/>
  <c r="DA168" i="2"/>
  <c r="DA167" i="2"/>
  <c r="DA160" i="2"/>
  <c r="DA158" i="2"/>
  <c r="DA157" i="2"/>
  <c r="CY149" i="2"/>
  <c r="DA148" i="2"/>
  <c r="DA147" i="2"/>
  <c r="DA146" i="2"/>
  <c r="DA145" i="2"/>
  <c r="DA141" i="2"/>
  <c r="DA135" i="2"/>
  <c r="DA134" i="2"/>
  <c r="DA133" i="2"/>
  <c r="DA132" i="2"/>
  <c r="DA131" i="2"/>
  <c r="DA130" i="2"/>
  <c r="DA129" i="2"/>
  <c r="DA128" i="2"/>
  <c r="DA127" i="2"/>
  <c r="DA126" i="2"/>
  <c r="DA125" i="2"/>
  <c r="DA124" i="2"/>
  <c r="DA123" i="2"/>
  <c r="DA122" i="2"/>
  <c r="DA121" i="2"/>
  <c r="DA120" i="2"/>
  <c r="DA115" i="2"/>
  <c r="DA114" i="2"/>
  <c r="DA113" i="2"/>
  <c r="DA112" i="2"/>
  <c r="DA111" i="2"/>
  <c r="CY108" i="2"/>
  <c r="DA107" i="2"/>
  <c r="DA106" i="2"/>
  <c r="DA105" i="2"/>
  <c r="DA104" i="2"/>
  <c r="DA103" i="2"/>
  <c r="DA99" i="2"/>
  <c r="DA97" i="2"/>
  <c r="DA95" i="2"/>
  <c r="DA94" i="2"/>
  <c r="DA93" i="2"/>
  <c r="DA92" i="2"/>
  <c r="DA91" i="2"/>
  <c r="DA87" i="2"/>
  <c r="DA85" i="2"/>
  <c r="DA81" i="2"/>
  <c r="DA80" i="2"/>
  <c r="DA79" i="2"/>
  <c r="DA78" i="2"/>
  <c r="DA77" i="2"/>
  <c r="DA76" i="2"/>
  <c r="DA75" i="2"/>
  <c r="DA74" i="2"/>
  <c r="DA73" i="2"/>
  <c r="DA72" i="2"/>
  <c r="DA71" i="2"/>
  <c r="DA70" i="2"/>
  <c r="DA69" i="2"/>
  <c r="DA68" i="2"/>
  <c r="DA67" i="2"/>
  <c r="DA66" i="2"/>
  <c r="DA65" i="2"/>
  <c r="DA64" i="2"/>
  <c r="DA63" i="2"/>
  <c r="DA62" i="2"/>
  <c r="DA61" i="2"/>
  <c r="DA57" i="2"/>
  <c r="DA56" i="2"/>
  <c r="DA55" i="2"/>
  <c r="DA54" i="2"/>
  <c r="DA53" i="2"/>
  <c r="DA52" i="2"/>
  <c r="DA51" i="2"/>
  <c r="DA50" i="2"/>
  <c r="DA49" i="2"/>
  <c r="DA48" i="2"/>
  <c r="DA47" i="2"/>
  <c r="DA46" i="2"/>
  <c r="DA45" i="2"/>
  <c r="DA44" i="2"/>
  <c r="DA43" i="2"/>
  <c r="DA42" i="2"/>
  <c r="DA41" i="2"/>
  <c r="DA40" i="2"/>
  <c r="DA36" i="2"/>
  <c r="DA35" i="2"/>
  <c r="DA34" i="2"/>
  <c r="DA33" i="2"/>
  <c r="DA32" i="2"/>
  <c r="DA28" i="2"/>
  <c r="DA27" i="2"/>
  <c r="DA22" i="2"/>
  <c r="DA21" i="2"/>
  <c r="DA20" i="2"/>
  <c r="DA19" i="2"/>
  <c r="DA18" i="2"/>
  <c r="DA17" i="2"/>
  <c r="DA16" i="2"/>
  <c r="CT172" i="2"/>
  <c r="CT171" i="2"/>
  <c r="CT170" i="2"/>
  <c r="CT169" i="2"/>
  <c r="CT168" i="2"/>
  <c r="CT167" i="2"/>
  <c r="CT160" i="2"/>
  <c r="CT158" i="2"/>
  <c r="CT157" i="2"/>
  <c r="CR149" i="2"/>
  <c r="CT148" i="2"/>
  <c r="CT147" i="2"/>
  <c r="CT146" i="2"/>
  <c r="CT145" i="2"/>
  <c r="CT141" i="2"/>
  <c r="CT135" i="2"/>
  <c r="CT134" i="2"/>
  <c r="CT133" i="2"/>
  <c r="CT132" i="2"/>
  <c r="CT131" i="2"/>
  <c r="CT130" i="2"/>
  <c r="CT129" i="2"/>
  <c r="CT128" i="2"/>
  <c r="CT127" i="2"/>
  <c r="CT126" i="2"/>
  <c r="CT125" i="2"/>
  <c r="CT124" i="2"/>
  <c r="CT123" i="2"/>
  <c r="CT122" i="2"/>
  <c r="CT121" i="2"/>
  <c r="CT120" i="2"/>
  <c r="CT115" i="2"/>
  <c r="CT114" i="2"/>
  <c r="CT113" i="2"/>
  <c r="CT112" i="2"/>
  <c r="CT111" i="2"/>
  <c r="CT107" i="2"/>
  <c r="CT106" i="2"/>
  <c r="CT105" i="2"/>
  <c r="CT104" i="2"/>
  <c r="CT103" i="2"/>
  <c r="CT99" i="2"/>
  <c r="CT97" i="2"/>
  <c r="CT95" i="2"/>
  <c r="CT94" i="2"/>
  <c r="CT93" i="2"/>
  <c r="CT92" i="2"/>
  <c r="CT91" i="2"/>
  <c r="CT87" i="2"/>
  <c r="CT85" i="2"/>
  <c r="CR88" i="2"/>
  <c r="CT81" i="2"/>
  <c r="CT80" i="2"/>
  <c r="CT79" i="2"/>
  <c r="CT78" i="2"/>
  <c r="CT77" i="2"/>
  <c r="CT76" i="2"/>
  <c r="CT75" i="2"/>
  <c r="CT74" i="2"/>
  <c r="CT73" i="2"/>
  <c r="CT72" i="2"/>
  <c r="CT71" i="2"/>
  <c r="CT70" i="2"/>
  <c r="CT69" i="2"/>
  <c r="CT68" i="2"/>
  <c r="CT67" i="2"/>
  <c r="CT66" i="2"/>
  <c r="CT65" i="2"/>
  <c r="CT64" i="2"/>
  <c r="CT63" i="2"/>
  <c r="CT62" i="2"/>
  <c r="CT61" i="2"/>
  <c r="CT57" i="2"/>
  <c r="CT56" i="2"/>
  <c r="CT55" i="2"/>
  <c r="CT54" i="2"/>
  <c r="CT53" i="2"/>
  <c r="CT52" i="2"/>
  <c r="CT51" i="2"/>
  <c r="CT50" i="2"/>
  <c r="CT49" i="2"/>
  <c r="CT48" i="2"/>
  <c r="CT47" i="2"/>
  <c r="CT46" i="2"/>
  <c r="CT45" i="2"/>
  <c r="CT44" i="2"/>
  <c r="CT43" i="2"/>
  <c r="CT42" i="2"/>
  <c r="CT41" i="2"/>
  <c r="CT40" i="2"/>
  <c r="CT36" i="2"/>
  <c r="CT35" i="2"/>
  <c r="CT34" i="2"/>
  <c r="CT33" i="2"/>
  <c r="CT32" i="2"/>
  <c r="CT28" i="2"/>
  <c r="CT27" i="2"/>
  <c r="CT22" i="2"/>
  <c r="CT21" i="2"/>
  <c r="CT20" i="2"/>
  <c r="CT19" i="2"/>
  <c r="CT18" i="2"/>
  <c r="CT17" i="2"/>
  <c r="CT16" i="2"/>
  <c r="CM172" i="2"/>
  <c r="CM171" i="2"/>
  <c r="CM170" i="2"/>
  <c r="CM169" i="2"/>
  <c r="CM168" i="2"/>
  <c r="CM167" i="2"/>
  <c r="CM160" i="2"/>
  <c r="CM158" i="2"/>
  <c r="CM157" i="2"/>
  <c r="CK149" i="2"/>
  <c r="CM148" i="2"/>
  <c r="CM147" i="2"/>
  <c r="CM146" i="2"/>
  <c r="CM145" i="2"/>
  <c r="CM141" i="2"/>
  <c r="CM135" i="2"/>
  <c r="CM134" i="2"/>
  <c r="CM133" i="2"/>
  <c r="CM132" i="2"/>
  <c r="CM131" i="2"/>
  <c r="CM130" i="2"/>
  <c r="CM129" i="2"/>
  <c r="CM128" i="2"/>
  <c r="CM127" i="2"/>
  <c r="CM126" i="2"/>
  <c r="CM125" i="2"/>
  <c r="CM124" i="2"/>
  <c r="CM123" i="2"/>
  <c r="CM122" i="2"/>
  <c r="CM121" i="2"/>
  <c r="CM120" i="2"/>
  <c r="CM115" i="2"/>
  <c r="CM114" i="2"/>
  <c r="CM113" i="2"/>
  <c r="CM112" i="2"/>
  <c r="CM111" i="2"/>
  <c r="CM107" i="2"/>
  <c r="CM106" i="2"/>
  <c r="CM105" i="2"/>
  <c r="CM104" i="2"/>
  <c r="CM103" i="2"/>
  <c r="CM99" i="2"/>
  <c r="CM97" i="2"/>
  <c r="CM95" i="2"/>
  <c r="CM94" i="2"/>
  <c r="CM93" i="2"/>
  <c r="CM92" i="2"/>
  <c r="CM91" i="2"/>
  <c r="CI88" i="2"/>
  <c r="CK88" i="2"/>
  <c r="CM87" i="2"/>
  <c r="CM85" i="2"/>
  <c r="CM81" i="2"/>
  <c r="CM80" i="2"/>
  <c r="CM79" i="2"/>
  <c r="CM78" i="2"/>
  <c r="CM77" i="2"/>
  <c r="CM76" i="2"/>
  <c r="CM75" i="2"/>
  <c r="CM74" i="2"/>
  <c r="CM73" i="2"/>
  <c r="CM72" i="2"/>
  <c r="CM71" i="2"/>
  <c r="CM70" i="2"/>
  <c r="CM69" i="2"/>
  <c r="CM68" i="2"/>
  <c r="CM67" i="2"/>
  <c r="CM66" i="2"/>
  <c r="CM65" i="2"/>
  <c r="CM64" i="2"/>
  <c r="CM63" i="2"/>
  <c r="CM62" i="2"/>
  <c r="CM61" i="2"/>
  <c r="CM57" i="2"/>
  <c r="CM56" i="2"/>
  <c r="CM55" i="2"/>
  <c r="CM54" i="2"/>
  <c r="CM53" i="2"/>
  <c r="CM52" i="2"/>
  <c r="CM51" i="2"/>
  <c r="CM50" i="2"/>
  <c r="CM49" i="2"/>
  <c r="CM48" i="2"/>
  <c r="CM47" i="2"/>
  <c r="CM46" i="2"/>
  <c r="CM45" i="2"/>
  <c r="CM44" i="2"/>
  <c r="CM43" i="2"/>
  <c r="CM42" i="2"/>
  <c r="CM41" i="2"/>
  <c r="CM40" i="2"/>
  <c r="CM36" i="2"/>
  <c r="CM35" i="2"/>
  <c r="CM34" i="2"/>
  <c r="CM33" i="2"/>
  <c r="CM32" i="2"/>
  <c r="CM28" i="2"/>
  <c r="CM27" i="2"/>
  <c r="CM22" i="2"/>
  <c r="CM21" i="2"/>
  <c r="CM20" i="2"/>
  <c r="CM19" i="2"/>
  <c r="CM18" i="2"/>
  <c r="CM17" i="2"/>
  <c r="CM16" i="2"/>
  <c r="CF172" i="2"/>
  <c r="CF148" i="2"/>
  <c r="CF107" i="2"/>
  <c r="CF87" i="2"/>
  <c r="BY172" i="2"/>
  <c r="BY171" i="2"/>
  <c r="BY170" i="2"/>
  <c r="BY169" i="2"/>
  <c r="BY168" i="2"/>
  <c r="BY167" i="2"/>
  <c r="BY160" i="2"/>
  <c r="BY158" i="2"/>
  <c r="BY157" i="2"/>
  <c r="BW149" i="2"/>
  <c r="BY148" i="2"/>
  <c r="BY147" i="2"/>
  <c r="BY146" i="2"/>
  <c r="BY145" i="2"/>
  <c r="BY141" i="2"/>
  <c r="BY135" i="2"/>
  <c r="BY134" i="2"/>
  <c r="BY133" i="2"/>
  <c r="BY132" i="2"/>
  <c r="BY131" i="2"/>
  <c r="BY130" i="2"/>
  <c r="BY129" i="2"/>
  <c r="BY128" i="2"/>
  <c r="BY127" i="2"/>
  <c r="BY126" i="2"/>
  <c r="BY125" i="2"/>
  <c r="BY124" i="2"/>
  <c r="BY123" i="2"/>
  <c r="BY122" i="2"/>
  <c r="BY121" i="2"/>
  <c r="BY120" i="2"/>
  <c r="BY115" i="2"/>
  <c r="BY114" i="2"/>
  <c r="BY113" i="2"/>
  <c r="BY112" i="2"/>
  <c r="BY111" i="2"/>
  <c r="BY107" i="2"/>
  <c r="BY106" i="2"/>
  <c r="BY105" i="2"/>
  <c r="BY104" i="2"/>
  <c r="BY103" i="2"/>
  <c r="BY99" i="2"/>
  <c r="BY97" i="2"/>
  <c r="BY95" i="2"/>
  <c r="BY94" i="2"/>
  <c r="BY93" i="2"/>
  <c r="BY92" i="2"/>
  <c r="BY91" i="2"/>
  <c r="BU88" i="2"/>
  <c r="BW88" i="2"/>
  <c r="BY87" i="2"/>
  <c r="BY85" i="2"/>
  <c r="BY81" i="2"/>
  <c r="BY80" i="2"/>
  <c r="BY79" i="2"/>
  <c r="BY78" i="2"/>
  <c r="BY77" i="2"/>
  <c r="BY76" i="2"/>
  <c r="BY75" i="2"/>
  <c r="BY74" i="2"/>
  <c r="BY73" i="2"/>
  <c r="BY72" i="2"/>
  <c r="BY71" i="2"/>
  <c r="BY70" i="2"/>
  <c r="BY69" i="2"/>
  <c r="BY68" i="2"/>
  <c r="BY67" i="2"/>
  <c r="BY66" i="2"/>
  <c r="BY65" i="2"/>
  <c r="BY64" i="2"/>
  <c r="BY63" i="2"/>
  <c r="BY62" i="2"/>
  <c r="BY61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43" i="2"/>
  <c r="BY42" i="2"/>
  <c r="BY41" i="2"/>
  <c r="BY40" i="2"/>
  <c r="BY36" i="2"/>
  <c r="BY35" i="2"/>
  <c r="BY34" i="2"/>
  <c r="BY33" i="2"/>
  <c r="BY32" i="2"/>
  <c r="BW23" i="2"/>
  <c r="BY28" i="2"/>
  <c r="BY27" i="2"/>
  <c r="BY22" i="2"/>
  <c r="BY21" i="2"/>
  <c r="BY20" i="2"/>
  <c r="BY19" i="2"/>
  <c r="BY18" i="2"/>
  <c r="BY17" i="2"/>
  <c r="BY16" i="2"/>
  <c r="BR172" i="2"/>
  <c r="BR171" i="2"/>
  <c r="BR170" i="2"/>
  <c r="BR169" i="2"/>
  <c r="BR168" i="2"/>
  <c r="BR167" i="2"/>
  <c r="BR160" i="2"/>
  <c r="BR158" i="2"/>
  <c r="BR157" i="2"/>
  <c r="BR148" i="2"/>
  <c r="BR147" i="2"/>
  <c r="BR146" i="2"/>
  <c r="BR145" i="2"/>
  <c r="BP149" i="2"/>
  <c r="BR141" i="2"/>
  <c r="BR135" i="2"/>
  <c r="BR134" i="2"/>
  <c r="BR133" i="2"/>
  <c r="BR132" i="2"/>
  <c r="BR131" i="2"/>
  <c r="BR130" i="2"/>
  <c r="BR129" i="2"/>
  <c r="BR128" i="2"/>
  <c r="BR127" i="2"/>
  <c r="BR126" i="2"/>
  <c r="BR125" i="2"/>
  <c r="BR124" i="2"/>
  <c r="BR123" i="2"/>
  <c r="BR122" i="2"/>
  <c r="BR121" i="2"/>
  <c r="BR120" i="2"/>
  <c r="BR112" i="2"/>
  <c r="BR113" i="2"/>
  <c r="BR114" i="2"/>
  <c r="BR115" i="2"/>
  <c r="BR111" i="2"/>
  <c r="BP108" i="2"/>
  <c r="BR107" i="2"/>
  <c r="BR106" i="2"/>
  <c r="BR105" i="2"/>
  <c r="BR104" i="2"/>
  <c r="BR103" i="2"/>
  <c r="BR99" i="2"/>
  <c r="BR97" i="2"/>
  <c r="BR95" i="2"/>
  <c r="BR94" i="2"/>
  <c r="BR93" i="2"/>
  <c r="BR92" i="2"/>
  <c r="BR91" i="2"/>
  <c r="BN88" i="2"/>
  <c r="BP88" i="2"/>
  <c r="BR87" i="2"/>
  <c r="BR85" i="2"/>
  <c r="BR81" i="2"/>
  <c r="BR80" i="2"/>
  <c r="BR79" i="2"/>
  <c r="BR78" i="2"/>
  <c r="BR77" i="2"/>
  <c r="BR76" i="2"/>
  <c r="BR75" i="2"/>
  <c r="BR74" i="2"/>
  <c r="BR73" i="2"/>
  <c r="BR72" i="2"/>
  <c r="BR71" i="2"/>
  <c r="BR70" i="2"/>
  <c r="BR69" i="2"/>
  <c r="BR68" i="2"/>
  <c r="BR67" i="2"/>
  <c r="BR66" i="2"/>
  <c r="BR65" i="2"/>
  <c r="BR64" i="2"/>
  <c r="BR63" i="2"/>
  <c r="BR62" i="2"/>
  <c r="BR61" i="2"/>
  <c r="BR57" i="2"/>
  <c r="BR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2" i="2"/>
  <c r="BR36" i="2"/>
  <c r="BR35" i="2"/>
  <c r="BR34" i="2"/>
  <c r="BR33" i="2"/>
  <c r="BR28" i="2"/>
  <c r="BR27" i="2"/>
  <c r="BR22" i="2"/>
  <c r="BR21" i="2"/>
  <c r="BR20" i="2"/>
  <c r="BR19" i="2"/>
  <c r="BR18" i="2"/>
  <c r="BR17" i="2"/>
  <c r="BR16" i="2"/>
  <c r="BK172" i="2"/>
  <c r="BK171" i="2"/>
  <c r="BK170" i="2"/>
  <c r="BK169" i="2"/>
  <c r="BK168" i="2"/>
  <c r="BK167" i="2"/>
  <c r="BI161" i="2"/>
  <c r="BK160" i="2"/>
  <c r="BK158" i="2"/>
  <c r="BK157" i="2"/>
  <c r="BI149" i="2"/>
  <c r="BK148" i="2"/>
  <c r="BK147" i="2"/>
  <c r="BK146" i="2"/>
  <c r="BK145" i="2"/>
  <c r="BG142" i="2"/>
  <c r="BK141" i="2"/>
  <c r="BK135" i="2"/>
  <c r="BK134" i="2"/>
  <c r="BK133" i="2"/>
  <c r="BK132" i="2"/>
  <c r="BK131" i="2"/>
  <c r="BK130" i="2"/>
  <c r="BK129" i="2"/>
  <c r="BK128" i="2"/>
  <c r="BK127" i="2"/>
  <c r="BK126" i="2"/>
  <c r="BK125" i="2"/>
  <c r="BK124" i="2"/>
  <c r="BK123" i="2"/>
  <c r="BK122" i="2"/>
  <c r="BK121" i="2"/>
  <c r="BK120" i="2"/>
  <c r="BK115" i="2"/>
  <c r="BK114" i="2"/>
  <c r="BK113" i="2"/>
  <c r="BK112" i="2"/>
  <c r="BK111" i="2"/>
  <c r="BI108" i="2"/>
  <c r="BK107" i="2"/>
  <c r="BK106" i="2"/>
  <c r="BK105" i="2"/>
  <c r="BK104" i="2"/>
  <c r="BK103" i="2"/>
  <c r="BK99" i="2"/>
  <c r="BK97" i="2"/>
  <c r="BK95" i="2"/>
  <c r="BK94" i="2"/>
  <c r="BK93" i="2"/>
  <c r="BK92" i="2"/>
  <c r="BK91" i="2"/>
  <c r="BG88" i="2"/>
  <c r="BI88" i="2"/>
  <c r="BK87" i="2"/>
  <c r="BK85" i="2"/>
  <c r="BK81" i="2"/>
  <c r="BK80" i="2"/>
  <c r="BK79" i="2"/>
  <c r="BK78" i="2"/>
  <c r="BK77" i="2"/>
  <c r="BK76" i="2"/>
  <c r="BK75" i="2"/>
  <c r="BK74" i="2"/>
  <c r="BK73" i="2"/>
  <c r="BK72" i="2"/>
  <c r="BK71" i="2"/>
  <c r="BK70" i="2"/>
  <c r="BK69" i="2"/>
  <c r="BK68" i="2"/>
  <c r="BK67" i="2"/>
  <c r="BK66" i="2"/>
  <c r="BK65" i="2"/>
  <c r="BK64" i="2"/>
  <c r="BK63" i="2"/>
  <c r="BK62" i="2"/>
  <c r="BK61" i="2"/>
  <c r="BI58" i="2"/>
  <c r="BK57" i="2"/>
  <c r="BK56" i="2"/>
  <c r="BK55" i="2"/>
  <c r="BK54" i="2"/>
  <c r="BK53" i="2"/>
  <c r="BK52" i="2"/>
  <c r="BK51" i="2"/>
  <c r="BK50" i="2"/>
  <c r="BK49" i="2"/>
  <c r="BK48" i="2"/>
  <c r="BK47" i="2"/>
  <c r="BK46" i="2"/>
  <c r="BK45" i="2"/>
  <c r="BK44" i="2"/>
  <c r="BK43" i="2"/>
  <c r="BK42" i="2"/>
  <c r="BK41" i="2"/>
  <c r="BK40" i="2"/>
  <c r="BK36" i="2"/>
  <c r="BK35" i="2"/>
  <c r="BK34" i="2"/>
  <c r="BK33" i="2"/>
  <c r="BK32" i="2"/>
  <c r="BG29" i="2"/>
  <c r="BK28" i="2"/>
  <c r="BK27" i="2"/>
  <c r="BK22" i="2"/>
  <c r="BK21" i="2"/>
  <c r="BK20" i="2"/>
  <c r="BK19" i="2"/>
  <c r="BK18" i="2"/>
  <c r="BK17" i="2"/>
  <c r="BK16" i="2"/>
  <c r="DH161" i="2" l="1"/>
  <c r="BR142" i="2"/>
  <c r="DA161" i="2"/>
  <c r="DH142" i="2"/>
  <c r="BK29" i="2"/>
  <c r="BR161" i="2"/>
  <c r="DH88" i="2"/>
  <c r="DH29" i="2"/>
  <c r="DA88" i="2"/>
  <c r="DB88" i="2" s="1"/>
  <c r="CM142" i="2"/>
  <c r="CT142" i="2"/>
  <c r="BK23" i="2"/>
  <c r="CM37" i="2"/>
  <c r="CT117" i="2"/>
  <c r="DA37" i="2"/>
  <c r="DA142" i="2"/>
  <c r="CM82" i="2"/>
  <c r="DH173" i="2"/>
  <c r="BY142" i="2"/>
  <c r="BY136" i="2"/>
  <c r="BY117" i="2"/>
  <c r="BY108" i="2"/>
  <c r="BY88" i="2"/>
  <c r="BY29" i="2"/>
  <c r="DA108" i="2"/>
  <c r="DA136" i="2"/>
  <c r="DH108" i="2"/>
  <c r="DH136" i="2"/>
  <c r="CT29" i="2"/>
  <c r="CM149" i="2"/>
  <c r="CT58" i="2"/>
  <c r="CT108" i="2"/>
  <c r="DH23" i="2"/>
  <c r="DH58" i="2"/>
  <c r="DH82" i="2"/>
  <c r="BY23" i="2"/>
  <c r="BY58" i="2"/>
  <c r="CM58" i="2"/>
  <c r="CT23" i="2"/>
  <c r="CT37" i="2"/>
  <c r="CT100" i="2"/>
  <c r="DA100" i="2"/>
  <c r="DA117" i="2"/>
  <c r="DH100" i="2"/>
  <c r="DH117" i="2"/>
  <c r="BY82" i="2"/>
  <c r="BY149" i="2"/>
  <c r="CM23" i="2"/>
  <c r="CM29" i="2"/>
  <c r="CM117" i="2"/>
  <c r="CT136" i="2"/>
  <c r="DA82" i="2"/>
  <c r="DA149" i="2"/>
  <c r="DH149" i="2"/>
  <c r="BY100" i="2"/>
  <c r="CM108" i="2"/>
  <c r="CM136" i="2"/>
  <c r="DA29" i="2"/>
  <c r="BY37" i="2"/>
  <c r="BY161" i="2"/>
  <c r="CM100" i="2"/>
  <c r="CT149" i="2"/>
  <c r="DA23" i="2"/>
  <c r="DH37" i="2"/>
  <c r="BR149" i="2"/>
  <c r="BR136" i="2"/>
  <c r="BR117" i="2"/>
  <c r="BR108" i="2"/>
  <c r="BR100" i="2"/>
  <c r="BR88" i="2"/>
  <c r="BR58" i="2"/>
  <c r="BR37" i="2"/>
  <c r="BR29" i="2"/>
  <c r="BR23" i="2"/>
  <c r="BR82" i="2"/>
  <c r="BK88" i="2"/>
  <c r="BK161" i="2"/>
  <c r="BK149" i="2"/>
  <c r="BK142" i="2"/>
  <c r="BK136" i="2"/>
  <c r="BK117" i="2"/>
  <c r="BK108" i="2"/>
  <c r="BK100" i="2"/>
  <c r="BK82" i="2"/>
  <c r="BK58" i="2"/>
  <c r="BK37" i="2"/>
  <c r="CM161" i="2"/>
  <c r="CT88" i="2"/>
  <c r="DA58" i="2"/>
  <c r="CM88" i="2"/>
  <c r="CT161" i="2"/>
  <c r="CT82" i="2"/>
  <c r="AS27" i="2"/>
  <c r="AL27" i="2"/>
  <c r="CT151" i="2" l="1"/>
  <c r="CM151" i="2"/>
  <c r="DA151" i="2"/>
  <c r="DH151" i="2"/>
  <c r="BY151" i="2"/>
  <c r="BR151" i="2"/>
  <c r="BK151" i="2"/>
  <c r="AL173" i="2"/>
  <c r="AS136" i="2" l="1"/>
  <c r="AS117" i="2"/>
  <c r="AS82" i="2"/>
  <c r="AS58" i="2"/>
  <c r="AS37" i="2"/>
  <c r="AS29" i="2"/>
  <c r="AZ48" i="2" l="1"/>
  <c r="AZ146" i="2"/>
  <c r="AZ147" i="2"/>
  <c r="AZ148" i="2"/>
  <c r="AZ79" i="2"/>
  <c r="AZ80" i="2"/>
  <c r="AZ81" i="2"/>
  <c r="AS173" i="2"/>
  <c r="AW79" i="2" l="1"/>
  <c r="AW67" i="2"/>
  <c r="AW48" i="2"/>
  <c r="DR148" i="2"/>
  <c r="AL149" i="2"/>
  <c r="AS149" i="2"/>
  <c r="BB148" i="2"/>
  <c r="DT148" i="2" s="1"/>
  <c r="AN149" i="2"/>
  <c r="AG149" i="2"/>
  <c r="AE149" i="2"/>
  <c r="AL136" i="2"/>
  <c r="AW125" i="2"/>
  <c r="AP125" i="2"/>
  <c r="AS108" i="2"/>
  <c r="AL108" i="2"/>
  <c r="AL91" i="2"/>
  <c r="AS91" i="2"/>
  <c r="AS100" i="2" s="1"/>
  <c r="BB87" i="2"/>
  <c r="AZ87" i="2"/>
  <c r="AP49" i="2"/>
  <c r="AP48" i="2"/>
  <c r="DF58" i="2" l="1"/>
  <c r="DD58" i="2"/>
  <c r="DM57" i="2"/>
  <c r="DO57" i="2" s="1"/>
  <c r="CY58" i="2"/>
  <c r="CW58" i="2"/>
  <c r="CR58" i="2"/>
  <c r="CP58" i="2"/>
  <c r="CK58" i="2"/>
  <c r="CI58" i="2"/>
  <c r="CD57" i="2"/>
  <c r="CF57" i="2"/>
  <c r="BW58" i="2"/>
  <c r="BU58" i="2"/>
  <c r="BP58" i="2"/>
  <c r="BN58" i="2"/>
  <c r="BG58" i="2"/>
  <c r="AU58" i="2"/>
  <c r="AN58" i="2"/>
  <c r="AL58" i="2"/>
  <c r="DB58" i="2" l="1"/>
  <c r="BS58" i="2"/>
  <c r="DI58" i="2"/>
  <c r="AP58" i="2"/>
  <c r="AQ58" i="2" s="1"/>
  <c r="CN58" i="2"/>
  <c r="CU58" i="2"/>
  <c r="BZ58" i="2"/>
  <c r="BL58" i="2"/>
  <c r="AW58" i="2"/>
  <c r="AX58" i="2" s="1"/>
  <c r="BB57" i="2"/>
  <c r="DT57" i="2" s="1"/>
  <c r="AZ57" i="2"/>
  <c r="DR57" i="2" s="1"/>
  <c r="AG58" i="2"/>
  <c r="AI58" i="2" l="1"/>
  <c r="AJ58" i="2" s="1"/>
  <c r="X172" i="2" l="1"/>
  <c r="X170" i="2"/>
  <c r="X169" i="2"/>
  <c r="X167" i="2"/>
  <c r="X166" i="2"/>
  <c r="X160" i="2"/>
  <c r="X158" i="2"/>
  <c r="X157" i="2"/>
  <c r="X147" i="2"/>
  <c r="X146" i="2"/>
  <c r="X145" i="2"/>
  <c r="X141" i="2"/>
  <c r="X135" i="2"/>
  <c r="X134" i="2"/>
  <c r="X133" i="2"/>
  <c r="X132" i="2"/>
  <c r="X131" i="2"/>
  <c r="X129" i="2"/>
  <c r="X128" i="2"/>
  <c r="X127" i="2"/>
  <c r="X126" i="2"/>
  <c r="X125" i="2"/>
  <c r="X124" i="2"/>
  <c r="X123" i="2"/>
  <c r="X122" i="2"/>
  <c r="X121" i="2"/>
  <c r="X120" i="2"/>
  <c r="X115" i="2"/>
  <c r="X114" i="2"/>
  <c r="X113" i="2"/>
  <c r="X112" i="2"/>
  <c r="X111" i="2"/>
  <c r="X107" i="2"/>
  <c r="X106" i="2"/>
  <c r="X105" i="2"/>
  <c r="X104" i="2"/>
  <c r="X103" i="2"/>
  <c r="X99" i="2"/>
  <c r="X97" i="2"/>
  <c r="X95" i="2"/>
  <c r="X94" i="2"/>
  <c r="X93" i="2"/>
  <c r="X92" i="2"/>
  <c r="X87" i="2"/>
  <c r="DR87" i="2" s="1"/>
  <c r="X81" i="2"/>
  <c r="DR81" i="2" s="1"/>
  <c r="X79" i="2"/>
  <c r="DR79" i="2" s="1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2" i="2"/>
  <c r="X56" i="2"/>
  <c r="X55" i="2"/>
  <c r="X54" i="2"/>
  <c r="X52" i="2"/>
  <c r="X51" i="2"/>
  <c r="X50" i="2"/>
  <c r="X49" i="2"/>
  <c r="X48" i="2"/>
  <c r="DR48" i="2" s="1"/>
  <c r="X47" i="2"/>
  <c r="X45" i="2"/>
  <c r="X44" i="2"/>
  <c r="X43" i="2"/>
  <c r="X42" i="2"/>
  <c r="X41" i="2"/>
  <c r="X40" i="2"/>
  <c r="X35" i="2"/>
  <c r="X34" i="2"/>
  <c r="X33" i="2"/>
  <c r="X32" i="2"/>
  <c r="AZ158" i="2"/>
  <c r="AZ160" i="2"/>
  <c r="AZ167" i="2"/>
  <c r="AZ168" i="2"/>
  <c r="AZ169" i="2"/>
  <c r="AZ170" i="2"/>
  <c r="AZ172" i="2"/>
  <c r="AZ28" i="2"/>
  <c r="AZ27" i="2"/>
  <c r="AZ145" i="2"/>
  <c r="AZ149" i="2" s="1"/>
  <c r="AG193" i="2"/>
  <c r="AE193" i="2"/>
  <c r="AG192" i="2"/>
  <c r="AE192" i="2"/>
  <c r="AG191" i="2"/>
  <c r="AE191" i="2"/>
  <c r="AG190" i="2"/>
  <c r="AE190" i="2"/>
  <c r="AG187" i="2"/>
  <c r="AE187" i="2"/>
  <c r="AG186" i="2"/>
  <c r="AE186" i="2"/>
  <c r="AG185" i="2"/>
  <c r="AE185" i="2"/>
  <c r="AG184" i="2"/>
  <c r="AE184" i="2"/>
  <c r="AE91" i="2"/>
  <c r="AE171" i="2"/>
  <c r="AE173" i="2" s="1"/>
  <c r="AE108" i="2"/>
  <c r="AI79" i="2"/>
  <c r="AI67" i="2"/>
  <c r="AI48" i="2"/>
  <c r="AZ171" i="2" l="1"/>
  <c r="X161" i="2"/>
  <c r="DR172" i="2"/>
  <c r="Z172" i="2"/>
  <c r="DT172" i="2" s="1"/>
  <c r="Q130" i="2"/>
  <c r="Q136" i="2" s="1"/>
  <c r="Q63" i="2" l="1"/>
  <c r="X63" i="2" s="1"/>
  <c r="Q161" i="2" l="1"/>
  <c r="L161" i="2"/>
  <c r="J161" i="2"/>
  <c r="E161" i="2"/>
  <c r="C161" i="2"/>
  <c r="DF161" i="2"/>
  <c r="DD161" i="2"/>
  <c r="DE161" i="2" s="1"/>
  <c r="CY161" i="2"/>
  <c r="CW161" i="2"/>
  <c r="CX161" i="2" s="1"/>
  <c r="CR161" i="2"/>
  <c r="CP161" i="2"/>
  <c r="CQ161" i="2" s="1"/>
  <c r="CK161" i="2"/>
  <c r="CI161" i="2"/>
  <c r="CJ161" i="2" s="1"/>
  <c r="BW161" i="2"/>
  <c r="BU161" i="2"/>
  <c r="BV161" i="2" s="1"/>
  <c r="BP161" i="2"/>
  <c r="BN161" i="2"/>
  <c r="BO161" i="2" s="1"/>
  <c r="BG161" i="2"/>
  <c r="BH161" i="2" s="1"/>
  <c r="AU161" i="2"/>
  <c r="AS161" i="2"/>
  <c r="AN161" i="2"/>
  <c r="AL161" i="2"/>
  <c r="AG161" i="2"/>
  <c r="AE161" i="2"/>
  <c r="S161" i="2"/>
  <c r="N161" i="2"/>
  <c r="O161" i="2" s="1"/>
  <c r="DM160" i="2"/>
  <c r="CD160" i="2"/>
  <c r="BB160" i="2"/>
  <c r="AW160" i="2"/>
  <c r="AP160" i="2"/>
  <c r="AI160" i="2"/>
  <c r="Z160" i="2"/>
  <c r="U160" i="2"/>
  <c r="N160" i="2"/>
  <c r="DM158" i="2"/>
  <c r="CD158" i="2"/>
  <c r="CF158" i="2" s="1"/>
  <c r="BB158" i="2"/>
  <c r="Z158" i="2"/>
  <c r="DM157" i="2"/>
  <c r="DO157" i="2" s="1"/>
  <c r="CD157" i="2"/>
  <c r="CF157" i="2" s="1"/>
  <c r="BB157" i="2"/>
  <c r="AZ157" i="2"/>
  <c r="AW157" i="2"/>
  <c r="AP157" i="2"/>
  <c r="AI157" i="2"/>
  <c r="Z157" i="2"/>
  <c r="U157" i="2"/>
  <c r="N157" i="2"/>
  <c r="G157" i="2"/>
  <c r="Q149" i="2"/>
  <c r="Q142" i="2"/>
  <c r="Q117" i="2"/>
  <c r="Q108" i="2"/>
  <c r="Q23" i="2"/>
  <c r="Q171" i="2"/>
  <c r="Q173" i="2" s="1"/>
  <c r="Q91" i="2"/>
  <c r="Q100" i="2" s="1"/>
  <c r="Q85" i="2"/>
  <c r="Q88" i="2" s="1"/>
  <c r="Q80" i="2"/>
  <c r="X80" i="2" s="1"/>
  <c r="DR80" i="2" s="1"/>
  <c r="U79" i="2"/>
  <c r="Q53" i="2"/>
  <c r="Q58" i="2" s="1"/>
  <c r="Q36" i="2"/>
  <c r="Q37" i="2" s="1"/>
  <c r="Q27" i="2"/>
  <c r="Q29" i="2" s="1"/>
  <c r="Q7" i="2"/>
  <c r="Q13" i="2" s="1"/>
  <c r="CF160" i="2" l="1"/>
  <c r="CF161" i="2" s="1"/>
  <c r="DO160" i="2"/>
  <c r="DR158" i="2"/>
  <c r="DO158" i="2"/>
  <c r="DM161" i="2"/>
  <c r="DN161" i="2" s="1"/>
  <c r="CB161" i="2"/>
  <c r="CC161" i="2" s="1"/>
  <c r="CD161" i="2"/>
  <c r="CE161" i="2" s="1"/>
  <c r="DK161" i="2"/>
  <c r="DL161" i="2" s="1"/>
  <c r="BB161" i="2"/>
  <c r="BZ161" i="2"/>
  <c r="DI161" i="2"/>
  <c r="CN161" i="2"/>
  <c r="CU161" i="2"/>
  <c r="BS161" i="2"/>
  <c r="Q25" i="2"/>
  <c r="BL161" i="2"/>
  <c r="DB161" i="2"/>
  <c r="AP161" i="2"/>
  <c r="AQ161" i="2" s="1"/>
  <c r="AI161" i="2"/>
  <c r="AJ161" i="2" s="1"/>
  <c r="Q82" i="2"/>
  <c r="Q151" i="2" s="1"/>
  <c r="DT160" i="2"/>
  <c r="DT161" i="2" s="1"/>
  <c r="U161" i="2"/>
  <c r="V161" i="2" s="1"/>
  <c r="AW161" i="2"/>
  <c r="AX161" i="2" s="1"/>
  <c r="R161" i="2"/>
  <c r="DR160" i="2"/>
  <c r="BD160" i="2"/>
  <c r="AZ161" i="2"/>
  <c r="BA161" i="2" s="1"/>
  <c r="BD157" i="2"/>
  <c r="DR157" i="2"/>
  <c r="AB157" i="2"/>
  <c r="Z161" i="2"/>
  <c r="G161" i="2"/>
  <c r="H161" i="2" s="1"/>
  <c r="BJ161" i="2"/>
  <c r="BQ161" i="2"/>
  <c r="BX161" i="2"/>
  <c r="CL161" i="2"/>
  <c r="CS161" i="2"/>
  <c r="CZ161" i="2"/>
  <c r="DG161" i="2"/>
  <c r="G160" i="2"/>
  <c r="DR161" i="2" l="1"/>
  <c r="Q153" i="2"/>
  <c r="Q176" i="2" s="1"/>
  <c r="Q178" i="2" s="1"/>
  <c r="R178" i="2" s="1"/>
  <c r="CG161" i="2"/>
  <c r="DO161" i="2"/>
  <c r="DP161" i="2" s="1"/>
  <c r="DV161" i="2"/>
  <c r="DW161" i="2" s="1"/>
  <c r="BD161" i="2"/>
  <c r="BE161" i="2" s="1"/>
  <c r="AB161" i="2"/>
  <c r="AC161" i="2" s="1"/>
  <c r="J82" i="2"/>
  <c r="J108" i="2" l="1"/>
  <c r="J117" i="2"/>
  <c r="J142" i="2"/>
  <c r="J149" i="2"/>
  <c r="J36" i="2"/>
  <c r="J37" i="2" s="1"/>
  <c r="J27" i="2"/>
  <c r="J29" i="2" s="1"/>
  <c r="X28" i="2" l="1"/>
  <c r="X22" i="2"/>
  <c r="X21" i="2"/>
  <c r="X20" i="2"/>
  <c r="X19" i="2"/>
  <c r="X18" i="2"/>
  <c r="X17" i="2"/>
  <c r="X16" i="2"/>
  <c r="X8" i="2"/>
  <c r="X9" i="2"/>
  <c r="X10" i="2"/>
  <c r="X11" i="2"/>
  <c r="X12" i="2"/>
  <c r="DR147" i="2"/>
  <c r="X142" i="2"/>
  <c r="X149" i="2" l="1"/>
  <c r="X117" i="2"/>
  <c r="X108" i="2"/>
  <c r="X23" i="2"/>
  <c r="J23" i="2"/>
  <c r="J171" i="2"/>
  <c r="J130" i="2"/>
  <c r="X130" i="2" s="1"/>
  <c r="J91" i="2"/>
  <c r="J85" i="2"/>
  <c r="J88" i="2" s="1"/>
  <c r="N79" i="2"/>
  <c r="X46" i="2"/>
  <c r="J7" i="2"/>
  <c r="X7" i="2" l="1"/>
  <c r="X13" i="2" s="1"/>
  <c r="J100" i="2"/>
  <c r="X91" i="2"/>
  <c r="X100" i="2" s="1"/>
  <c r="J58" i="2"/>
  <c r="J136" i="2"/>
  <c r="J13" i="2"/>
  <c r="C85" i="2"/>
  <c r="X85" i="2" s="1"/>
  <c r="X88" i="2" s="1"/>
  <c r="E88" i="2"/>
  <c r="Y161" i="2" l="1"/>
  <c r="X25" i="2"/>
  <c r="N205" i="2"/>
  <c r="K161" i="2"/>
  <c r="J151" i="2"/>
  <c r="J25" i="2"/>
  <c r="C88" i="2"/>
  <c r="C27" i="2"/>
  <c r="X27" i="2" s="1"/>
  <c r="X29" i="2" s="1"/>
  <c r="J153" i="2" l="1"/>
  <c r="C168" i="2"/>
  <c r="X168" i="2" s="1"/>
  <c r="C142" i="2" l="1"/>
  <c r="C136" i="2"/>
  <c r="C117" i="2"/>
  <c r="C108" i="2"/>
  <c r="C100" i="2"/>
  <c r="C82" i="2"/>
  <c r="C29" i="2"/>
  <c r="C23" i="2"/>
  <c r="C13" i="2"/>
  <c r="D161" i="2" s="1"/>
  <c r="C171" i="2"/>
  <c r="X171" i="2" s="1"/>
  <c r="X173" i="2" s="1"/>
  <c r="G79" i="2"/>
  <c r="X53" i="2"/>
  <c r="G51" i="2"/>
  <c r="C36" i="2"/>
  <c r="X36" i="2" s="1"/>
  <c r="X58" i="2" l="1"/>
  <c r="X61" i="2"/>
  <c r="X82" i="2" s="1"/>
  <c r="C37" i="2"/>
  <c r="X37" i="2"/>
  <c r="C58" i="2"/>
  <c r="C25" i="2"/>
  <c r="Z167" i="2"/>
  <c r="Z168" i="2"/>
  <c r="BB167" i="2"/>
  <c r="CD167" i="2"/>
  <c r="CF167" i="2" s="1"/>
  <c r="CD168" i="2"/>
  <c r="DM167" i="2"/>
  <c r="DM168" i="2"/>
  <c r="BB85" i="2"/>
  <c r="BB88" i="2" s="1"/>
  <c r="AZ85" i="2"/>
  <c r="CD85" i="2"/>
  <c r="CB85" i="2"/>
  <c r="DM85" i="2"/>
  <c r="DM88" i="2" s="1"/>
  <c r="DI88" i="2"/>
  <c r="CU88" i="2"/>
  <c r="CN88" i="2"/>
  <c r="BZ88" i="2"/>
  <c r="BS88" i="2"/>
  <c r="BL88" i="2"/>
  <c r="AU88" i="2"/>
  <c r="AX88" i="2" s="1"/>
  <c r="AS88" i="2"/>
  <c r="AN88" i="2"/>
  <c r="AQ88" i="2" s="1"/>
  <c r="AL88" i="2"/>
  <c r="AG88" i="2"/>
  <c r="AJ88" i="2" s="1"/>
  <c r="AE88" i="2"/>
  <c r="Z85" i="2"/>
  <c r="Z88" i="2" s="1"/>
  <c r="S88" i="2"/>
  <c r="L88" i="2"/>
  <c r="O88" i="2" s="1"/>
  <c r="H88" i="2"/>
  <c r="CD146" i="2"/>
  <c r="CD147" i="2"/>
  <c r="CF147" i="2" s="1"/>
  <c r="CD145" i="2"/>
  <c r="CF145" i="2" s="1"/>
  <c r="DM146" i="2"/>
  <c r="DM147" i="2"/>
  <c r="DO147" i="2" s="1"/>
  <c r="DM145" i="2"/>
  <c r="DO145" i="2" s="1"/>
  <c r="DR145" i="2"/>
  <c r="BB147" i="2"/>
  <c r="BB146" i="2"/>
  <c r="BB145" i="2"/>
  <c r="Z147" i="2"/>
  <c r="Z146" i="2"/>
  <c r="Z145" i="2"/>
  <c r="AU149" i="2"/>
  <c r="S149" i="2"/>
  <c r="L149" i="2"/>
  <c r="E149" i="2"/>
  <c r="H149" i="2" s="1"/>
  <c r="C149" i="2"/>
  <c r="DM141" i="2"/>
  <c r="CD141" i="2"/>
  <c r="CB141" i="2"/>
  <c r="BB141" i="2"/>
  <c r="AZ141" i="2"/>
  <c r="Z141" i="2"/>
  <c r="DF142" i="2"/>
  <c r="DD142" i="2"/>
  <c r="CY142" i="2"/>
  <c r="CW142" i="2"/>
  <c r="CR142" i="2"/>
  <c r="CP142" i="2"/>
  <c r="CK142" i="2"/>
  <c r="CI142" i="2"/>
  <c r="BW142" i="2"/>
  <c r="BU142" i="2"/>
  <c r="BP142" i="2"/>
  <c r="BI142" i="2"/>
  <c r="AU142" i="2"/>
  <c r="AS142" i="2"/>
  <c r="AN142" i="2"/>
  <c r="AL142" i="2"/>
  <c r="AG142" i="2"/>
  <c r="AE142" i="2"/>
  <c r="S142" i="2"/>
  <c r="L142" i="2"/>
  <c r="E142" i="2"/>
  <c r="H142" i="2" s="1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CD121" i="2"/>
  <c r="CD122" i="2"/>
  <c r="CD123" i="2"/>
  <c r="CD124" i="2"/>
  <c r="CD125" i="2"/>
  <c r="CD126" i="2"/>
  <c r="CD127" i="2"/>
  <c r="CD128" i="2"/>
  <c r="CD129" i="2"/>
  <c r="CD130" i="2"/>
  <c r="CD131" i="2"/>
  <c r="CD132" i="2"/>
  <c r="CD133" i="2"/>
  <c r="CD134" i="2"/>
  <c r="CD135" i="2"/>
  <c r="DM121" i="2"/>
  <c r="DM122" i="2"/>
  <c r="DM123" i="2"/>
  <c r="DM124" i="2"/>
  <c r="DM125" i="2"/>
  <c r="DM126" i="2"/>
  <c r="DM127" i="2"/>
  <c r="DM128" i="2"/>
  <c r="DM129" i="2"/>
  <c r="DM130" i="2"/>
  <c r="DM131" i="2"/>
  <c r="DM132" i="2"/>
  <c r="DM133" i="2"/>
  <c r="DM134" i="2"/>
  <c r="DM135" i="2"/>
  <c r="CF141" i="2" l="1"/>
  <c r="CF142" i="2" s="1"/>
  <c r="CF85" i="2"/>
  <c r="CF88" i="2" s="1"/>
  <c r="CB88" i="2"/>
  <c r="CF146" i="2"/>
  <c r="CF149" i="2" s="1"/>
  <c r="CD88" i="2"/>
  <c r="DO146" i="2"/>
  <c r="DO149" i="2" s="1"/>
  <c r="DO85" i="2"/>
  <c r="DO88" i="2" s="1"/>
  <c r="DO141" i="2"/>
  <c r="BB149" i="2"/>
  <c r="C151" i="2"/>
  <c r="C153" i="2" s="1"/>
  <c r="AZ88" i="2"/>
  <c r="DR85" i="2"/>
  <c r="DR88" i="2" s="1"/>
  <c r="CB142" i="2"/>
  <c r="DR146" i="2"/>
  <c r="DR149" i="2" s="1"/>
  <c r="CD142" i="2"/>
  <c r="Z142" i="2"/>
  <c r="DT85" i="2"/>
  <c r="DT88" i="2" s="1"/>
  <c r="DW88" i="2" s="1"/>
  <c r="Z149" i="2"/>
  <c r="AZ142" i="2"/>
  <c r="DK142" i="2"/>
  <c r="CD149" i="2"/>
  <c r="DT141" i="2"/>
  <c r="DM142" i="2"/>
  <c r="V88" i="2"/>
  <c r="BE88" i="2"/>
  <c r="BB142" i="2"/>
  <c r="DR141" i="2"/>
  <c r="DR142" i="2" s="1"/>
  <c r="DT145" i="2"/>
  <c r="DM149" i="2"/>
  <c r="DT147" i="2"/>
  <c r="DT146" i="2"/>
  <c r="DT135" i="2"/>
  <c r="DT133" i="2"/>
  <c r="DT129" i="2"/>
  <c r="DT121" i="2"/>
  <c r="DT130" i="2"/>
  <c r="DT131" i="2"/>
  <c r="DT123" i="2"/>
  <c r="DT122" i="2"/>
  <c r="DT125" i="2"/>
  <c r="DT126" i="2"/>
  <c r="DT127" i="2"/>
  <c r="DT134" i="2"/>
  <c r="DT128" i="2"/>
  <c r="DT132" i="2"/>
  <c r="DT124" i="2"/>
  <c r="CG88" i="2" l="1"/>
  <c r="DO142" i="2"/>
  <c r="DT149" i="2"/>
  <c r="DT142" i="2"/>
  <c r="AC88" i="2"/>
  <c r="DP88" i="2"/>
  <c r="E108" i="2" l="1"/>
  <c r="Z91" i="2" l="1"/>
  <c r="Z92" i="2"/>
  <c r="Z93" i="2"/>
  <c r="Z94" i="2"/>
  <c r="Z95" i="2"/>
  <c r="Z97" i="2"/>
  <c r="DM92" i="2"/>
  <c r="DM93" i="2"/>
  <c r="DM94" i="2"/>
  <c r="DM95" i="2"/>
  <c r="DM97" i="2"/>
  <c r="DM99" i="2"/>
  <c r="AG100" i="2"/>
  <c r="L100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F79" i="2" s="1"/>
  <c r="CD80" i="2"/>
  <c r="CF80" i="2" s="1"/>
  <c r="CD81" i="2"/>
  <c r="CF81" i="2" s="1"/>
  <c r="DM62" i="2"/>
  <c r="DM63" i="2"/>
  <c r="DM64" i="2"/>
  <c r="DM65" i="2"/>
  <c r="DM66" i="2"/>
  <c r="DM67" i="2"/>
  <c r="DM68" i="2"/>
  <c r="DM69" i="2"/>
  <c r="DM70" i="2"/>
  <c r="DM71" i="2"/>
  <c r="DM72" i="2"/>
  <c r="DM73" i="2"/>
  <c r="DM74" i="2"/>
  <c r="DM75" i="2"/>
  <c r="DM76" i="2"/>
  <c r="DM77" i="2"/>
  <c r="DM78" i="2"/>
  <c r="DM79" i="2"/>
  <c r="DM80" i="2"/>
  <c r="DM8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DF82" i="2"/>
  <c r="DD82" i="2"/>
  <c r="CY82" i="2"/>
  <c r="CW82" i="2"/>
  <c r="CR82" i="2"/>
  <c r="CP82" i="2"/>
  <c r="CK82" i="2"/>
  <c r="CI82" i="2"/>
  <c r="BW82" i="2"/>
  <c r="BU82" i="2"/>
  <c r="BP82" i="2"/>
  <c r="BN82" i="2"/>
  <c r="BI82" i="2"/>
  <c r="BG82" i="2"/>
  <c r="AU82" i="2"/>
  <c r="AN82" i="2"/>
  <c r="AL82" i="2"/>
  <c r="AG82" i="2"/>
  <c r="AE82" i="2"/>
  <c r="S82" i="2"/>
  <c r="L82" i="2"/>
  <c r="E82" i="2"/>
  <c r="DM41" i="2"/>
  <c r="DM42" i="2"/>
  <c r="DM43" i="2"/>
  <c r="DM44" i="2"/>
  <c r="DM45" i="2"/>
  <c r="DM46" i="2"/>
  <c r="DM47" i="2"/>
  <c r="DM48" i="2"/>
  <c r="DM49" i="2"/>
  <c r="DM50" i="2"/>
  <c r="DM51" i="2"/>
  <c r="DM52" i="2"/>
  <c r="DM53" i="2"/>
  <c r="DM54" i="2"/>
  <c r="DM55" i="2"/>
  <c r="DM56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40" i="2"/>
  <c r="DM28" i="2"/>
  <c r="DM27" i="2"/>
  <c r="DM22" i="2"/>
  <c r="CB27" i="2"/>
  <c r="CD28" i="2"/>
  <c r="CF28" i="2" s="1"/>
  <c r="CD27" i="2"/>
  <c r="CD22" i="2"/>
  <c r="CF22" i="2" s="1"/>
  <c r="BB28" i="2"/>
  <c r="BB27" i="2"/>
  <c r="AZ29" i="2"/>
  <c r="BB22" i="2"/>
  <c r="Z28" i="2"/>
  <c r="Z22" i="2"/>
  <c r="Z27" i="2"/>
  <c r="DF29" i="2"/>
  <c r="DI29" i="2" s="1"/>
  <c r="DD29" i="2"/>
  <c r="CY29" i="2"/>
  <c r="DB29" i="2" s="1"/>
  <c r="CW29" i="2"/>
  <c r="CR29" i="2"/>
  <c r="CU29" i="2" s="1"/>
  <c r="CP29" i="2"/>
  <c r="CK29" i="2"/>
  <c r="CN29" i="2" s="1"/>
  <c r="CI29" i="2"/>
  <c r="BW29" i="2"/>
  <c r="BZ29" i="2" s="1"/>
  <c r="BU29" i="2"/>
  <c r="BP29" i="2"/>
  <c r="BI29" i="2"/>
  <c r="BL29" i="2" s="1"/>
  <c r="AU29" i="2"/>
  <c r="AX29" i="2" s="1"/>
  <c r="AN29" i="2"/>
  <c r="AL29" i="2"/>
  <c r="AG29" i="2"/>
  <c r="AE29" i="2"/>
  <c r="S29" i="2"/>
  <c r="L29" i="2"/>
  <c r="O29" i="2" s="1"/>
  <c r="E29" i="2"/>
  <c r="H29" i="2" s="1"/>
  <c r="DF23" i="2"/>
  <c r="BP23" i="2"/>
  <c r="BI23" i="2"/>
  <c r="AU23" i="2"/>
  <c r="AW22" i="2"/>
  <c r="AN23" i="2"/>
  <c r="AP22" i="2"/>
  <c r="AG23" i="2"/>
  <c r="AI22" i="2"/>
  <c r="BB17" i="2"/>
  <c r="BB18" i="2"/>
  <c r="BB19" i="2"/>
  <c r="BB20" i="2"/>
  <c r="BB21" i="2"/>
  <c r="S23" i="2"/>
  <c r="U22" i="2"/>
  <c r="L23" i="2"/>
  <c r="N22" i="2"/>
  <c r="E23" i="2"/>
  <c r="G22" i="2"/>
  <c r="Z21" i="2"/>
  <c r="Z20" i="2"/>
  <c r="Z19" i="2"/>
  <c r="Z18" i="2"/>
  <c r="Z17" i="2"/>
  <c r="Z16" i="2"/>
  <c r="CB29" i="2" l="1"/>
  <c r="CF27" i="2"/>
  <c r="CF29" i="2" s="1"/>
  <c r="DO81" i="2"/>
  <c r="DO80" i="2"/>
  <c r="DR28" i="2"/>
  <c r="DO28" i="2"/>
  <c r="Z58" i="2"/>
  <c r="BS29" i="2"/>
  <c r="DO27" i="2"/>
  <c r="AP82" i="2"/>
  <c r="AQ82" i="2" s="1"/>
  <c r="BZ82" i="2"/>
  <c r="AW82" i="2"/>
  <c r="AX82" i="2" s="1"/>
  <c r="BL82" i="2"/>
  <c r="CU82" i="2"/>
  <c r="DI82" i="2"/>
  <c r="DT73" i="2"/>
  <c r="DT80" i="2"/>
  <c r="DT72" i="2"/>
  <c r="DT64" i="2"/>
  <c r="DT62" i="2"/>
  <c r="AI82" i="2"/>
  <c r="AJ82" i="2" s="1"/>
  <c r="CN82" i="2"/>
  <c r="DT77" i="2"/>
  <c r="DT75" i="2"/>
  <c r="DT78" i="2"/>
  <c r="DT70" i="2"/>
  <c r="N82" i="2"/>
  <c r="O82" i="2" s="1"/>
  <c r="BS82" i="2"/>
  <c r="DT81" i="2"/>
  <c r="DT65" i="2"/>
  <c r="DT66" i="2"/>
  <c r="DB82" i="2"/>
  <c r="DT74" i="2"/>
  <c r="CD29" i="2"/>
  <c r="DT69" i="2"/>
  <c r="DT76" i="2"/>
  <c r="DT67" i="2"/>
  <c r="DT79" i="2"/>
  <c r="DT71" i="2"/>
  <c r="DT68" i="2"/>
  <c r="DT63" i="2"/>
  <c r="U82" i="2"/>
  <c r="V82" i="2" s="1"/>
  <c r="BB29" i="2"/>
  <c r="BE29" i="2" s="1"/>
  <c r="DK29" i="2"/>
  <c r="DT27" i="2"/>
  <c r="DT22" i="2"/>
  <c r="DT28" i="2"/>
  <c r="DM29" i="2"/>
  <c r="DR27" i="2"/>
  <c r="AQ29" i="2"/>
  <c r="AJ29" i="2"/>
  <c r="Z29" i="2"/>
  <c r="AC29" i="2" s="1"/>
  <c r="V29" i="2"/>
  <c r="AU37" i="2"/>
  <c r="AE117" i="2"/>
  <c r="AG117" i="2"/>
  <c r="CG29" i="2" l="1"/>
  <c r="DR29" i="2"/>
  <c r="DO29" i="2"/>
  <c r="DP29" i="2" s="1"/>
  <c r="DT29" i="2"/>
  <c r="DW29" i="2" s="1"/>
  <c r="DD136" i="2"/>
  <c r="DO47" i="2"/>
  <c r="DO48" i="2" l="1"/>
  <c r="CF48" i="2"/>
  <c r="DD108" i="2"/>
  <c r="DD23" i="2"/>
  <c r="DT48" i="2" l="1"/>
  <c r="CW108" i="2" l="1"/>
  <c r="CY23" i="2"/>
  <c r="CW23" i="2"/>
  <c r="DT167" i="2" l="1"/>
  <c r="DO168" i="2"/>
  <c r="DR167" i="2" l="1"/>
  <c r="DO167" i="2"/>
  <c r="CR100" i="2"/>
  <c r="CP136" i="2" l="1"/>
  <c r="CP108" i="2"/>
  <c r="CK23" i="2"/>
  <c r="CR23" i="2"/>
  <c r="CP23" i="2"/>
  <c r="DO121" i="2" l="1"/>
  <c r="DO122" i="2"/>
  <c r="DO123" i="2"/>
  <c r="DO124" i="2"/>
  <c r="DO125" i="2"/>
  <c r="DO126" i="2"/>
  <c r="DO127" i="2"/>
  <c r="DO128" i="2"/>
  <c r="DO129" i="2"/>
  <c r="DO130" i="2"/>
  <c r="DO131" i="2"/>
  <c r="DO132" i="2"/>
  <c r="DO133" i="2"/>
  <c r="DO134" i="2"/>
  <c r="DO135" i="2"/>
  <c r="DO92" i="2"/>
  <c r="DO93" i="2"/>
  <c r="DO94" i="2"/>
  <c r="DO95" i="2"/>
  <c r="DO97" i="2"/>
  <c r="DO99" i="2"/>
  <c r="DO62" i="2"/>
  <c r="DO63" i="2"/>
  <c r="DO64" i="2"/>
  <c r="DO65" i="2"/>
  <c r="DO66" i="2"/>
  <c r="DO67" i="2"/>
  <c r="DO68" i="2"/>
  <c r="DO69" i="2"/>
  <c r="DO70" i="2"/>
  <c r="DO71" i="2"/>
  <c r="DO72" i="2"/>
  <c r="DO73" i="2"/>
  <c r="DO74" i="2"/>
  <c r="DO75" i="2"/>
  <c r="DO76" i="2"/>
  <c r="DO77" i="2"/>
  <c r="DO78" i="2"/>
  <c r="DO41" i="2"/>
  <c r="DO42" i="2"/>
  <c r="DO43" i="2"/>
  <c r="DO44" i="2"/>
  <c r="DO45" i="2"/>
  <c r="DO46" i="2"/>
  <c r="DO49" i="2"/>
  <c r="DO50" i="2"/>
  <c r="DO51" i="2"/>
  <c r="DO52" i="2"/>
  <c r="DO53" i="2"/>
  <c r="DO54" i="2"/>
  <c r="DO55" i="2"/>
  <c r="DO56" i="2"/>
  <c r="DO79" i="2" l="1"/>
  <c r="DR107" i="2"/>
  <c r="DO107" i="2"/>
  <c r="DK58" i="2"/>
  <c r="CI136" i="2"/>
  <c r="CI108" i="2"/>
  <c r="BU108" i="2"/>
  <c r="BW108" i="2"/>
  <c r="Z107" i="2"/>
  <c r="CI23" i="2" l="1"/>
  <c r="DR22" i="2" l="1"/>
  <c r="DO22" i="2"/>
  <c r="BU117" i="2"/>
  <c r="BU136" i="2"/>
  <c r="BN136" i="2"/>
  <c r="BW100" i="2" l="1"/>
  <c r="BP100" i="2"/>
  <c r="BU100" i="2" l="1"/>
  <c r="BU37" i="2"/>
  <c r="BU151" i="2" l="1"/>
  <c r="Z11" i="2"/>
  <c r="BN100" i="2" l="1"/>
  <c r="CB7" i="2" l="1"/>
  <c r="BN13" i="2"/>
  <c r="BI100" i="2"/>
  <c r="BO88" i="2" l="1"/>
  <c r="BO58" i="2"/>
  <c r="BO142" i="2"/>
  <c r="BO149" i="2"/>
  <c r="BO29" i="2"/>
  <c r="BO82" i="2"/>
  <c r="BN201" i="2"/>
  <c r="BB40" i="2"/>
  <c r="BB58" i="2" s="1"/>
  <c r="K19" i="2" l="1"/>
  <c r="R19" i="2"/>
  <c r="T19" i="2"/>
  <c r="F20" i="2"/>
  <c r="D19" i="2"/>
  <c r="M19" i="2" l="1"/>
  <c r="F19" i="2"/>
  <c r="CS21" i="2" l="1"/>
  <c r="CS19" i="2"/>
  <c r="CY193" i="2"/>
  <c r="DF190" i="2"/>
  <c r="CL20" i="2"/>
  <c r="DD193" i="2"/>
  <c r="CW193" i="2"/>
  <c r="CP193" i="2"/>
  <c r="CK193" i="2"/>
  <c r="CI193" i="2"/>
  <c r="BW193" i="2"/>
  <c r="BU193" i="2"/>
  <c r="BP193" i="2"/>
  <c r="BN193" i="2"/>
  <c r="BI193" i="2"/>
  <c r="BG193" i="2"/>
  <c r="AU193" i="2"/>
  <c r="AS193" i="2"/>
  <c r="AN193" i="2"/>
  <c r="AL193" i="2"/>
  <c r="S193" i="2"/>
  <c r="Q193" i="2"/>
  <c r="L193" i="2"/>
  <c r="J193" i="2"/>
  <c r="E193" i="2"/>
  <c r="C193" i="2"/>
  <c r="DF192" i="2"/>
  <c r="DD192" i="2"/>
  <c r="CY192" i="2"/>
  <c r="CW192" i="2"/>
  <c r="CR192" i="2"/>
  <c r="CP192" i="2"/>
  <c r="CK192" i="2"/>
  <c r="CI192" i="2"/>
  <c r="BW192" i="2"/>
  <c r="BU192" i="2"/>
  <c r="BP192" i="2"/>
  <c r="BN192" i="2"/>
  <c r="BI192" i="2"/>
  <c r="BG192" i="2"/>
  <c r="AU192" i="2"/>
  <c r="AS192" i="2"/>
  <c r="AN192" i="2"/>
  <c r="AL192" i="2"/>
  <c r="S192" i="2"/>
  <c r="Q192" i="2"/>
  <c r="L192" i="2"/>
  <c r="J192" i="2"/>
  <c r="E192" i="2"/>
  <c r="C192" i="2"/>
  <c r="DF191" i="2"/>
  <c r="DD191" i="2"/>
  <c r="CY191" i="2"/>
  <c r="CW191" i="2"/>
  <c r="CP191" i="2"/>
  <c r="CK191" i="2"/>
  <c r="CI191" i="2"/>
  <c r="BW191" i="2"/>
  <c r="BU191" i="2"/>
  <c r="BP191" i="2"/>
  <c r="BN191" i="2"/>
  <c r="BI191" i="2"/>
  <c r="BG191" i="2"/>
  <c r="AU191" i="2"/>
  <c r="AS191" i="2"/>
  <c r="AN191" i="2"/>
  <c r="AL191" i="2"/>
  <c r="AI191" i="2"/>
  <c r="S191" i="2"/>
  <c r="Q191" i="2"/>
  <c r="L191" i="2"/>
  <c r="J191" i="2"/>
  <c r="E191" i="2"/>
  <c r="C191" i="2"/>
  <c r="DD190" i="2"/>
  <c r="CY190" i="2"/>
  <c r="CW190" i="2"/>
  <c r="CP190" i="2"/>
  <c r="CK190" i="2"/>
  <c r="CI190" i="2"/>
  <c r="BW190" i="2"/>
  <c r="BU190" i="2"/>
  <c r="BP190" i="2"/>
  <c r="BN190" i="2"/>
  <c r="BI190" i="2"/>
  <c r="BG190" i="2"/>
  <c r="AU190" i="2"/>
  <c r="AS190" i="2"/>
  <c r="AN190" i="2"/>
  <c r="AL190" i="2"/>
  <c r="AI190" i="2"/>
  <c r="S190" i="2"/>
  <c r="Q190" i="2"/>
  <c r="L190" i="2"/>
  <c r="J190" i="2"/>
  <c r="E190" i="2"/>
  <c r="C190" i="2"/>
  <c r="DF187" i="2"/>
  <c r="DD187" i="2"/>
  <c r="CY187" i="2"/>
  <c r="CW187" i="2"/>
  <c r="CR187" i="2"/>
  <c r="CP187" i="2"/>
  <c r="CK187" i="2"/>
  <c r="CI187" i="2"/>
  <c r="BW187" i="2"/>
  <c r="BU187" i="2"/>
  <c r="BP187" i="2"/>
  <c r="BN187" i="2"/>
  <c r="BI187" i="2"/>
  <c r="BG187" i="2"/>
  <c r="AU187" i="2"/>
  <c r="AS187" i="2"/>
  <c r="AN187" i="2"/>
  <c r="AL187" i="2"/>
  <c r="S187" i="2"/>
  <c r="Q187" i="2"/>
  <c r="L187" i="2"/>
  <c r="J187" i="2"/>
  <c r="E187" i="2"/>
  <c r="C187" i="2"/>
  <c r="DF186" i="2"/>
  <c r="DD186" i="2"/>
  <c r="CY186" i="2"/>
  <c r="CW186" i="2"/>
  <c r="CR186" i="2"/>
  <c r="CP186" i="2"/>
  <c r="CK186" i="2"/>
  <c r="CI186" i="2"/>
  <c r="BW186" i="2"/>
  <c r="BU186" i="2"/>
  <c r="BP186" i="2"/>
  <c r="BN186" i="2"/>
  <c r="BI186" i="2"/>
  <c r="BG186" i="2"/>
  <c r="AU186" i="2"/>
  <c r="AS186" i="2"/>
  <c r="AN186" i="2"/>
  <c r="AL186" i="2"/>
  <c r="S186" i="2"/>
  <c r="Q186" i="2"/>
  <c r="L186" i="2"/>
  <c r="J186" i="2"/>
  <c r="E186" i="2"/>
  <c r="C186" i="2"/>
  <c r="DF185" i="2"/>
  <c r="DD185" i="2"/>
  <c r="CY185" i="2"/>
  <c r="CW185" i="2"/>
  <c r="CR185" i="2"/>
  <c r="CP185" i="2"/>
  <c r="CK185" i="2"/>
  <c r="CI185" i="2"/>
  <c r="BW185" i="2"/>
  <c r="BU185" i="2"/>
  <c r="BP185" i="2"/>
  <c r="BN185" i="2"/>
  <c r="BI185" i="2"/>
  <c r="BG185" i="2"/>
  <c r="AU185" i="2"/>
  <c r="AS185" i="2"/>
  <c r="AN185" i="2"/>
  <c r="AL185" i="2"/>
  <c r="S185" i="2"/>
  <c r="Q185" i="2"/>
  <c r="L185" i="2"/>
  <c r="J185" i="2"/>
  <c r="E185" i="2"/>
  <c r="C185" i="2"/>
  <c r="DF184" i="2"/>
  <c r="DD184" i="2"/>
  <c r="CY184" i="2"/>
  <c r="CW184" i="2"/>
  <c r="CR184" i="2"/>
  <c r="CP184" i="2"/>
  <c r="CK184" i="2"/>
  <c r="CI184" i="2"/>
  <c r="BW184" i="2"/>
  <c r="BU184" i="2"/>
  <c r="BP184" i="2"/>
  <c r="BN184" i="2"/>
  <c r="BI184" i="2"/>
  <c r="BG184" i="2"/>
  <c r="AU184" i="2"/>
  <c r="AS184" i="2"/>
  <c r="AN184" i="2"/>
  <c r="AL184" i="2"/>
  <c r="S184" i="2"/>
  <c r="Q184" i="2"/>
  <c r="L184" i="2"/>
  <c r="J184" i="2"/>
  <c r="E184" i="2"/>
  <c r="C184" i="2"/>
  <c r="DM171" i="2"/>
  <c r="DO171" i="2" s="1"/>
  <c r="CD171" i="2"/>
  <c r="BB171" i="2"/>
  <c r="AW171" i="2"/>
  <c r="AP171" i="2"/>
  <c r="AI171" i="2"/>
  <c r="Z171" i="2"/>
  <c r="J173" i="2"/>
  <c r="J176" i="2" s="1"/>
  <c r="C173" i="2"/>
  <c r="C176" i="2" s="1"/>
  <c r="DM170" i="2"/>
  <c r="DO170" i="2" s="1"/>
  <c r="CD170" i="2"/>
  <c r="BB170" i="2"/>
  <c r="AW170" i="2"/>
  <c r="AP170" i="2"/>
  <c r="AI170" i="2"/>
  <c r="Z170" i="2"/>
  <c r="U170" i="2"/>
  <c r="N170" i="2"/>
  <c r="G170" i="2"/>
  <c r="DM169" i="2"/>
  <c r="DO169" i="2" s="1"/>
  <c r="CD169" i="2"/>
  <c r="BB169" i="2"/>
  <c r="Z169" i="2"/>
  <c r="CF168" i="2"/>
  <c r="BB168" i="2"/>
  <c r="AW168" i="2"/>
  <c r="AP168" i="2"/>
  <c r="AI168" i="2"/>
  <c r="U168" i="2"/>
  <c r="N168" i="2"/>
  <c r="G168" i="2"/>
  <c r="DK173" i="2"/>
  <c r="AZ166" i="2"/>
  <c r="AZ173" i="2" s="1"/>
  <c r="DF136" i="2"/>
  <c r="CY136" i="2"/>
  <c r="CR136" i="2"/>
  <c r="CK136" i="2"/>
  <c r="BW136" i="2"/>
  <c r="BP136" i="2"/>
  <c r="BI136" i="2"/>
  <c r="AU136" i="2"/>
  <c r="AN136" i="2"/>
  <c r="AG136" i="2"/>
  <c r="CF135" i="2"/>
  <c r="AZ135" i="2"/>
  <c r="AW135" i="2"/>
  <c r="AP135" i="2"/>
  <c r="AI135" i="2"/>
  <c r="U135" i="2"/>
  <c r="N135" i="2"/>
  <c r="G135" i="2"/>
  <c r="CF134" i="2"/>
  <c r="AZ134" i="2"/>
  <c r="AW134" i="2"/>
  <c r="AP134" i="2"/>
  <c r="AI134" i="2"/>
  <c r="AB134" i="2"/>
  <c r="N134" i="2"/>
  <c r="G134" i="2"/>
  <c r="CF133" i="2"/>
  <c r="AZ133" i="2"/>
  <c r="AW133" i="2"/>
  <c r="AP133" i="2"/>
  <c r="AI133" i="2"/>
  <c r="X136" i="2"/>
  <c r="X151" i="2" s="1"/>
  <c r="X153" i="2" s="1"/>
  <c r="X176" i="2" s="1"/>
  <c r="S136" i="2"/>
  <c r="L136" i="2"/>
  <c r="E136" i="2"/>
  <c r="CF132" i="2"/>
  <c r="AZ132" i="2"/>
  <c r="AW132" i="2"/>
  <c r="AP132" i="2"/>
  <c r="AI132" i="2"/>
  <c r="U132" i="2"/>
  <c r="N132" i="2"/>
  <c r="G132" i="2"/>
  <c r="CF131" i="2"/>
  <c r="AW131" i="2"/>
  <c r="AZ131" i="2"/>
  <c r="AI131" i="2"/>
  <c r="U131" i="2"/>
  <c r="N131" i="2"/>
  <c r="CF130" i="2"/>
  <c r="AZ130" i="2"/>
  <c r="AW130" i="2"/>
  <c r="AP130" i="2"/>
  <c r="AI130" i="2"/>
  <c r="U130" i="2"/>
  <c r="N130" i="2"/>
  <c r="G130" i="2"/>
  <c r="CF129" i="2"/>
  <c r="AZ129" i="2"/>
  <c r="AW129" i="2"/>
  <c r="AP129" i="2"/>
  <c r="AI129" i="2"/>
  <c r="AB129" i="2"/>
  <c r="N129" i="2"/>
  <c r="G129" i="2"/>
  <c r="CF128" i="2"/>
  <c r="AZ128" i="2"/>
  <c r="AW128" i="2"/>
  <c r="AP128" i="2"/>
  <c r="AI128" i="2"/>
  <c r="U128" i="2"/>
  <c r="N128" i="2"/>
  <c r="G128" i="2"/>
  <c r="CF127" i="2"/>
  <c r="AZ127" i="2"/>
  <c r="AW127" i="2"/>
  <c r="AP127" i="2"/>
  <c r="AI127" i="2"/>
  <c r="U127" i="2"/>
  <c r="N127" i="2"/>
  <c r="G127" i="2"/>
  <c r="BG136" i="2"/>
  <c r="AW126" i="2"/>
  <c r="AP126" i="2"/>
  <c r="AI126" i="2"/>
  <c r="CF125" i="2"/>
  <c r="AZ125" i="2"/>
  <c r="AI125" i="2"/>
  <c r="AB125" i="2"/>
  <c r="N125" i="2"/>
  <c r="G125" i="2"/>
  <c r="CF124" i="2"/>
  <c r="AZ124" i="2"/>
  <c r="AW124" i="2"/>
  <c r="AP124" i="2"/>
  <c r="AI124" i="2"/>
  <c r="AB124" i="2"/>
  <c r="N124" i="2"/>
  <c r="G124" i="2"/>
  <c r="CF123" i="2"/>
  <c r="AZ123" i="2"/>
  <c r="AW123" i="2"/>
  <c r="AP123" i="2"/>
  <c r="AI123" i="2"/>
  <c r="U123" i="2"/>
  <c r="N123" i="2"/>
  <c r="G123" i="2"/>
  <c r="CF122" i="2"/>
  <c r="AI122" i="2"/>
  <c r="AB122" i="2"/>
  <c r="N122" i="2"/>
  <c r="G122" i="2"/>
  <c r="CF121" i="2"/>
  <c r="AZ121" i="2"/>
  <c r="AW121" i="2"/>
  <c r="AP121" i="2"/>
  <c r="AI121" i="2"/>
  <c r="U121" i="2"/>
  <c r="N121" i="2"/>
  <c r="G121" i="2"/>
  <c r="DM120" i="2"/>
  <c r="CD120" i="2"/>
  <c r="CB120" i="2"/>
  <c r="BB120" i="2"/>
  <c r="AZ120" i="2"/>
  <c r="AW120" i="2"/>
  <c r="AP120" i="2"/>
  <c r="AI120" i="2"/>
  <c r="Z120" i="2"/>
  <c r="U120" i="2"/>
  <c r="N120" i="2"/>
  <c r="G120" i="2"/>
  <c r="DF117" i="2"/>
  <c r="CY117" i="2"/>
  <c r="CW117" i="2"/>
  <c r="CR117" i="2"/>
  <c r="CP117" i="2"/>
  <c r="CK117" i="2"/>
  <c r="CI117" i="2"/>
  <c r="BW117" i="2"/>
  <c r="BP117" i="2"/>
  <c r="BN117" i="2"/>
  <c r="BI117" i="2"/>
  <c r="BG117" i="2"/>
  <c r="AU117" i="2"/>
  <c r="AN117" i="2"/>
  <c r="AL117" i="2"/>
  <c r="S117" i="2"/>
  <c r="L117" i="2"/>
  <c r="E117" i="2"/>
  <c r="DM115" i="2"/>
  <c r="DO115" i="2" s="1"/>
  <c r="CD115" i="2"/>
  <c r="BB115" i="2"/>
  <c r="AZ115" i="2"/>
  <c r="AW115" i="2"/>
  <c r="AP115" i="2"/>
  <c r="AI115" i="2"/>
  <c r="Z115" i="2"/>
  <c r="U115" i="2"/>
  <c r="N115" i="2"/>
  <c r="G115" i="2"/>
  <c r="DM114" i="2"/>
  <c r="DO114" i="2" s="1"/>
  <c r="CD114" i="2"/>
  <c r="CF114" i="2" s="1"/>
  <c r="BB114" i="2"/>
  <c r="AZ114" i="2"/>
  <c r="AW114" i="2"/>
  <c r="AP114" i="2"/>
  <c r="AI114" i="2"/>
  <c r="Z114" i="2"/>
  <c r="U114" i="2"/>
  <c r="N114" i="2"/>
  <c r="G114" i="2"/>
  <c r="DM113" i="2"/>
  <c r="DO113" i="2" s="1"/>
  <c r="CD113" i="2"/>
  <c r="BB113" i="2"/>
  <c r="AZ113" i="2"/>
  <c r="AW113" i="2"/>
  <c r="AP113" i="2"/>
  <c r="AI113" i="2"/>
  <c r="Z113" i="2"/>
  <c r="U113" i="2"/>
  <c r="N113" i="2"/>
  <c r="G113" i="2"/>
  <c r="DM112" i="2"/>
  <c r="DO112" i="2" s="1"/>
  <c r="CD112" i="2"/>
  <c r="BB112" i="2"/>
  <c r="AZ112" i="2"/>
  <c r="AW112" i="2"/>
  <c r="AP112" i="2"/>
  <c r="AI112" i="2"/>
  <c r="Z112" i="2"/>
  <c r="U112" i="2"/>
  <c r="N112" i="2"/>
  <c r="G112" i="2"/>
  <c r="DM111" i="2"/>
  <c r="DO111" i="2" s="1"/>
  <c r="CD111" i="2"/>
  <c r="CB111" i="2"/>
  <c r="BB111" i="2"/>
  <c r="AZ111" i="2"/>
  <c r="AW111" i="2"/>
  <c r="AP111" i="2"/>
  <c r="AI111" i="2"/>
  <c r="Z111" i="2"/>
  <c r="U111" i="2"/>
  <c r="N111" i="2"/>
  <c r="G111" i="2"/>
  <c r="AU108" i="2"/>
  <c r="AN108" i="2"/>
  <c r="AG108" i="2"/>
  <c r="S108" i="2"/>
  <c r="L108" i="2"/>
  <c r="DM106" i="2"/>
  <c r="DO106" i="2" s="1"/>
  <c r="CD106" i="2"/>
  <c r="CF106" i="2" s="1"/>
  <c r="BB106" i="2"/>
  <c r="AZ106" i="2"/>
  <c r="AW106" i="2"/>
  <c r="AP106" i="2"/>
  <c r="AI106" i="2"/>
  <c r="Z106" i="2"/>
  <c r="U106" i="2"/>
  <c r="N106" i="2"/>
  <c r="G106" i="2"/>
  <c r="DM105" i="2"/>
  <c r="DO105" i="2" s="1"/>
  <c r="CD105" i="2"/>
  <c r="CF105" i="2" s="1"/>
  <c r="BB105" i="2"/>
  <c r="AZ105" i="2"/>
  <c r="AW105" i="2"/>
  <c r="AP105" i="2"/>
  <c r="AI105" i="2"/>
  <c r="Z105" i="2"/>
  <c r="U105" i="2"/>
  <c r="N105" i="2"/>
  <c r="G105" i="2"/>
  <c r="DM104" i="2"/>
  <c r="DO104" i="2" s="1"/>
  <c r="CD104" i="2"/>
  <c r="CF104" i="2" s="1"/>
  <c r="BB104" i="2"/>
  <c r="AZ104" i="2"/>
  <c r="AW104" i="2"/>
  <c r="AP104" i="2"/>
  <c r="AI104" i="2"/>
  <c r="Z104" i="2"/>
  <c r="U104" i="2"/>
  <c r="N104" i="2"/>
  <c r="G104" i="2"/>
  <c r="DM103" i="2"/>
  <c r="CD103" i="2"/>
  <c r="CB103" i="2"/>
  <c r="BB103" i="2"/>
  <c r="AZ103" i="2"/>
  <c r="AW103" i="2"/>
  <c r="AP103" i="2"/>
  <c r="AI103" i="2"/>
  <c r="Z103" i="2"/>
  <c r="U103" i="2"/>
  <c r="N103" i="2"/>
  <c r="G103" i="2"/>
  <c r="DF100" i="2"/>
  <c r="CY100" i="2"/>
  <c r="CK100" i="2"/>
  <c r="AU100" i="2"/>
  <c r="AN100" i="2"/>
  <c r="S100" i="2"/>
  <c r="E100" i="2"/>
  <c r="CD99" i="2"/>
  <c r="CF99" i="2" s="1"/>
  <c r="BB99" i="2"/>
  <c r="AZ99" i="2"/>
  <c r="DR99" i="2" s="1"/>
  <c r="AW99" i="2"/>
  <c r="AP99" i="2"/>
  <c r="AI99" i="2"/>
  <c r="Z99" i="2"/>
  <c r="U99" i="2"/>
  <c r="N99" i="2"/>
  <c r="G99" i="2"/>
  <c r="CD97" i="2"/>
  <c r="CF97" i="2" s="1"/>
  <c r="BB97" i="2"/>
  <c r="AZ97" i="2"/>
  <c r="DR97" i="2" s="1"/>
  <c r="AW97" i="2"/>
  <c r="AP97" i="2"/>
  <c r="AI97" i="2"/>
  <c r="U97" i="2"/>
  <c r="N97" i="2"/>
  <c r="G97" i="2"/>
  <c r="CD95" i="2"/>
  <c r="CF95" i="2" s="1"/>
  <c r="BB95" i="2"/>
  <c r="AZ95" i="2"/>
  <c r="DR95" i="2" s="1"/>
  <c r="AW95" i="2"/>
  <c r="AP95" i="2"/>
  <c r="AI95" i="2"/>
  <c r="U95" i="2"/>
  <c r="N95" i="2"/>
  <c r="G95" i="2"/>
  <c r="CD94" i="2"/>
  <c r="CF94" i="2" s="1"/>
  <c r="BB94" i="2"/>
  <c r="AZ94" i="2"/>
  <c r="DR94" i="2" s="1"/>
  <c r="AW94" i="2"/>
  <c r="AP94" i="2"/>
  <c r="AI94" i="2"/>
  <c r="U94" i="2"/>
  <c r="N94" i="2"/>
  <c r="G94" i="2"/>
  <c r="CD93" i="2"/>
  <c r="CF93" i="2" s="1"/>
  <c r="BB93" i="2"/>
  <c r="AZ93" i="2"/>
  <c r="DR93" i="2" s="1"/>
  <c r="AW93" i="2"/>
  <c r="AP93" i="2"/>
  <c r="AI93" i="2"/>
  <c r="U93" i="2"/>
  <c r="N93" i="2"/>
  <c r="G93" i="2"/>
  <c r="CD92" i="2"/>
  <c r="CF92" i="2" s="1"/>
  <c r="BB92" i="2"/>
  <c r="AZ92" i="2"/>
  <c r="DR92" i="2" s="1"/>
  <c r="AW92" i="2"/>
  <c r="AP92" i="2"/>
  <c r="AI92" i="2"/>
  <c r="U92" i="2"/>
  <c r="N92" i="2"/>
  <c r="G92" i="2"/>
  <c r="DM91" i="2"/>
  <c r="DO91" i="2" s="1"/>
  <c r="DO100" i="2" s="1"/>
  <c r="CD91" i="2"/>
  <c r="BB91" i="2"/>
  <c r="AE100" i="2"/>
  <c r="AB91" i="2"/>
  <c r="U91" i="2"/>
  <c r="N91" i="2"/>
  <c r="G91" i="2"/>
  <c r="CF78" i="2"/>
  <c r="AZ78" i="2"/>
  <c r="DR78" i="2" s="1"/>
  <c r="AW78" i="2"/>
  <c r="AP78" i="2"/>
  <c r="AI78" i="2"/>
  <c r="U78" i="2"/>
  <c r="N78" i="2"/>
  <c r="G78" i="2"/>
  <c r="CF77" i="2"/>
  <c r="AZ77" i="2"/>
  <c r="DR77" i="2" s="1"/>
  <c r="AW77" i="2"/>
  <c r="AP77" i="2"/>
  <c r="AI77" i="2"/>
  <c r="U77" i="2"/>
  <c r="N77" i="2"/>
  <c r="G77" i="2"/>
  <c r="CF76" i="2"/>
  <c r="AZ76" i="2"/>
  <c r="DR76" i="2" s="1"/>
  <c r="AW76" i="2"/>
  <c r="AP76" i="2"/>
  <c r="AI76" i="2"/>
  <c r="U76" i="2"/>
  <c r="N76" i="2"/>
  <c r="G76" i="2"/>
  <c r="CF75" i="2"/>
  <c r="AZ75" i="2"/>
  <c r="DR75" i="2" s="1"/>
  <c r="AW75" i="2"/>
  <c r="AP75" i="2"/>
  <c r="AI75" i="2"/>
  <c r="U75" i="2"/>
  <c r="N75" i="2"/>
  <c r="G75" i="2"/>
  <c r="CF74" i="2"/>
  <c r="AZ74" i="2"/>
  <c r="DR74" i="2" s="1"/>
  <c r="AW74" i="2"/>
  <c r="AP74" i="2"/>
  <c r="AI74" i="2"/>
  <c r="U74" i="2"/>
  <c r="N74" i="2"/>
  <c r="CF73" i="2"/>
  <c r="AZ73" i="2"/>
  <c r="DR73" i="2" s="1"/>
  <c r="AW73" i="2"/>
  <c r="AP73" i="2"/>
  <c r="AI73" i="2"/>
  <c r="U73" i="2"/>
  <c r="N73" i="2"/>
  <c r="G73" i="2"/>
  <c r="CF72" i="2"/>
  <c r="AZ72" i="2"/>
  <c r="DR72" i="2" s="1"/>
  <c r="AW72" i="2"/>
  <c r="AP72" i="2"/>
  <c r="AI72" i="2"/>
  <c r="U72" i="2"/>
  <c r="N72" i="2"/>
  <c r="G72" i="2"/>
  <c r="CF71" i="2"/>
  <c r="AZ71" i="2"/>
  <c r="DR71" i="2" s="1"/>
  <c r="AW71" i="2"/>
  <c r="AP71" i="2"/>
  <c r="AI71" i="2"/>
  <c r="U71" i="2"/>
  <c r="N71" i="2"/>
  <c r="G71" i="2"/>
  <c r="CF70" i="2"/>
  <c r="AZ70" i="2"/>
  <c r="DR70" i="2" s="1"/>
  <c r="AW70" i="2"/>
  <c r="AP70" i="2"/>
  <c r="AI70" i="2"/>
  <c r="U70" i="2"/>
  <c r="N70" i="2"/>
  <c r="G70" i="2"/>
  <c r="CF69" i="2"/>
  <c r="AW69" i="2"/>
  <c r="AP69" i="2"/>
  <c r="AZ69" i="2"/>
  <c r="DR69" i="2" s="1"/>
  <c r="U69" i="2"/>
  <c r="N69" i="2"/>
  <c r="G69" i="2"/>
  <c r="CF68" i="2"/>
  <c r="AW68" i="2"/>
  <c r="AP68" i="2"/>
  <c r="AI68" i="2"/>
  <c r="U68" i="2"/>
  <c r="N68" i="2"/>
  <c r="G68" i="2"/>
  <c r="CF67" i="2"/>
  <c r="AZ67" i="2"/>
  <c r="DR67" i="2" s="1"/>
  <c r="AP67" i="2"/>
  <c r="U67" i="2"/>
  <c r="N67" i="2"/>
  <c r="G67" i="2"/>
  <c r="CF66" i="2"/>
  <c r="AW66" i="2"/>
  <c r="U66" i="2"/>
  <c r="N66" i="2"/>
  <c r="G66" i="2"/>
  <c r="CF65" i="2"/>
  <c r="AZ65" i="2"/>
  <c r="DR65" i="2" s="1"/>
  <c r="AW65" i="2"/>
  <c r="AP65" i="2"/>
  <c r="AI65" i="2"/>
  <c r="U65" i="2"/>
  <c r="N65" i="2"/>
  <c r="G65" i="2"/>
  <c r="CF64" i="2"/>
  <c r="AZ64" i="2"/>
  <c r="DR64" i="2" s="1"/>
  <c r="AW64" i="2"/>
  <c r="AP64" i="2"/>
  <c r="AI64" i="2"/>
  <c r="U64" i="2"/>
  <c r="N64" i="2"/>
  <c r="G64" i="2"/>
  <c r="CF63" i="2"/>
  <c r="AZ63" i="2"/>
  <c r="DR63" i="2" s="1"/>
  <c r="AW63" i="2"/>
  <c r="AP63" i="2"/>
  <c r="AI63" i="2"/>
  <c r="CF62" i="2"/>
  <c r="AZ62" i="2"/>
  <c r="DR62" i="2" s="1"/>
  <c r="AW62" i="2"/>
  <c r="AP62" i="2"/>
  <c r="AI62" i="2"/>
  <c r="U62" i="2"/>
  <c r="N62" i="2"/>
  <c r="G62" i="2"/>
  <c r="DM61" i="2"/>
  <c r="DM82" i="2" s="1"/>
  <c r="CD61" i="2"/>
  <c r="BB61" i="2"/>
  <c r="AP61" i="2"/>
  <c r="AI61" i="2"/>
  <c r="Z61" i="2"/>
  <c r="Z82" i="2" s="1"/>
  <c r="G61" i="2"/>
  <c r="S58" i="2"/>
  <c r="L58" i="2"/>
  <c r="E58" i="2"/>
  <c r="CF56" i="2"/>
  <c r="AZ56" i="2"/>
  <c r="AW56" i="2"/>
  <c r="AP56" i="2"/>
  <c r="AI56" i="2"/>
  <c r="U56" i="2"/>
  <c r="N56" i="2"/>
  <c r="G56" i="2"/>
  <c r="CF55" i="2"/>
  <c r="AZ55" i="2"/>
  <c r="DR55" i="2" s="1"/>
  <c r="AW55" i="2"/>
  <c r="AP55" i="2"/>
  <c r="AI55" i="2"/>
  <c r="U55" i="2"/>
  <c r="N55" i="2"/>
  <c r="G55" i="2"/>
  <c r="CF54" i="2"/>
  <c r="AZ54" i="2"/>
  <c r="AW54" i="2"/>
  <c r="AP54" i="2"/>
  <c r="AI54" i="2"/>
  <c r="U54" i="2"/>
  <c r="N54" i="2"/>
  <c r="G54" i="2"/>
  <c r="CF53" i="2"/>
  <c r="AZ53" i="2"/>
  <c r="AW53" i="2"/>
  <c r="AP53" i="2"/>
  <c r="AI53" i="2"/>
  <c r="U53" i="2"/>
  <c r="N53" i="2"/>
  <c r="G53" i="2"/>
  <c r="CF52" i="2"/>
  <c r="AZ52" i="2"/>
  <c r="AW52" i="2"/>
  <c r="AP52" i="2"/>
  <c r="AI52" i="2"/>
  <c r="U52" i="2"/>
  <c r="N52" i="2"/>
  <c r="G52" i="2"/>
  <c r="CF51" i="2"/>
  <c r="AZ51" i="2"/>
  <c r="DR51" i="2" s="1"/>
  <c r="AW51" i="2"/>
  <c r="AP51" i="2"/>
  <c r="AI51" i="2"/>
  <c r="U51" i="2"/>
  <c r="N51" i="2"/>
  <c r="CF50" i="2"/>
  <c r="AZ50" i="2"/>
  <c r="AW50" i="2"/>
  <c r="AP50" i="2"/>
  <c r="AI50" i="2"/>
  <c r="U50" i="2"/>
  <c r="N50" i="2"/>
  <c r="CF49" i="2"/>
  <c r="AZ49" i="2"/>
  <c r="DR49" i="2" s="1"/>
  <c r="AW49" i="2"/>
  <c r="AI49" i="2"/>
  <c r="DT49" i="2"/>
  <c r="U49" i="2"/>
  <c r="N49" i="2"/>
  <c r="G49" i="2"/>
  <c r="CF47" i="2"/>
  <c r="AZ47" i="2"/>
  <c r="DR47" i="2" s="1"/>
  <c r="AW47" i="2"/>
  <c r="AP47" i="2"/>
  <c r="AI47" i="2"/>
  <c r="U47" i="2"/>
  <c r="N47" i="2"/>
  <c r="CF46" i="2"/>
  <c r="AP46" i="2"/>
  <c r="AI46" i="2"/>
  <c r="U46" i="2"/>
  <c r="N46" i="2"/>
  <c r="G46" i="2"/>
  <c r="CF45" i="2"/>
  <c r="AZ45" i="2"/>
  <c r="DR45" i="2" s="1"/>
  <c r="AW45" i="2"/>
  <c r="AP45" i="2"/>
  <c r="AI45" i="2"/>
  <c r="U45" i="2"/>
  <c r="N45" i="2"/>
  <c r="G45" i="2"/>
  <c r="CF44" i="2"/>
  <c r="AZ44" i="2"/>
  <c r="DR44" i="2" s="1"/>
  <c r="AW44" i="2"/>
  <c r="AP44" i="2"/>
  <c r="AI44" i="2"/>
  <c r="CF43" i="2"/>
  <c r="AZ43" i="2"/>
  <c r="DR43" i="2" s="1"/>
  <c r="AW43" i="2"/>
  <c r="AP43" i="2"/>
  <c r="AI43" i="2"/>
  <c r="CF42" i="2"/>
  <c r="AZ42" i="2"/>
  <c r="DR42" i="2" s="1"/>
  <c r="AW42" i="2"/>
  <c r="AP42" i="2"/>
  <c r="AI42" i="2"/>
  <c r="CF41" i="2"/>
  <c r="AZ41" i="2"/>
  <c r="DR41" i="2" s="1"/>
  <c r="AW41" i="2"/>
  <c r="AP41" i="2"/>
  <c r="AI41" i="2"/>
  <c r="DM40" i="2"/>
  <c r="DO40" i="2" s="1"/>
  <c r="DO58" i="2" s="1"/>
  <c r="CD40" i="2"/>
  <c r="CD58" i="2" s="1"/>
  <c r="CB40" i="2"/>
  <c r="AZ40" i="2"/>
  <c r="AW40" i="2"/>
  <c r="AP40" i="2"/>
  <c r="AI40" i="2"/>
  <c r="DF37" i="2"/>
  <c r="DD37" i="2"/>
  <c r="CY37" i="2"/>
  <c r="CW37" i="2"/>
  <c r="CR37" i="2"/>
  <c r="CP37" i="2"/>
  <c r="CK37" i="2"/>
  <c r="CI37" i="2"/>
  <c r="CI151" i="2" s="1"/>
  <c r="BW37" i="2"/>
  <c r="BP37" i="2"/>
  <c r="BN37" i="2"/>
  <c r="BI37" i="2"/>
  <c r="AN37" i="2"/>
  <c r="AG37" i="2"/>
  <c r="S37" i="2"/>
  <c r="L37" i="2"/>
  <c r="E37" i="2"/>
  <c r="DM36" i="2"/>
  <c r="DO36" i="2" s="1"/>
  <c r="CD36" i="2"/>
  <c r="CF36" i="2" s="1"/>
  <c r="BB36" i="2"/>
  <c r="AW36" i="2"/>
  <c r="AP36" i="2"/>
  <c r="Z36" i="2"/>
  <c r="U36" i="2"/>
  <c r="DM35" i="2"/>
  <c r="CD35" i="2"/>
  <c r="CF35" i="2" s="1"/>
  <c r="BB35" i="2"/>
  <c r="AZ35" i="2"/>
  <c r="Z35" i="2"/>
  <c r="DM34" i="2"/>
  <c r="DO34" i="2" s="1"/>
  <c r="CD34" i="2"/>
  <c r="CF34" i="2" s="1"/>
  <c r="BB34" i="2"/>
  <c r="AZ34" i="2"/>
  <c r="AW34" i="2"/>
  <c r="AP34" i="2"/>
  <c r="AI34" i="2"/>
  <c r="Z34" i="2"/>
  <c r="U34" i="2"/>
  <c r="N34" i="2"/>
  <c r="G34" i="2"/>
  <c r="DM33" i="2"/>
  <c r="DO33" i="2" s="1"/>
  <c r="CD33" i="2"/>
  <c r="CF33" i="2" s="1"/>
  <c r="BB33" i="2"/>
  <c r="AZ33" i="2"/>
  <c r="AW33" i="2"/>
  <c r="AP33" i="2"/>
  <c r="AI33" i="2"/>
  <c r="Z33" i="2"/>
  <c r="U33" i="2"/>
  <c r="N33" i="2"/>
  <c r="G33" i="2"/>
  <c r="DM32" i="2"/>
  <c r="DO32" i="2" s="1"/>
  <c r="CD32" i="2"/>
  <c r="CB32" i="2"/>
  <c r="BB32" i="2"/>
  <c r="AZ32" i="2"/>
  <c r="AW32" i="2"/>
  <c r="AP32" i="2"/>
  <c r="AI32" i="2"/>
  <c r="Z32" i="2"/>
  <c r="U32" i="2"/>
  <c r="N32" i="2"/>
  <c r="G32" i="2"/>
  <c r="DT31" i="2"/>
  <c r="BG23" i="2"/>
  <c r="AS23" i="2"/>
  <c r="AL23" i="2"/>
  <c r="AE23" i="2"/>
  <c r="DM21" i="2"/>
  <c r="DO21" i="2" s="1"/>
  <c r="DG21" i="2"/>
  <c r="DE21" i="2"/>
  <c r="CZ21" i="2"/>
  <c r="CQ21" i="2"/>
  <c r="CL21" i="2"/>
  <c r="CJ21" i="2"/>
  <c r="CD21" i="2"/>
  <c r="CF21" i="2" s="1"/>
  <c r="BX21" i="2"/>
  <c r="BV21" i="2"/>
  <c r="BQ21" i="2"/>
  <c r="BO21" i="2"/>
  <c r="BJ21" i="2"/>
  <c r="BH21" i="2"/>
  <c r="AZ21" i="2"/>
  <c r="AW21" i="2"/>
  <c r="AV21" i="2"/>
  <c r="AT21" i="2"/>
  <c r="AP21" i="2"/>
  <c r="AO21" i="2"/>
  <c r="AM21" i="2"/>
  <c r="AI21" i="2"/>
  <c r="AH21" i="2"/>
  <c r="AF21" i="2"/>
  <c r="U21" i="2"/>
  <c r="T21" i="2"/>
  <c r="R21" i="2"/>
  <c r="N21" i="2"/>
  <c r="M21" i="2"/>
  <c r="K21" i="2"/>
  <c r="G21" i="2"/>
  <c r="F21" i="2"/>
  <c r="D21" i="2"/>
  <c r="DM19" i="2"/>
  <c r="DG19" i="2"/>
  <c r="DE19" i="2"/>
  <c r="CZ19" i="2"/>
  <c r="CX19" i="2"/>
  <c r="CQ19" i="2"/>
  <c r="CL19" i="2"/>
  <c r="CJ19" i="2"/>
  <c r="CD19" i="2"/>
  <c r="CF19" i="2" s="1"/>
  <c r="BX19" i="2"/>
  <c r="BV19" i="2"/>
  <c r="BQ19" i="2"/>
  <c r="BO19" i="2"/>
  <c r="BJ19" i="2"/>
  <c r="BH19" i="2"/>
  <c r="AZ19" i="2"/>
  <c r="AW19" i="2"/>
  <c r="AV19" i="2"/>
  <c r="AT19" i="2"/>
  <c r="AP19" i="2"/>
  <c r="AO19" i="2"/>
  <c r="AM19" i="2"/>
  <c r="AI19" i="2"/>
  <c r="AH19" i="2"/>
  <c r="AF19" i="2"/>
  <c r="U19" i="2"/>
  <c r="N19" i="2"/>
  <c r="G19" i="2"/>
  <c r="DE20" i="2"/>
  <c r="CZ20" i="2"/>
  <c r="CX20" i="2"/>
  <c r="CQ20" i="2"/>
  <c r="CJ20" i="2"/>
  <c r="CD20" i="2"/>
  <c r="CF20" i="2" s="1"/>
  <c r="BX20" i="2"/>
  <c r="BV20" i="2"/>
  <c r="BQ20" i="2"/>
  <c r="BO20" i="2"/>
  <c r="BJ20" i="2"/>
  <c r="BH20" i="2"/>
  <c r="AZ20" i="2"/>
  <c r="AW20" i="2"/>
  <c r="AV20" i="2"/>
  <c r="AT20" i="2"/>
  <c r="AP20" i="2"/>
  <c r="AO20" i="2"/>
  <c r="AM20" i="2"/>
  <c r="AI20" i="2"/>
  <c r="AH20" i="2"/>
  <c r="AF20" i="2"/>
  <c r="U20" i="2"/>
  <c r="T20" i="2"/>
  <c r="R20" i="2"/>
  <c r="N20" i="2"/>
  <c r="M20" i="2"/>
  <c r="K20" i="2"/>
  <c r="G20" i="2"/>
  <c r="D20" i="2"/>
  <c r="DM18" i="2"/>
  <c r="DO18" i="2" s="1"/>
  <c r="DG18" i="2"/>
  <c r="DE18" i="2"/>
  <c r="CZ18" i="2"/>
  <c r="CX18" i="2"/>
  <c r="CS18" i="2"/>
  <c r="CQ18" i="2"/>
  <c r="CL18" i="2"/>
  <c r="CJ18" i="2"/>
  <c r="CD18" i="2"/>
  <c r="CF18" i="2" s="1"/>
  <c r="BX18" i="2"/>
  <c r="BV18" i="2"/>
  <c r="BQ18" i="2"/>
  <c r="BO18" i="2"/>
  <c r="BJ18" i="2"/>
  <c r="BH18" i="2"/>
  <c r="AZ18" i="2"/>
  <c r="AW18" i="2"/>
  <c r="AV18" i="2"/>
  <c r="AT18" i="2"/>
  <c r="AP18" i="2"/>
  <c r="AO18" i="2"/>
  <c r="AM18" i="2"/>
  <c r="AI18" i="2"/>
  <c r="AH18" i="2"/>
  <c r="AF18" i="2"/>
  <c r="U18" i="2"/>
  <c r="T18" i="2"/>
  <c r="R18" i="2"/>
  <c r="N18" i="2"/>
  <c r="M18" i="2"/>
  <c r="K18" i="2"/>
  <c r="G18" i="2"/>
  <c r="F18" i="2"/>
  <c r="D18" i="2"/>
  <c r="DM17" i="2"/>
  <c r="DG17" i="2"/>
  <c r="DE17" i="2"/>
  <c r="CZ17" i="2"/>
  <c r="CX17" i="2"/>
  <c r="CS17" i="2"/>
  <c r="CQ17" i="2"/>
  <c r="CL17" i="2"/>
  <c r="CJ17" i="2"/>
  <c r="CD17" i="2"/>
  <c r="CF17" i="2" s="1"/>
  <c r="BX17" i="2"/>
  <c r="BV17" i="2"/>
  <c r="BQ17" i="2"/>
  <c r="BO17" i="2"/>
  <c r="BJ17" i="2"/>
  <c r="BH17" i="2"/>
  <c r="AZ17" i="2"/>
  <c r="AW17" i="2"/>
  <c r="AV17" i="2"/>
  <c r="AT17" i="2"/>
  <c r="AP17" i="2"/>
  <c r="AO17" i="2"/>
  <c r="AM17" i="2"/>
  <c r="AI17" i="2"/>
  <c r="AH17" i="2"/>
  <c r="AF17" i="2"/>
  <c r="U17" i="2"/>
  <c r="T17" i="2"/>
  <c r="R17" i="2"/>
  <c r="N17" i="2"/>
  <c r="M17" i="2"/>
  <c r="K17" i="2"/>
  <c r="G17" i="2"/>
  <c r="F17" i="2"/>
  <c r="D17" i="2"/>
  <c r="DM16" i="2"/>
  <c r="DO16" i="2" s="1"/>
  <c r="DG16" i="2"/>
  <c r="DE16" i="2"/>
  <c r="CS16" i="2"/>
  <c r="CQ16" i="2"/>
  <c r="CL16" i="2"/>
  <c r="CJ16" i="2"/>
  <c r="CD16" i="2"/>
  <c r="CB16" i="2"/>
  <c r="BX16" i="2"/>
  <c r="BV16" i="2"/>
  <c r="BQ16" i="2"/>
  <c r="BO16" i="2"/>
  <c r="BJ16" i="2"/>
  <c r="BH16" i="2"/>
  <c r="BB16" i="2"/>
  <c r="AZ16" i="2"/>
  <c r="AW16" i="2"/>
  <c r="AV16" i="2"/>
  <c r="AT16" i="2"/>
  <c r="AP16" i="2"/>
  <c r="AO16" i="2"/>
  <c r="AM16" i="2"/>
  <c r="AI16" i="2"/>
  <c r="AH16" i="2"/>
  <c r="AF16" i="2"/>
  <c r="U16" i="2"/>
  <c r="T16" i="2"/>
  <c r="R16" i="2"/>
  <c r="N16" i="2"/>
  <c r="M16" i="2"/>
  <c r="K16" i="2"/>
  <c r="G16" i="2"/>
  <c r="F16" i="2"/>
  <c r="D16" i="2"/>
  <c r="DF13" i="2"/>
  <c r="DG58" i="2" s="1"/>
  <c r="DD13" i="2"/>
  <c r="DE58" i="2" s="1"/>
  <c r="CY13" i="2"/>
  <c r="CW13" i="2"/>
  <c r="CR13" i="2"/>
  <c r="CR166" i="2" s="1"/>
  <c r="CP13" i="2"/>
  <c r="CK13" i="2"/>
  <c r="CI13" i="2"/>
  <c r="CJ58" i="2" s="1"/>
  <c r="BW13" i="2"/>
  <c r="BW166" i="2" s="1"/>
  <c r="BY166" i="2" s="1"/>
  <c r="BY173" i="2" s="1"/>
  <c r="BU13" i="2"/>
  <c r="BV58" i="2" s="1"/>
  <c r="BP13" i="2"/>
  <c r="BP166" i="2" s="1"/>
  <c r="BO10" i="2"/>
  <c r="BI13" i="2"/>
  <c r="BG13" i="2"/>
  <c r="AU13" i="2"/>
  <c r="AS13" i="2"/>
  <c r="AT161" i="2" s="1"/>
  <c r="AN13" i="2"/>
  <c r="AL13" i="2"/>
  <c r="AM161" i="2" s="1"/>
  <c r="AG13" i="2"/>
  <c r="AE13" i="2"/>
  <c r="S13" i="2"/>
  <c r="S166" i="2" s="1"/>
  <c r="S173" i="2" s="1"/>
  <c r="R88" i="2"/>
  <c r="L13" i="2"/>
  <c r="L166" i="2" s="1"/>
  <c r="L173" i="2" s="1"/>
  <c r="K88" i="2"/>
  <c r="E13" i="2"/>
  <c r="E166" i="2" s="1"/>
  <c r="E173" i="2" s="1"/>
  <c r="D88" i="2"/>
  <c r="DM12" i="2"/>
  <c r="DK12" i="2"/>
  <c r="DH12" i="2"/>
  <c r="DA12" i="2"/>
  <c r="CT12" i="2"/>
  <c r="CM12" i="2"/>
  <c r="CD12" i="2"/>
  <c r="BY12" i="2"/>
  <c r="BR12" i="2"/>
  <c r="BK12" i="2"/>
  <c r="BB12" i="2"/>
  <c r="AZ12" i="2"/>
  <c r="AW12" i="2"/>
  <c r="AP12" i="2"/>
  <c r="AI12" i="2"/>
  <c r="Z12" i="2"/>
  <c r="U12" i="2"/>
  <c r="N12" i="2"/>
  <c r="G12" i="2"/>
  <c r="DM10" i="2"/>
  <c r="DK10" i="2"/>
  <c r="DH10" i="2"/>
  <c r="DA10" i="2"/>
  <c r="CT10" i="2"/>
  <c r="CM10" i="2"/>
  <c r="CD10" i="2"/>
  <c r="BY10" i="2"/>
  <c r="BR10" i="2"/>
  <c r="BK10" i="2"/>
  <c r="BB10" i="2"/>
  <c r="AZ10" i="2"/>
  <c r="AW10" i="2"/>
  <c r="AP10" i="2"/>
  <c r="AI10" i="2"/>
  <c r="Z10" i="2"/>
  <c r="AA19" i="2" s="1"/>
  <c r="U10" i="2"/>
  <c r="N10" i="2"/>
  <c r="G10" i="2"/>
  <c r="DM11" i="2"/>
  <c r="DK11" i="2"/>
  <c r="DH11" i="2"/>
  <c r="DA11" i="2"/>
  <c r="CT11" i="2"/>
  <c r="CM11" i="2"/>
  <c r="CD11" i="2"/>
  <c r="BY11" i="2"/>
  <c r="BR11" i="2"/>
  <c r="BK11" i="2"/>
  <c r="BB11" i="2"/>
  <c r="AZ11" i="2"/>
  <c r="AW11" i="2"/>
  <c r="AP11" i="2"/>
  <c r="AI11" i="2"/>
  <c r="U11" i="2"/>
  <c r="N11" i="2"/>
  <c r="G11" i="2"/>
  <c r="DM9" i="2"/>
  <c r="DK9" i="2"/>
  <c r="DH9" i="2"/>
  <c r="DA9" i="2"/>
  <c r="CT9" i="2"/>
  <c r="CM9" i="2"/>
  <c r="CD9" i="2"/>
  <c r="BY9" i="2"/>
  <c r="BR9" i="2"/>
  <c r="BK9" i="2"/>
  <c r="BB9" i="2"/>
  <c r="AZ9" i="2"/>
  <c r="AW9" i="2"/>
  <c r="AP9" i="2"/>
  <c r="AI9" i="2"/>
  <c r="Z9" i="2"/>
  <c r="U9" i="2"/>
  <c r="N9" i="2"/>
  <c r="G9" i="2"/>
  <c r="DM8" i="2"/>
  <c r="DK8" i="2"/>
  <c r="DH8" i="2"/>
  <c r="DA8" i="2"/>
  <c r="CT8" i="2"/>
  <c r="CM8" i="2"/>
  <c r="CD8" i="2"/>
  <c r="BY8" i="2"/>
  <c r="BR8" i="2"/>
  <c r="BO8" i="2"/>
  <c r="BK8" i="2"/>
  <c r="BB8" i="2"/>
  <c r="AZ8" i="2"/>
  <c r="AW8" i="2"/>
  <c r="AP8" i="2"/>
  <c r="AI8" i="2"/>
  <c r="Z8" i="2"/>
  <c r="U8" i="2"/>
  <c r="N8" i="2"/>
  <c r="G8" i="2"/>
  <c r="DM7" i="2"/>
  <c r="DK7" i="2"/>
  <c r="DH7" i="2"/>
  <c r="DA7" i="2"/>
  <c r="CT7" i="2"/>
  <c r="CM7" i="2"/>
  <c r="CD7" i="2"/>
  <c r="BY7" i="2"/>
  <c r="BR7" i="2"/>
  <c r="BK7" i="2"/>
  <c r="BB7" i="2"/>
  <c r="AZ7" i="2"/>
  <c r="AW7" i="2"/>
  <c r="AP7" i="2"/>
  <c r="AI7" i="2"/>
  <c r="Z7" i="2"/>
  <c r="U7" i="2"/>
  <c r="N7" i="2"/>
  <c r="G7" i="2"/>
  <c r="BI202" i="2" l="1"/>
  <c r="BI166" i="2"/>
  <c r="CT166" i="2"/>
  <c r="CT173" i="2" s="1"/>
  <c r="CR173" i="2"/>
  <c r="G166" i="2"/>
  <c r="N166" i="2"/>
  <c r="U166" i="2"/>
  <c r="AG166" i="2"/>
  <c r="Z166" i="2"/>
  <c r="AO161" i="2"/>
  <c r="AN166" i="2"/>
  <c r="CZ88" i="2"/>
  <c r="CY166" i="2"/>
  <c r="BW173" i="2"/>
  <c r="BZ173" i="2" s="1"/>
  <c r="AV161" i="2"/>
  <c r="AU166" i="2"/>
  <c r="CL58" i="2"/>
  <c r="CK166" i="2"/>
  <c r="DR12" i="2"/>
  <c r="DR9" i="2"/>
  <c r="BQ29" i="2"/>
  <c r="DR8" i="2"/>
  <c r="BD50" i="2"/>
  <c r="DR50" i="2"/>
  <c r="DR10" i="2"/>
  <c r="DR11" i="2"/>
  <c r="CX37" i="2"/>
  <c r="BD52" i="2"/>
  <c r="DR52" i="2"/>
  <c r="BD53" i="2"/>
  <c r="DR53" i="2"/>
  <c r="BD54" i="2"/>
  <c r="DR54" i="2"/>
  <c r="BD56" i="2"/>
  <c r="DR56" i="2"/>
  <c r="CX117" i="2"/>
  <c r="CX88" i="2"/>
  <c r="CX7" i="2"/>
  <c r="CQ37" i="2"/>
  <c r="BN151" i="2"/>
  <c r="BO151" i="2" s="1"/>
  <c r="DD151" i="2"/>
  <c r="DE151" i="2" s="1"/>
  <c r="DR7" i="2"/>
  <c r="CP151" i="2"/>
  <c r="CQ151" i="2" s="1"/>
  <c r="BH23" i="2"/>
  <c r="CW151" i="2"/>
  <c r="CX151" i="2" s="1"/>
  <c r="CF120" i="2"/>
  <c r="CF111" i="2"/>
  <c r="CF103" i="2"/>
  <c r="CF108" i="2" s="1"/>
  <c r="CB108" i="2"/>
  <c r="CF115" i="2"/>
  <c r="DO120" i="2"/>
  <c r="DO136" i="2" s="1"/>
  <c r="DR169" i="2"/>
  <c r="CF169" i="2"/>
  <c r="AF58" i="2"/>
  <c r="AF161" i="2"/>
  <c r="DK82" i="2"/>
  <c r="DO61" i="2"/>
  <c r="DO82" i="2" s="1"/>
  <c r="DK108" i="2"/>
  <c r="DO103" i="2"/>
  <c r="DO108" i="2" s="1"/>
  <c r="DO17" i="2"/>
  <c r="CF32" i="2"/>
  <c r="CF37" i="2" s="1"/>
  <c r="CF113" i="2"/>
  <c r="CF170" i="2"/>
  <c r="CF16" i="2"/>
  <c r="CF23" i="2" s="1"/>
  <c r="DO117" i="2"/>
  <c r="AH58" i="2"/>
  <c r="AH161" i="2"/>
  <c r="DR171" i="2"/>
  <c r="CF171" i="2"/>
  <c r="DO19" i="2"/>
  <c r="DO35" i="2"/>
  <c r="DO37" i="2" s="1"/>
  <c r="CF40" i="2"/>
  <c r="CF58" i="2" s="1"/>
  <c r="CF112" i="2"/>
  <c r="DR114" i="2"/>
  <c r="DR130" i="2"/>
  <c r="DM58" i="2"/>
  <c r="DP58" i="2" s="1"/>
  <c r="BH88" i="2"/>
  <c r="BH58" i="2"/>
  <c r="CQ88" i="2"/>
  <c r="CQ58" i="2"/>
  <c r="BJ88" i="2"/>
  <c r="BJ58" i="2"/>
  <c r="CS88" i="2"/>
  <c r="CS58" i="2"/>
  <c r="AE195" i="2"/>
  <c r="CX58" i="2"/>
  <c r="CB58" i="2"/>
  <c r="BQ88" i="2"/>
  <c r="BQ58" i="2"/>
  <c r="CZ58" i="2"/>
  <c r="AM88" i="2"/>
  <c r="AM58" i="2"/>
  <c r="DE88" i="2"/>
  <c r="AO88" i="2"/>
  <c r="AO58" i="2"/>
  <c r="BX88" i="2"/>
  <c r="BX58" i="2"/>
  <c r="DG88" i="2"/>
  <c r="AT88" i="2"/>
  <c r="AT58" i="2"/>
  <c r="AV88" i="2"/>
  <c r="AV58" i="2"/>
  <c r="DR104" i="2"/>
  <c r="T88" i="2"/>
  <c r="T161" i="2"/>
  <c r="DR123" i="2"/>
  <c r="DR127" i="2"/>
  <c r="DR129" i="2"/>
  <c r="DR135" i="2"/>
  <c r="AH88" i="2"/>
  <c r="AG198" i="2"/>
  <c r="AG199" i="2"/>
  <c r="AG201" i="2"/>
  <c r="AG200" i="2"/>
  <c r="AG195" i="2"/>
  <c r="DR105" i="2"/>
  <c r="AF88" i="2"/>
  <c r="AE200" i="2"/>
  <c r="AE199" i="2"/>
  <c r="AE201" i="2"/>
  <c r="AE198" i="2"/>
  <c r="N187" i="2"/>
  <c r="F88" i="2"/>
  <c r="F161" i="2"/>
  <c r="M88" i="2"/>
  <c r="M161" i="2"/>
  <c r="AE202" i="2"/>
  <c r="AG202" i="2"/>
  <c r="AG203" i="2"/>
  <c r="DR113" i="2"/>
  <c r="DR17" i="2"/>
  <c r="DR112" i="2"/>
  <c r="DR115" i="2"/>
  <c r="DR121" i="2"/>
  <c r="DR132" i="2"/>
  <c r="DR133" i="2"/>
  <c r="N190" i="2"/>
  <c r="N191" i="2"/>
  <c r="DR21" i="2"/>
  <c r="DR18" i="2"/>
  <c r="DR103" i="2"/>
  <c r="DR124" i="2"/>
  <c r="DR134" i="2"/>
  <c r="DR166" i="2"/>
  <c r="DR170" i="2"/>
  <c r="N192" i="2"/>
  <c r="DR19" i="2"/>
  <c r="DR106" i="2"/>
  <c r="DR20" i="2"/>
  <c r="DR128" i="2"/>
  <c r="DR168" i="2"/>
  <c r="R12" i="2"/>
  <c r="DR111" i="2"/>
  <c r="DR120" i="2"/>
  <c r="DR125" i="2"/>
  <c r="DR131" i="2"/>
  <c r="N193" i="2"/>
  <c r="AG151" i="2"/>
  <c r="AH151" i="2" s="1"/>
  <c r="CJ88" i="2"/>
  <c r="CJ173" i="2"/>
  <c r="CL88" i="2"/>
  <c r="CR151" i="2"/>
  <c r="CS151" i="2" s="1"/>
  <c r="CY151" i="2"/>
  <c r="CZ151" i="2" s="1"/>
  <c r="BR191" i="2"/>
  <c r="E151" i="2"/>
  <c r="F151" i="2" s="1"/>
  <c r="L151" i="2"/>
  <c r="M151" i="2" s="1"/>
  <c r="AN151" i="2"/>
  <c r="AO151" i="2" s="1"/>
  <c r="DF151" i="2"/>
  <c r="DG151" i="2" s="1"/>
  <c r="S151" i="2"/>
  <c r="T151" i="2" s="1"/>
  <c r="AU151" i="2"/>
  <c r="AV151" i="2" s="1"/>
  <c r="BI151" i="2"/>
  <c r="BJ151" i="2" s="1"/>
  <c r="BV88" i="2"/>
  <c r="BV151" i="2"/>
  <c r="BP151" i="2"/>
  <c r="BQ151" i="2" s="1"/>
  <c r="BW151" i="2"/>
  <c r="BX151" i="2" s="1"/>
  <c r="CJ151" i="2"/>
  <c r="CK151" i="2"/>
  <c r="CL151" i="2" s="1"/>
  <c r="F142" i="2"/>
  <c r="F149" i="2"/>
  <c r="K142" i="2"/>
  <c r="K149" i="2"/>
  <c r="AT82" i="2"/>
  <c r="AT142" i="2"/>
  <c r="AT149" i="2"/>
  <c r="CJ142" i="2"/>
  <c r="CJ149" i="2"/>
  <c r="BX149" i="2"/>
  <c r="BX142" i="2"/>
  <c r="M82" i="2"/>
  <c r="M149" i="2"/>
  <c r="M142" i="2"/>
  <c r="AV82" i="2"/>
  <c r="AV142" i="2"/>
  <c r="AV149" i="2"/>
  <c r="CL82" i="2"/>
  <c r="CL142" i="2"/>
  <c r="CL149" i="2"/>
  <c r="R82" i="2"/>
  <c r="R149" i="2"/>
  <c r="R142" i="2"/>
  <c r="BH82" i="2"/>
  <c r="BH142" i="2"/>
  <c r="BH149" i="2"/>
  <c r="CQ142" i="2"/>
  <c r="CQ149" i="2"/>
  <c r="AO82" i="2"/>
  <c r="AO142" i="2"/>
  <c r="AO149" i="2"/>
  <c r="T149" i="2"/>
  <c r="T142" i="2"/>
  <c r="BJ142" i="2"/>
  <c r="BJ149" i="2"/>
  <c r="CS149" i="2"/>
  <c r="CS142" i="2"/>
  <c r="DT94" i="2"/>
  <c r="DG82" i="2"/>
  <c r="DG142" i="2"/>
  <c r="DG149" i="2"/>
  <c r="AF82" i="2"/>
  <c r="AF149" i="2"/>
  <c r="AF142" i="2"/>
  <c r="CX149" i="2"/>
  <c r="CX142" i="2"/>
  <c r="AH82" i="2"/>
  <c r="AH149" i="2"/>
  <c r="AH142" i="2"/>
  <c r="BQ82" i="2"/>
  <c r="BQ149" i="2"/>
  <c r="BQ142" i="2"/>
  <c r="CZ82" i="2"/>
  <c r="CZ142" i="2"/>
  <c r="CZ149" i="2"/>
  <c r="DT95" i="2"/>
  <c r="D142" i="2"/>
  <c r="D149" i="2"/>
  <c r="AM142" i="2"/>
  <c r="AM149" i="2"/>
  <c r="BV82" i="2"/>
  <c r="BV142" i="2"/>
  <c r="BV149" i="2"/>
  <c r="DE142" i="2"/>
  <c r="DE149" i="2"/>
  <c r="DT97" i="2"/>
  <c r="DT92" i="2"/>
  <c r="DT93" i="2"/>
  <c r="DT99" i="2"/>
  <c r="DG7" i="2"/>
  <c r="BX29" i="2"/>
  <c r="BX82" i="2"/>
  <c r="K29" i="2"/>
  <c r="K82" i="2"/>
  <c r="CJ29" i="2"/>
  <c r="CJ82" i="2"/>
  <c r="AM29" i="2"/>
  <c r="AM82" i="2"/>
  <c r="T29" i="2"/>
  <c r="T82" i="2"/>
  <c r="BJ29" i="2"/>
  <c r="BJ82" i="2"/>
  <c r="CS29" i="2"/>
  <c r="CS82" i="2"/>
  <c r="DE29" i="2"/>
  <c r="DE82" i="2"/>
  <c r="CQ29" i="2"/>
  <c r="CQ82" i="2"/>
  <c r="CX29" i="2"/>
  <c r="CX82" i="2"/>
  <c r="CD82" i="2"/>
  <c r="BB82" i="2"/>
  <c r="M9" i="2"/>
  <c r="M29" i="2"/>
  <c r="AV8" i="2"/>
  <c r="AV29" i="2"/>
  <c r="CL29" i="2"/>
  <c r="R11" i="2"/>
  <c r="R29" i="2"/>
  <c r="BH29" i="2"/>
  <c r="AF12" i="2"/>
  <c r="AF29" i="2"/>
  <c r="AF117" i="2"/>
  <c r="CU37" i="2"/>
  <c r="AH7" i="2"/>
  <c r="AH29" i="2"/>
  <c r="D7" i="2"/>
  <c r="D29" i="2"/>
  <c r="BV9" i="2"/>
  <c r="BV29" i="2"/>
  <c r="CY201" i="2"/>
  <c r="CZ29" i="2"/>
  <c r="F7" i="2"/>
  <c r="F29" i="2"/>
  <c r="AO11" i="2"/>
  <c r="AO29" i="2"/>
  <c r="DG12" i="2"/>
  <c r="DG29" i="2"/>
  <c r="R7" i="2"/>
  <c r="AT10" i="2"/>
  <c r="AT29" i="2"/>
  <c r="AT37" i="2"/>
  <c r="DT19" i="2"/>
  <c r="CL7" i="2"/>
  <c r="DK23" i="2"/>
  <c r="DK37" i="2"/>
  <c r="DK13" i="2"/>
  <c r="DL58" i="2" s="1"/>
  <c r="BY187" i="2"/>
  <c r="DT168" i="2"/>
  <c r="DR40" i="2"/>
  <c r="BH10" i="2"/>
  <c r="AW192" i="2"/>
  <c r="DT170" i="2"/>
  <c r="DT171" i="2"/>
  <c r="DT169" i="2"/>
  <c r="BD43" i="2"/>
  <c r="BD51" i="2"/>
  <c r="DR34" i="2"/>
  <c r="DR35" i="2"/>
  <c r="DR33" i="2"/>
  <c r="DA187" i="2"/>
  <c r="AB111" i="2"/>
  <c r="BD168" i="2"/>
  <c r="AB170" i="2"/>
  <c r="CZ7" i="2"/>
  <c r="DG10" i="2"/>
  <c r="AT7" i="2"/>
  <c r="D12" i="2"/>
  <c r="AT9" i="2"/>
  <c r="R10" i="2"/>
  <c r="CM192" i="2"/>
  <c r="N108" i="2"/>
  <c r="O108" i="2" s="1"/>
  <c r="BH7" i="2"/>
  <c r="R8" i="2"/>
  <c r="R9" i="2"/>
  <c r="BH11" i="2"/>
  <c r="BH8" i="2"/>
  <c r="BH9" i="2"/>
  <c r="BD72" i="2"/>
  <c r="AB132" i="2"/>
  <c r="AT8" i="2"/>
  <c r="AT12" i="2"/>
  <c r="DI100" i="2"/>
  <c r="CI201" i="2"/>
  <c r="BD73" i="2"/>
  <c r="BD111" i="2"/>
  <c r="U190" i="2"/>
  <c r="BK190" i="2"/>
  <c r="CU108" i="2"/>
  <c r="CC17" i="2"/>
  <c r="BD41" i="2"/>
  <c r="U117" i="2"/>
  <c r="V117" i="2" s="1"/>
  <c r="G133" i="2"/>
  <c r="BD133" i="2"/>
  <c r="CD136" i="2"/>
  <c r="CZ11" i="2"/>
  <c r="CZ10" i="2"/>
  <c r="DT104" i="2"/>
  <c r="AP117" i="2"/>
  <c r="AQ117" i="2" s="1"/>
  <c r="AH8" i="2"/>
  <c r="AB47" i="2"/>
  <c r="AB69" i="2"/>
  <c r="BD74" i="2"/>
  <c r="CD100" i="2"/>
  <c r="AB95" i="2"/>
  <c r="BD120" i="2"/>
  <c r="AB121" i="2"/>
  <c r="U191" i="2"/>
  <c r="CZ8" i="2"/>
  <c r="BJ7" i="2"/>
  <c r="BG195" i="2"/>
  <c r="AL37" i="2"/>
  <c r="U100" i="2"/>
  <c r="V100" i="2" s="1"/>
  <c r="AW117" i="2"/>
  <c r="AX117" i="2" s="1"/>
  <c r="DN16" i="2"/>
  <c r="DL21" i="2"/>
  <c r="CJ11" i="2"/>
  <c r="CJ8" i="2"/>
  <c r="CJ7" i="2"/>
  <c r="CJ9" i="2"/>
  <c r="CJ12" i="2"/>
  <c r="CF11" i="2"/>
  <c r="BV7" i="2"/>
  <c r="BV11" i="2"/>
  <c r="BV10" i="2"/>
  <c r="BV8" i="2"/>
  <c r="DG8" i="2"/>
  <c r="DG11" i="2"/>
  <c r="CF12" i="2"/>
  <c r="AB21" i="2"/>
  <c r="AB46" i="2"/>
  <c r="AB52" i="2"/>
  <c r="BD64" i="2"/>
  <c r="BZ117" i="2"/>
  <c r="DH191" i="2"/>
  <c r="AI192" i="2"/>
  <c r="DA192" i="2"/>
  <c r="D11" i="2"/>
  <c r="AB68" i="2"/>
  <c r="BD69" i="2"/>
  <c r="BD115" i="2"/>
  <c r="N117" i="2"/>
  <c r="O117" i="2" s="1"/>
  <c r="AB123" i="2"/>
  <c r="DL20" i="2"/>
  <c r="AB127" i="2"/>
  <c r="D8" i="2"/>
  <c r="D9" i="2"/>
  <c r="AO9" i="2"/>
  <c r="D10" i="2"/>
  <c r="CZ12" i="2"/>
  <c r="AB45" i="2"/>
  <c r="AB53" i="2"/>
  <c r="BD65" i="2"/>
  <c r="BZ108" i="2"/>
  <c r="DI108" i="2"/>
  <c r="AI187" i="2"/>
  <c r="AO8" i="2"/>
  <c r="DG9" i="2"/>
  <c r="AT23" i="2"/>
  <c r="DT42" i="2"/>
  <c r="G50" i="2"/>
  <c r="BD70" i="2"/>
  <c r="N100" i="2"/>
  <c r="O100" i="2" s="1"/>
  <c r="N173" i="2"/>
  <c r="O173" i="2" s="1"/>
  <c r="AO7" i="2"/>
  <c r="R23" i="2"/>
  <c r="BS37" i="2"/>
  <c r="DB117" i="2"/>
  <c r="BD121" i="2"/>
  <c r="BD123" i="2"/>
  <c r="U126" i="2"/>
  <c r="DI173" i="2"/>
  <c r="CX23" i="2"/>
  <c r="CW201" i="2"/>
  <c r="AF9" i="2"/>
  <c r="AZ68" i="2"/>
  <c r="DR68" i="2" s="1"/>
  <c r="AA21" i="2"/>
  <c r="CL8" i="2"/>
  <c r="CK201" i="2"/>
  <c r="CM201" i="2" s="1"/>
  <c r="CI195" i="2"/>
  <c r="N37" i="2"/>
  <c r="O37" i="2" s="1"/>
  <c r="BG100" i="2"/>
  <c r="BL100" i="2" s="1"/>
  <c r="CB91" i="2"/>
  <c r="CF91" i="2" s="1"/>
  <c r="CF100" i="2" s="1"/>
  <c r="U13" i="2"/>
  <c r="V13" i="2" s="1"/>
  <c r="CX8" i="2"/>
  <c r="CZ9" i="2"/>
  <c r="AT11" i="2"/>
  <c r="CJ10" i="2"/>
  <c r="BH12" i="2"/>
  <c r="BG201" i="2"/>
  <c r="CP201" i="2"/>
  <c r="K23" i="2"/>
  <c r="DT47" i="2"/>
  <c r="BD76" i="2"/>
  <c r="CD108" i="2"/>
  <c r="BD104" i="2"/>
  <c r="N133" i="2"/>
  <c r="AW187" i="2"/>
  <c r="CS12" i="2"/>
  <c r="CR201" i="2"/>
  <c r="DL18" i="2"/>
  <c r="CD37" i="2"/>
  <c r="BV37" i="2"/>
  <c r="DT40" i="2"/>
  <c r="DT55" i="2"/>
  <c r="BD67" i="2"/>
  <c r="BD99" i="2"/>
  <c r="AZ126" i="2"/>
  <c r="U187" i="2"/>
  <c r="BK187" i="2"/>
  <c r="BY192" i="2"/>
  <c r="BQ11" i="2"/>
  <c r="BP201" i="2"/>
  <c r="BR201" i="2" s="1"/>
  <c r="CJ37" i="2"/>
  <c r="DI37" i="2"/>
  <c r="AB49" i="2"/>
  <c r="J203" i="2"/>
  <c r="BD63" i="2"/>
  <c r="AB70" i="2"/>
  <c r="BD75" i="2"/>
  <c r="AI91" i="2"/>
  <c r="CN100" i="2"/>
  <c r="AB114" i="2"/>
  <c r="BD128" i="2"/>
  <c r="AF8" i="2"/>
  <c r="AF11" i="2"/>
  <c r="BV23" i="2"/>
  <c r="BU201" i="2"/>
  <c r="DE12" i="2"/>
  <c r="DD201" i="2"/>
  <c r="AB33" i="2"/>
  <c r="AF7" i="2"/>
  <c r="DL17" i="2"/>
  <c r="AH11" i="2"/>
  <c r="BX8" i="2"/>
  <c r="BW201" i="2"/>
  <c r="BY201" i="2" s="1"/>
  <c r="DG37" i="2"/>
  <c r="DF201" i="2"/>
  <c r="DG23" i="2"/>
  <c r="DT54" i="2"/>
  <c r="AB92" i="2"/>
  <c r="AB99" i="2"/>
  <c r="CU100" i="2"/>
  <c r="DB108" i="2"/>
  <c r="BD112" i="2"/>
  <c r="DI117" i="2"/>
  <c r="N171" i="2"/>
  <c r="DH187" i="2"/>
  <c r="BK192" i="2"/>
  <c r="CT192" i="2"/>
  <c r="AW193" i="2"/>
  <c r="CM193" i="2"/>
  <c r="BO7" i="2"/>
  <c r="G173" i="2"/>
  <c r="H173" i="2" s="1"/>
  <c r="AA16" i="2"/>
  <c r="U23" i="2"/>
  <c r="V23" i="2" s="1"/>
  <c r="CB37" i="2"/>
  <c r="DT50" i="2"/>
  <c r="BD62" i="2"/>
  <c r="AI69" i="2"/>
  <c r="BD71" i="2"/>
  <c r="BD93" i="2"/>
  <c r="AB94" i="2"/>
  <c r="BD95" i="2"/>
  <c r="AW108" i="2"/>
  <c r="AX108" i="2" s="1"/>
  <c r="BD114" i="2"/>
  <c r="DT115" i="2"/>
  <c r="BD127" i="2"/>
  <c r="BD130" i="2"/>
  <c r="BY190" i="2"/>
  <c r="BY191" i="2"/>
  <c r="DL19" i="2"/>
  <c r="C195" i="2"/>
  <c r="DD25" i="2"/>
  <c r="DE25" i="2" s="1"/>
  <c r="AB54" i="2"/>
  <c r="AB64" i="2"/>
  <c r="AB67" i="2"/>
  <c r="AB76" i="2"/>
  <c r="BD78" i="2"/>
  <c r="AB97" i="2"/>
  <c r="U108" i="2"/>
  <c r="V108" i="2" s="1"/>
  <c r="N126" i="2"/>
  <c r="BR187" i="2"/>
  <c r="AW190" i="2"/>
  <c r="AW191" i="2"/>
  <c r="CM191" i="2"/>
  <c r="AF10" i="2"/>
  <c r="BJ10" i="2"/>
  <c r="BD40" i="2"/>
  <c r="BD42" i="2"/>
  <c r="G47" i="2"/>
  <c r="BD92" i="2"/>
  <c r="AB105" i="2"/>
  <c r="CD117" i="2"/>
  <c r="DT112" i="2"/>
  <c r="G117" i="2"/>
  <c r="H117" i="2" s="1"/>
  <c r="U133" i="2"/>
  <c r="BD135" i="2"/>
  <c r="BD171" i="2"/>
  <c r="DH192" i="2"/>
  <c r="AI193" i="2"/>
  <c r="BR193" i="2"/>
  <c r="DA13" i="2"/>
  <c r="DB13" i="2" s="1"/>
  <c r="BO9" i="2"/>
  <c r="BO11" i="2"/>
  <c r="AM23" i="2"/>
  <c r="BO23" i="2"/>
  <c r="CQ23" i="2"/>
  <c r="DT36" i="2"/>
  <c r="DT91" i="2"/>
  <c r="DH190" i="2"/>
  <c r="CF7" i="2"/>
  <c r="AP13" i="2"/>
  <c r="AQ13" i="2" s="1"/>
  <c r="CX9" i="2"/>
  <c r="CX11" i="2"/>
  <c r="CX12" i="2"/>
  <c r="CC16" i="2"/>
  <c r="AW46" i="2"/>
  <c r="U61" i="2"/>
  <c r="BD77" i="2"/>
  <c r="AB103" i="2"/>
  <c r="DA190" i="2"/>
  <c r="DA191" i="2"/>
  <c r="U192" i="2"/>
  <c r="BY193" i="2"/>
  <c r="DA193" i="2"/>
  <c r="CX10" i="2"/>
  <c r="BV12" i="2"/>
  <c r="AB17" i="2"/>
  <c r="CN37" i="2"/>
  <c r="AZ46" i="2"/>
  <c r="AB56" i="2"/>
  <c r="AI100" i="2"/>
  <c r="AJ100" i="2" s="1"/>
  <c r="DT105" i="2"/>
  <c r="CZ23" i="2"/>
  <c r="DM37" i="2"/>
  <c r="DT103" i="2"/>
  <c r="BD9" i="2"/>
  <c r="AB19" i="2"/>
  <c r="CF10" i="2"/>
  <c r="CE17" i="2"/>
  <c r="AB18" i="2"/>
  <c r="DH13" i="2"/>
  <c r="DI13" i="2" s="1"/>
  <c r="BD8" i="2"/>
  <c r="AA17" i="2"/>
  <c r="BD12" i="2"/>
  <c r="CB13" i="2"/>
  <c r="CC88" i="2" s="1"/>
  <c r="DT16" i="2"/>
  <c r="BA17" i="2"/>
  <c r="CC19" i="2"/>
  <c r="CB192" i="2"/>
  <c r="AB16" i="2"/>
  <c r="CF8" i="2"/>
  <c r="N13" i="2"/>
  <c r="O13" i="2" s="1"/>
  <c r="DM185" i="2"/>
  <c r="CB191" i="2"/>
  <c r="CB186" i="2"/>
  <c r="DM186" i="2"/>
  <c r="CF9" i="2"/>
  <c r="DM192" i="2"/>
  <c r="F9" i="2"/>
  <c r="F11" i="2"/>
  <c r="F8" i="2"/>
  <c r="AB20" i="2"/>
  <c r="AA20" i="2"/>
  <c r="M11" i="2"/>
  <c r="M8" i="2"/>
  <c r="F12" i="2"/>
  <c r="G13" i="2"/>
  <c r="H13" i="2" s="1"/>
  <c r="F10" i="2"/>
  <c r="F37" i="2"/>
  <c r="F58" i="2"/>
  <c r="S25" i="2"/>
  <c r="T25" i="2" s="1"/>
  <c r="CR190" i="2"/>
  <c r="CT190" i="2" s="1"/>
  <c r="DF193" i="2"/>
  <c r="DH193" i="2" s="1"/>
  <c r="DG20" i="2"/>
  <c r="DI23" i="2"/>
  <c r="DB23" i="2"/>
  <c r="CS8" i="2"/>
  <c r="CS11" i="2"/>
  <c r="CT13" i="2"/>
  <c r="CU13" i="2" s="1"/>
  <c r="CS7" i="2"/>
  <c r="CS9" i="2"/>
  <c r="CS10" i="2"/>
  <c r="CM190" i="2"/>
  <c r="CL9" i="2"/>
  <c r="CM13" i="2"/>
  <c r="CN13" i="2" s="1"/>
  <c r="BX9" i="2"/>
  <c r="BX23" i="2"/>
  <c r="BZ23" i="2"/>
  <c r="BX7" i="2"/>
  <c r="BQ8" i="2"/>
  <c r="BQ7" i="2"/>
  <c r="BQ9" i="2"/>
  <c r="BP195" i="2"/>
  <c r="BR13" i="2"/>
  <c r="BS13" i="2" s="1"/>
  <c r="BK191" i="2"/>
  <c r="BI25" i="2"/>
  <c r="BJ25" i="2" s="1"/>
  <c r="BJ8" i="2"/>
  <c r="BJ9" i="2"/>
  <c r="BK193" i="2"/>
  <c r="BJ11" i="2"/>
  <c r="BJ12" i="2"/>
  <c r="BJ37" i="2"/>
  <c r="AV12" i="2"/>
  <c r="AV9" i="2"/>
  <c r="AV10" i="2"/>
  <c r="AV11" i="2"/>
  <c r="AV7" i="2"/>
  <c r="AV23" i="2"/>
  <c r="AW23" i="2"/>
  <c r="AX23" i="2" s="1"/>
  <c r="AU25" i="2"/>
  <c r="AV25" i="2" s="1"/>
  <c r="AN195" i="2"/>
  <c r="AI13" i="2"/>
  <c r="AJ13" i="2" s="1"/>
  <c r="BD10" i="2"/>
  <c r="AH12" i="2"/>
  <c r="AH9" i="2"/>
  <c r="BD11" i="2"/>
  <c r="AH10" i="2"/>
  <c r="AH37" i="2"/>
  <c r="AG25" i="2"/>
  <c r="AH25" i="2" s="1"/>
  <c r="T7" i="2"/>
  <c r="T11" i="2"/>
  <c r="T12" i="2"/>
  <c r="T8" i="2"/>
  <c r="T10" i="2"/>
  <c r="T9" i="2"/>
  <c r="T23" i="2"/>
  <c r="M10" i="2"/>
  <c r="M12" i="2"/>
  <c r="M7" i="2"/>
  <c r="L195" i="2"/>
  <c r="Z13" i="2"/>
  <c r="AA161" i="2" s="1"/>
  <c r="DO9" i="2"/>
  <c r="AZ186" i="2"/>
  <c r="BD18" i="2"/>
  <c r="BA18" i="2"/>
  <c r="AZ193" i="2"/>
  <c r="AZ190" i="2"/>
  <c r="BD19" i="2"/>
  <c r="BA19" i="2"/>
  <c r="AW13" i="2"/>
  <c r="AX13" i="2" s="1"/>
  <c r="DO8" i="2"/>
  <c r="DT56" i="2"/>
  <c r="AZ191" i="2"/>
  <c r="BD20" i="2"/>
  <c r="BA20" i="2"/>
  <c r="AZ192" i="2"/>
  <c r="BA21" i="2"/>
  <c r="BD21" i="2"/>
  <c r="BA16" i="2"/>
  <c r="BB37" i="2"/>
  <c r="BD32" i="2"/>
  <c r="AU202" i="2"/>
  <c r="AU203" i="2"/>
  <c r="BY13" i="2"/>
  <c r="BZ13" i="2" s="1"/>
  <c r="CD186" i="2"/>
  <c r="CE18" i="2"/>
  <c r="DT18" i="2"/>
  <c r="CD193" i="2"/>
  <c r="CD190" i="2"/>
  <c r="CE19" i="2"/>
  <c r="DO11" i="2"/>
  <c r="DK184" i="2"/>
  <c r="DK187" i="2"/>
  <c r="DL16" i="2"/>
  <c r="CK202" i="2"/>
  <c r="CK203" i="2"/>
  <c r="DO10" i="2"/>
  <c r="DO12" i="2"/>
  <c r="CD191" i="2"/>
  <c r="CE20" i="2"/>
  <c r="CD192" i="2"/>
  <c r="DT21" i="2"/>
  <c r="CE21" i="2"/>
  <c r="AV37" i="2"/>
  <c r="BD7" i="2"/>
  <c r="AZ13" i="2"/>
  <c r="BK13" i="2"/>
  <c r="BL13" i="2" s="1"/>
  <c r="T37" i="2"/>
  <c r="DO7" i="2"/>
  <c r="DT33" i="2"/>
  <c r="BD33" i="2"/>
  <c r="J198" i="2"/>
  <c r="J199" i="2"/>
  <c r="J201" i="2"/>
  <c r="K108" i="2"/>
  <c r="K117" i="2"/>
  <c r="AL199" i="2"/>
  <c r="AL201" i="2"/>
  <c r="AL198" i="2"/>
  <c r="AM117" i="2"/>
  <c r="BR205" i="2"/>
  <c r="BN200" i="2"/>
  <c r="BN198" i="2"/>
  <c r="BN199" i="2"/>
  <c r="BO117" i="2"/>
  <c r="CP199" i="2"/>
  <c r="CT205" i="2"/>
  <c r="CP200" i="2"/>
  <c r="CP198" i="2"/>
  <c r="CQ117" i="2"/>
  <c r="CQ108" i="2"/>
  <c r="AB7" i="2"/>
  <c r="CQ7" i="2"/>
  <c r="DT7" i="2"/>
  <c r="AB8" i="2"/>
  <c r="CQ8" i="2"/>
  <c r="DT8" i="2"/>
  <c r="AB9" i="2"/>
  <c r="CQ9" i="2"/>
  <c r="DT9" i="2"/>
  <c r="AB11" i="2"/>
  <c r="CQ11" i="2"/>
  <c r="DT11" i="2"/>
  <c r="AB10" i="2"/>
  <c r="CQ10" i="2"/>
  <c r="DT10" i="2"/>
  <c r="AB12" i="2"/>
  <c r="CQ12" i="2"/>
  <c r="DT12" i="2"/>
  <c r="L200" i="2"/>
  <c r="L198" i="2"/>
  <c r="L201" i="2"/>
  <c r="L199" i="2"/>
  <c r="M108" i="2"/>
  <c r="L25" i="2"/>
  <c r="AN199" i="2"/>
  <c r="AN201" i="2"/>
  <c r="AN200" i="2"/>
  <c r="AN198" i="2"/>
  <c r="AO108" i="2"/>
  <c r="AN25" i="2"/>
  <c r="BB13" i="2"/>
  <c r="BP200" i="2"/>
  <c r="BP198" i="2"/>
  <c r="BP199" i="2"/>
  <c r="BQ108" i="2"/>
  <c r="BP25" i="2"/>
  <c r="CD13" i="2"/>
  <c r="CR199" i="2"/>
  <c r="CR198" i="2"/>
  <c r="CR200" i="2"/>
  <c r="CS108" i="2"/>
  <c r="DF199" i="2"/>
  <c r="DF200" i="2"/>
  <c r="DF198" i="2"/>
  <c r="DG117" i="2"/>
  <c r="DG173" i="2"/>
  <c r="DG100" i="2"/>
  <c r="DF25" i="2"/>
  <c r="CB187" i="2"/>
  <c r="CB184" i="2"/>
  <c r="CB185" i="2"/>
  <c r="DK185" i="2"/>
  <c r="CC18" i="2"/>
  <c r="DK186" i="2"/>
  <c r="CC20" i="2"/>
  <c r="DK191" i="2"/>
  <c r="DK190" i="2"/>
  <c r="DK193" i="2"/>
  <c r="CC21" i="2"/>
  <c r="DK192" i="2"/>
  <c r="J195" i="2"/>
  <c r="S195" i="2"/>
  <c r="AL195" i="2"/>
  <c r="AU195" i="2"/>
  <c r="BN195" i="2"/>
  <c r="BW195" i="2"/>
  <c r="CP195" i="2"/>
  <c r="CY195" i="2"/>
  <c r="CP25" i="2"/>
  <c r="DT44" i="2"/>
  <c r="BD44" i="2"/>
  <c r="DT46" i="2"/>
  <c r="N61" i="2"/>
  <c r="AB61" i="2"/>
  <c r="AB62" i="2"/>
  <c r="AO100" i="2"/>
  <c r="AP108" i="2"/>
  <c r="AQ108" i="2" s="1"/>
  <c r="AM108" i="2"/>
  <c r="CD184" i="2"/>
  <c r="CD187" i="2"/>
  <c r="C200" i="2"/>
  <c r="D37" i="2"/>
  <c r="AE37" i="2"/>
  <c r="AF37" i="2" s="1"/>
  <c r="AI36" i="2"/>
  <c r="AZ36" i="2"/>
  <c r="BD36" i="2" s="1"/>
  <c r="BZ37" i="2"/>
  <c r="BX37" i="2"/>
  <c r="U58" i="2"/>
  <c r="V58" i="2" s="1"/>
  <c r="DT43" i="2"/>
  <c r="DT53" i="2"/>
  <c r="CB61" i="2"/>
  <c r="CD185" i="2"/>
  <c r="BQ10" i="2"/>
  <c r="BQ12" i="2"/>
  <c r="C198" i="2"/>
  <c r="C201" i="2"/>
  <c r="C199" i="2"/>
  <c r="D117" i="2"/>
  <c r="D108" i="2"/>
  <c r="Q199" i="2"/>
  <c r="Q201" i="2"/>
  <c r="U205" i="2"/>
  <c r="R117" i="2"/>
  <c r="Q198" i="2"/>
  <c r="R100" i="2"/>
  <c r="AI205" i="2"/>
  <c r="AF108" i="2"/>
  <c r="AE25" i="2"/>
  <c r="AW205" i="2"/>
  <c r="AS201" i="2"/>
  <c r="AS198" i="2"/>
  <c r="AS199" i="2"/>
  <c r="AT117" i="2"/>
  <c r="AS25" i="2"/>
  <c r="BG199" i="2"/>
  <c r="BK205" i="2"/>
  <c r="BG198" i="2"/>
  <c r="BH108" i="2"/>
  <c r="BG25" i="2"/>
  <c r="BU199" i="2"/>
  <c r="BU200" i="2"/>
  <c r="BU198" i="2"/>
  <c r="BY205" i="2"/>
  <c r="BV173" i="2"/>
  <c r="BV117" i="2"/>
  <c r="BU25" i="2"/>
  <c r="BU153" i="2" s="1"/>
  <c r="BU176" i="2" s="1"/>
  <c r="BU180" i="2" s="1"/>
  <c r="CI200" i="2"/>
  <c r="CI198" i="2"/>
  <c r="CM205" i="2"/>
  <c r="CI199" i="2"/>
  <c r="CJ108" i="2"/>
  <c r="CI25" i="2"/>
  <c r="CI153" i="2" s="1"/>
  <c r="CI176" i="2" s="1"/>
  <c r="DA205" i="2"/>
  <c r="CW200" i="2"/>
  <c r="CW198" i="2"/>
  <c r="CW199" i="2"/>
  <c r="CX100" i="2"/>
  <c r="CW25" i="2"/>
  <c r="CE16" i="2"/>
  <c r="DM187" i="2"/>
  <c r="DM184" i="2"/>
  <c r="DN17" i="2"/>
  <c r="X186" i="2"/>
  <c r="BB186" i="2"/>
  <c r="DN18" i="2"/>
  <c r="X191" i="2"/>
  <c r="BB191" i="2"/>
  <c r="X193" i="2"/>
  <c r="X190" i="2"/>
  <c r="BB190" i="2"/>
  <c r="BB193" i="2"/>
  <c r="DN19" i="2"/>
  <c r="X192" i="2"/>
  <c r="BB192" i="2"/>
  <c r="DN21" i="2"/>
  <c r="D23" i="2"/>
  <c r="M23" i="2"/>
  <c r="AF23" i="2"/>
  <c r="AO23" i="2"/>
  <c r="BQ23" i="2"/>
  <c r="CJ23" i="2"/>
  <c r="DR32" i="2"/>
  <c r="BD34" i="2"/>
  <c r="G36" i="2"/>
  <c r="K37" i="2"/>
  <c r="BO37" i="2"/>
  <c r="CL37" i="2"/>
  <c r="DT61" i="2"/>
  <c r="DT106" i="2"/>
  <c r="BD106" i="2"/>
  <c r="AZ187" i="2"/>
  <c r="AZ184" i="2"/>
  <c r="AZ185" i="2"/>
  <c r="AM8" i="2"/>
  <c r="AM11" i="2"/>
  <c r="AM10" i="2"/>
  <c r="AM12" i="2"/>
  <c r="E200" i="2"/>
  <c r="E198" i="2"/>
  <c r="E201" i="2"/>
  <c r="E199" i="2"/>
  <c r="S199" i="2"/>
  <c r="S201" i="2"/>
  <c r="S198" i="2"/>
  <c r="S200" i="2"/>
  <c r="T117" i="2"/>
  <c r="AU201" i="2"/>
  <c r="AU200" i="2"/>
  <c r="AU198" i="2"/>
  <c r="AU199" i="2"/>
  <c r="AV117" i="2"/>
  <c r="AV108" i="2"/>
  <c r="BI199" i="2"/>
  <c r="BI200" i="2"/>
  <c r="BI198" i="2"/>
  <c r="BI201" i="2"/>
  <c r="BK201" i="2" s="1"/>
  <c r="BW199" i="2"/>
  <c r="BW198" i="2"/>
  <c r="BW200" i="2"/>
  <c r="BX136" i="2"/>
  <c r="BX117" i="2"/>
  <c r="CK200" i="2"/>
  <c r="CK198" i="2"/>
  <c r="CK199" i="2"/>
  <c r="CY200" i="2"/>
  <c r="CY198" i="2"/>
  <c r="CY199" i="2"/>
  <c r="CZ117" i="2"/>
  <c r="DM13" i="2"/>
  <c r="X187" i="2"/>
  <c r="X184" i="2"/>
  <c r="BB184" i="2"/>
  <c r="BB187" i="2"/>
  <c r="X185" i="2"/>
  <c r="BB185" i="2"/>
  <c r="Y18" i="2"/>
  <c r="BC18" i="2"/>
  <c r="Y20" i="2"/>
  <c r="BC20" i="2"/>
  <c r="Y19" i="2"/>
  <c r="BC19" i="2"/>
  <c r="Y21" i="2"/>
  <c r="BC21" i="2"/>
  <c r="E195" i="2"/>
  <c r="N23" i="2"/>
  <c r="O23" i="2" s="1"/>
  <c r="AP23" i="2"/>
  <c r="AQ23" i="2" s="1"/>
  <c r="AZ23" i="2"/>
  <c r="BI195" i="2"/>
  <c r="BS23" i="2"/>
  <c r="CB23" i="2"/>
  <c r="CK195" i="2"/>
  <c r="DD195" i="2"/>
  <c r="AL25" i="2"/>
  <c r="BW25" i="2"/>
  <c r="Z37" i="2"/>
  <c r="AB32" i="2"/>
  <c r="DB37" i="2"/>
  <c r="CZ37" i="2"/>
  <c r="CR203" i="2"/>
  <c r="CR202" i="2"/>
  <c r="AT100" i="2"/>
  <c r="AW91" i="2"/>
  <c r="AM7" i="2"/>
  <c r="AO10" i="2"/>
  <c r="AO12" i="2"/>
  <c r="Y16" i="2"/>
  <c r="BC16" i="2"/>
  <c r="Y17" i="2"/>
  <c r="BC17" i="2"/>
  <c r="Z186" i="2"/>
  <c r="Z191" i="2"/>
  <c r="Z193" i="2"/>
  <c r="Z190" i="2"/>
  <c r="Z192" i="2"/>
  <c r="F23" i="2"/>
  <c r="AH23" i="2"/>
  <c r="BJ23" i="2"/>
  <c r="CL23" i="2"/>
  <c r="DE23" i="2"/>
  <c r="CK25" i="2"/>
  <c r="AB34" i="2"/>
  <c r="Q200" i="2"/>
  <c r="R37" i="2"/>
  <c r="AS200" i="2"/>
  <c r="M37" i="2"/>
  <c r="AO37" i="2"/>
  <c r="BQ37" i="2"/>
  <c r="DT41" i="2"/>
  <c r="S203" i="2"/>
  <c r="S202" i="2"/>
  <c r="T58" i="2"/>
  <c r="BO12" i="2"/>
  <c r="DM190" i="2"/>
  <c r="AM9" i="2"/>
  <c r="K7" i="2"/>
  <c r="DE7" i="2"/>
  <c r="K8" i="2"/>
  <c r="DE8" i="2"/>
  <c r="K9" i="2"/>
  <c r="DE9" i="2"/>
  <c r="K11" i="2"/>
  <c r="BX11" i="2"/>
  <c r="CL11" i="2"/>
  <c r="DE11" i="2"/>
  <c r="K10" i="2"/>
  <c r="BX10" i="2"/>
  <c r="CL10" i="2"/>
  <c r="DE10" i="2"/>
  <c r="K12" i="2"/>
  <c r="BX12" i="2"/>
  <c r="CL12" i="2"/>
  <c r="Z184" i="2"/>
  <c r="Z187" i="2"/>
  <c r="BD16" i="2"/>
  <c r="DR16" i="2"/>
  <c r="Z185" i="2"/>
  <c r="BD17" i="2"/>
  <c r="AA18" i="2"/>
  <c r="G23" i="2"/>
  <c r="H23" i="2" s="1"/>
  <c r="Q195" i="2"/>
  <c r="Z23" i="2"/>
  <c r="AI23" i="2"/>
  <c r="AJ23" i="2" s="1"/>
  <c r="AS195" i="2"/>
  <c r="BB23" i="2"/>
  <c r="BL23" i="2"/>
  <c r="BU195" i="2"/>
  <c r="CD23" i="2"/>
  <c r="CN23" i="2"/>
  <c r="CW195" i="2"/>
  <c r="DF195" i="2"/>
  <c r="E25" i="2"/>
  <c r="BN25" i="2"/>
  <c r="CY25" i="2"/>
  <c r="DT32" i="2"/>
  <c r="CY202" i="2"/>
  <c r="CY203" i="2"/>
  <c r="BV100" i="2"/>
  <c r="DD200" i="2"/>
  <c r="DD198" i="2"/>
  <c r="DD199" i="2"/>
  <c r="DH205" i="2"/>
  <c r="DE117" i="2"/>
  <c r="DE100" i="2"/>
  <c r="DT17" i="2"/>
  <c r="CB190" i="2"/>
  <c r="CB193" i="2"/>
  <c r="DT34" i="2"/>
  <c r="CS37" i="2"/>
  <c r="DE37" i="2"/>
  <c r="BD45" i="2"/>
  <c r="DT45" i="2"/>
  <c r="BN202" i="2"/>
  <c r="BN203" i="2"/>
  <c r="D82" i="2"/>
  <c r="G74" i="2"/>
  <c r="AB75" i="2"/>
  <c r="BS108" i="2"/>
  <c r="BO108" i="2"/>
  <c r="DT35" i="2"/>
  <c r="DT52" i="2"/>
  <c r="BD55" i="2"/>
  <c r="BG202" i="2"/>
  <c r="CP203" i="2"/>
  <c r="CP202" i="2"/>
  <c r="AB77" i="2"/>
  <c r="G126" i="2"/>
  <c r="AB93" i="2"/>
  <c r="AB106" i="2"/>
  <c r="BD47" i="2"/>
  <c r="L202" i="2"/>
  <c r="L203" i="2"/>
  <c r="BI203" i="2"/>
  <c r="DD202" i="2"/>
  <c r="DD203" i="2"/>
  <c r="AB65" i="2"/>
  <c r="AB71" i="2"/>
  <c r="DB100" i="2"/>
  <c r="CZ100" i="2"/>
  <c r="AB104" i="2"/>
  <c r="AB112" i="2"/>
  <c r="BH117" i="2"/>
  <c r="J200" i="2"/>
  <c r="BG200" i="2"/>
  <c r="AB50" i="2"/>
  <c r="DT51" i="2"/>
  <c r="AB55" i="2"/>
  <c r="M58" i="2"/>
  <c r="AL202" i="2"/>
  <c r="CI202" i="2"/>
  <c r="CI203" i="2"/>
  <c r="AW61" i="2"/>
  <c r="AB66" i="2"/>
  <c r="F82" i="2"/>
  <c r="BD94" i="2"/>
  <c r="BJ100" i="2"/>
  <c r="CL100" i="2"/>
  <c r="DM136" i="2"/>
  <c r="CX173" i="2"/>
  <c r="N36" i="2"/>
  <c r="AL200" i="2"/>
  <c r="BG37" i="2"/>
  <c r="BH37" i="2" s="1"/>
  <c r="AS202" i="2"/>
  <c r="G58" i="2"/>
  <c r="H58" i="2" s="1"/>
  <c r="N58" i="2"/>
  <c r="O58" i="2" s="1"/>
  <c r="AN203" i="2"/>
  <c r="AN202" i="2"/>
  <c r="BW203" i="2"/>
  <c r="BW202" i="2"/>
  <c r="AZ61" i="2"/>
  <c r="AP66" i="2"/>
  <c r="AB72" i="2"/>
  <c r="AB73" i="2"/>
  <c r="BD97" i="2"/>
  <c r="T108" i="2"/>
  <c r="CS117" i="2"/>
  <c r="F136" i="2"/>
  <c r="E202" i="2"/>
  <c r="E203" i="2"/>
  <c r="BP202" i="2"/>
  <c r="BP203" i="2"/>
  <c r="Z100" i="2"/>
  <c r="AZ91" i="2"/>
  <c r="M100" i="2"/>
  <c r="G108" i="2"/>
  <c r="H108" i="2" s="1"/>
  <c r="F108" i="2"/>
  <c r="AI108" i="2"/>
  <c r="AJ108" i="2" s="1"/>
  <c r="AH108" i="2"/>
  <c r="DG108" i="2"/>
  <c r="BD113" i="2"/>
  <c r="AZ117" i="2"/>
  <c r="K136" i="2"/>
  <c r="BO136" i="2"/>
  <c r="BU203" i="2"/>
  <c r="BU202" i="2"/>
  <c r="CW202" i="2"/>
  <c r="CW203" i="2"/>
  <c r="DF203" i="2"/>
  <c r="DF202" i="2"/>
  <c r="AB78" i="2"/>
  <c r="BB100" i="2"/>
  <c r="AP91" i="2"/>
  <c r="K100" i="2"/>
  <c r="AL100" i="2"/>
  <c r="CJ100" i="2"/>
  <c r="DM100" i="2"/>
  <c r="BD105" i="2"/>
  <c r="BL108" i="2"/>
  <c r="BJ108" i="2"/>
  <c r="BX108" i="2"/>
  <c r="DE108" i="2"/>
  <c r="AO117" i="2"/>
  <c r="AS151" i="2"/>
  <c r="AW122" i="2"/>
  <c r="BZ100" i="2"/>
  <c r="BX100" i="2"/>
  <c r="DM108" i="2"/>
  <c r="AZ108" i="2"/>
  <c r="AT173" i="2"/>
  <c r="D100" i="2"/>
  <c r="AF100" i="2"/>
  <c r="CQ100" i="2"/>
  <c r="CX108" i="2"/>
  <c r="Z117" i="2"/>
  <c r="DT111" i="2"/>
  <c r="M117" i="2"/>
  <c r="CJ117" i="2"/>
  <c r="BD124" i="2"/>
  <c r="AM173" i="2"/>
  <c r="AV100" i="2"/>
  <c r="BO100" i="2"/>
  <c r="CS100" i="2"/>
  <c r="AI117" i="2"/>
  <c r="AJ117" i="2" s="1"/>
  <c r="AH117" i="2"/>
  <c r="CN117" i="2"/>
  <c r="CL117" i="2"/>
  <c r="BD170" i="2"/>
  <c r="F100" i="2"/>
  <c r="T100" i="2"/>
  <c r="AH100" i="2"/>
  <c r="BQ100" i="2"/>
  <c r="BV108" i="2"/>
  <c r="CZ108" i="2"/>
  <c r="BS117" i="2"/>
  <c r="BQ117" i="2"/>
  <c r="CZ136" i="2"/>
  <c r="BS100" i="2"/>
  <c r="BB108" i="2"/>
  <c r="BD103" i="2"/>
  <c r="AT108" i="2"/>
  <c r="CN108" i="2"/>
  <c r="CL108" i="2"/>
  <c r="CB117" i="2"/>
  <c r="CU117" i="2"/>
  <c r="CJ136" i="2"/>
  <c r="AZ122" i="2"/>
  <c r="DR122" i="2" s="1"/>
  <c r="AP122" i="2"/>
  <c r="BD129" i="2"/>
  <c r="CL136" i="2"/>
  <c r="DE136" i="2"/>
  <c r="R173" i="2"/>
  <c r="M173" i="2"/>
  <c r="R136" i="2"/>
  <c r="AO136" i="2"/>
  <c r="BQ136" i="2"/>
  <c r="BD132" i="2"/>
  <c r="BD134" i="2"/>
  <c r="U136" i="2"/>
  <c r="AB115" i="2"/>
  <c r="F117" i="2"/>
  <c r="DT120" i="2"/>
  <c r="BB136" i="2"/>
  <c r="AB128" i="2"/>
  <c r="AB130" i="2"/>
  <c r="AP131" i="2"/>
  <c r="N136" i="2"/>
  <c r="M136" i="2"/>
  <c r="T136" i="2"/>
  <c r="AV136" i="2"/>
  <c r="CQ136" i="2"/>
  <c r="U173" i="2"/>
  <c r="V173" i="2" s="1"/>
  <c r="Z108" i="2"/>
  <c r="BB117" i="2"/>
  <c r="DT113" i="2"/>
  <c r="DT114" i="2"/>
  <c r="BL117" i="2"/>
  <c r="AB120" i="2"/>
  <c r="AB131" i="2"/>
  <c r="CS136" i="2"/>
  <c r="D173" i="2"/>
  <c r="BO173" i="2"/>
  <c r="R108" i="2"/>
  <c r="AB113" i="2"/>
  <c r="BJ117" i="2"/>
  <c r="G131" i="2"/>
  <c r="BD131" i="2"/>
  <c r="AF173" i="2"/>
  <c r="CS173" i="2"/>
  <c r="CU173" i="2"/>
  <c r="AB135" i="2"/>
  <c r="BV136" i="2"/>
  <c r="CX136" i="2"/>
  <c r="DG136" i="2"/>
  <c r="AB166" i="2"/>
  <c r="U171" i="2"/>
  <c r="T173" i="2"/>
  <c r="CQ173" i="2"/>
  <c r="K173" i="2"/>
  <c r="AE136" i="2"/>
  <c r="Z173" i="2"/>
  <c r="G171" i="2"/>
  <c r="BH173" i="2"/>
  <c r="AH136" i="2"/>
  <c r="BJ136" i="2"/>
  <c r="F173" i="2"/>
  <c r="DE173" i="2"/>
  <c r="CM187" i="2"/>
  <c r="CT187" i="2"/>
  <c r="BR190" i="2"/>
  <c r="U193" i="2"/>
  <c r="BR192" i="2"/>
  <c r="AG173" i="2" l="1"/>
  <c r="AH173" i="2" s="1"/>
  <c r="AI166" i="2"/>
  <c r="AI173" i="2" s="1"/>
  <c r="AJ173" i="2" s="1"/>
  <c r="BB166" i="2"/>
  <c r="DA166" i="2"/>
  <c r="DA173" i="2" s="1"/>
  <c r="CY173" i="2"/>
  <c r="CZ173" i="2" s="1"/>
  <c r="BN153" i="2"/>
  <c r="BN176" i="2" s="1"/>
  <c r="BN178" i="2" s="1"/>
  <c r="BX173" i="2"/>
  <c r="AP166" i="2"/>
  <c r="AN173" i="2"/>
  <c r="DR173" i="2"/>
  <c r="CM166" i="2"/>
  <c r="CM173" i="2" s="1"/>
  <c r="CK173" i="2"/>
  <c r="CL173" i="2" s="1"/>
  <c r="DM166" i="2"/>
  <c r="BK166" i="2"/>
  <c r="BK173" i="2" s="1"/>
  <c r="BI173" i="2"/>
  <c r="BJ173" i="2" s="1"/>
  <c r="AW166" i="2"/>
  <c r="AU173" i="2"/>
  <c r="CD166" i="2"/>
  <c r="BR166" i="2"/>
  <c r="BR173" i="2" s="1"/>
  <c r="BP173" i="2"/>
  <c r="BQ173" i="2" s="1"/>
  <c r="AZ58" i="2"/>
  <c r="DR46" i="2"/>
  <c r="DV46" i="2" s="1"/>
  <c r="DR108" i="2"/>
  <c r="AE151" i="2"/>
  <c r="AE153" i="2" s="1"/>
  <c r="AE176" i="2" s="1"/>
  <c r="AE178" i="2" s="1"/>
  <c r="AF178" i="2" s="1"/>
  <c r="CT201" i="2"/>
  <c r="DK25" i="2"/>
  <c r="DH201" i="2"/>
  <c r="AS153" i="2"/>
  <c r="AS176" i="2" s="1"/>
  <c r="CW153" i="2"/>
  <c r="BG151" i="2"/>
  <c r="BG153" i="2" s="1"/>
  <c r="BG176" i="2" s="1"/>
  <c r="CP153" i="2"/>
  <c r="CP176" i="2" s="1"/>
  <c r="DA202" i="2"/>
  <c r="DD153" i="2"/>
  <c r="DD176" i="2" s="1"/>
  <c r="DK151" i="2"/>
  <c r="CF117" i="2"/>
  <c r="DR91" i="2"/>
  <c r="DR100" i="2" s="1"/>
  <c r="CB136" i="2"/>
  <c r="CC136" i="2" s="1"/>
  <c r="CF126" i="2"/>
  <c r="CF136" i="2" s="1"/>
  <c r="AF205" i="2"/>
  <c r="BC58" i="2"/>
  <c r="BC161" i="2"/>
  <c r="CE88" i="2"/>
  <c r="CE149" i="2"/>
  <c r="CM202" i="2"/>
  <c r="CB82" i="2"/>
  <c r="CF61" i="2"/>
  <c r="CF82" i="2" s="1"/>
  <c r="CG82" i="2" s="1"/>
  <c r="DO151" i="2"/>
  <c r="AH205" i="2"/>
  <c r="DA201" i="2"/>
  <c r="AP37" i="2"/>
  <c r="AQ37" i="2" s="1"/>
  <c r="AL151" i="2"/>
  <c r="AL153" i="2" s="1"/>
  <c r="AL176" i="2" s="1"/>
  <c r="AL178" i="2" s="1"/>
  <c r="DT58" i="2"/>
  <c r="DN88" i="2"/>
  <c r="DN58" i="2"/>
  <c r="BA58" i="2"/>
  <c r="BD58" i="2"/>
  <c r="BE58" i="2" s="1"/>
  <c r="AE203" i="2"/>
  <c r="AI203" i="2" s="1"/>
  <c r="CC58" i="2"/>
  <c r="CG58" i="2"/>
  <c r="CE58" i="2"/>
  <c r="T205" i="2"/>
  <c r="AB191" i="2"/>
  <c r="DR13" i="2"/>
  <c r="AB187" i="2"/>
  <c r="AB190" i="2"/>
  <c r="DR23" i="2"/>
  <c r="N195" i="2"/>
  <c r="N203" i="2"/>
  <c r="N199" i="2"/>
  <c r="N198" i="2"/>
  <c r="BD126" i="2"/>
  <c r="DR126" i="2"/>
  <c r="DR136" i="2" s="1"/>
  <c r="BD68" i="2"/>
  <c r="DV68" i="2"/>
  <c r="N200" i="2"/>
  <c r="AB193" i="2"/>
  <c r="Y88" i="2"/>
  <c r="AB205" i="2"/>
  <c r="Y25" i="2"/>
  <c r="AT151" i="2"/>
  <c r="AB192" i="2"/>
  <c r="E153" i="2"/>
  <c r="BD190" i="2"/>
  <c r="N151" i="2"/>
  <c r="O151" i="2" s="1"/>
  <c r="DB136" i="2"/>
  <c r="DB151" i="2"/>
  <c r="CU136" i="2"/>
  <c r="CU151" i="2"/>
  <c r="BS136" i="2"/>
  <c r="BS151" i="2"/>
  <c r="DM151" i="2"/>
  <c r="DN151" i="2" s="1"/>
  <c r="BC149" i="2"/>
  <c r="BC88" i="2"/>
  <c r="AA149" i="2"/>
  <c r="AA88" i="2"/>
  <c r="AP136" i="2"/>
  <c r="CD151" i="2"/>
  <c r="CE151" i="2" s="1"/>
  <c r="DI136" i="2"/>
  <c r="DI151" i="2"/>
  <c r="V136" i="2"/>
  <c r="BA149" i="2"/>
  <c r="BA88" i="2"/>
  <c r="CN136" i="2"/>
  <c r="CN151" i="2"/>
  <c r="DL149" i="2"/>
  <c r="DL88" i="2"/>
  <c r="K151" i="2"/>
  <c r="R151" i="2"/>
  <c r="BZ136" i="2"/>
  <c r="BZ151" i="2"/>
  <c r="BB151" i="2"/>
  <c r="BC151" i="2" s="1"/>
  <c r="AI136" i="2"/>
  <c r="DN142" i="2"/>
  <c r="DN149" i="2"/>
  <c r="CC142" i="2"/>
  <c r="CC149" i="2"/>
  <c r="CE142" i="2"/>
  <c r="Y142" i="2"/>
  <c r="Y149" i="2"/>
  <c r="BC29" i="2"/>
  <c r="BC142" i="2"/>
  <c r="AA82" i="2"/>
  <c r="AA142" i="2"/>
  <c r="BA29" i="2"/>
  <c r="BA142" i="2"/>
  <c r="DL29" i="2"/>
  <c r="DL142" i="2"/>
  <c r="BH100" i="2"/>
  <c r="AL203" i="2"/>
  <c r="AM37" i="2"/>
  <c r="AM205" i="2" s="1"/>
  <c r="J202" i="2"/>
  <c r="N202" i="2" s="1"/>
  <c r="DL82" i="2"/>
  <c r="DP82" i="2"/>
  <c r="DN82" i="2"/>
  <c r="CE82" i="2"/>
  <c r="BC82" i="2"/>
  <c r="DT82" i="2"/>
  <c r="DR36" i="2"/>
  <c r="DV36" i="2" s="1"/>
  <c r="AW100" i="2"/>
  <c r="AX100" i="2" s="1"/>
  <c r="AI199" i="2"/>
  <c r="CD201" i="2"/>
  <c r="CE29" i="2"/>
  <c r="CB201" i="2"/>
  <c r="CC29" i="2"/>
  <c r="DN29" i="2"/>
  <c r="Y10" i="2"/>
  <c r="Y29" i="2"/>
  <c r="AA9" i="2"/>
  <c r="AA29" i="2"/>
  <c r="AB74" i="2"/>
  <c r="DV44" i="2"/>
  <c r="CG37" i="2"/>
  <c r="BK195" i="2"/>
  <c r="AZ37" i="2"/>
  <c r="BA37" i="2" s="1"/>
  <c r="K58" i="2"/>
  <c r="K205" i="2" s="1"/>
  <c r="G100" i="2"/>
  <c r="H100" i="2" s="1"/>
  <c r="X202" i="2"/>
  <c r="DA198" i="2"/>
  <c r="DO192" i="2"/>
  <c r="DV112" i="2"/>
  <c r="AZ66" i="2"/>
  <c r="DV76" i="2"/>
  <c r="AW198" i="2"/>
  <c r="AI66" i="2"/>
  <c r="AW199" i="2"/>
  <c r="BD46" i="2"/>
  <c r="DV129" i="2"/>
  <c r="DP117" i="2"/>
  <c r="DV123" i="2"/>
  <c r="DV70" i="2"/>
  <c r="DV65" i="2"/>
  <c r="DV51" i="2"/>
  <c r="CT200" i="2"/>
  <c r="CT198" i="2"/>
  <c r="DK201" i="2"/>
  <c r="DV115" i="2"/>
  <c r="AM136" i="2"/>
  <c r="DH203" i="2"/>
  <c r="CB100" i="2"/>
  <c r="CC100" i="2" s="1"/>
  <c r="AZ136" i="2"/>
  <c r="DV94" i="2"/>
  <c r="DN117" i="2"/>
  <c r="DV135" i="2"/>
  <c r="DV124" i="2"/>
  <c r="DV132" i="2"/>
  <c r="DV105" i="2"/>
  <c r="DV104" i="2"/>
  <c r="DV92" i="2"/>
  <c r="DV99" i="2"/>
  <c r="DV77" i="2"/>
  <c r="DV75" i="2"/>
  <c r="DV42" i="2"/>
  <c r="DV50" i="2"/>
  <c r="DV47" i="2"/>
  <c r="DV45" i="2"/>
  <c r="CM198" i="2"/>
  <c r="CM195" i="2"/>
  <c r="DK200" i="2"/>
  <c r="Y108" i="2"/>
  <c r="Y7" i="2"/>
  <c r="Y11" i="2"/>
  <c r="X201" i="2"/>
  <c r="Y8" i="2"/>
  <c r="X199" i="2"/>
  <c r="X198" i="2"/>
  <c r="BA10" i="2"/>
  <c r="BC12" i="2"/>
  <c r="Y9" i="2"/>
  <c r="Y12" i="2"/>
  <c r="Y100" i="2"/>
  <c r="Y117" i="2"/>
  <c r="CX205" i="2"/>
  <c r="DK198" i="2"/>
  <c r="DL100" i="2"/>
  <c r="DL37" i="2"/>
  <c r="DL108" i="2"/>
  <c r="DK199" i="2"/>
  <c r="DV130" i="2"/>
  <c r="DV103" i="2"/>
  <c r="DV69" i="2"/>
  <c r="DV55" i="2"/>
  <c r="CB199" i="2"/>
  <c r="CB200" i="2"/>
  <c r="CB25" i="2"/>
  <c r="CB198" i="2"/>
  <c r="CC117" i="2"/>
  <c r="CC108" i="2"/>
  <c r="BY200" i="2"/>
  <c r="BV205" i="2"/>
  <c r="DV71" i="2"/>
  <c r="BY199" i="2"/>
  <c r="DH202" i="2"/>
  <c r="DV73" i="2"/>
  <c r="CT199" i="2"/>
  <c r="U199" i="2"/>
  <c r="BD191" i="2"/>
  <c r="DV114" i="2"/>
  <c r="DA199" i="2"/>
  <c r="DV134" i="2"/>
  <c r="BD122" i="2"/>
  <c r="AI198" i="2"/>
  <c r="DV122" i="2"/>
  <c r="AI195" i="2"/>
  <c r="BA11" i="2"/>
  <c r="CF191" i="2"/>
  <c r="DM201" i="2"/>
  <c r="CZ205" i="2"/>
  <c r="CF13" i="2"/>
  <c r="CG13" i="2" s="1"/>
  <c r="DV54" i="2"/>
  <c r="BK202" i="2"/>
  <c r="DV131" i="2"/>
  <c r="DV63" i="2"/>
  <c r="F205" i="2"/>
  <c r="CM199" i="2"/>
  <c r="AZ201" i="2"/>
  <c r="CQ205" i="2"/>
  <c r="BK198" i="2"/>
  <c r="DG205" i="2"/>
  <c r="DV40" i="2"/>
  <c r="DL173" i="2"/>
  <c r="CG108" i="2"/>
  <c r="DV170" i="2"/>
  <c r="CC173" i="2"/>
  <c r="DV127" i="2"/>
  <c r="CG117" i="2"/>
  <c r="DV97" i="2"/>
  <c r="DV72" i="2"/>
  <c r="DV52" i="2"/>
  <c r="DV41" i="2"/>
  <c r="BR202" i="2"/>
  <c r="DT108" i="2"/>
  <c r="DA200" i="2"/>
  <c r="BY198" i="2"/>
  <c r="BD91" i="2"/>
  <c r="DV128" i="2"/>
  <c r="DV78" i="2"/>
  <c r="AT205" i="2"/>
  <c r="AS203" i="2"/>
  <c r="AW203" i="2" s="1"/>
  <c r="DV113" i="2"/>
  <c r="BG203" i="2"/>
  <c r="BK203" i="2" s="1"/>
  <c r="CM200" i="2"/>
  <c r="BR195" i="2"/>
  <c r="BR203" i="2"/>
  <c r="BK199" i="2"/>
  <c r="DV64" i="2"/>
  <c r="BR198" i="2"/>
  <c r="BO205" i="2"/>
  <c r="DH195" i="2"/>
  <c r="AI200" i="2"/>
  <c r="BR200" i="2"/>
  <c r="BD187" i="2"/>
  <c r="BD192" i="2"/>
  <c r="BA9" i="2"/>
  <c r="AZ199" i="2"/>
  <c r="BD193" i="2"/>
  <c r="CF192" i="2"/>
  <c r="BA117" i="2"/>
  <c r="BA8" i="2"/>
  <c r="BA7" i="2"/>
  <c r="CF205" i="2"/>
  <c r="CC11" i="2"/>
  <c r="CC7" i="2"/>
  <c r="CF187" i="2"/>
  <c r="DO190" i="2"/>
  <c r="AZ198" i="2"/>
  <c r="CC8" i="2"/>
  <c r="CC37" i="2"/>
  <c r="BA108" i="2"/>
  <c r="BA12" i="2"/>
  <c r="CC10" i="2"/>
  <c r="DO187" i="2"/>
  <c r="DT184" i="2"/>
  <c r="CC9" i="2"/>
  <c r="AZ200" i="2"/>
  <c r="DT187" i="2"/>
  <c r="CC12" i="2"/>
  <c r="Z199" i="2"/>
  <c r="DM198" i="2"/>
  <c r="DM200" i="2"/>
  <c r="BX205" i="2"/>
  <c r="CE9" i="2"/>
  <c r="CE12" i="2"/>
  <c r="CD198" i="2"/>
  <c r="CE117" i="2"/>
  <c r="CE10" i="2"/>
  <c r="CE7" i="2"/>
  <c r="CD200" i="2"/>
  <c r="CE108" i="2"/>
  <c r="CD199" i="2"/>
  <c r="CE37" i="2"/>
  <c r="CE11" i="2"/>
  <c r="CE8" i="2"/>
  <c r="AV205" i="2"/>
  <c r="BB198" i="2"/>
  <c r="BB200" i="2"/>
  <c r="BD13" i="2"/>
  <c r="BE13" i="2" s="1"/>
  <c r="BB201" i="2"/>
  <c r="Z200" i="2"/>
  <c r="AA8" i="2"/>
  <c r="AA10" i="2"/>
  <c r="Z201" i="2"/>
  <c r="Z198" i="2"/>
  <c r="AA12" i="2"/>
  <c r="AA7" i="2"/>
  <c r="AA11" i="2"/>
  <c r="AB133" i="2"/>
  <c r="DV133" i="2"/>
  <c r="CE136" i="2"/>
  <c r="AM100" i="2"/>
  <c r="AP100" i="2"/>
  <c r="AB36" i="2"/>
  <c r="DA203" i="2"/>
  <c r="CY153" i="2"/>
  <c r="CY176" i="2" s="1"/>
  <c r="CZ25" i="2"/>
  <c r="CT202" i="2"/>
  <c r="X200" i="2"/>
  <c r="AP25" i="2"/>
  <c r="AQ25" i="2" s="1"/>
  <c r="AM25" i="2"/>
  <c r="AZ195" i="2"/>
  <c r="BA23" i="2"/>
  <c r="AI37" i="2"/>
  <c r="AJ37" i="2" s="1"/>
  <c r="AW195" i="2"/>
  <c r="DF153" i="2"/>
  <c r="DF176" i="2" s="1"/>
  <c r="DG25" i="2"/>
  <c r="AB13" i="2"/>
  <c r="AC13" i="2" s="1"/>
  <c r="AW37" i="2"/>
  <c r="AX37" i="2" s="1"/>
  <c r="BC10" i="2"/>
  <c r="BI153" i="2"/>
  <c r="DV56" i="2"/>
  <c r="BC11" i="2"/>
  <c r="AA173" i="2"/>
  <c r="O136" i="2"/>
  <c r="CE100" i="2"/>
  <c r="DP108" i="2"/>
  <c r="DN108" i="2"/>
  <c r="BD61" i="2"/>
  <c r="C202" i="2"/>
  <c r="C203" i="2"/>
  <c r="D58" i="2"/>
  <c r="D205" i="2" s="1"/>
  <c r="AB126" i="2"/>
  <c r="CD202" i="2"/>
  <c r="CD203" i="2"/>
  <c r="DV34" i="2"/>
  <c r="DT37" i="2"/>
  <c r="DV32" i="2"/>
  <c r="BO25" i="2"/>
  <c r="BR25" i="2"/>
  <c r="BS25" i="2" s="1"/>
  <c r="BB195" i="2"/>
  <c r="BC23" i="2"/>
  <c r="BD23" i="2"/>
  <c r="BE23" i="2" s="1"/>
  <c r="CT203" i="2"/>
  <c r="DN8" i="2"/>
  <c r="DN9" i="2"/>
  <c r="DN12" i="2"/>
  <c r="DN10" i="2"/>
  <c r="DN11" i="2"/>
  <c r="DN7" i="2"/>
  <c r="BK200" i="2"/>
  <c r="U25" i="2"/>
  <c r="V25" i="2" s="1"/>
  <c r="R25" i="2"/>
  <c r="DV62" i="2"/>
  <c r="G37" i="2"/>
  <c r="H37" i="2" s="1"/>
  <c r="L153" i="2"/>
  <c r="L176" i="2" s="1"/>
  <c r="M25" i="2"/>
  <c r="DO205" i="2"/>
  <c r="DL117" i="2"/>
  <c r="DN37" i="2"/>
  <c r="DL11" i="2"/>
  <c r="CF190" i="2"/>
  <c r="DM203" i="2"/>
  <c r="DM202" i="2"/>
  <c r="DR193" i="2"/>
  <c r="DR190" i="2"/>
  <c r="DS19" i="2"/>
  <c r="DL9" i="2"/>
  <c r="DV121" i="2"/>
  <c r="DN136" i="2"/>
  <c r="G136" i="2"/>
  <c r="D136" i="2"/>
  <c r="F25" i="2"/>
  <c r="CJ205" i="2"/>
  <c r="AI25" i="2"/>
  <c r="AJ25" i="2" s="1"/>
  <c r="AF25" i="2"/>
  <c r="D25" i="2"/>
  <c r="G25" i="2"/>
  <c r="H25" i="2" s="1"/>
  <c r="U195" i="2"/>
  <c r="BB25" i="2"/>
  <c r="DL7" i="2"/>
  <c r="BC8" i="2"/>
  <c r="DP37" i="2"/>
  <c r="DV9" i="2"/>
  <c r="CF193" i="2"/>
  <c r="DV11" i="2"/>
  <c r="BC7" i="2"/>
  <c r="BD117" i="2"/>
  <c r="BE117" i="2" s="1"/>
  <c r="BC117" i="2"/>
  <c r="DL136" i="2"/>
  <c r="AA108" i="2"/>
  <c r="AB108" i="2"/>
  <c r="AC108" i="2" s="1"/>
  <c r="BC136" i="2"/>
  <c r="G82" i="2"/>
  <c r="H82" i="2" s="1"/>
  <c r="AI202" i="2"/>
  <c r="DT185" i="2"/>
  <c r="DU17" i="2"/>
  <c r="DV17" i="2"/>
  <c r="DM199" i="2"/>
  <c r="CK153" i="2"/>
  <c r="CK176" i="2" s="1"/>
  <c r="CL25" i="2"/>
  <c r="AZ202" i="2"/>
  <c r="X195" i="2"/>
  <c r="Y23" i="2"/>
  <c r="BQ205" i="2"/>
  <c r="BY25" i="2"/>
  <c r="BV25" i="2"/>
  <c r="DV53" i="2"/>
  <c r="DR61" i="2"/>
  <c r="CQ25" i="2"/>
  <c r="AN153" i="2"/>
  <c r="AN176" i="2" s="1"/>
  <c r="AO25" i="2"/>
  <c r="DV33" i="2"/>
  <c r="DO13" i="2"/>
  <c r="DP13" i="2" s="1"/>
  <c r="BD205" i="2"/>
  <c r="AZ25" i="2"/>
  <c r="DL12" i="2"/>
  <c r="CM203" i="2"/>
  <c r="DK195" i="2"/>
  <c r="DL23" i="2"/>
  <c r="DT186" i="2"/>
  <c r="DU18" i="2"/>
  <c r="DV18" i="2"/>
  <c r="BC37" i="2"/>
  <c r="AG153" i="2"/>
  <c r="AG176" i="2" s="1"/>
  <c r="DV120" i="2"/>
  <c r="DV111" i="2"/>
  <c r="DV95" i="2"/>
  <c r="DT100" i="2"/>
  <c r="BY202" i="2"/>
  <c r="Z195" i="2"/>
  <c r="AA23" i="2"/>
  <c r="AB23" i="2"/>
  <c r="AC23" i="2" s="1"/>
  <c r="DE205" i="2"/>
  <c r="AA37" i="2"/>
  <c r="BH205" i="2"/>
  <c r="DA25" i="2"/>
  <c r="DB25" i="2" s="1"/>
  <c r="CX25" i="2"/>
  <c r="CM25" i="2"/>
  <c r="CN25" i="2" s="1"/>
  <c r="CJ25" i="2"/>
  <c r="AW25" i="2"/>
  <c r="AX25" i="2" s="1"/>
  <c r="AT25" i="2"/>
  <c r="DV43" i="2"/>
  <c r="DA195" i="2"/>
  <c r="DH198" i="2"/>
  <c r="CD25" i="2"/>
  <c r="BB199" i="2"/>
  <c r="DR191" i="2"/>
  <c r="DS20" i="2"/>
  <c r="DV12" i="2"/>
  <c r="DH25" i="2"/>
  <c r="DI25" i="2" s="1"/>
  <c r="Z136" i="2"/>
  <c r="Z151" i="2" s="1"/>
  <c r="AA151" i="2" s="1"/>
  <c r="AB171" i="2"/>
  <c r="AB117" i="2"/>
  <c r="AC117" i="2" s="1"/>
  <c r="AA117" i="2"/>
  <c r="AB100" i="2"/>
  <c r="AC100" i="2" s="1"/>
  <c r="AA100" i="2"/>
  <c r="BY203" i="2"/>
  <c r="DR187" i="2"/>
  <c r="DR184" i="2"/>
  <c r="DS16" i="2"/>
  <c r="CL205" i="2"/>
  <c r="CB195" i="2"/>
  <c r="CC23" i="2"/>
  <c r="Y37" i="2"/>
  <c r="AO205" i="2"/>
  <c r="BK25" i="2"/>
  <c r="BL25" i="2" s="1"/>
  <c r="BH25" i="2"/>
  <c r="AU153" i="2"/>
  <c r="AU176" i="2" s="1"/>
  <c r="DH200" i="2"/>
  <c r="BP153" i="2"/>
  <c r="BP176" i="2" s="1"/>
  <c r="BQ25" i="2"/>
  <c r="DT192" i="2"/>
  <c r="DU21" i="2"/>
  <c r="DV21" i="2"/>
  <c r="DL10" i="2"/>
  <c r="CB203" i="2"/>
  <c r="CB202" i="2"/>
  <c r="BC9" i="2"/>
  <c r="DV171" i="2"/>
  <c r="BC108" i="2"/>
  <c r="BD108" i="2"/>
  <c r="BE108" i="2" s="1"/>
  <c r="BA173" i="2"/>
  <c r="AT136" i="2"/>
  <c r="DP100" i="2"/>
  <c r="DN100" i="2"/>
  <c r="BC100" i="2"/>
  <c r="Z202" i="2"/>
  <c r="Z203" i="2"/>
  <c r="AA58" i="2"/>
  <c r="CD195" i="2"/>
  <c r="CE23" i="2"/>
  <c r="CG23" i="2"/>
  <c r="BB203" i="2"/>
  <c r="BB202" i="2"/>
  <c r="BJ205" i="2"/>
  <c r="DV27" i="2"/>
  <c r="DW27" i="2" s="1"/>
  <c r="U200" i="2"/>
  <c r="DV106" i="2"/>
  <c r="Q203" i="2"/>
  <c r="U203" i="2" s="1"/>
  <c r="Q202" i="2"/>
  <c r="U202" i="2" s="1"/>
  <c r="R58" i="2"/>
  <c r="R205" i="2" s="1"/>
  <c r="N25" i="2"/>
  <c r="O25" i="2" s="1"/>
  <c r="K25" i="2"/>
  <c r="DK203" i="2"/>
  <c r="DK202" i="2"/>
  <c r="BY195" i="2"/>
  <c r="DH199" i="2"/>
  <c r="DT13" i="2"/>
  <c r="DU16" i="2"/>
  <c r="DV10" i="2"/>
  <c r="DT190" i="2"/>
  <c r="DU19" i="2"/>
  <c r="DV19" i="2"/>
  <c r="DL8" i="2"/>
  <c r="DR186" i="2"/>
  <c r="DS18" i="2"/>
  <c r="Z25" i="2"/>
  <c r="AF136" i="2"/>
  <c r="BH136" i="2"/>
  <c r="AW136" i="2"/>
  <c r="Y173" i="2"/>
  <c r="AZ100" i="2"/>
  <c r="BA100" i="2" s="1"/>
  <c r="DV93" i="2"/>
  <c r="DR185" i="2"/>
  <c r="DS17" i="2"/>
  <c r="BW153" i="2"/>
  <c r="BW176" i="2" s="1"/>
  <c r="BX25" i="2"/>
  <c r="AW200" i="2"/>
  <c r="U198" i="2"/>
  <c r="DV74" i="2"/>
  <c r="M205" i="2"/>
  <c r="BL37" i="2"/>
  <c r="BR199" i="2"/>
  <c r="S153" i="2"/>
  <c r="S176" i="2" s="1"/>
  <c r="U37" i="2"/>
  <c r="U151" i="2" s="1"/>
  <c r="V151" i="2" s="1"/>
  <c r="DV8" i="2"/>
  <c r="DV16" i="2"/>
  <c r="AW202" i="2"/>
  <c r="DR192" i="2"/>
  <c r="DS21" i="2"/>
  <c r="DV7" i="2"/>
  <c r="DS161" i="2" l="1"/>
  <c r="DY11" i="2"/>
  <c r="BL173" i="2"/>
  <c r="DO166" i="2"/>
  <c r="DO173" i="2" s="1"/>
  <c r="DP173" i="2" s="1"/>
  <c r="DM173" i="2"/>
  <c r="DN173" i="2" s="1"/>
  <c r="DB173" i="2"/>
  <c r="CN173" i="2"/>
  <c r="BB173" i="2"/>
  <c r="BC173" i="2" s="1"/>
  <c r="BD166" i="2"/>
  <c r="AF151" i="2"/>
  <c r="BI176" i="2"/>
  <c r="AV173" i="2"/>
  <c r="AW173" i="2"/>
  <c r="AX173" i="2" s="1"/>
  <c r="AO173" i="2"/>
  <c r="AP173" i="2"/>
  <c r="AQ173" i="2" s="1"/>
  <c r="BS173" i="2"/>
  <c r="CF166" i="2"/>
  <c r="CF173" i="2" s="1"/>
  <c r="DT166" i="2"/>
  <c r="CD173" i="2"/>
  <c r="CE173" i="2" s="1"/>
  <c r="AZ82" i="2"/>
  <c r="AZ151" i="2" s="1"/>
  <c r="AZ153" i="2" s="1"/>
  <c r="AZ176" i="2" s="1"/>
  <c r="DR66" i="2"/>
  <c r="DR82" i="2" s="1"/>
  <c r="BH151" i="2"/>
  <c r="CW176" i="2"/>
  <c r="CW178" i="2" s="1"/>
  <c r="CX178" i="2" s="1"/>
  <c r="DK153" i="2"/>
  <c r="DK176" i="2" s="1"/>
  <c r="DV205" i="2"/>
  <c r="DO201" i="2"/>
  <c r="DU58" i="2"/>
  <c r="CC82" i="2"/>
  <c r="CB151" i="2"/>
  <c r="CB153" i="2" s="1"/>
  <c r="CB176" i="2" s="1"/>
  <c r="CB178" i="2" s="1"/>
  <c r="DL151" i="2"/>
  <c r="CF201" i="2"/>
  <c r="CC25" i="2"/>
  <c r="BZ25" i="2"/>
  <c r="BY153" i="2"/>
  <c r="BZ153" i="2" s="1"/>
  <c r="CF151" i="2"/>
  <c r="AM151" i="2"/>
  <c r="DV187" i="2"/>
  <c r="DR58" i="2"/>
  <c r="DS58" i="2" s="1"/>
  <c r="AA205" i="2"/>
  <c r="DU161" i="2"/>
  <c r="AB202" i="2"/>
  <c r="DV192" i="2"/>
  <c r="DV190" i="2"/>
  <c r="AB198" i="2"/>
  <c r="AB195" i="2"/>
  <c r="AB199" i="2"/>
  <c r="DR37" i="2"/>
  <c r="BL151" i="2"/>
  <c r="AB200" i="2"/>
  <c r="AW151" i="2"/>
  <c r="AX151" i="2" s="1"/>
  <c r="D151" i="2"/>
  <c r="C178" i="2"/>
  <c r="D178" i="2" s="1"/>
  <c r="CQ176" i="2"/>
  <c r="CP178" i="2"/>
  <c r="CQ178" i="2" s="1"/>
  <c r="T176" i="2"/>
  <c r="S178" i="2"/>
  <c r="T178" i="2" s="1"/>
  <c r="M176" i="2"/>
  <c r="L178" i="2"/>
  <c r="M178" i="2" s="1"/>
  <c r="AH176" i="2"/>
  <c r="AG178" i="2"/>
  <c r="AH178" i="2" s="1"/>
  <c r="DG176" i="2"/>
  <c r="DF178" i="2"/>
  <c r="DG178" i="2" s="1"/>
  <c r="BV176" i="2"/>
  <c r="BU178" i="2"/>
  <c r="BV178" i="2" s="1"/>
  <c r="BY176" i="2"/>
  <c r="BZ176" i="2" s="1"/>
  <c r="AV176" i="2"/>
  <c r="AU178" i="2"/>
  <c r="AV178" i="2" s="1"/>
  <c r="CZ176" i="2"/>
  <c r="CY178" i="2"/>
  <c r="CZ178" i="2" s="1"/>
  <c r="BX176" i="2"/>
  <c r="BW178" i="2"/>
  <c r="BX178" i="2" s="1"/>
  <c r="CJ176" i="2"/>
  <c r="CI178" i="2"/>
  <c r="CJ178" i="2" s="1"/>
  <c r="CM176" i="2"/>
  <c r="CN176" i="2" s="1"/>
  <c r="BJ176" i="2"/>
  <c r="BI178" i="2"/>
  <c r="BJ178" i="2" s="1"/>
  <c r="BO176" i="2"/>
  <c r="BR176" i="2"/>
  <c r="BS176" i="2" s="1"/>
  <c r="DS173" i="2"/>
  <c r="CL176" i="2"/>
  <c r="CK178" i="2"/>
  <c r="CL178" i="2" s="1"/>
  <c r="DE176" i="2"/>
  <c r="DH176" i="2"/>
  <c r="DI176" i="2" s="1"/>
  <c r="DD178" i="2"/>
  <c r="DE178" i="2" s="1"/>
  <c r="BQ176" i="2"/>
  <c r="BP178" i="2"/>
  <c r="BQ178" i="2" s="1"/>
  <c r="AO176" i="2"/>
  <c r="AN178" i="2"/>
  <c r="AO178" i="2" s="1"/>
  <c r="AJ136" i="2"/>
  <c r="AI151" i="2"/>
  <c r="AJ151" i="2" s="1"/>
  <c r="DU149" i="2"/>
  <c r="DU88" i="2"/>
  <c r="BD136" i="2"/>
  <c r="AQ136" i="2"/>
  <c r="AP151" i="2"/>
  <c r="AQ151" i="2" s="1"/>
  <c r="DP151" i="2"/>
  <c r="DS149" i="2"/>
  <c r="DS88" i="2"/>
  <c r="CG136" i="2"/>
  <c r="Y136" i="2"/>
  <c r="DU29" i="2"/>
  <c r="DU142" i="2"/>
  <c r="DS29" i="2"/>
  <c r="DS142" i="2"/>
  <c r="Y82" i="2"/>
  <c r="AB82" i="2"/>
  <c r="AC82" i="2" s="1"/>
  <c r="DU82" i="2"/>
  <c r="DS100" i="2"/>
  <c r="CG100" i="2"/>
  <c r="BD37" i="2"/>
  <c r="BE37" i="2" s="1"/>
  <c r="AZ203" i="2"/>
  <c r="BD203" i="2" s="1"/>
  <c r="BD66" i="2"/>
  <c r="AB58" i="2"/>
  <c r="AC58" i="2" s="1"/>
  <c r="Y58" i="2"/>
  <c r="Y205" i="2" s="1"/>
  <c r="CL153" i="2"/>
  <c r="DR201" i="2"/>
  <c r="DT199" i="2"/>
  <c r="BD199" i="2"/>
  <c r="DT136" i="2"/>
  <c r="DT151" i="2" s="1"/>
  <c r="DU151" i="2" s="1"/>
  <c r="DV108" i="2"/>
  <c r="DW108" i="2" s="1"/>
  <c r="DV91" i="2"/>
  <c r="DO200" i="2"/>
  <c r="DO199" i="2"/>
  <c r="CF25" i="2"/>
  <c r="CG25" i="2" s="1"/>
  <c r="CF200" i="2"/>
  <c r="DO198" i="2"/>
  <c r="CF199" i="2"/>
  <c r="CF198" i="2"/>
  <c r="DV126" i="2"/>
  <c r="X203" i="2"/>
  <c r="AB203" i="2" s="1"/>
  <c r="DS7" i="2"/>
  <c r="BD100" i="2"/>
  <c r="BE100" i="2" s="1"/>
  <c r="CF195" i="2"/>
  <c r="DR25" i="2"/>
  <c r="BD198" i="2"/>
  <c r="DR200" i="2"/>
  <c r="DS12" i="2"/>
  <c r="BD195" i="2"/>
  <c r="DS11" i="2"/>
  <c r="CF202" i="2"/>
  <c r="BD202" i="2"/>
  <c r="DS108" i="2"/>
  <c r="BD200" i="2"/>
  <c r="DU12" i="2"/>
  <c r="DU11" i="2"/>
  <c r="DU10" i="2"/>
  <c r="DU8" i="2"/>
  <c r="DV13" i="2"/>
  <c r="DW13" i="2" s="1"/>
  <c r="CM153" i="2"/>
  <c r="CN153" i="2" s="1"/>
  <c r="CJ153" i="2"/>
  <c r="AB37" i="2"/>
  <c r="AC37" i="2" s="1"/>
  <c r="CQ153" i="2"/>
  <c r="BD173" i="2"/>
  <c r="BE173" i="2" s="1"/>
  <c r="BB153" i="2"/>
  <c r="BB176" i="2" s="1"/>
  <c r="BC25" i="2"/>
  <c r="DT201" i="2"/>
  <c r="DO203" i="2"/>
  <c r="BC205" i="2"/>
  <c r="AQ100" i="2"/>
  <c r="BV153" i="2"/>
  <c r="DU37" i="2"/>
  <c r="BL136" i="2"/>
  <c r="AA25" i="2"/>
  <c r="DE153" i="2"/>
  <c r="DH153" i="2"/>
  <c r="DI153" i="2" s="1"/>
  <c r="CC205" i="2"/>
  <c r="DR199" i="2"/>
  <c r="DS9" i="2"/>
  <c r="M153" i="2"/>
  <c r="BJ153" i="2"/>
  <c r="V37" i="2"/>
  <c r="T153" i="2"/>
  <c r="DS117" i="2"/>
  <c r="DT198" i="2"/>
  <c r="CE205" i="2"/>
  <c r="DU100" i="2"/>
  <c r="DT200" i="2"/>
  <c r="AA136" i="2"/>
  <c r="AB136" i="2"/>
  <c r="DA153" i="2"/>
  <c r="DB153" i="2" s="1"/>
  <c r="CX153" i="2"/>
  <c r="DS10" i="2"/>
  <c r="AH153" i="2"/>
  <c r="DV61" i="2"/>
  <c r="BO153" i="2"/>
  <c r="BR153" i="2"/>
  <c r="BS153" i="2" s="1"/>
  <c r="BA205" i="2"/>
  <c r="CZ153" i="2"/>
  <c r="AV153" i="2"/>
  <c r="DL205" i="2"/>
  <c r="H136" i="2"/>
  <c r="G151" i="2"/>
  <c r="H151" i="2" s="1"/>
  <c r="BX153" i="2"/>
  <c r="AX136" i="2"/>
  <c r="DU7" i="2"/>
  <c r="BQ153" i="2"/>
  <c r="DR195" i="2"/>
  <c r="DS23" i="2"/>
  <c r="CD153" i="2"/>
  <c r="CD176" i="2" s="1"/>
  <c r="CE25" i="2"/>
  <c r="AO153" i="2"/>
  <c r="CF203" i="2"/>
  <c r="DU9" i="2"/>
  <c r="AB25" i="2"/>
  <c r="AC25" i="2" s="1"/>
  <c r="AB173" i="2"/>
  <c r="AC173" i="2" s="1"/>
  <c r="DV117" i="2"/>
  <c r="DW117" i="2" s="1"/>
  <c r="DU117" i="2"/>
  <c r="DP136" i="2"/>
  <c r="DS8" i="2"/>
  <c r="DR198" i="2"/>
  <c r="DL25" i="2"/>
  <c r="DU108" i="2"/>
  <c r="BA25" i="2"/>
  <c r="BD25" i="2"/>
  <c r="BE25" i="2" s="1"/>
  <c r="BA136" i="2"/>
  <c r="F153" i="2"/>
  <c r="E176" i="2"/>
  <c r="F176" i="2" s="1"/>
  <c r="DO202" i="2"/>
  <c r="DT202" i="2"/>
  <c r="DT203" i="2"/>
  <c r="DG153" i="2"/>
  <c r="DR151" i="2" l="1"/>
  <c r="DR153" i="2" s="1"/>
  <c r="DV166" i="2"/>
  <c r="DT173" i="2"/>
  <c r="CG173" i="2"/>
  <c r="CX176" i="2"/>
  <c r="DA176" i="2"/>
  <c r="DB176" i="2" s="1"/>
  <c r="CC151" i="2"/>
  <c r="BO178" i="2"/>
  <c r="DA178" i="2"/>
  <c r="DB178" i="2" s="1"/>
  <c r="BD82" i="2"/>
  <c r="BE82" i="2" s="1"/>
  <c r="AZ178" i="2"/>
  <c r="BA178" i="2" s="1"/>
  <c r="DV58" i="2"/>
  <c r="DW58" i="2" s="1"/>
  <c r="DS25" i="2"/>
  <c r="BA82" i="2"/>
  <c r="DV200" i="2"/>
  <c r="DV199" i="2"/>
  <c r="Y151" i="2"/>
  <c r="CG151" i="2"/>
  <c r="DV198" i="2"/>
  <c r="R153" i="2"/>
  <c r="DL176" i="2"/>
  <c r="DK178" i="2"/>
  <c r="DL178" i="2" s="1"/>
  <c r="AF176" i="2"/>
  <c r="AI176" i="2"/>
  <c r="AJ176" i="2" s="1"/>
  <c r="BC176" i="2"/>
  <c r="BB178" i="2"/>
  <c r="BC178" i="2" s="1"/>
  <c r="BH153" i="2"/>
  <c r="E178" i="2"/>
  <c r="F178" i="2" s="1"/>
  <c r="AM176" i="2"/>
  <c r="AP176" i="2"/>
  <c r="AQ176" i="2" s="1"/>
  <c r="AM178" i="2"/>
  <c r="DH178" i="2"/>
  <c r="DI178" i="2" s="1"/>
  <c r="BR178" i="2"/>
  <c r="BS178" i="2" s="1"/>
  <c r="CM178" i="2"/>
  <c r="CN178" i="2" s="1"/>
  <c r="CE176" i="2"/>
  <c r="CD178" i="2"/>
  <c r="CE178" i="2" s="1"/>
  <c r="AT176" i="2"/>
  <c r="AW176" i="2"/>
  <c r="AX176" i="2" s="1"/>
  <c r="AS178" i="2"/>
  <c r="AT178" i="2" s="1"/>
  <c r="N153" i="2"/>
  <c r="O153" i="2" s="1"/>
  <c r="BY178" i="2"/>
  <c r="BZ178" i="2" s="1"/>
  <c r="BE136" i="2"/>
  <c r="BD151" i="2"/>
  <c r="BE151" i="2" s="1"/>
  <c r="AB151" i="2"/>
  <c r="AC151" i="2" s="1"/>
  <c r="K153" i="2"/>
  <c r="DS82" i="2"/>
  <c r="DV82" i="2"/>
  <c r="DW82" i="2" s="1"/>
  <c r="U153" i="2"/>
  <c r="V153" i="2" s="1"/>
  <c r="DV66" i="2"/>
  <c r="DS37" i="2"/>
  <c r="DS205" i="2" s="1"/>
  <c r="DU136" i="2"/>
  <c r="DV136" i="2"/>
  <c r="DS136" i="2"/>
  <c r="DV100" i="2"/>
  <c r="DW100" i="2" s="1"/>
  <c r="DV37" i="2"/>
  <c r="DW37" i="2" s="1"/>
  <c r="BK153" i="2"/>
  <c r="BL153" i="2" s="1"/>
  <c r="Z153" i="2"/>
  <c r="Z176" i="2" s="1"/>
  <c r="G153" i="2"/>
  <c r="H153" i="2" s="1"/>
  <c r="D153" i="2"/>
  <c r="AM153" i="2"/>
  <c r="AP153" i="2"/>
  <c r="AQ153" i="2" s="1"/>
  <c r="AC136" i="2"/>
  <c r="DR202" i="2"/>
  <c r="DV202" i="2" s="1"/>
  <c r="DR203" i="2"/>
  <c r="DV203" i="2" s="1"/>
  <c r="AI153" i="2"/>
  <c r="AJ153" i="2" s="1"/>
  <c r="AF153" i="2"/>
  <c r="DL153" i="2"/>
  <c r="BC153" i="2"/>
  <c r="CE153" i="2"/>
  <c r="AT153" i="2"/>
  <c r="AW153" i="2"/>
  <c r="AX153" i="2" s="1"/>
  <c r="DR176" i="2" l="1"/>
  <c r="DU173" i="2"/>
  <c r="DV173" i="2"/>
  <c r="DW173" i="2" s="1"/>
  <c r="BA151" i="2"/>
  <c r="BA176" i="2"/>
  <c r="DS151" i="2"/>
  <c r="AW178" i="2"/>
  <c r="AX178" i="2" s="1"/>
  <c r="Y176" i="2"/>
  <c r="X178" i="2"/>
  <c r="Y178" i="2" s="1"/>
  <c r="AB176" i="2"/>
  <c r="AC176" i="2" s="1"/>
  <c r="AA176" i="2"/>
  <c r="Z178" i="2"/>
  <c r="AA178" i="2" s="1"/>
  <c r="R176" i="2"/>
  <c r="U176" i="2"/>
  <c r="V176" i="2" s="1"/>
  <c r="CC176" i="2"/>
  <c r="CC178" i="2"/>
  <c r="AI178" i="2"/>
  <c r="AJ178" i="2" s="1"/>
  <c r="K176" i="2"/>
  <c r="N176" i="2"/>
  <c r="O176" i="2" s="1"/>
  <c r="J178" i="2"/>
  <c r="K178" i="2" s="1"/>
  <c r="BH176" i="2"/>
  <c r="BK176" i="2"/>
  <c r="BL176" i="2" s="1"/>
  <c r="BG178" i="2"/>
  <c r="AP178" i="2"/>
  <c r="AQ178" i="2" s="1"/>
  <c r="G178" i="2"/>
  <c r="H178" i="2" s="1"/>
  <c r="DW136" i="2"/>
  <c r="DV151" i="2"/>
  <c r="DW151" i="2" s="1"/>
  <c r="CC153" i="2"/>
  <c r="CF153" i="2"/>
  <c r="AB153" i="2"/>
  <c r="AC153" i="2" s="1"/>
  <c r="Y153" i="2"/>
  <c r="AA153" i="2"/>
  <c r="G176" i="2"/>
  <c r="H176" i="2" s="1"/>
  <c r="D176" i="2"/>
  <c r="DR178" i="2" l="1"/>
  <c r="DS178" i="2" s="1"/>
  <c r="DS176" i="2"/>
  <c r="BH178" i="2"/>
  <c r="CG153" i="2"/>
  <c r="CF176" i="2"/>
  <c r="CG176" i="2" s="1"/>
  <c r="BA153" i="2"/>
  <c r="BD176" i="2"/>
  <c r="BE176" i="2" s="1"/>
  <c r="BD153" i="2"/>
  <c r="BE153" i="2" s="1"/>
  <c r="U178" i="2"/>
  <c r="V178" i="2" s="1"/>
  <c r="BK178" i="2"/>
  <c r="BL178" i="2" s="1"/>
  <c r="AB178" i="2"/>
  <c r="AC178" i="2" s="1"/>
  <c r="CF178" i="2"/>
  <c r="CG178" i="2" s="1"/>
  <c r="N178" i="2"/>
  <c r="O178" i="2" s="1"/>
  <c r="DS153" i="2"/>
  <c r="BD178" i="2" l="1"/>
  <c r="BE178" i="2" s="1"/>
  <c r="CR193" i="2"/>
  <c r="CT193" i="2" s="1"/>
  <c r="DM20" i="2"/>
  <c r="CR191" i="2"/>
  <c r="CT191" i="2" s="1"/>
  <c r="CS20" i="2"/>
  <c r="DM23" i="2" l="1"/>
  <c r="DN23" i="2" s="1"/>
  <c r="DN205" i="2" s="1"/>
  <c r="DO20" i="2"/>
  <c r="DO23" i="2" s="1"/>
  <c r="CS23" i="2"/>
  <c r="CS205" i="2" s="1"/>
  <c r="DT20" i="2"/>
  <c r="DU20" i="2" s="1"/>
  <c r="DN20" i="2"/>
  <c r="DM193" i="2"/>
  <c r="DO193" i="2" s="1"/>
  <c r="CR195" i="2"/>
  <c r="CT195" i="2" s="1"/>
  <c r="DM191" i="2"/>
  <c r="DO191" i="2" s="1"/>
  <c r="CR25" i="2"/>
  <c r="CU23" i="2"/>
  <c r="DM195" i="2" l="1"/>
  <c r="DO195" i="2" s="1"/>
  <c r="DP23" i="2"/>
  <c r="DT23" i="2"/>
  <c r="DV23" i="2" s="1"/>
  <c r="DW23" i="2" s="1"/>
  <c r="DT191" i="2"/>
  <c r="DV191" i="2" s="1"/>
  <c r="DT193" i="2"/>
  <c r="DV193" i="2" s="1"/>
  <c r="DV20" i="2"/>
  <c r="DM25" i="2"/>
  <c r="CS25" i="2"/>
  <c r="CT25" i="2"/>
  <c r="CU25" i="2" s="1"/>
  <c r="CR153" i="2"/>
  <c r="CR176" i="2" s="1"/>
  <c r="CS176" i="2" l="1"/>
  <c r="CR178" i="2"/>
  <c r="CS178" i="2" s="1"/>
  <c r="CT176" i="2"/>
  <c r="CU176" i="2" s="1"/>
  <c r="DT195" i="2"/>
  <c r="DV195" i="2" s="1"/>
  <c r="DU23" i="2"/>
  <c r="DU205" i="2" s="1"/>
  <c r="CT153" i="2"/>
  <c r="CU153" i="2" s="1"/>
  <c r="CS153" i="2"/>
  <c r="DO25" i="2"/>
  <c r="DP25" i="2" s="1"/>
  <c r="DT25" i="2"/>
  <c r="DN25" i="2"/>
  <c r="DM153" i="2"/>
  <c r="DM176" i="2" s="1"/>
  <c r="DN176" i="2" l="1"/>
  <c r="DM178" i="2"/>
  <c r="DN178" i="2" s="1"/>
  <c r="DO176" i="2"/>
  <c r="DP176" i="2" s="1"/>
  <c r="CT178" i="2"/>
  <c r="CU178" i="2" s="1"/>
  <c r="DU25" i="2"/>
  <c r="DT153" i="2"/>
  <c r="DT176" i="2" s="1"/>
  <c r="DV25" i="2"/>
  <c r="DW25" i="2" s="1"/>
  <c r="DN153" i="2"/>
  <c r="DO153" i="2"/>
  <c r="DP153" i="2" s="1"/>
  <c r="DO178" i="2" l="1"/>
  <c r="DP178" i="2" s="1"/>
  <c r="DU176" i="2"/>
  <c r="DT178" i="2"/>
  <c r="DU178" i="2" s="1"/>
  <c r="DV176" i="2"/>
  <c r="DW176" i="2" s="1"/>
  <c r="DU153" i="2"/>
  <c r="DV153" i="2"/>
  <c r="DW153" i="2" s="1"/>
  <c r="DV178" i="2" l="1"/>
  <c r="DW178" i="2" s="1"/>
</calcChain>
</file>

<file path=xl/sharedStrings.xml><?xml version="1.0" encoding="utf-8"?>
<sst xmlns="http://schemas.openxmlformats.org/spreadsheetml/2006/main" count="261" uniqueCount="173">
  <si>
    <t>The Walrus</t>
  </si>
  <si>
    <t>Actual vs. Budget (FY 2020)</t>
  </si>
  <si>
    <t xml:space="preserve"> </t>
  </si>
  <si>
    <t>Period 1</t>
  </si>
  <si>
    <t>Period 2</t>
  </si>
  <si>
    <t>Period 3</t>
  </si>
  <si>
    <t>Quarter 1</t>
  </si>
  <si>
    <t>Period 4</t>
  </si>
  <si>
    <t>Period 5</t>
  </si>
  <si>
    <t>Period 6</t>
  </si>
  <si>
    <t>Quarter 2</t>
  </si>
  <si>
    <t>Period 7</t>
  </si>
  <si>
    <t>Period 8</t>
  </si>
  <si>
    <t>Period 9</t>
  </si>
  <si>
    <t>Quarter 3</t>
  </si>
  <si>
    <t>Period 10</t>
  </si>
  <si>
    <t>Period 11</t>
  </si>
  <si>
    <t>Period 12</t>
  </si>
  <si>
    <t>Period 13</t>
  </si>
  <si>
    <t>Quarter 4</t>
  </si>
  <si>
    <t>FY 2020</t>
  </si>
  <si>
    <t>Actual</t>
  </si>
  <si>
    <t>Budget</t>
  </si>
  <si>
    <t>Variance $</t>
  </si>
  <si>
    <t>Variance</t>
  </si>
  <si>
    <t>Income</t>
  </si>
  <si>
    <t>Food</t>
  </si>
  <si>
    <t>Oysters (Shelled)</t>
  </si>
  <si>
    <t>N/A Beverages</t>
  </si>
  <si>
    <t>Beer</t>
  </si>
  <si>
    <t>Liquor</t>
  </si>
  <si>
    <t>Wine</t>
  </si>
  <si>
    <t>Total Income</t>
  </si>
  <si>
    <t>Cost of Goods Sold</t>
  </si>
  <si>
    <t>Ice</t>
  </si>
  <si>
    <t>Total COGS</t>
  </si>
  <si>
    <t>Gross Profit</t>
  </si>
  <si>
    <t>Management Salaries and Wages</t>
  </si>
  <si>
    <t>SRG Allocation</t>
  </si>
  <si>
    <t>Total Management and Wages</t>
  </si>
  <si>
    <t>Staff Salaries and Wages</t>
  </si>
  <si>
    <t>Front of House</t>
  </si>
  <si>
    <t>Bar</t>
  </si>
  <si>
    <t>Heart of House</t>
  </si>
  <si>
    <t>Supervisor</t>
  </si>
  <si>
    <t>Overtime Premium</t>
  </si>
  <si>
    <t>Total Staff Salaries and Wages</t>
  </si>
  <si>
    <t>Employee Benefits</t>
  </si>
  <si>
    <t>Payroll Taxes</t>
  </si>
  <si>
    <t xml:space="preserve">Worker's Compensation </t>
  </si>
  <si>
    <t xml:space="preserve"> First Aid and Bathroom Supplies</t>
  </si>
  <si>
    <t>Medical Insurance Co-Pay (Assoc)</t>
  </si>
  <si>
    <t xml:space="preserve">Payroll Processing </t>
  </si>
  <si>
    <t>Paychex  and HR Processing</t>
  </si>
  <si>
    <t>Management Bonuses</t>
  </si>
  <si>
    <t>Medical Insurance Co-Pay (Mgt.)</t>
  </si>
  <si>
    <t>Retirement Contribution (Mgt.)</t>
  </si>
  <si>
    <t xml:space="preserve">Kitchen Meals </t>
  </si>
  <si>
    <t>Employee Meals</t>
  </si>
  <si>
    <t xml:space="preserve">Management Meals </t>
  </si>
  <si>
    <t xml:space="preserve"> Daily  Menu Tastings </t>
  </si>
  <si>
    <t xml:space="preserve">Other Employee Expenses </t>
  </si>
  <si>
    <t xml:space="preserve">Company Events </t>
  </si>
  <si>
    <t xml:space="preserve"> Vacation and PTO</t>
  </si>
  <si>
    <t xml:space="preserve">Management Parking </t>
  </si>
  <si>
    <t>Unreimbursed Co-pay</t>
  </si>
  <si>
    <t>Total Employee Benefits</t>
  </si>
  <si>
    <t>Direct Operating</t>
  </si>
  <si>
    <t>Cash (over)/short</t>
  </si>
  <si>
    <t>Equipment Rental</t>
  </si>
  <si>
    <t xml:space="preserve">Cleaning Supplies </t>
  </si>
  <si>
    <t>Decorations</t>
  </si>
  <si>
    <t>General Expense</t>
  </si>
  <si>
    <t xml:space="preserve">China </t>
  </si>
  <si>
    <t>Glass</t>
  </si>
  <si>
    <t xml:space="preserve">Silver </t>
  </si>
  <si>
    <t xml:space="preserve">Non- Capitalized  Items </t>
  </si>
  <si>
    <t xml:space="preserve">Restaurant Supplies </t>
  </si>
  <si>
    <t>Kitchen Supplies</t>
  </si>
  <si>
    <t>FOH Supplies</t>
  </si>
  <si>
    <t>Research &amp; Development</t>
  </si>
  <si>
    <t>Linen &amp; Laundry Rental</t>
  </si>
  <si>
    <t xml:space="preserve">Menu Expense </t>
  </si>
  <si>
    <t>General Supplies</t>
  </si>
  <si>
    <t xml:space="preserve">Paper Products  </t>
  </si>
  <si>
    <t>Music &amp; Entertainment</t>
  </si>
  <si>
    <t>Pest Control</t>
  </si>
  <si>
    <t xml:space="preserve">Other </t>
  </si>
  <si>
    <t>Uniforms</t>
  </si>
  <si>
    <t>Total Direct Operating</t>
  </si>
  <si>
    <t>Third Party Delivery</t>
  </si>
  <si>
    <t>ASAP</t>
  </si>
  <si>
    <t>Third Party Promotions</t>
  </si>
  <si>
    <t>ASAP Error Charges</t>
  </si>
  <si>
    <t>Marketing</t>
  </si>
  <si>
    <t>Advertising</t>
  </si>
  <si>
    <t>Public Relations</t>
  </si>
  <si>
    <t xml:space="preserve">Social Media </t>
  </si>
  <si>
    <t>Print and Production</t>
  </si>
  <si>
    <t>Reservation System</t>
  </si>
  <si>
    <t>Charitable Contributions</t>
  </si>
  <si>
    <t>Website Development</t>
  </si>
  <si>
    <t>Marketing Production Management</t>
  </si>
  <si>
    <t>Associate Marketing Expense</t>
  </si>
  <si>
    <t>Total Marketing</t>
  </si>
  <si>
    <t>Promotions and Discounts</t>
  </si>
  <si>
    <t>Bar Buy Backs</t>
  </si>
  <si>
    <t>Comp Service and Product</t>
  </si>
  <si>
    <t>Military, Birthday and Resident Disc.</t>
  </si>
  <si>
    <t>Hotel Visits, Biz. Promotions</t>
  </si>
  <si>
    <t>Owner Comp</t>
  </si>
  <si>
    <t>Total Promotions and Discounts</t>
  </si>
  <si>
    <t>Utilities</t>
  </si>
  <si>
    <t>Electric</t>
  </si>
  <si>
    <t>Gas</t>
  </si>
  <si>
    <t>Water</t>
  </si>
  <si>
    <t>Trash</t>
  </si>
  <si>
    <t>Grease Trap</t>
  </si>
  <si>
    <t>Propane</t>
  </si>
  <si>
    <t>Total Utilities</t>
  </si>
  <si>
    <t>General and Administrative</t>
  </si>
  <si>
    <t>Accounting</t>
  </si>
  <si>
    <t>Tax Accounting Services</t>
  </si>
  <si>
    <t xml:space="preserve"> Financial, HR, Consultant </t>
  </si>
  <si>
    <t>Shopping Service (intel 360)</t>
  </si>
  <si>
    <t>Legal Fees</t>
  </si>
  <si>
    <t>Computer Expenses</t>
  </si>
  <si>
    <t>Bank Charges</t>
  </si>
  <si>
    <t>Credit Card Discount Fees</t>
  </si>
  <si>
    <t>Membership Dues</t>
  </si>
  <si>
    <t>General Liability Insurance</t>
  </si>
  <si>
    <t>Licenses &amp; Permits</t>
  </si>
  <si>
    <t>Office Supplies</t>
  </si>
  <si>
    <t>Mgt Recruitment Fees</t>
  </si>
  <si>
    <t>Travel</t>
  </si>
  <si>
    <t>Postage &amp; Delivery</t>
  </si>
  <si>
    <t>Telephone &amp; Communications</t>
  </si>
  <si>
    <t>Total General and Administrative</t>
  </si>
  <si>
    <t>Repairs and Maintenance</t>
  </si>
  <si>
    <t xml:space="preserve">    Repair and Maintenance </t>
  </si>
  <si>
    <t>Occupancy Costs</t>
  </si>
  <si>
    <t xml:space="preserve">   Base Lease </t>
  </si>
  <si>
    <t xml:space="preserve">   Allocated Tax and CAM </t>
  </si>
  <si>
    <t xml:space="preserve">   % Rent (Sept- August)</t>
  </si>
  <si>
    <t xml:space="preserve">   Storage Cost</t>
  </si>
  <si>
    <t>Total Expense</t>
  </si>
  <si>
    <t>Net Ordinary Income</t>
  </si>
  <si>
    <t>Other Income</t>
  </si>
  <si>
    <t>Cancellation Fees</t>
  </si>
  <si>
    <t>Interest Income</t>
  </si>
  <si>
    <t>PPP Loan Forgiveness</t>
  </si>
  <si>
    <t>Total Other Income</t>
  </si>
  <si>
    <t>Other Expense</t>
  </si>
  <si>
    <t>COVID-19 Waste</t>
  </si>
  <si>
    <t>Management Fee (5.0%)</t>
  </si>
  <si>
    <t xml:space="preserve">Personal Property Tax </t>
  </si>
  <si>
    <t xml:space="preserve">Prior Year Expense </t>
  </si>
  <si>
    <t>DeMinimus &lt;$2.500</t>
  </si>
  <si>
    <t>OINCF</t>
  </si>
  <si>
    <t xml:space="preserve">Depreciation and Amortization </t>
  </si>
  <si>
    <t>Other</t>
  </si>
  <si>
    <t>Total Other Expense</t>
  </si>
  <si>
    <t>Net Income</t>
  </si>
  <si>
    <t>Cash Flow (Net Income + Depreciation)</t>
  </si>
  <si>
    <t>COGS</t>
  </si>
  <si>
    <t>Total Food</t>
  </si>
  <si>
    <t>Beverages</t>
  </si>
  <si>
    <t>Total Beverage</t>
  </si>
  <si>
    <t>Labor</t>
  </si>
  <si>
    <t>Management</t>
  </si>
  <si>
    <t>Labor Burden</t>
  </si>
  <si>
    <t>Total Labor</t>
  </si>
  <si>
    <t>PRIME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</si>
</sst>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9" fontId="7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indent="2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8" fillId="0" borderId="0" xfId="0" applyNumberFormat="1" applyFont="1" applyAlignment="1">
      <alignment horizontal="left" indent="1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5" fontId="2" fillId="0" borderId="0" xfId="2" applyNumberFormat="1" applyFont="1" applyAlignment="1">
      <alignment horizontal="center"/>
    </xf>
    <xf numFmtId="164" fontId="6" fillId="0" borderId="1" xfId="1" applyNumberFormat="1" applyFont="1" applyBorder="1"/>
    <xf numFmtId="165" fontId="6" fillId="0" borderId="0" xfId="2" applyNumberFormat="1" applyFont="1" applyAlignment="1">
      <alignment horizontal="center"/>
    </xf>
    <xf numFmtId="164" fontId="7" fillId="0" borderId="0" xfId="1" applyNumberFormat="1" applyFont="1"/>
    <xf numFmtId="165" fontId="7" fillId="0" borderId="0" xfId="2" applyNumberFormat="1" applyFont="1" applyAlignment="1">
      <alignment horizontal="center"/>
    </xf>
    <xf numFmtId="164" fontId="6" fillId="0" borderId="0" xfId="1" applyNumberFormat="1" applyFont="1"/>
    <xf numFmtId="164" fontId="8" fillId="0" borderId="0" xfId="1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164" fontId="8" fillId="0" borderId="0" xfId="1" applyNumberFormat="1" applyFont="1"/>
    <xf numFmtId="164" fontId="7" fillId="0" borderId="1" xfId="1" applyNumberFormat="1" applyFont="1" applyBorder="1"/>
    <xf numFmtId="164" fontId="7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 applyAlignment="1">
      <alignment horizontal="left" indent="1"/>
    </xf>
    <xf numFmtId="43" fontId="7" fillId="0" borderId="0" xfId="1" applyFont="1"/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 applyBorder="1"/>
    <xf numFmtId="165" fontId="7" fillId="0" borderId="0" xfId="2" applyNumberFormat="1" applyFont="1" applyFill="1" applyAlignment="1">
      <alignment horizontal="center"/>
    </xf>
    <xf numFmtId="164" fontId="6" fillId="0" borderId="0" xfId="1" applyNumberFormat="1" applyFont="1" applyFill="1" applyBorder="1"/>
    <xf numFmtId="165" fontId="6" fillId="0" borderId="0" xfId="2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Alignment="1">
      <alignment horizontal="left" indent="2"/>
    </xf>
    <xf numFmtId="9" fontId="2" fillId="0" borderId="0" xfId="2" applyFont="1" applyFill="1" applyAlignment="1">
      <alignment horizontal="center"/>
    </xf>
    <xf numFmtId="0" fontId="6" fillId="0" borderId="1" xfId="0" applyFont="1" applyBorder="1"/>
    <xf numFmtId="164" fontId="6" fillId="0" borderId="0" xfId="1" applyNumberFormat="1" applyFont="1" applyFill="1" applyAlignment="1">
      <alignment horizontal="center"/>
    </xf>
    <xf numFmtId="164" fontId="6" fillId="0" borderId="0" xfId="1" applyNumberFormat="1" applyFont="1" applyFill="1"/>
    <xf numFmtId="49" fontId="7" fillId="0" borderId="0" xfId="0" applyNumberFormat="1" applyFont="1" applyAlignment="1">
      <alignment horizontal="left" indent="1"/>
    </xf>
    <xf numFmtId="43" fontId="7" fillId="0" borderId="0" xfId="1" applyFont="1" applyFill="1"/>
    <xf numFmtId="165" fontId="2" fillId="0" borderId="0" xfId="1" applyNumberFormat="1" applyFont="1" applyFill="1" applyAlignment="1">
      <alignment horizontal="center"/>
    </xf>
    <xf numFmtId="164" fontId="12" fillId="0" borderId="0" xfId="1" applyNumberFormat="1" applyFont="1" applyFill="1" applyAlignment="1">
      <alignment horizontal="center"/>
    </xf>
    <xf numFmtId="164" fontId="6" fillId="0" borderId="0" xfId="1" applyNumberFormat="1" applyFont="1" applyBorder="1"/>
    <xf numFmtId="0" fontId="6" fillId="0" borderId="0" xfId="2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0" xfId="1" applyNumberFormat="1" applyFont="1" applyFill="1"/>
    <xf numFmtId="49" fontId="8" fillId="0" borderId="0" xfId="0" applyNumberFormat="1" applyFont="1" applyAlignment="1">
      <alignment horizontal="left"/>
    </xf>
    <xf numFmtId="164" fontId="2" fillId="0" borderId="0" xfId="1" applyNumberFormat="1" applyFont="1" applyFill="1"/>
    <xf numFmtId="164" fontId="6" fillId="0" borderId="1" xfId="1" applyNumberFormat="1" applyFont="1" applyFill="1" applyBorder="1"/>
    <xf numFmtId="164" fontId="7" fillId="0" borderId="1" xfId="1" applyNumberFormat="1" applyFont="1" applyFill="1" applyBorder="1"/>
    <xf numFmtId="164" fontId="8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7" fillId="0" borderId="0" xfId="2" applyNumberFormat="1" applyFont="1" applyAlignment="1">
      <alignment horizontal="center"/>
    </xf>
    <xf numFmtId="0" fontId="7" fillId="0" borderId="0" xfId="2" applyNumberFormat="1" applyFont="1" applyFill="1" applyAlignment="1">
      <alignment horizontal="center"/>
    </xf>
    <xf numFmtId="164" fontId="0" fillId="0" borderId="0" xfId="0" applyNumberFormat="1"/>
    <xf numFmtId="0" fontId="6" fillId="0" borderId="0" xfId="2" applyNumberFormat="1" applyFont="1" applyAlignment="1">
      <alignment horizontal="center"/>
    </xf>
    <xf numFmtId="9" fontId="2" fillId="0" borderId="0" xfId="2" applyFont="1" applyFill="1"/>
    <xf numFmtId="9" fontId="5" fillId="0" borderId="0" xfId="2" applyFont="1" applyFill="1" applyAlignment="1">
      <alignment horizontal="center"/>
    </xf>
    <xf numFmtId="9" fontId="6" fillId="0" borderId="0" xfId="2" applyFont="1" applyFill="1" applyAlignment="1">
      <alignment horizontal="center"/>
    </xf>
    <xf numFmtId="9" fontId="7" fillId="0" borderId="0" xfId="2" applyFont="1" applyFill="1" applyAlignment="1">
      <alignment horizontal="center"/>
    </xf>
    <xf numFmtId="9" fontId="8" fillId="0" borderId="0" xfId="2" applyFont="1" applyFill="1" applyAlignment="1">
      <alignment horizontal="center"/>
    </xf>
    <xf numFmtId="9" fontId="8" fillId="0" borderId="0" xfId="2" applyFont="1" applyFill="1"/>
    <xf numFmtId="9" fontId="0" fillId="0" borderId="0" xfId="2" applyFont="1" applyFill="1"/>
    <xf numFmtId="9" fontId="6" fillId="0" borderId="0" xfId="2" applyFont="1" applyFill="1"/>
    <xf numFmtId="9" fontId="2" fillId="0" borderId="0" xfId="2" applyFont="1"/>
    <xf numFmtId="9" fontId="8" fillId="0" borderId="0" xfId="2" applyFont="1" applyAlignment="1">
      <alignment horizontal="center"/>
    </xf>
    <xf numFmtId="9" fontId="7" fillId="0" borderId="0" xfId="2" applyFont="1" applyAlignment="1">
      <alignment horizontal="center"/>
    </xf>
    <xf numFmtId="9" fontId="6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8" fillId="0" borderId="0" xfId="2" applyFont="1"/>
    <xf numFmtId="9" fontId="0" fillId="0" borderId="0" xfId="2" applyFont="1"/>
    <xf numFmtId="9" fontId="6" fillId="0" borderId="0" xfId="2" applyFont="1"/>
    <xf numFmtId="43" fontId="0" fillId="0" borderId="0" xfId="0" applyNumberFormat="1"/>
    <xf numFmtId="164" fontId="8" fillId="3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0792-41DE-41A0-A431-BA8AD3B9DCA0}">
  <dimension ref="A1:ED209"/>
  <sheetViews>
    <sheetView tabSelected="1" zoomScale="90" zoomScaleNormal="90" workbookViewId="0">
      <pane xSplit="1" ySplit="4" topLeftCell="DJ101" activePane="bottomRight" state="frozen"/>
      <selection pane="bottomRight" activeCell="DN108" activeCellId="1" sqref="DL108 DN108"/>
      <selection pane="bottomLeft" activeCell="A5" sqref="A5"/>
      <selection pane="topRight" activeCell="B1" sqref="B1"/>
    </sheetView>
  </sheetViews>
  <sheetFormatPr defaultColWidth="8.7109375" defaultRowHeight="15.95"/>
  <cols>
    <col min="1" max="1" width="44" style="1" bestFit="1" customWidth="1"/>
    <col min="2" max="2" width="3" style="1" customWidth="1"/>
    <col min="3" max="3" width="10.28515625" style="1" hidden="1" customWidth="1"/>
    <col min="4" max="4" width="8.7109375" style="1" hidden="1" customWidth="1"/>
    <col min="5" max="5" width="10.28515625" style="1" hidden="1" customWidth="1"/>
    <col min="6" max="6" width="7.7109375" style="1" hidden="1" customWidth="1"/>
    <col min="7" max="7" width="11.28515625" style="1" hidden="1" customWidth="1"/>
    <col min="8" max="8" width="9.7109375" style="1" hidden="1" customWidth="1"/>
    <col min="9" max="9" width="1.140625" hidden="1" customWidth="1"/>
    <col min="10" max="10" width="10.42578125" style="1" hidden="1" customWidth="1"/>
    <col min="11" max="11" width="8.28515625" style="1" hidden="1" customWidth="1"/>
    <col min="12" max="12" width="10.42578125" style="1" hidden="1" customWidth="1"/>
    <col min="13" max="13" width="7.28515625" style="1" hidden="1" customWidth="1"/>
    <col min="14" max="15" width="11.28515625" style="1" hidden="1" customWidth="1"/>
    <col min="16" max="16" width="1" hidden="1" customWidth="1"/>
    <col min="17" max="17" width="10.7109375" style="1" hidden="1" customWidth="1"/>
    <col min="18" max="18" width="8.7109375" style="1" hidden="1" customWidth="1"/>
    <col min="19" max="19" width="10.28515625" style="1" hidden="1" customWidth="1"/>
    <col min="20" max="20" width="7.28515625" style="1" hidden="1" customWidth="1"/>
    <col min="21" max="22" width="11.28515625" style="1" hidden="1" customWidth="1"/>
    <col min="23" max="23" width="0.5703125" customWidth="1"/>
    <col min="24" max="24" width="11.5703125" style="1" bestFit="1" customWidth="1"/>
    <col min="25" max="25" width="6.7109375" style="1" bestFit="1" customWidth="1"/>
    <col min="26" max="26" width="11.5703125" style="1" bestFit="1" customWidth="1"/>
    <col min="27" max="27" width="6.7109375" style="1" bestFit="1" customWidth="1"/>
    <col min="28" max="28" width="11.28515625" style="1" hidden="1" customWidth="1"/>
    <col min="29" max="29" width="10" style="1" bestFit="1" customWidth="1"/>
    <col min="30" max="30" width="3" customWidth="1"/>
    <col min="31" max="31" width="10.28515625" style="1" hidden="1" customWidth="1"/>
    <col min="32" max="32" width="8.7109375" style="1" hidden="1" customWidth="1"/>
    <col min="33" max="33" width="12.7109375" style="1" hidden="1" customWidth="1"/>
    <col min="34" max="34" width="7.28515625" style="1" hidden="1" customWidth="1"/>
    <col min="35" max="35" width="11.28515625" style="1" hidden="1" customWidth="1"/>
    <col min="36" max="36" width="9.7109375" style="1" hidden="1" customWidth="1"/>
    <col min="37" max="37" width="2.28515625" hidden="1" customWidth="1"/>
    <col min="38" max="38" width="10.42578125" style="1" hidden="1" customWidth="1"/>
    <col min="39" max="39" width="8.7109375" style="1" hidden="1" customWidth="1"/>
    <col min="40" max="40" width="10.28515625" style="1" hidden="1" customWidth="1"/>
    <col min="41" max="41" width="7.28515625" style="1" hidden="1" customWidth="1"/>
    <col min="42" max="42" width="11.28515625" style="1" hidden="1" customWidth="1"/>
    <col min="43" max="43" width="9.7109375" style="1" hidden="1" customWidth="1"/>
    <col min="44" max="44" width="1" hidden="1" customWidth="1"/>
    <col min="45" max="45" width="10.42578125" style="1" hidden="1" customWidth="1"/>
    <col min="46" max="46" width="8.7109375" style="1" hidden="1" customWidth="1"/>
    <col min="47" max="47" width="10.28515625" style="1" hidden="1" customWidth="1"/>
    <col min="48" max="48" width="8.7109375" style="1" hidden="1" customWidth="1"/>
    <col min="49" max="49" width="14.28515625" style="1" hidden="1" customWidth="1"/>
    <col min="50" max="50" width="9.7109375" style="1" hidden="1" customWidth="1"/>
    <col min="51" max="51" width="1.140625" customWidth="1"/>
    <col min="52" max="52" width="10.5703125" style="1" bestFit="1" customWidth="1"/>
    <col min="53" max="53" width="8.42578125" style="1" bestFit="1" customWidth="1"/>
    <col min="54" max="54" width="11.5703125" style="1" bestFit="1" customWidth="1"/>
    <col min="55" max="55" width="6.7109375" style="1" bestFit="1" customWidth="1"/>
    <col min="56" max="56" width="12.7109375" style="1" hidden="1" customWidth="1"/>
    <col min="57" max="57" width="10.28515625" style="1" bestFit="1" customWidth="1"/>
    <col min="58" max="58" width="1.140625" customWidth="1"/>
    <col min="59" max="59" width="9.7109375" style="1" hidden="1" customWidth="1"/>
    <col min="60" max="60" width="8.7109375" style="66" hidden="1" customWidth="1"/>
    <col min="61" max="61" width="10.28515625" style="1" hidden="1" customWidth="1"/>
    <col min="62" max="62" width="8.7109375" style="66" hidden="1" customWidth="1"/>
    <col min="63" max="63" width="11.28515625" style="1" hidden="1" customWidth="1"/>
    <col min="64" max="64" width="9.7109375" style="66" hidden="1" customWidth="1"/>
    <col min="65" max="65" width="1.140625" hidden="1" customWidth="1"/>
    <col min="66" max="66" width="10.28515625" style="1" hidden="1" customWidth="1"/>
    <col min="67" max="67" width="8.7109375" style="66" hidden="1" customWidth="1"/>
    <col min="68" max="68" width="15.7109375" style="1" hidden="1" customWidth="1"/>
    <col min="69" max="69" width="8.7109375" style="66" hidden="1" customWidth="1"/>
    <col min="70" max="70" width="11.28515625" style="1" hidden="1" customWidth="1"/>
    <col min="71" max="71" width="10.42578125" style="66" hidden="1" customWidth="1"/>
    <col min="72" max="72" width="1" hidden="1" customWidth="1"/>
    <col min="73" max="73" width="10.28515625" style="1" hidden="1" customWidth="1"/>
    <col min="74" max="74" width="8.7109375" style="66" hidden="1" customWidth="1"/>
    <col min="75" max="75" width="10.28515625" style="1" hidden="1" customWidth="1"/>
    <col min="76" max="76" width="8.7109375" style="66" hidden="1" customWidth="1"/>
    <col min="77" max="77" width="11.28515625" style="1" hidden="1" customWidth="1"/>
    <col min="78" max="78" width="10.28515625" style="66" hidden="1" customWidth="1"/>
    <col min="79" max="79" width="3" customWidth="1"/>
    <col min="80" max="80" width="10.5703125" style="1" bestFit="1" customWidth="1"/>
    <col min="81" max="81" width="8.42578125" style="66" bestFit="1" customWidth="1"/>
    <col min="82" max="82" width="11.5703125" style="1" bestFit="1" customWidth="1"/>
    <col min="83" max="83" width="11" style="66" bestFit="1" customWidth="1"/>
    <col min="84" max="84" width="12.7109375" style="1" hidden="1" customWidth="1"/>
    <col min="85" max="85" width="10" style="66" bestFit="1" customWidth="1"/>
    <col min="86" max="86" width="3" customWidth="1"/>
    <col min="87" max="87" width="9.85546875" style="1" bestFit="1" customWidth="1"/>
    <col min="88" max="88" width="8.42578125" style="66" bestFit="1" customWidth="1"/>
    <col min="89" max="89" width="9.85546875" style="1" bestFit="1" customWidth="1"/>
    <col min="90" max="90" width="8.42578125" style="66" bestFit="1" customWidth="1"/>
    <col min="91" max="91" width="11.28515625" style="1" hidden="1" customWidth="1"/>
    <col min="92" max="92" width="10" style="66" bestFit="1" customWidth="1"/>
    <col min="93" max="93" width="3" customWidth="1"/>
    <col min="94" max="94" width="9.85546875" style="1" bestFit="1" customWidth="1"/>
    <col min="95" max="95" width="8.42578125" style="66" bestFit="1" customWidth="1"/>
    <col min="96" max="96" width="9.85546875" style="1" bestFit="1" customWidth="1"/>
    <col min="97" max="97" width="8.42578125" style="66" bestFit="1" customWidth="1"/>
    <col min="98" max="98" width="12.140625" style="1" hidden="1" customWidth="1"/>
    <col min="99" max="99" width="10" style="66" bestFit="1" customWidth="1"/>
    <col min="100" max="100" width="3" customWidth="1"/>
    <col min="101" max="101" width="9.85546875" style="1" bestFit="1" customWidth="1"/>
    <col min="102" max="102" width="8.42578125" style="66" bestFit="1" customWidth="1"/>
    <col min="103" max="103" width="9.85546875" style="1" bestFit="1" customWidth="1"/>
    <col min="104" max="104" width="8.42578125" style="66" bestFit="1" customWidth="1"/>
    <col min="105" max="105" width="12.140625" style="1" hidden="1" customWidth="1"/>
    <col min="106" max="106" width="10" style="66" bestFit="1" customWidth="1"/>
    <col min="107" max="107" width="3" customWidth="1"/>
    <col min="108" max="108" width="9.85546875" style="1" bestFit="1" customWidth="1"/>
    <col min="109" max="109" width="8.42578125" style="66" bestFit="1" customWidth="1"/>
    <col min="110" max="110" width="9.85546875" style="1" bestFit="1" customWidth="1"/>
    <col min="111" max="111" width="8.42578125" style="66" bestFit="1" customWidth="1"/>
    <col min="112" max="112" width="12.140625" style="1" hidden="1" customWidth="1"/>
    <col min="113" max="113" width="10" style="66" bestFit="1" customWidth="1"/>
    <col min="114" max="114" width="3" customWidth="1"/>
    <col min="115" max="115" width="11.5703125" style="1" bestFit="1" customWidth="1"/>
    <col min="116" max="116" width="8.42578125" style="74" bestFit="1" customWidth="1"/>
    <col min="117" max="117" width="11.5703125" style="1" bestFit="1" customWidth="1"/>
    <col min="118" max="118" width="8.42578125" style="74" bestFit="1" customWidth="1"/>
    <col min="119" max="119" width="13" style="1" hidden="1" customWidth="1"/>
    <col min="120" max="120" width="10.28515625" style="74" bestFit="1" customWidth="1"/>
    <col min="121" max="121" width="1.42578125" customWidth="1"/>
    <col min="122" max="122" width="11.5703125" style="1" bestFit="1" customWidth="1"/>
    <col min="123" max="123" width="6.7109375" style="1" bestFit="1" customWidth="1"/>
    <col min="124" max="124" width="11.5703125" style="1" bestFit="1" customWidth="1"/>
    <col min="125" max="125" width="6.7109375" style="1" bestFit="1" customWidth="1"/>
    <col min="126" max="126" width="12.7109375" style="1" hidden="1" customWidth="1"/>
    <col min="127" max="127" width="8.5703125" style="1" bestFit="1" customWidth="1"/>
    <col min="128" max="128" width="9.7109375" bestFit="1" customWidth="1"/>
    <col min="129" max="129" width="11.140625" bestFit="1" customWidth="1"/>
    <col min="130" max="130" width="10" bestFit="1" customWidth="1"/>
  </cols>
  <sheetData>
    <row r="1" spans="1:129" ht="26.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</row>
    <row r="2" spans="1:129" ht="2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</row>
    <row r="3" spans="1:129" ht="23.45">
      <c r="A3" s="2" t="s">
        <v>2</v>
      </c>
      <c r="B3" s="2"/>
    </row>
    <row r="4" spans="1:129">
      <c r="A4" s="3"/>
      <c r="B4" s="3"/>
      <c r="C4" s="84" t="s">
        <v>3</v>
      </c>
      <c r="D4" s="84"/>
      <c r="E4" s="84"/>
      <c r="F4" s="84"/>
      <c r="G4" s="84"/>
      <c r="H4" s="84"/>
      <c r="J4" s="84" t="s">
        <v>4</v>
      </c>
      <c r="K4" s="84"/>
      <c r="L4" s="84"/>
      <c r="M4" s="84"/>
      <c r="N4" s="84"/>
      <c r="O4" s="84"/>
      <c r="Q4" s="84" t="s">
        <v>5</v>
      </c>
      <c r="R4" s="84"/>
      <c r="S4" s="84"/>
      <c r="T4" s="84"/>
      <c r="U4" s="84"/>
      <c r="V4" s="84"/>
      <c r="X4" s="84" t="s">
        <v>6</v>
      </c>
      <c r="Y4" s="84"/>
      <c r="Z4" s="84"/>
      <c r="AA4" s="84"/>
      <c r="AB4" s="84"/>
      <c r="AC4" s="84"/>
      <c r="AE4" s="84" t="s">
        <v>7</v>
      </c>
      <c r="AF4" s="84"/>
      <c r="AG4" s="84"/>
      <c r="AH4" s="84"/>
      <c r="AI4" s="84"/>
      <c r="AJ4" s="84"/>
      <c r="AL4" s="84" t="s">
        <v>8</v>
      </c>
      <c r="AM4" s="84"/>
      <c r="AN4" s="84"/>
      <c r="AO4" s="84"/>
      <c r="AP4" s="84"/>
      <c r="AQ4" s="84"/>
      <c r="AS4" s="84" t="s">
        <v>9</v>
      </c>
      <c r="AT4" s="84"/>
      <c r="AU4" s="84"/>
      <c r="AV4" s="84"/>
      <c r="AW4" s="84"/>
      <c r="AX4" s="84"/>
      <c r="AZ4" s="84" t="s">
        <v>10</v>
      </c>
      <c r="BA4" s="84"/>
      <c r="BB4" s="84"/>
      <c r="BC4" s="84"/>
      <c r="BD4" s="84"/>
      <c r="BE4" s="84"/>
      <c r="BG4" s="84" t="s">
        <v>11</v>
      </c>
      <c r="BH4" s="84"/>
      <c r="BI4" s="84"/>
      <c r="BJ4" s="84"/>
      <c r="BK4" s="84"/>
      <c r="BL4" s="84"/>
      <c r="BN4" s="84" t="s">
        <v>12</v>
      </c>
      <c r="BO4" s="84"/>
      <c r="BP4" s="84"/>
      <c r="BQ4" s="84"/>
      <c r="BR4" s="84"/>
      <c r="BS4" s="84"/>
      <c r="BU4" s="84" t="s">
        <v>13</v>
      </c>
      <c r="BV4" s="84"/>
      <c r="BW4" s="84"/>
      <c r="BX4" s="84"/>
      <c r="BY4" s="84"/>
      <c r="BZ4" s="84"/>
      <c r="CB4" s="84" t="s">
        <v>14</v>
      </c>
      <c r="CC4" s="84"/>
      <c r="CD4" s="84"/>
      <c r="CE4" s="84"/>
      <c r="CF4" s="84"/>
      <c r="CG4" s="84"/>
      <c r="CI4" s="84" t="s">
        <v>15</v>
      </c>
      <c r="CJ4" s="84"/>
      <c r="CK4" s="84"/>
      <c r="CL4" s="84"/>
      <c r="CM4" s="84"/>
      <c r="CN4" s="84"/>
      <c r="CP4" s="84" t="s">
        <v>16</v>
      </c>
      <c r="CQ4" s="84"/>
      <c r="CR4" s="84"/>
      <c r="CS4" s="84"/>
      <c r="CT4" s="84"/>
      <c r="CU4" s="84"/>
      <c r="CW4" s="84" t="s">
        <v>17</v>
      </c>
      <c r="CX4" s="84"/>
      <c r="CY4" s="84"/>
      <c r="CZ4" s="84"/>
      <c r="DA4" s="84"/>
      <c r="DB4" s="84"/>
      <c r="DD4" s="84" t="s">
        <v>18</v>
      </c>
      <c r="DE4" s="84"/>
      <c r="DF4" s="84"/>
      <c r="DG4" s="84"/>
      <c r="DH4" s="84"/>
      <c r="DI4" s="84"/>
      <c r="DK4" s="84" t="s">
        <v>19</v>
      </c>
      <c r="DL4" s="84"/>
      <c r="DM4" s="84"/>
      <c r="DN4" s="84"/>
      <c r="DO4" s="84"/>
      <c r="DP4" s="84"/>
      <c r="DR4" s="84" t="s">
        <v>20</v>
      </c>
      <c r="DS4" s="84"/>
      <c r="DT4" s="84"/>
      <c r="DU4" s="84"/>
      <c r="DV4" s="84"/>
      <c r="DW4" s="84"/>
    </row>
    <row r="5" spans="1:129">
      <c r="A5" s="34"/>
      <c r="B5" s="34"/>
      <c r="C5" s="40" t="s">
        <v>21</v>
      </c>
      <c r="D5" s="40"/>
      <c r="E5" s="40" t="s">
        <v>22</v>
      </c>
      <c r="F5" s="40"/>
      <c r="G5" s="34" t="s">
        <v>23</v>
      </c>
      <c r="H5" s="34" t="s">
        <v>24</v>
      </c>
      <c r="J5" s="40" t="s">
        <v>21</v>
      </c>
      <c r="K5" s="40"/>
      <c r="L5" s="40" t="s">
        <v>22</v>
      </c>
      <c r="M5" s="40"/>
      <c r="N5" s="34" t="s">
        <v>23</v>
      </c>
      <c r="O5" s="34" t="s">
        <v>24</v>
      </c>
      <c r="Q5" s="40" t="s">
        <v>21</v>
      </c>
      <c r="R5" s="40"/>
      <c r="S5" s="40" t="s">
        <v>22</v>
      </c>
      <c r="T5" s="40"/>
      <c r="U5" s="34" t="s">
        <v>23</v>
      </c>
      <c r="V5" s="34" t="s">
        <v>24</v>
      </c>
      <c r="X5" s="40" t="s">
        <v>21</v>
      </c>
      <c r="Y5" s="40"/>
      <c r="Z5" s="40" t="s">
        <v>22</v>
      </c>
      <c r="AA5" s="40"/>
      <c r="AB5" s="34" t="s">
        <v>23</v>
      </c>
      <c r="AC5" s="34" t="s">
        <v>24</v>
      </c>
      <c r="AE5" s="40" t="s">
        <v>21</v>
      </c>
      <c r="AF5" s="40"/>
      <c r="AG5" s="40" t="s">
        <v>22</v>
      </c>
      <c r="AH5" s="40"/>
      <c r="AI5" s="34" t="s">
        <v>23</v>
      </c>
      <c r="AJ5" s="34" t="s">
        <v>24</v>
      </c>
      <c r="AL5" s="40" t="s">
        <v>21</v>
      </c>
      <c r="AM5" s="40"/>
      <c r="AN5" s="40" t="s">
        <v>22</v>
      </c>
      <c r="AO5" s="40"/>
      <c r="AP5" s="34" t="s">
        <v>23</v>
      </c>
      <c r="AQ5" s="34" t="s">
        <v>24</v>
      </c>
      <c r="AS5" s="40" t="s">
        <v>21</v>
      </c>
      <c r="AT5" s="40"/>
      <c r="AU5" s="40" t="s">
        <v>22</v>
      </c>
      <c r="AV5" s="40"/>
      <c r="AW5" s="34" t="s">
        <v>23</v>
      </c>
      <c r="AX5" s="34" t="s">
        <v>24</v>
      </c>
      <c r="AZ5" s="40" t="s">
        <v>21</v>
      </c>
      <c r="BA5" s="40"/>
      <c r="BB5" s="40" t="s">
        <v>22</v>
      </c>
      <c r="BC5" s="40"/>
      <c r="BD5" s="34" t="s">
        <v>23</v>
      </c>
      <c r="BE5" s="34" t="s">
        <v>24</v>
      </c>
      <c r="BG5" s="40" t="s">
        <v>21</v>
      </c>
      <c r="BH5" s="67"/>
      <c r="BI5" s="40" t="s">
        <v>22</v>
      </c>
      <c r="BJ5" s="67"/>
      <c r="BK5" s="34" t="s">
        <v>23</v>
      </c>
      <c r="BL5" s="67" t="s">
        <v>24</v>
      </c>
      <c r="BN5" s="40" t="s">
        <v>21</v>
      </c>
      <c r="BO5" s="67"/>
      <c r="BP5" s="40" t="s">
        <v>22</v>
      </c>
      <c r="BQ5" s="67"/>
      <c r="BR5" s="34" t="s">
        <v>23</v>
      </c>
      <c r="BS5" s="67" t="s">
        <v>24</v>
      </c>
      <c r="BU5" s="40" t="s">
        <v>21</v>
      </c>
      <c r="BV5" s="67"/>
      <c r="BW5" s="40" t="s">
        <v>22</v>
      </c>
      <c r="BX5" s="67"/>
      <c r="BY5" s="34" t="s">
        <v>23</v>
      </c>
      <c r="BZ5" s="67" t="s">
        <v>24</v>
      </c>
      <c r="CB5" s="40" t="s">
        <v>21</v>
      </c>
      <c r="CC5" s="67"/>
      <c r="CD5" s="40" t="s">
        <v>22</v>
      </c>
      <c r="CE5" s="67"/>
      <c r="CF5" s="34" t="s">
        <v>23</v>
      </c>
      <c r="CG5" s="67" t="s">
        <v>24</v>
      </c>
      <c r="CI5" s="40" t="s">
        <v>21</v>
      </c>
      <c r="CJ5" s="67"/>
      <c r="CK5" s="40" t="s">
        <v>22</v>
      </c>
      <c r="CL5" s="67"/>
      <c r="CM5" s="34" t="s">
        <v>23</v>
      </c>
      <c r="CN5" s="67" t="s">
        <v>24</v>
      </c>
      <c r="CP5" s="40" t="s">
        <v>21</v>
      </c>
      <c r="CQ5" s="67"/>
      <c r="CR5" s="40" t="s">
        <v>22</v>
      </c>
      <c r="CS5" s="67"/>
      <c r="CT5" s="34" t="s">
        <v>23</v>
      </c>
      <c r="CU5" s="67" t="s">
        <v>24</v>
      </c>
      <c r="CW5" s="40" t="s">
        <v>21</v>
      </c>
      <c r="CX5" s="67"/>
      <c r="CY5" s="40" t="s">
        <v>22</v>
      </c>
      <c r="CZ5" s="67"/>
      <c r="DA5" s="34" t="s">
        <v>23</v>
      </c>
      <c r="DB5" s="67" t="s">
        <v>24</v>
      </c>
      <c r="DD5" s="40" t="s">
        <v>21</v>
      </c>
      <c r="DE5" s="67"/>
      <c r="DF5" s="40" t="s">
        <v>22</v>
      </c>
      <c r="DG5" s="67"/>
      <c r="DH5" s="34" t="s">
        <v>23</v>
      </c>
      <c r="DI5" s="67" t="s">
        <v>24</v>
      </c>
      <c r="DK5" s="40" t="s">
        <v>21</v>
      </c>
      <c r="DL5" s="67"/>
      <c r="DM5" s="40" t="s">
        <v>22</v>
      </c>
      <c r="DN5" s="67"/>
      <c r="DO5" s="34" t="s">
        <v>23</v>
      </c>
      <c r="DP5" s="67" t="s">
        <v>24</v>
      </c>
      <c r="DR5" s="40" t="s">
        <v>21</v>
      </c>
      <c r="DS5" s="40"/>
      <c r="DT5" s="40" t="s">
        <v>22</v>
      </c>
      <c r="DU5" s="40"/>
      <c r="DV5" s="34" t="s">
        <v>23</v>
      </c>
      <c r="DW5" s="34"/>
    </row>
    <row r="6" spans="1:129">
      <c r="A6" s="4" t="s">
        <v>25</v>
      </c>
      <c r="B6" s="4"/>
      <c r="C6" s="41"/>
      <c r="D6" s="41"/>
      <c r="E6" s="41"/>
      <c r="F6" s="41"/>
      <c r="J6" s="41"/>
      <c r="K6" s="41"/>
      <c r="L6" s="41"/>
      <c r="M6" s="41"/>
      <c r="Q6" s="41"/>
      <c r="R6" s="41"/>
      <c r="S6" s="41"/>
      <c r="T6" s="41"/>
      <c r="X6" s="41"/>
      <c r="Y6" s="41"/>
      <c r="Z6" s="41"/>
      <c r="AA6" s="41"/>
      <c r="AE6" s="41"/>
      <c r="AF6" s="41"/>
      <c r="AG6" s="41"/>
      <c r="AH6" s="41"/>
      <c r="AL6" s="41"/>
      <c r="AM6" s="41"/>
      <c r="AN6" s="41"/>
      <c r="AO6" s="41"/>
      <c r="AS6" s="41"/>
      <c r="AT6" s="41"/>
      <c r="AU6" s="41"/>
      <c r="AV6" s="41"/>
      <c r="AZ6" s="41"/>
      <c r="BA6" s="41"/>
      <c r="BB6" s="41"/>
      <c r="BC6" s="41"/>
      <c r="BG6" s="41"/>
      <c r="BH6" s="43"/>
      <c r="BI6" s="41"/>
      <c r="BJ6" s="43"/>
      <c r="BN6" s="41"/>
      <c r="BO6" s="43"/>
      <c r="BP6" s="41"/>
      <c r="BQ6" s="43"/>
      <c r="BU6" s="41"/>
      <c r="BV6" s="43"/>
      <c r="BW6" s="41"/>
      <c r="BX6" s="43"/>
      <c r="CB6" s="41"/>
      <c r="CC6" s="43"/>
      <c r="CD6" s="41"/>
      <c r="CE6" s="43"/>
      <c r="CI6" s="41"/>
      <c r="CJ6" s="43"/>
      <c r="CK6" s="41"/>
      <c r="CL6" s="43"/>
      <c r="CP6" s="41"/>
      <c r="CQ6" s="43"/>
      <c r="CR6" s="41"/>
      <c r="CS6" s="43"/>
      <c r="CW6" s="41"/>
      <c r="CX6" s="43"/>
      <c r="CY6" s="41"/>
      <c r="CZ6" s="43"/>
      <c r="DD6" s="41"/>
      <c r="DE6" s="43"/>
      <c r="DF6" s="41"/>
      <c r="DG6" s="43"/>
      <c r="DK6" s="41"/>
      <c r="DL6" s="43"/>
      <c r="DM6" s="41"/>
      <c r="DN6" s="43"/>
      <c r="DP6" s="66"/>
      <c r="DR6" s="41"/>
      <c r="DS6" s="41"/>
      <c r="DT6" s="41"/>
      <c r="DU6" s="41"/>
      <c r="DX6" s="82"/>
    </row>
    <row r="7" spans="1:129">
      <c r="A7" s="42" t="s">
        <v>26</v>
      </c>
      <c r="B7" s="42"/>
      <c r="C7" s="61">
        <v>242274.65</v>
      </c>
      <c r="D7" s="43">
        <f>C7/C13</f>
        <v>0.63635061097889267</v>
      </c>
      <c r="E7" s="61">
        <v>172805</v>
      </c>
      <c r="F7" s="43">
        <f>E7/E13</f>
        <v>0.62627525595723477</v>
      </c>
      <c r="G7" s="57">
        <f>C7-E7</f>
        <v>69469.649999999994</v>
      </c>
      <c r="H7" s="39"/>
      <c r="J7" s="61">
        <f>258064+60</f>
        <v>258124</v>
      </c>
      <c r="K7" s="43">
        <f>J7/J13</f>
        <v>0.63238693582138894</v>
      </c>
      <c r="L7" s="61">
        <v>239312</v>
      </c>
      <c r="M7" s="43">
        <f>L7/L13</f>
        <v>0.62627282981045274</v>
      </c>
      <c r="N7" s="57">
        <f>J7-L7</f>
        <v>18812</v>
      </c>
      <c r="O7" s="39"/>
      <c r="Q7" s="61">
        <f>185386.88+25</f>
        <v>185411.88</v>
      </c>
      <c r="R7" s="43">
        <f>Q7/Q13</f>
        <v>0.60591194918404179</v>
      </c>
      <c r="S7" s="61">
        <v>308783</v>
      </c>
      <c r="T7" s="43">
        <f>S7/S13</f>
        <v>0.62627497987007319</v>
      </c>
      <c r="U7" s="57">
        <f>Q7-S7</f>
        <v>-123371.12</v>
      </c>
      <c r="V7" s="39"/>
      <c r="X7" s="61">
        <f t="shared" ref="X7:X12" si="0">C7+J7+Q7</f>
        <v>685810.53</v>
      </c>
      <c r="Y7" s="43">
        <f>X7/X13</f>
        <v>0.62636595205875178</v>
      </c>
      <c r="Z7" s="61">
        <f>E7+L7+S7</f>
        <v>720900</v>
      </c>
      <c r="AA7" s="43">
        <f>Z7/Z13</f>
        <v>0.62627433230851026</v>
      </c>
      <c r="AB7" s="57">
        <f>X7-Z7</f>
        <v>-35089.469999999972</v>
      </c>
      <c r="AC7" s="39"/>
      <c r="AE7" s="61"/>
      <c r="AF7" s="43" t="e">
        <f>AE7/AE13</f>
        <v>#DIV/0!</v>
      </c>
      <c r="AG7" s="61">
        <v>363527</v>
      </c>
      <c r="AH7" s="43">
        <f>AG7/AG13</f>
        <v>0.62627506852335824</v>
      </c>
      <c r="AI7" s="57">
        <f>AE7-AG7</f>
        <v>-363527</v>
      </c>
      <c r="AJ7" s="39"/>
      <c r="AL7" s="61">
        <v>0</v>
      </c>
      <c r="AM7" s="43" t="e">
        <f>AL7/AL13</f>
        <v>#DIV/0!</v>
      </c>
      <c r="AN7" s="61">
        <v>350362</v>
      </c>
      <c r="AO7" s="43">
        <f>AN7/AN13</f>
        <v>0.62627382073827531</v>
      </c>
      <c r="AP7" s="57">
        <f>AL7-AN7</f>
        <v>-350362</v>
      </c>
      <c r="AQ7" s="39"/>
      <c r="AS7" s="61">
        <v>0</v>
      </c>
      <c r="AT7" s="43" t="e">
        <f>AS7/AS13</f>
        <v>#DIV/0!</v>
      </c>
      <c r="AU7" s="61">
        <v>380216</v>
      </c>
      <c r="AV7" s="43">
        <f>AU7/AU13</f>
        <v>0.62627407314678774</v>
      </c>
      <c r="AW7" s="57">
        <f>AS7-AU7</f>
        <v>-380216</v>
      </c>
      <c r="AX7" s="39"/>
      <c r="AZ7" s="61">
        <f>AE7+AL7+AS7</f>
        <v>0</v>
      </c>
      <c r="BA7" s="43" t="e">
        <f>AZ7/AZ13</f>
        <v>#DIV/0!</v>
      </c>
      <c r="BB7" s="61">
        <f>AG7+AN7+AU7</f>
        <v>1094105</v>
      </c>
      <c r="BC7" s="43">
        <f>BB7/BB13</f>
        <v>0.62627432304182129</v>
      </c>
      <c r="BD7" s="57">
        <f>AZ7-BB7</f>
        <v>-1094105</v>
      </c>
      <c r="BE7" s="39"/>
      <c r="BG7" s="61"/>
      <c r="BH7" s="43" t="e">
        <f>BG7/BG13</f>
        <v>#DIV/0!</v>
      </c>
      <c r="BI7" s="61">
        <v>388812</v>
      </c>
      <c r="BJ7" s="43">
        <f>BI7/BI13</f>
        <v>0.62627268114716472</v>
      </c>
      <c r="BK7" s="57">
        <f>BG7-BI7</f>
        <v>-388812</v>
      </c>
      <c r="BL7" s="43"/>
      <c r="BN7" s="61">
        <f>139548.75+15</f>
        <v>139563.75</v>
      </c>
      <c r="BO7" s="43">
        <f>BN7/BN13</f>
        <v>0.63158405632514025</v>
      </c>
      <c r="BP7" s="61">
        <v>382125</v>
      </c>
      <c r="BQ7" s="43">
        <f>BP7/BP13</f>
        <v>0.62627529070482091</v>
      </c>
      <c r="BR7" s="57">
        <f>BN7-BP7</f>
        <v>-242561.25</v>
      </c>
      <c r="BS7" s="43"/>
      <c r="BU7" s="61">
        <f>208330.76-27.71</f>
        <v>208303.05000000002</v>
      </c>
      <c r="BV7" s="43">
        <f>BU7/BU13</f>
        <v>0.63404767920031413</v>
      </c>
      <c r="BW7" s="61">
        <v>188214</v>
      </c>
      <c r="BX7" s="43">
        <f>BW7/BW13</f>
        <v>0.63999863984902328</v>
      </c>
      <c r="BY7" s="57">
        <f>BU7-BW7</f>
        <v>20089.050000000017</v>
      </c>
      <c r="BZ7" s="43"/>
      <c r="CB7" s="61">
        <f>BG7+BN7+BU7</f>
        <v>347866.80000000005</v>
      </c>
      <c r="CC7" s="43">
        <f>CB7/CB13</f>
        <v>0.63305697155694196</v>
      </c>
      <c r="CD7" s="61">
        <f>BI7+BP7+BW7</f>
        <v>959151</v>
      </c>
      <c r="CE7" s="43">
        <f>CD7/CD13</f>
        <v>0.62892054489123483</v>
      </c>
      <c r="CF7" s="57">
        <f>CB7-CD7</f>
        <v>-611284.19999999995</v>
      </c>
      <c r="CG7" s="43"/>
      <c r="CI7" s="61">
        <v>223995.25</v>
      </c>
      <c r="CJ7" s="43">
        <f>CI7/CI13</f>
        <v>0.61691969540266112</v>
      </c>
      <c r="CK7" s="61">
        <v>201298</v>
      </c>
      <c r="CL7" s="43">
        <f>CK7/CK13</f>
        <v>0.64000025434937435</v>
      </c>
      <c r="CM7" s="57">
        <f>CI7-CK7</f>
        <v>22697.25</v>
      </c>
      <c r="CN7" s="43"/>
      <c r="CP7" s="61">
        <v>207364.52</v>
      </c>
      <c r="CQ7" s="43">
        <f>CP7/CP13</f>
        <v>0.61964416239403108</v>
      </c>
      <c r="CR7" s="61">
        <v>190144</v>
      </c>
      <c r="CS7" s="43">
        <f>CR7/CR13</f>
        <v>0.64</v>
      </c>
      <c r="CT7" s="57">
        <f>CP7-CR7</f>
        <v>17220.51999999999</v>
      </c>
      <c r="CU7" s="43"/>
      <c r="CW7" s="61">
        <v>160171.24</v>
      </c>
      <c r="CX7" s="43">
        <f>CW7/CW13</f>
        <v>0.60164763104159202</v>
      </c>
      <c r="CY7" s="61">
        <v>174240</v>
      </c>
      <c r="CZ7" s="43">
        <f>CY7/CY13</f>
        <v>0.63999764922810198</v>
      </c>
      <c r="DA7" s="57">
        <f>CW7-CY7</f>
        <v>-14068.760000000009</v>
      </c>
      <c r="DB7" s="43"/>
      <c r="DD7" s="61">
        <v>95601.72</v>
      </c>
      <c r="DE7" s="43">
        <f>DD7/DD13</f>
        <v>0.61579798736876767</v>
      </c>
      <c r="DF7" s="61">
        <v>182160</v>
      </c>
      <c r="DG7" s="43">
        <f>DF7/DF13</f>
        <v>0.63999775143521676</v>
      </c>
      <c r="DH7" s="57">
        <f>DD7-DF7</f>
        <v>-86558.28</v>
      </c>
      <c r="DI7" s="43"/>
      <c r="DK7" s="61">
        <f>CI7+CP7+CW7+DD7</f>
        <v>687132.73</v>
      </c>
      <c r="DL7" s="43">
        <f>DK7/DK13</f>
        <v>0.61394603438211004</v>
      </c>
      <c r="DM7" s="61">
        <f>CK7+CR7+CY7+DF7</f>
        <v>747842</v>
      </c>
      <c r="DN7" s="43">
        <f>DM7/DM13</f>
        <v>0.63999897304675635</v>
      </c>
      <c r="DO7" s="57">
        <f>DK7-DM7</f>
        <v>-60709.270000000019</v>
      </c>
      <c r="DP7" s="43"/>
      <c r="DR7" s="61">
        <f>X7+AZ7+CB7+DK7</f>
        <v>1720810.06</v>
      </c>
      <c r="DS7" s="43">
        <f>DR7/DR13</f>
        <v>0.62266654876791039</v>
      </c>
      <c r="DT7" s="61">
        <f>Z7+BB7+CD7+DM7</f>
        <v>3521998</v>
      </c>
      <c r="DU7" s="43">
        <f>DT7/DT13</f>
        <v>0.62986412488985866</v>
      </c>
      <c r="DV7" s="57">
        <f>DR7-DT7</f>
        <v>-1801187.94</v>
      </c>
      <c r="DW7" s="39"/>
    </row>
    <row r="8" spans="1:129">
      <c r="A8" s="42" t="s">
        <v>27</v>
      </c>
      <c r="B8" s="42"/>
      <c r="C8" s="61">
        <v>39619</v>
      </c>
      <c r="D8" s="43">
        <f>C8/C13</f>
        <v>0.10406195966591118</v>
      </c>
      <c r="E8" s="61">
        <v>30271</v>
      </c>
      <c r="F8" s="43">
        <f>E8/E13</f>
        <v>0.10970734801123494</v>
      </c>
      <c r="G8" s="57">
        <f>C8-E8</f>
        <v>9348</v>
      </c>
      <c r="H8" s="39"/>
      <c r="J8" s="61">
        <v>42120.5</v>
      </c>
      <c r="K8" s="43">
        <f>J8/J13</f>
        <v>0.10319247311472321</v>
      </c>
      <c r="L8" s="61">
        <v>41922</v>
      </c>
      <c r="M8" s="43">
        <f>L8/L13</f>
        <v>0.10970870483433258</v>
      </c>
      <c r="N8" s="57">
        <f>J8-L8</f>
        <v>198.5</v>
      </c>
      <c r="O8" s="39"/>
      <c r="Q8" s="61">
        <v>30980</v>
      </c>
      <c r="R8" s="43">
        <f>Q8/Q13</f>
        <v>0.10124028830149187</v>
      </c>
      <c r="S8" s="61">
        <v>54091</v>
      </c>
      <c r="T8" s="43">
        <f>S8/S13</f>
        <v>0.1097075937993741</v>
      </c>
      <c r="U8" s="57">
        <f>Q8-S8</f>
        <v>-23111</v>
      </c>
      <c r="V8" s="39"/>
      <c r="X8" s="61">
        <f t="shared" si="0"/>
        <v>112719.5</v>
      </c>
      <c r="Y8" s="43">
        <f>X8/X13</f>
        <v>0.10294921679474137</v>
      </c>
      <c r="Z8" s="61">
        <f t="shared" ref="Z8:Z12" si="1">E8+L8+S8</f>
        <v>126284</v>
      </c>
      <c r="AA8" s="43">
        <f>Z8/Z13</f>
        <v>0.10970790370543475</v>
      </c>
      <c r="AB8" s="57">
        <f>X8-Z8</f>
        <v>-13564.5</v>
      </c>
      <c r="AC8" s="39"/>
      <c r="AE8" s="61"/>
      <c r="AF8" s="43" t="e">
        <f>AE8/AE13</f>
        <v>#DIV/0!</v>
      </c>
      <c r="AG8" s="61">
        <v>63681</v>
      </c>
      <c r="AH8" s="43">
        <f>AG8/AG13</f>
        <v>0.10970800693933594</v>
      </c>
      <c r="AI8" s="57">
        <f>AE8-AG8</f>
        <v>-63681</v>
      </c>
      <c r="AJ8" s="39"/>
      <c r="AL8" s="61">
        <v>0</v>
      </c>
      <c r="AM8" s="43" t="e">
        <f>AL8/AL13</f>
        <v>#DIV/0!</v>
      </c>
      <c r="AN8" s="61">
        <v>61375</v>
      </c>
      <c r="AO8" s="43">
        <f>AN8/AN13</f>
        <v>0.10970811831137979</v>
      </c>
      <c r="AP8" s="57">
        <f>AL8-AN8</f>
        <v>-61375</v>
      </c>
      <c r="AQ8" s="39"/>
      <c r="AS8" s="61">
        <v>0</v>
      </c>
      <c r="AT8" s="43" t="e">
        <f>AS8/AS13</f>
        <v>#DIV/0!</v>
      </c>
      <c r="AU8" s="61">
        <v>66605</v>
      </c>
      <c r="AV8" s="43">
        <f>AU8/AU13</f>
        <v>0.10970865150846307</v>
      </c>
      <c r="AW8" s="57">
        <f>AS8-AU8</f>
        <v>-66605</v>
      </c>
      <c r="AX8" s="39"/>
      <c r="AZ8" s="61">
        <f t="shared" ref="AZ8:AZ12" si="2">AE8+AL8+AS8</f>
        <v>0</v>
      </c>
      <c r="BA8" s="43" t="e">
        <f>AZ8/AZ13</f>
        <v>#DIV/0!</v>
      </c>
      <c r="BB8" s="61">
        <f t="shared" ref="BB8:BB12" si="3">AG8+AN8+AU8</f>
        <v>191661</v>
      </c>
      <c r="BC8" s="43">
        <f>BB8/BB13</f>
        <v>0.10970826660011471</v>
      </c>
      <c r="BD8" s="57">
        <f>AZ8-BB8</f>
        <v>-191661</v>
      </c>
      <c r="BE8" s="39"/>
      <c r="BG8" s="61"/>
      <c r="BH8" s="43" t="e">
        <f>BG8/BG13</f>
        <v>#DIV/0!</v>
      </c>
      <c r="BI8" s="61">
        <v>68111</v>
      </c>
      <c r="BJ8" s="43">
        <f>BI8/BI13</f>
        <v>0.1097086987685939</v>
      </c>
      <c r="BK8" s="57">
        <f>BG8-BI8</f>
        <v>-68111</v>
      </c>
      <c r="BL8" s="43"/>
      <c r="BN8" s="61">
        <v>24353</v>
      </c>
      <c r="BO8" s="43">
        <f>BN8/BN13</f>
        <v>0.11020746091793994</v>
      </c>
      <c r="BP8" s="61">
        <v>66939</v>
      </c>
      <c r="BQ8" s="43">
        <f>BP8/BP13</f>
        <v>0.10970818890281978</v>
      </c>
      <c r="BR8" s="57">
        <f>BN8-BP8</f>
        <v>-42586</v>
      </c>
      <c r="BS8" s="43"/>
      <c r="BU8" s="61">
        <v>31826.5</v>
      </c>
      <c r="BV8" s="43">
        <f>BU8/BU13</f>
        <v>9.6875770479927195E-2</v>
      </c>
      <c r="BW8" s="61">
        <v>29409</v>
      </c>
      <c r="BX8" s="43">
        <f>BW8/BW13</f>
        <v>0.10000170018872095</v>
      </c>
      <c r="BY8" s="57">
        <f>BU8-BW8</f>
        <v>2417.5</v>
      </c>
      <c r="BZ8" s="43"/>
      <c r="CB8" s="61">
        <f t="shared" ref="CB8:CB12" si="4">BG8+BN8+BU8</f>
        <v>56179.5</v>
      </c>
      <c r="CC8" s="43">
        <f>CB8/CB13</f>
        <v>0.10223690255460774</v>
      </c>
      <c r="CD8" s="61">
        <f t="shared" ref="CD8:CD12" si="5">BI8+BP8+BW8</f>
        <v>164459</v>
      </c>
      <c r="CE8" s="43">
        <f>CD8/CD13</f>
        <v>0.10783666377063424</v>
      </c>
      <c r="CF8" s="57">
        <f>CB8-CD8</f>
        <v>-108279.5</v>
      </c>
      <c r="CG8" s="43"/>
      <c r="CI8" s="61">
        <v>37943.5</v>
      </c>
      <c r="CJ8" s="43">
        <f>CI8/CI13</f>
        <v>0.10450262879463235</v>
      </c>
      <c r="CK8" s="61">
        <v>31453</v>
      </c>
      <c r="CL8" s="43">
        <f>CK8/CK13</f>
        <v>0.10000063587343574</v>
      </c>
      <c r="CM8" s="57">
        <f>CI8-CK8</f>
        <v>6490.5</v>
      </c>
      <c r="CN8" s="43"/>
      <c r="CP8" s="61">
        <v>34339</v>
      </c>
      <c r="CQ8" s="43">
        <f>CP8/CP13</f>
        <v>0.10261138642448878</v>
      </c>
      <c r="CR8" s="61">
        <v>29710</v>
      </c>
      <c r="CS8" s="43">
        <f>CR8/CR13</f>
        <v>0.1</v>
      </c>
      <c r="CT8" s="57">
        <f>CP8-CR8</f>
        <v>4629</v>
      </c>
      <c r="CU8" s="43"/>
      <c r="CW8" s="61">
        <v>29615</v>
      </c>
      <c r="CX8" s="43">
        <f>CW8/CW13</f>
        <v>0.11124215928712763</v>
      </c>
      <c r="CY8" s="61">
        <v>27225</v>
      </c>
      <c r="CZ8" s="43">
        <f>CY8/CY13</f>
        <v>9.9999632691890938E-2</v>
      </c>
      <c r="DA8" s="57">
        <f>CW8-CY8</f>
        <v>2390</v>
      </c>
      <c r="DB8" s="43"/>
      <c r="DD8" s="61">
        <v>17325.5</v>
      </c>
      <c r="DE8" s="43">
        <f>DD8/DD13</f>
        <v>0.11159849456848249</v>
      </c>
      <c r="DF8" s="61">
        <v>28463</v>
      </c>
      <c r="DG8" s="43">
        <f>DF8/DF13</f>
        <v>0.10000140535298954</v>
      </c>
      <c r="DH8" s="57">
        <f>DD8-DF8</f>
        <v>-11137.5</v>
      </c>
      <c r="DI8" s="43"/>
      <c r="DK8" s="61">
        <f t="shared" ref="DK8:DK12" si="6">CI8+CP8+CW8+DD8</f>
        <v>119223</v>
      </c>
      <c r="DL8" s="43">
        <f>DK8/DK13</f>
        <v>0.10652452555583884</v>
      </c>
      <c r="DM8" s="61">
        <f t="shared" ref="DM8:DM12" si="7">CK8+CR8+CY8+DF8</f>
        <v>116851</v>
      </c>
      <c r="DN8" s="43">
        <f>DM8/DM13</f>
        <v>0.10000042789718487</v>
      </c>
      <c r="DO8" s="57">
        <f>DK8-DM8</f>
        <v>2372</v>
      </c>
      <c r="DP8" s="43"/>
      <c r="DR8" s="61">
        <f t="shared" ref="DR8:DR12" si="8">X8+AZ8+CB8+DK8</f>
        <v>288122</v>
      </c>
      <c r="DS8" s="43">
        <f>DR8/DR13</f>
        <v>0.10425551054955354</v>
      </c>
      <c r="DT8" s="61">
        <f t="shared" ref="DT8:DT12" si="9">Z8+BB8+CD8+DM8</f>
        <v>599255</v>
      </c>
      <c r="DU8" s="43">
        <f>DT8/DT13</f>
        <v>0.10716906317404844</v>
      </c>
      <c r="DV8" s="57">
        <f>DR8-DT8</f>
        <v>-311133</v>
      </c>
      <c r="DW8" s="39"/>
    </row>
    <row r="9" spans="1:129">
      <c r="A9" s="42" t="s">
        <v>28</v>
      </c>
      <c r="B9" s="42"/>
      <c r="C9" s="61">
        <v>4438.1000000000004</v>
      </c>
      <c r="D9" s="43">
        <f>C9/C13</f>
        <v>1.1656967192339041E-2</v>
      </c>
      <c r="E9" s="61">
        <v>4200</v>
      </c>
      <c r="F9" s="43">
        <f>E9/E13</f>
        <v>1.5221527589018754E-2</v>
      </c>
      <c r="G9" s="57">
        <f t="shared" ref="G9:G12" si="10">C9-E9</f>
        <v>238.10000000000036</v>
      </c>
      <c r="H9" s="39"/>
      <c r="J9" s="61">
        <v>4786.6499999999996</v>
      </c>
      <c r="K9" s="43">
        <f>J9/J13</f>
        <v>1.1726979770766961E-2</v>
      </c>
      <c r="L9" s="61">
        <v>5816</v>
      </c>
      <c r="M9" s="43">
        <f>L9/L13</f>
        <v>1.5220309797158492E-2</v>
      </c>
      <c r="N9" s="57">
        <f t="shared" ref="N9:N12" si="11">J9-L9</f>
        <v>-1029.3500000000004</v>
      </c>
      <c r="O9" s="39"/>
      <c r="Q9" s="61">
        <v>2668.45</v>
      </c>
      <c r="R9" s="43">
        <f>Q9/Q13</f>
        <v>8.7202920373826969E-3</v>
      </c>
      <c r="S9" s="61">
        <v>7504</v>
      </c>
      <c r="T9" s="43">
        <f>S9/S13</f>
        <v>1.521964437467422E-2</v>
      </c>
      <c r="U9" s="57">
        <f t="shared" ref="U9" si="12">Q9-S9</f>
        <v>-4835.55</v>
      </c>
      <c r="V9" s="39"/>
      <c r="X9" s="61">
        <f t="shared" si="0"/>
        <v>11893.2</v>
      </c>
      <c r="Y9" s="43">
        <f>X9/X13</f>
        <v>1.0862323069062745E-2</v>
      </c>
      <c r="Z9" s="61">
        <f t="shared" si="1"/>
        <v>17520</v>
      </c>
      <c r="AA9" s="43">
        <f>Z9/Z13</f>
        <v>1.5220316690310862E-2</v>
      </c>
      <c r="AB9" s="57">
        <f t="shared" ref="AB9:AB12" si="13">X9-Z9</f>
        <v>-5626.7999999999993</v>
      </c>
      <c r="AC9" s="39"/>
      <c r="AE9" s="61"/>
      <c r="AF9" s="43" t="e">
        <f>AE9/AE13</f>
        <v>#DIV/0!</v>
      </c>
      <c r="AG9" s="61">
        <v>8834</v>
      </c>
      <c r="AH9" s="43">
        <f>AG9/AG13</f>
        <v>1.5218990488561639E-2</v>
      </c>
      <c r="AI9" s="57">
        <f t="shared" ref="AI9:AI12" si="14">AE9-AG9</f>
        <v>-8834</v>
      </c>
      <c r="AJ9" s="39"/>
      <c r="AL9" s="61">
        <v>0</v>
      </c>
      <c r="AM9" s="43" t="e">
        <f>AL9/AL13</f>
        <v>#DIV/0!</v>
      </c>
      <c r="AN9" s="61">
        <v>8515</v>
      </c>
      <c r="AO9" s="43">
        <f>AN9/AN13</f>
        <v>1.5220604927436236E-2</v>
      </c>
      <c r="AP9" s="57">
        <f t="shared" ref="AP9:AP12" si="15">AL9-AN9</f>
        <v>-8515</v>
      </c>
      <c r="AQ9" s="39"/>
      <c r="AS9" s="61">
        <v>0</v>
      </c>
      <c r="AT9" s="43" t="e">
        <f>AS9/AS13</f>
        <v>#DIV/0!</v>
      </c>
      <c r="AU9" s="61">
        <v>9240</v>
      </c>
      <c r="AV9" s="43">
        <f>AU9/AU13</f>
        <v>1.5219697319093143E-2</v>
      </c>
      <c r="AW9" s="57">
        <f t="shared" ref="AW9:AW12" si="16">AS9-AU9</f>
        <v>-9240</v>
      </c>
      <c r="AX9" s="39"/>
      <c r="AZ9" s="61">
        <f t="shared" si="2"/>
        <v>0</v>
      </c>
      <c r="BA9" s="43" t="e">
        <f>AZ9/AZ13</f>
        <v>#DIV/0!</v>
      </c>
      <c r="BB9" s="61">
        <f t="shared" si="3"/>
        <v>26589</v>
      </c>
      <c r="BC9" s="43">
        <f>BB9/BB13</f>
        <v>1.5219753109033398E-2</v>
      </c>
      <c r="BD9" s="57">
        <f t="shared" ref="BD9:BD12" si="17">AZ9-BB9</f>
        <v>-26589</v>
      </c>
      <c r="BE9" s="39"/>
      <c r="BG9" s="61"/>
      <c r="BH9" s="43" t="e">
        <f>BG9/BG13</f>
        <v>#DIV/0!</v>
      </c>
      <c r="BI9" s="61">
        <v>9449</v>
      </c>
      <c r="BJ9" s="43">
        <f>BI9/BI13</f>
        <v>1.521982491322171E-2</v>
      </c>
      <c r="BK9" s="57">
        <f t="shared" ref="BK9:BK12" si="18">BG9-BI9</f>
        <v>-9449</v>
      </c>
      <c r="BL9" s="43"/>
      <c r="BN9" s="61">
        <v>1977.35</v>
      </c>
      <c r="BO9" s="43">
        <f>BN9/BN13</f>
        <v>8.9483317392554731E-3</v>
      </c>
      <c r="BP9" s="61">
        <v>9286</v>
      </c>
      <c r="BQ9" s="43">
        <f>BP9/BP13</f>
        <v>1.5219083675459514E-2</v>
      </c>
      <c r="BR9" s="57">
        <f t="shared" ref="BR9:BR12" si="19">BN9-BP9</f>
        <v>-7308.65</v>
      </c>
      <c r="BS9" s="43"/>
      <c r="BU9" s="61">
        <v>2567.3000000000002</v>
      </c>
      <c r="BV9" s="43">
        <f>BU9/BU13</f>
        <v>7.8145308328945087E-3</v>
      </c>
      <c r="BW9" s="61">
        <v>2941</v>
      </c>
      <c r="BX9" s="43">
        <f>BW9/BW13</f>
        <v>1.0000510056616285E-2</v>
      </c>
      <c r="BY9" s="57">
        <f t="shared" ref="BY9:BY12" si="20">BU9-BW9</f>
        <v>-373.69999999999982</v>
      </c>
      <c r="BZ9" s="43"/>
      <c r="CB9" s="61">
        <f t="shared" si="4"/>
        <v>4544.6499999999996</v>
      </c>
      <c r="CC9" s="43">
        <f>CB9/CB13</f>
        <v>8.2704712429764946E-3</v>
      </c>
      <c r="CD9" s="61">
        <f t="shared" si="5"/>
        <v>21676</v>
      </c>
      <c r="CE9" s="43">
        <f>CD9/CD13</f>
        <v>1.4213071488287462E-2</v>
      </c>
      <c r="CF9" s="57">
        <f t="shared" ref="CF9:CF12" si="21">CB9-CD9</f>
        <v>-17131.349999999999</v>
      </c>
      <c r="CG9" s="43"/>
      <c r="CI9" s="61">
        <v>3462.16</v>
      </c>
      <c r="CJ9" s="43">
        <f>CI9/CI13</f>
        <v>9.5353570784883924E-3</v>
      </c>
      <c r="CK9" s="61">
        <v>3145</v>
      </c>
      <c r="CL9" s="43">
        <f>CK9/CK13</f>
        <v>9.9991097771899486E-3</v>
      </c>
      <c r="CM9" s="57">
        <f t="shared" ref="CM9:CM12" si="22">CI9-CK9</f>
        <v>317.15999999999985</v>
      </c>
      <c r="CN9" s="43"/>
      <c r="CP9" s="61">
        <v>4550.6499999999996</v>
      </c>
      <c r="CQ9" s="43">
        <f>CP9/CP13</f>
        <v>1.3598197548926872E-2</v>
      </c>
      <c r="CR9" s="61">
        <v>2971</v>
      </c>
      <c r="CS9" s="43">
        <f>CR9/CR13</f>
        <v>0.01</v>
      </c>
      <c r="CT9" s="57">
        <f t="shared" ref="CT9:CT12" si="23">CP9-CR9</f>
        <v>1579.6499999999996</v>
      </c>
      <c r="CU9" s="43"/>
      <c r="CW9" s="61">
        <v>4014.27</v>
      </c>
      <c r="CX9" s="43">
        <f>CW9/CW13</f>
        <v>1.5078712232366634E-2</v>
      </c>
      <c r="CY9" s="61">
        <v>2723</v>
      </c>
      <c r="CZ9" s="43">
        <f>CY9/CY13</f>
        <v>1.00017998097344E-2</v>
      </c>
      <c r="DA9" s="57">
        <f t="shared" ref="DA9:DA12" si="24">CW9-CY9</f>
        <v>1291.27</v>
      </c>
      <c r="DB9" s="43"/>
      <c r="DD9" s="61">
        <v>2232.33</v>
      </c>
      <c r="DE9" s="43">
        <f>DD9/DD13</f>
        <v>1.4379075200142016E-2</v>
      </c>
      <c r="DF9" s="61">
        <v>2846</v>
      </c>
      <c r="DG9" s="43">
        <f>DF9/DF13</f>
        <v>9.9990865205568016E-3</v>
      </c>
      <c r="DH9" s="57">
        <f t="shared" ref="DH9:DH12" si="25">DD9-DF9</f>
        <v>-613.67000000000007</v>
      </c>
      <c r="DI9" s="43"/>
      <c r="DK9" s="61">
        <f t="shared" si="6"/>
        <v>14259.41</v>
      </c>
      <c r="DL9" s="43">
        <f>DK9/DK13</f>
        <v>1.274063632819325E-2</v>
      </c>
      <c r="DM9" s="61">
        <f t="shared" si="7"/>
        <v>11685</v>
      </c>
      <c r="DN9" s="43">
        <f>DM9/DM13</f>
        <v>9.999957210281513E-3</v>
      </c>
      <c r="DO9" s="57">
        <f t="shared" ref="DO9:DO12" si="26">DK9-DM9</f>
        <v>2574.41</v>
      </c>
      <c r="DP9" s="43"/>
      <c r="DR9" s="61">
        <f t="shared" si="8"/>
        <v>30697.26</v>
      </c>
      <c r="DS9" s="43">
        <f>DR9/DR13</f>
        <v>1.1107650626374895E-2</v>
      </c>
      <c r="DT9" s="61">
        <f t="shared" si="9"/>
        <v>77470</v>
      </c>
      <c r="DU9" s="43">
        <f>DT9/DT13</f>
        <v>1.3854514896151943E-2</v>
      </c>
      <c r="DV9" s="57">
        <f t="shared" ref="DV9:DV12" si="27">DR9-DT9</f>
        <v>-46772.740000000005</v>
      </c>
      <c r="DW9" s="39"/>
    </row>
    <row r="10" spans="1:129">
      <c r="A10" s="42" t="s">
        <v>29</v>
      </c>
      <c r="B10" s="42"/>
      <c r="C10" s="61">
        <v>24108.75</v>
      </c>
      <c r="D10" s="43">
        <f>C10/C13</f>
        <v>6.3323248191411607E-2</v>
      </c>
      <c r="E10" s="61">
        <v>18534</v>
      </c>
      <c r="F10" s="43">
        <f>E10/E13</f>
        <v>6.7170426746398476E-2</v>
      </c>
      <c r="G10" s="57">
        <f>C10-E10</f>
        <v>5574.75</v>
      </c>
      <c r="H10" s="39"/>
      <c r="J10" s="61">
        <v>26805.55</v>
      </c>
      <c r="K10" s="43">
        <f>J10/J13</f>
        <v>6.5671846196041564E-2</v>
      </c>
      <c r="L10" s="61">
        <v>25668</v>
      </c>
      <c r="M10" s="43">
        <f>L10/L13</f>
        <v>6.7172440143305395E-2</v>
      </c>
      <c r="N10" s="57">
        <f>J10-L10</f>
        <v>1137.5499999999993</v>
      </c>
      <c r="O10" s="41"/>
      <c r="Q10" s="61">
        <v>23370.27</v>
      </c>
      <c r="R10" s="43">
        <f>Q10/Q13</f>
        <v>7.6372268317743908E-2</v>
      </c>
      <c r="S10" s="61">
        <v>33119</v>
      </c>
      <c r="T10" s="43">
        <f>S10/S13</f>
        <v>6.7172095155228609E-2</v>
      </c>
      <c r="U10" s="57">
        <f>Q10-S10</f>
        <v>-9748.73</v>
      </c>
      <c r="V10" s="41"/>
      <c r="X10" s="61">
        <f t="shared" si="0"/>
        <v>74284.570000000007</v>
      </c>
      <c r="Y10" s="43">
        <f>X10/X13</f>
        <v>6.7845743650691681E-2</v>
      </c>
      <c r="Z10" s="61">
        <f>E10+L10+S10</f>
        <v>77321</v>
      </c>
      <c r="AA10" s="43">
        <f>Z10/Z13</f>
        <v>6.7171809749516323E-2</v>
      </c>
      <c r="AB10" s="57">
        <f>X10-Z10</f>
        <v>-3036.429999999993</v>
      </c>
      <c r="AC10" s="41"/>
      <c r="AE10" s="61"/>
      <c r="AF10" s="43" t="e">
        <f>AE10/AE13</f>
        <v>#DIV/0!</v>
      </c>
      <c r="AG10" s="61">
        <v>38991</v>
      </c>
      <c r="AH10" s="43">
        <f>AG10/AG13</f>
        <v>6.7172702981605936E-2</v>
      </c>
      <c r="AI10" s="57">
        <f>AE10-AG10</f>
        <v>-38991</v>
      </c>
      <c r="AJ10" s="39"/>
      <c r="AL10" s="61">
        <v>0</v>
      </c>
      <c r="AM10" s="43" t="e">
        <f>AL10/AL13</f>
        <v>#DIV/0!</v>
      </c>
      <c r="AN10" s="61">
        <v>37579</v>
      </c>
      <c r="AO10" s="43">
        <f>AN10/AN13</f>
        <v>6.7172649743761165E-2</v>
      </c>
      <c r="AP10" s="57">
        <f>AL10-AN10</f>
        <v>-37579</v>
      </c>
      <c r="AQ10" s="39"/>
      <c r="AS10" s="61">
        <v>0</v>
      </c>
      <c r="AT10" s="43" t="e">
        <f>AS10/AS13</f>
        <v>#DIV/0!</v>
      </c>
      <c r="AU10" s="61">
        <v>40781</v>
      </c>
      <c r="AV10" s="43">
        <f>AU10/AU13</f>
        <v>6.7172562377698863E-2</v>
      </c>
      <c r="AW10" s="57">
        <f>AS10-AU10</f>
        <v>-40781</v>
      </c>
      <c r="AX10" s="39"/>
      <c r="AZ10" s="61">
        <f>AE10+AL10+AS10</f>
        <v>0</v>
      </c>
      <c r="BA10" s="43" t="e">
        <f>AZ10/AZ13</f>
        <v>#DIV/0!</v>
      </c>
      <c r="BB10" s="61">
        <f>AG10+AN10+AU10</f>
        <v>117351</v>
      </c>
      <c r="BC10" s="43">
        <f>BB10/BB13</f>
        <v>6.7172637071652871E-2</v>
      </c>
      <c r="BD10" s="57">
        <f>AZ10-BB10</f>
        <v>-117351</v>
      </c>
      <c r="BE10" s="39"/>
      <c r="BG10" s="61"/>
      <c r="BH10" s="43" t="e">
        <f>BG10/BG13</f>
        <v>#DIV/0!</v>
      </c>
      <c r="BI10" s="61">
        <v>41703</v>
      </c>
      <c r="BJ10" s="43">
        <f>BI10/BI13</f>
        <v>6.7172437120974177E-2</v>
      </c>
      <c r="BK10" s="57">
        <f>BG10-BI10</f>
        <v>-41703</v>
      </c>
      <c r="BL10" s="43"/>
      <c r="BN10" s="61">
        <v>9051.5</v>
      </c>
      <c r="BO10" s="43">
        <f>BN10/BN13</f>
        <v>4.0961804808390477E-2</v>
      </c>
      <c r="BP10" s="61">
        <v>40985</v>
      </c>
      <c r="BQ10" s="43">
        <f>BP10/BP13</f>
        <v>6.7171456433201396E-2</v>
      </c>
      <c r="BR10" s="57">
        <f>BN10-BP10</f>
        <v>-31933.5</v>
      </c>
      <c r="BS10" s="43"/>
      <c r="BU10" s="61">
        <v>12763.5</v>
      </c>
      <c r="BV10" s="43">
        <f>BU10/BU13</f>
        <v>3.885045155830992E-2</v>
      </c>
      <c r="BW10" s="61">
        <v>17645</v>
      </c>
      <c r="BX10" s="43">
        <f>BW10/BW13</f>
        <v>5.9999659962255814E-2</v>
      </c>
      <c r="BY10" s="57">
        <f>BU10-BW10</f>
        <v>-4881.5</v>
      </c>
      <c r="BZ10" s="43"/>
      <c r="CB10" s="61">
        <f t="shared" si="4"/>
        <v>21815</v>
      </c>
      <c r="CC10" s="43">
        <f>CB10/CB13</f>
        <v>3.9699499447819357E-2</v>
      </c>
      <c r="CD10" s="61">
        <f>BI10+BP10+BW10</f>
        <v>100333</v>
      </c>
      <c r="CE10" s="43">
        <f>CD10/CD13</f>
        <v>6.5788895628083863E-2</v>
      </c>
      <c r="CF10" s="57">
        <f>CB10-CD10</f>
        <v>-78518</v>
      </c>
      <c r="CG10" s="43"/>
      <c r="CI10" s="61">
        <v>15230.5</v>
      </c>
      <c r="CJ10" s="43">
        <f>CI10/CI13</f>
        <v>4.1947297636133939E-2</v>
      </c>
      <c r="CK10" s="61">
        <v>18872</v>
      </c>
      <c r="CL10" s="43">
        <f>CK10/CK13</f>
        <v>6.0001017397497206E-2</v>
      </c>
      <c r="CM10" s="57">
        <f>CI10-CK10</f>
        <v>-3641.5</v>
      </c>
      <c r="CN10" s="43"/>
      <c r="CP10" s="61">
        <v>14040</v>
      </c>
      <c r="CQ10" s="43">
        <f>CP10/CP13</f>
        <v>4.1954158985405006E-2</v>
      </c>
      <c r="CR10" s="61">
        <v>17826</v>
      </c>
      <c r="CS10" s="43">
        <f>CR10/CR13</f>
        <v>0.06</v>
      </c>
      <c r="CT10" s="57">
        <f>CP10-CR10</f>
        <v>-3786</v>
      </c>
      <c r="CU10" s="43"/>
      <c r="CW10" s="61">
        <v>11919.5</v>
      </c>
      <c r="CX10" s="43">
        <f>CW10/CW13</f>
        <v>4.4772950113892214E-2</v>
      </c>
      <c r="CY10" s="61">
        <v>16335</v>
      </c>
      <c r="CZ10" s="43">
        <f>CY10/CY13</f>
        <v>5.9999779615134564E-2</v>
      </c>
      <c r="DA10" s="57">
        <f>CW10-CY10</f>
        <v>-4415.5</v>
      </c>
      <c r="DB10" s="43"/>
      <c r="DD10" s="61">
        <v>8218</v>
      </c>
      <c r="DE10" s="43">
        <f>DD10/DD13</f>
        <v>5.293448549039214E-2</v>
      </c>
      <c r="DF10" s="61">
        <v>17078</v>
      </c>
      <c r="DG10" s="43">
        <f>DF10/DF13</f>
        <v>6.0001545888288488E-2</v>
      </c>
      <c r="DH10" s="57">
        <f>DD10-DF10</f>
        <v>-8860</v>
      </c>
      <c r="DI10" s="43"/>
      <c r="DK10" s="61">
        <f>CI10+CP10+CW10+DD10</f>
        <v>49408</v>
      </c>
      <c r="DL10" s="43">
        <f>DK10/DK13</f>
        <v>4.4145540362705897E-2</v>
      </c>
      <c r="DM10" s="61">
        <f>CK10+CR10+CY10+DF10</f>
        <v>70111</v>
      </c>
      <c r="DN10" s="43">
        <f>DM10/DM13</f>
        <v>6.0000599056058812E-2</v>
      </c>
      <c r="DO10" s="57">
        <f>DK10-DM10</f>
        <v>-20703</v>
      </c>
      <c r="DP10" s="43"/>
      <c r="DR10" s="61">
        <f t="shared" si="8"/>
        <v>145507.57</v>
      </c>
      <c r="DS10" s="43">
        <f>DR10/DR13</f>
        <v>5.2651189423837473E-2</v>
      </c>
      <c r="DT10" s="61">
        <f>Z10+BB10+CD10+DM10</f>
        <v>365116</v>
      </c>
      <c r="DU10" s="43">
        <f>DT10/DT13</f>
        <v>6.5296309033476344E-2</v>
      </c>
      <c r="DV10" s="57">
        <f>DR10-DT10</f>
        <v>-219608.43</v>
      </c>
      <c r="DW10" s="39"/>
    </row>
    <row r="11" spans="1:129">
      <c r="A11" s="42" t="s">
        <v>30</v>
      </c>
      <c r="B11" s="42"/>
      <c r="C11" s="61">
        <v>52611.55</v>
      </c>
      <c r="D11" s="43">
        <f>C11/C13</f>
        <v>0.13818776329693</v>
      </c>
      <c r="E11" s="61">
        <v>39334</v>
      </c>
      <c r="F11" s="43">
        <f>E11/E13</f>
        <v>0.14255323004439613</v>
      </c>
      <c r="G11" s="57">
        <f>C11-E11</f>
        <v>13277.550000000003</v>
      </c>
      <c r="H11" s="39"/>
      <c r="J11" s="61">
        <v>59988.95</v>
      </c>
      <c r="K11" s="43">
        <f>J11/J13</f>
        <v>0.14696900820397371</v>
      </c>
      <c r="L11" s="61">
        <v>54473</v>
      </c>
      <c r="M11" s="43">
        <f>L11/L13</f>
        <v>0.14255432179859259</v>
      </c>
      <c r="N11" s="57">
        <f>J11-L11</f>
        <v>5515.9499999999971</v>
      </c>
      <c r="O11" s="41"/>
      <c r="Q11" s="61">
        <v>48442.78</v>
      </c>
      <c r="R11" s="43">
        <f>Q11/Q13</f>
        <v>0.15830732773808084</v>
      </c>
      <c r="S11" s="61">
        <v>70286</v>
      </c>
      <c r="T11" s="43">
        <f>S11/S13</f>
        <v>0.14255436094327723</v>
      </c>
      <c r="U11" s="57">
        <f>Q11-S11</f>
        <v>-21843.22</v>
      </c>
      <c r="V11" s="41"/>
      <c r="X11" s="61">
        <f t="shared" si="0"/>
        <v>161043.28</v>
      </c>
      <c r="Y11" s="43">
        <f>X11/X13</f>
        <v>0.14708439574391508</v>
      </c>
      <c r="Z11" s="61">
        <f>E11+L11+S11</f>
        <v>164093</v>
      </c>
      <c r="AA11" s="43">
        <f>Z11/Z13</f>
        <v>0.14255407686433677</v>
      </c>
      <c r="AB11" s="57">
        <f>X11-Z11</f>
        <v>-3049.7200000000012</v>
      </c>
      <c r="AC11" s="41"/>
      <c r="AE11" s="61"/>
      <c r="AF11" s="43" t="e">
        <f>AE11/AE13</f>
        <v>#DIV/0!</v>
      </c>
      <c r="AG11" s="61">
        <v>82747</v>
      </c>
      <c r="AH11" s="43">
        <f>AG11/AG13</f>
        <v>0.14255442675537808</v>
      </c>
      <c r="AI11" s="57">
        <f>AE11-AG11</f>
        <v>-82747</v>
      </c>
      <c r="AJ11" s="39"/>
      <c r="AL11" s="61">
        <v>0</v>
      </c>
      <c r="AM11" s="43" t="e">
        <f>AL11/AL13</f>
        <v>#DIV/0!</v>
      </c>
      <c r="AN11" s="61">
        <v>79750</v>
      </c>
      <c r="AO11" s="43">
        <f>AN11/AN13</f>
        <v>0.14255352236794361</v>
      </c>
      <c r="AP11" s="57">
        <f>AL11-AN11</f>
        <v>-79750</v>
      </c>
      <c r="AQ11" s="39"/>
      <c r="AS11" s="61">
        <v>0</v>
      </c>
      <c r="AT11" s="43" t="e">
        <f>AS11/AS13</f>
        <v>#DIV/0!</v>
      </c>
      <c r="AU11" s="61">
        <v>86546</v>
      </c>
      <c r="AV11" s="43">
        <f>AU11/AU13</f>
        <v>0.14255453724872674</v>
      </c>
      <c r="AW11" s="57">
        <f>AS11-AU11</f>
        <v>-86546</v>
      </c>
      <c r="AX11" s="39"/>
      <c r="AZ11" s="61">
        <f>AE11+AL11+AS11</f>
        <v>0</v>
      </c>
      <c r="BA11" s="43" t="e">
        <f>AZ11/AZ13</f>
        <v>#DIV/0!</v>
      </c>
      <c r="BB11" s="61">
        <f>AG11+AN11+AU11</f>
        <v>249043</v>
      </c>
      <c r="BC11" s="43">
        <f>BB11/BB13</f>
        <v>0.14255417554375888</v>
      </c>
      <c r="BD11" s="57">
        <f>AZ11-BB11</f>
        <v>-249043</v>
      </c>
      <c r="BE11" s="39"/>
      <c r="BG11" s="61"/>
      <c r="BH11" s="43" t="e">
        <f>BG11/BG13</f>
        <v>#DIV/0!</v>
      </c>
      <c r="BI11" s="61">
        <v>88503</v>
      </c>
      <c r="BJ11" s="43">
        <f>BI11/BI13</f>
        <v>0.14255478508782526</v>
      </c>
      <c r="BK11" s="57">
        <f>BG11-BI11</f>
        <v>-88503</v>
      </c>
      <c r="BL11" s="43"/>
      <c r="BN11" s="61">
        <v>42398.55</v>
      </c>
      <c r="BO11" s="43">
        <f>BN11/BN13</f>
        <v>0.19187108537356065</v>
      </c>
      <c r="BP11" s="61">
        <v>86980</v>
      </c>
      <c r="BQ11" s="43">
        <f>BP11/BP13</f>
        <v>0.14255394121165935</v>
      </c>
      <c r="BR11" s="57">
        <f>BN11-BP11</f>
        <v>-44581.45</v>
      </c>
      <c r="BS11" s="43"/>
      <c r="BU11" s="61">
        <v>67629.649999999994</v>
      </c>
      <c r="BV11" s="43">
        <f>BU11/BU13</f>
        <v>0.20585595183378025</v>
      </c>
      <c r="BW11" s="61">
        <v>44113</v>
      </c>
      <c r="BX11" s="43">
        <f>BW11/BW13</f>
        <v>0.15000085009436048</v>
      </c>
      <c r="BY11" s="57">
        <f>BU11-BW11</f>
        <v>23516.649999999994</v>
      </c>
      <c r="BZ11" s="43"/>
      <c r="CB11" s="61">
        <f t="shared" si="4"/>
        <v>110028.2</v>
      </c>
      <c r="CC11" s="43">
        <f>CB11/CB13</f>
        <v>0.20023215517508861</v>
      </c>
      <c r="CD11" s="61">
        <f>BI11+BP11+BW11</f>
        <v>219596</v>
      </c>
      <c r="CE11" s="43">
        <f>CD11/CD13</f>
        <v>0.14399029555923479</v>
      </c>
      <c r="CF11" s="57">
        <f>CB11-CD11</f>
        <v>-109567.8</v>
      </c>
      <c r="CG11" s="43"/>
      <c r="CI11" s="61">
        <v>74680.149999999994</v>
      </c>
      <c r="CJ11" s="43">
        <f>CI11/CI13</f>
        <v>0.20568139454129067</v>
      </c>
      <c r="CK11" s="61">
        <v>47179</v>
      </c>
      <c r="CL11" s="43">
        <f>CK11/CK13</f>
        <v>0.14999936412656426</v>
      </c>
      <c r="CM11" s="57">
        <f>CI11-CK11</f>
        <v>27501.149999999994</v>
      </c>
      <c r="CN11" s="43"/>
      <c r="CP11" s="61">
        <v>59852.3</v>
      </c>
      <c r="CQ11" s="43">
        <f>CP11/CP13</f>
        <v>0.17884992235342992</v>
      </c>
      <c r="CR11" s="61">
        <v>44565</v>
      </c>
      <c r="CS11" s="43">
        <f>CR11/CR13</f>
        <v>0.15</v>
      </c>
      <c r="CT11" s="57">
        <f>CP11-CR11</f>
        <v>15287.300000000003</v>
      </c>
      <c r="CU11" s="43"/>
      <c r="CW11" s="61">
        <v>46425</v>
      </c>
      <c r="CX11" s="43">
        <f>CW11/CW13</f>
        <v>0.17438518470048625</v>
      </c>
      <c r="CY11" s="61">
        <v>40838</v>
      </c>
      <c r="CZ11" s="43">
        <f>CY11/CY13</f>
        <v>0.15000128557838172</v>
      </c>
      <c r="DA11" s="57">
        <f>CW11-CY11</f>
        <v>5587</v>
      </c>
      <c r="DB11" s="43"/>
      <c r="DD11" s="61">
        <v>23898.95</v>
      </c>
      <c r="DE11" s="43">
        <f>DD11/DD13</f>
        <v>0.15393996373942653</v>
      </c>
      <c r="DF11" s="61">
        <v>42694</v>
      </c>
      <c r="DG11" s="43">
        <f>DF11/DF13</f>
        <v>0.15000035133824738</v>
      </c>
      <c r="DH11" s="57">
        <f>DD11-DF11</f>
        <v>-18795.05</v>
      </c>
      <c r="DI11" s="43"/>
      <c r="DK11" s="61">
        <f>CI11+CP11+CW11+DD11</f>
        <v>204856.40000000002</v>
      </c>
      <c r="DL11" s="43">
        <f>DK11/DK13</f>
        <v>0.18303708862448642</v>
      </c>
      <c r="DM11" s="61">
        <f>CK11+CR11+CY11+DF11</f>
        <v>175276</v>
      </c>
      <c r="DN11" s="43">
        <f>DM11/DM13</f>
        <v>0.15000021394859242</v>
      </c>
      <c r="DO11" s="57">
        <f>DK11-DM11</f>
        <v>29580.400000000023</v>
      </c>
      <c r="DP11" s="43"/>
      <c r="DR11" s="61">
        <f t="shared" si="8"/>
        <v>475927.88</v>
      </c>
      <c r="DS11" s="43">
        <f>DR11/DR13</f>
        <v>0.17221213275684139</v>
      </c>
      <c r="DT11" s="61">
        <f>Z11+BB11+CD11+DM11</f>
        <v>808008</v>
      </c>
      <c r="DU11" s="43">
        <f>DT11/DT13</f>
        <v>0.14450185713450289</v>
      </c>
      <c r="DV11" s="57">
        <f>DR11-DT11</f>
        <v>-332080.12</v>
      </c>
      <c r="DW11" s="39"/>
      <c r="DY11" s="82">
        <f>DR13*0.05</f>
        <v>138180.70550000001</v>
      </c>
    </row>
    <row r="12" spans="1:129">
      <c r="A12" s="42" t="s">
        <v>31</v>
      </c>
      <c r="B12" s="42"/>
      <c r="C12" s="61">
        <f>60+17613.05</f>
        <v>17673.05</v>
      </c>
      <c r="D12" s="43">
        <f>C12/C13</f>
        <v>4.6419450674515549E-2</v>
      </c>
      <c r="E12" s="61">
        <v>10781</v>
      </c>
      <c r="F12" s="43">
        <f>E12/E13</f>
        <v>3.9072211651716954E-2</v>
      </c>
      <c r="G12" s="57">
        <f t="shared" si="10"/>
        <v>6892.0499999999993</v>
      </c>
      <c r="H12" s="39"/>
      <c r="J12" s="61">
        <v>16348.5</v>
      </c>
      <c r="K12" s="43">
        <f>J12/J13</f>
        <v>4.005275689310555E-2</v>
      </c>
      <c r="L12" s="61">
        <v>14930</v>
      </c>
      <c r="M12" s="43">
        <f>L12/L13</f>
        <v>3.9071393616158231E-2</v>
      </c>
      <c r="N12" s="57">
        <f t="shared" si="11"/>
        <v>1418.5</v>
      </c>
      <c r="O12" s="39"/>
      <c r="Q12" s="61">
        <v>15131.28</v>
      </c>
      <c r="R12" s="43">
        <f>Q12/Q13</f>
        <v>4.9447874421258808E-2</v>
      </c>
      <c r="S12" s="61">
        <v>19264</v>
      </c>
      <c r="T12" s="43">
        <f>S12/S13</f>
        <v>3.9071325857372621E-2</v>
      </c>
      <c r="U12" s="57">
        <f t="shared" ref="U12" si="28">Q12-S12</f>
        <v>-4132.7199999999993</v>
      </c>
      <c r="V12" s="39"/>
      <c r="X12" s="61">
        <f t="shared" si="0"/>
        <v>49152.83</v>
      </c>
      <c r="Y12" s="43">
        <f>X12/X13</f>
        <v>4.4892368682837198E-2</v>
      </c>
      <c r="Z12" s="61">
        <f t="shared" si="1"/>
        <v>44975</v>
      </c>
      <c r="AA12" s="43">
        <f>Z12/Z13</f>
        <v>3.9071560681891035E-2</v>
      </c>
      <c r="AB12" s="57">
        <f t="shared" si="13"/>
        <v>4177.8300000000017</v>
      </c>
      <c r="AC12" s="39"/>
      <c r="AE12" s="61"/>
      <c r="AF12" s="43" t="e">
        <f>AE12/AE13</f>
        <v>#DIV/0!</v>
      </c>
      <c r="AG12" s="61">
        <v>22679</v>
      </c>
      <c r="AH12" s="43">
        <f>AG12/AG13</f>
        <v>3.9070804311760174E-2</v>
      </c>
      <c r="AI12" s="57">
        <f t="shared" si="14"/>
        <v>-22679</v>
      </c>
      <c r="AJ12" s="39"/>
      <c r="AL12" s="61">
        <v>0</v>
      </c>
      <c r="AM12" s="43" t="e">
        <f>AL12/AL13</f>
        <v>#DIV/0!</v>
      </c>
      <c r="AN12" s="61">
        <v>21858</v>
      </c>
      <c r="AO12" s="43">
        <f>AN12/AN13</f>
        <v>3.9071283911203902E-2</v>
      </c>
      <c r="AP12" s="57">
        <f t="shared" si="15"/>
        <v>-21858</v>
      </c>
      <c r="AQ12" s="39"/>
      <c r="AS12" s="61">
        <v>0</v>
      </c>
      <c r="AT12" s="43" t="e">
        <f>AS12/AS13</f>
        <v>#DIV/0!</v>
      </c>
      <c r="AU12" s="61">
        <v>23720</v>
      </c>
      <c r="AV12" s="43">
        <f>AU12/AU13</f>
        <v>3.9070478399230453E-2</v>
      </c>
      <c r="AW12" s="57">
        <f t="shared" si="16"/>
        <v>-23720</v>
      </c>
      <c r="AX12" s="39"/>
      <c r="AZ12" s="61">
        <f t="shared" si="2"/>
        <v>0</v>
      </c>
      <c r="BA12" s="43" t="e">
        <f>AZ12/AZ13</f>
        <v>#DIV/0!</v>
      </c>
      <c r="BB12" s="61">
        <f t="shared" si="3"/>
        <v>68257</v>
      </c>
      <c r="BC12" s="43">
        <f>BB12/BB13</f>
        <v>3.9070844633618887E-2</v>
      </c>
      <c r="BD12" s="57">
        <f t="shared" si="17"/>
        <v>-68257</v>
      </c>
      <c r="BE12" s="39"/>
      <c r="BG12" s="61"/>
      <c r="BH12" s="43" t="e">
        <f>BG12/BG13</f>
        <v>#DIV/0!</v>
      </c>
      <c r="BI12" s="61">
        <v>24257</v>
      </c>
      <c r="BJ12" s="43">
        <f>BI12/BI13</f>
        <v>3.9071572962220233E-2</v>
      </c>
      <c r="BK12" s="57">
        <f t="shared" si="18"/>
        <v>-24257</v>
      </c>
      <c r="BL12" s="43"/>
      <c r="BN12" s="61">
        <v>3630</v>
      </c>
      <c r="BO12" s="43">
        <f>BN12/BN13</f>
        <v>1.6427260835713133E-2</v>
      </c>
      <c r="BP12" s="61">
        <v>23840</v>
      </c>
      <c r="BQ12" s="43">
        <f>BP12/BP13</f>
        <v>3.9072039072039072E-2</v>
      </c>
      <c r="BR12" s="57">
        <f t="shared" si="19"/>
        <v>-20210</v>
      </c>
      <c r="BS12" s="43"/>
      <c r="BU12" s="61">
        <v>5439</v>
      </c>
      <c r="BV12" s="43">
        <f>BU12/BU13</f>
        <v>1.6555616094773979E-2</v>
      </c>
      <c r="BW12" s="61">
        <v>11763</v>
      </c>
      <c r="BX12" s="43">
        <f>BW12/BW13</f>
        <v>3.9998639849023243E-2</v>
      </c>
      <c r="BY12" s="57">
        <f t="shared" si="20"/>
        <v>-6324</v>
      </c>
      <c r="BZ12" s="43"/>
      <c r="CB12" s="61">
        <f t="shared" si="4"/>
        <v>9069</v>
      </c>
      <c r="CC12" s="43">
        <f>CB12/CB13</f>
        <v>1.6504000022565839E-2</v>
      </c>
      <c r="CD12" s="61">
        <f t="shared" si="5"/>
        <v>59860</v>
      </c>
      <c r="CE12" s="43">
        <f>CD12/CD13</f>
        <v>3.9250528662524792E-2</v>
      </c>
      <c r="CF12" s="57">
        <f t="shared" si="21"/>
        <v>-50791</v>
      </c>
      <c r="CG12" s="43"/>
      <c r="CI12" s="61">
        <v>7775</v>
      </c>
      <c r="CJ12" s="43">
        <f>CI12/CI13</f>
        <v>2.1413626546793695E-2</v>
      </c>
      <c r="CK12" s="61">
        <v>12581</v>
      </c>
      <c r="CL12" s="43">
        <f>CK12/CK13</f>
        <v>3.9999618475938546E-2</v>
      </c>
      <c r="CM12" s="57">
        <f t="shared" si="22"/>
        <v>-4806</v>
      </c>
      <c r="CN12" s="43"/>
      <c r="CP12" s="61">
        <v>14504.5</v>
      </c>
      <c r="CQ12" s="43">
        <f>CP12/CP13</f>
        <v>4.3342172293718444E-2</v>
      </c>
      <c r="CR12" s="61">
        <v>11884</v>
      </c>
      <c r="CS12" s="43">
        <f>CR12/CR13</f>
        <v>0.04</v>
      </c>
      <c r="CT12" s="57">
        <f t="shared" si="23"/>
        <v>2620.5</v>
      </c>
      <c r="CU12" s="43"/>
      <c r="CW12" s="61">
        <v>14076</v>
      </c>
      <c r="CX12" s="43">
        <f>CW12/CW13</f>
        <v>5.2873362624535153E-2</v>
      </c>
      <c r="CY12" s="61">
        <v>10890</v>
      </c>
      <c r="CZ12" s="43">
        <f>CY12/CY13</f>
        <v>3.9999853076756374E-2</v>
      </c>
      <c r="DA12" s="57">
        <f t="shared" si="24"/>
        <v>3186</v>
      </c>
      <c r="DB12" s="43"/>
      <c r="DD12" s="61">
        <v>7972.01</v>
      </c>
      <c r="DE12" s="43">
        <f>DD12/DD13</f>
        <v>5.134999363278913E-2</v>
      </c>
      <c r="DF12" s="61">
        <v>11385</v>
      </c>
      <c r="DG12" s="43">
        <f>DF12/DF13</f>
        <v>3.9999859464701047E-2</v>
      </c>
      <c r="DH12" s="57">
        <f t="shared" si="25"/>
        <v>-3412.99</v>
      </c>
      <c r="DI12" s="43"/>
      <c r="DK12" s="61">
        <f t="shared" si="6"/>
        <v>44327.51</v>
      </c>
      <c r="DL12" s="43">
        <f>DK12/DK13</f>
        <v>3.9606174746665508E-2</v>
      </c>
      <c r="DM12" s="61">
        <f t="shared" si="7"/>
        <v>46740</v>
      </c>
      <c r="DN12" s="43">
        <f>DM12/DM13</f>
        <v>3.9999828841126052E-2</v>
      </c>
      <c r="DO12" s="57">
        <f t="shared" si="26"/>
        <v>-2412.489999999998</v>
      </c>
      <c r="DP12" s="43"/>
      <c r="DR12" s="61">
        <f t="shared" si="8"/>
        <v>102549.34</v>
      </c>
      <c r="DS12" s="43">
        <f>DR12/DR13</f>
        <v>3.7106967875482441E-2</v>
      </c>
      <c r="DT12" s="61">
        <f t="shared" si="9"/>
        <v>219832</v>
      </c>
      <c r="DU12" s="43">
        <f>DT12/DT13</f>
        <v>3.9314130871961714E-2</v>
      </c>
      <c r="DV12" s="57">
        <f t="shared" si="27"/>
        <v>-117282.66</v>
      </c>
      <c r="DW12" s="39"/>
    </row>
    <row r="13" spans="1:129" ht="16.7" thickBot="1">
      <c r="A13" s="44" t="s">
        <v>32</v>
      </c>
      <c r="B13" s="4"/>
      <c r="C13" s="53">
        <f>SUM(C7:C12)</f>
        <v>380725.1</v>
      </c>
      <c r="D13" s="45"/>
      <c r="E13" s="53">
        <f>SUM(E7:E12)</f>
        <v>275925</v>
      </c>
      <c r="F13" s="45"/>
      <c r="G13" s="58">
        <f>SUM(G7:G12)</f>
        <v>104800.1</v>
      </c>
      <c r="H13" s="38">
        <f>G13/E13</f>
        <v>0.37981371749569631</v>
      </c>
      <c r="J13" s="53">
        <f>SUM(J7:J12)</f>
        <v>408174.15</v>
      </c>
      <c r="K13" s="45"/>
      <c r="L13" s="53">
        <f>SUM(L7:L12)</f>
        <v>382121</v>
      </c>
      <c r="M13" s="45"/>
      <c r="N13" s="58">
        <f>SUM(N7:N12)</f>
        <v>26053.149999999998</v>
      </c>
      <c r="O13" s="38">
        <f>N13/L13</f>
        <v>6.8180366951829385E-2</v>
      </c>
      <c r="Q13" s="53">
        <f>SUM(Q7:Q12)</f>
        <v>306004.66000000003</v>
      </c>
      <c r="R13" s="45"/>
      <c r="S13" s="53">
        <f>SUM(S7:S12)</f>
        <v>493047</v>
      </c>
      <c r="T13" s="45"/>
      <c r="U13" s="58">
        <f>SUM(U7:U12)</f>
        <v>-187042.34</v>
      </c>
      <c r="V13" s="38">
        <f>U13/S13</f>
        <v>-0.37936006100838254</v>
      </c>
      <c r="X13" s="53">
        <f>SUM(X7:X12)</f>
        <v>1094903.9100000001</v>
      </c>
      <c r="Y13" s="45"/>
      <c r="Z13" s="53">
        <f>SUM(Z7:Z12)</f>
        <v>1151093</v>
      </c>
      <c r="AA13" s="45"/>
      <c r="AB13" s="58">
        <f>SUM(AB7:AB12)</f>
        <v>-56189.089999999967</v>
      </c>
      <c r="AC13" s="38">
        <f>AB13/Z13</f>
        <v>-4.8813684037692845E-2</v>
      </c>
      <c r="AE13" s="53">
        <f>SUM(AE7:AE12)</f>
        <v>0</v>
      </c>
      <c r="AF13" s="45"/>
      <c r="AG13" s="53">
        <f>SUM(AG7:AG12)</f>
        <v>580459</v>
      </c>
      <c r="AH13" s="45"/>
      <c r="AI13" s="58">
        <f>SUM(AI7:AI12)</f>
        <v>-580459</v>
      </c>
      <c r="AJ13" s="38">
        <f>AI13/AG13</f>
        <v>-1</v>
      </c>
      <c r="AL13" s="53">
        <f>SUM(AL7:AL12)</f>
        <v>0</v>
      </c>
      <c r="AM13" s="45"/>
      <c r="AN13" s="53">
        <f>SUM(AN7:AN12)</f>
        <v>559439</v>
      </c>
      <c r="AO13" s="45"/>
      <c r="AP13" s="58">
        <f>SUM(AP7:AP12)</f>
        <v>-559439</v>
      </c>
      <c r="AQ13" s="38">
        <f>AP13/AN13</f>
        <v>-1</v>
      </c>
      <c r="AS13" s="53">
        <f>SUM(AS7:AS12)</f>
        <v>0</v>
      </c>
      <c r="AT13" s="45"/>
      <c r="AU13" s="53">
        <f>SUM(AU7:AU12)</f>
        <v>607108</v>
      </c>
      <c r="AV13" s="45"/>
      <c r="AW13" s="58">
        <f>SUM(AW7:AW12)</f>
        <v>-607108</v>
      </c>
      <c r="AX13" s="38">
        <f>AW13/AU13</f>
        <v>-1</v>
      </c>
      <c r="AZ13" s="53">
        <f>SUM(AZ7:AZ12)</f>
        <v>0</v>
      </c>
      <c r="BA13" s="45"/>
      <c r="BB13" s="53">
        <f>SUM(BB7:BB12)</f>
        <v>1747006</v>
      </c>
      <c r="BC13" s="45"/>
      <c r="BD13" s="58">
        <f>SUM(BD7:BD12)</f>
        <v>-1747006</v>
      </c>
      <c r="BE13" s="38">
        <f>BD13/BB13</f>
        <v>-1</v>
      </c>
      <c r="BG13" s="53">
        <f>SUM(BG7:BG12)</f>
        <v>0</v>
      </c>
      <c r="BH13" s="68"/>
      <c r="BI13" s="53">
        <f>SUM(BI7:BI12)</f>
        <v>620835</v>
      </c>
      <c r="BJ13" s="68"/>
      <c r="BK13" s="58">
        <f>SUM(BK7:BK12)</f>
        <v>-620835</v>
      </c>
      <c r="BL13" s="68">
        <f>BK13/BI13</f>
        <v>-1</v>
      </c>
      <c r="BN13" s="53">
        <f>SUM(BN7:BN12)</f>
        <v>220974.15000000002</v>
      </c>
      <c r="BO13" s="68"/>
      <c r="BP13" s="53">
        <f>SUM(BP7:BP12)</f>
        <v>610155</v>
      </c>
      <c r="BQ13" s="68"/>
      <c r="BR13" s="58">
        <f>SUM(BR7:BR12)</f>
        <v>-389180.85000000003</v>
      </c>
      <c r="BS13" s="68">
        <f>BR13/BP13</f>
        <v>-0.63783931951717188</v>
      </c>
      <c r="BU13" s="53">
        <f>SUM(BU7:BU12)</f>
        <v>328529</v>
      </c>
      <c r="BV13" s="68"/>
      <c r="BW13" s="53">
        <f>SUM(BW7:BW12)</f>
        <v>294085</v>
      </c>
      <c r="BX13" s="68"/>
      <c r="BY13" s="58">
        <f>SUM(BY7:BY12)</f>
        <v>34444.000000000015</v>
      </c>
      <c r="BZ13" s="68">
        <f>BY13/BW13</f>
        <v>0.11712260060866761</v>
      </c>
      <c r="CB13" s="53">
        <f>SUM(CB7:CB12)</f>
        <v>549503.15</v>
      </c>
      <c r="CC13" s="68"/>
      <c r="CD13" s="53">
        <f>SUM(CD7:CD12)</f>
        <v>1525075</v>
      </c>
      <c r="CE13" s="68"/>
      <c r="CF13" s="58">
        <f>SUM(CF7:CF12)</f>
        <v>-975571.85</v>
      </c>
      <c r="CG13" s="68">
        <f>CF13/CD13</f>
        <v>-0.63968778584659769</v>
      </c>
      <c r="CI13" s="53">
        <f>SUM(CI7:CI12)</f>
        <v>363086.55999999994</v>
      </c>
      <c r="CJ13" s="68"/>
      <c r="CK13" s="53">
        <f>SUM(CK7:CK12)</f>
        <v>314528</v>
      </c>
      <c r="CL13" s="68"/>
      <c r="CM13" s="58">
        <f>SUM(CM7:CM12)</f>
        <v>48558.559999999998</v>
      </c>
      <c r="CN13" s="68">
        <f>CM13/CK13</f>
        <v>0.15438549191168988</v>
      </c>
      <c r="CP13" s="53">
        <f>SUM(CP7:CP12)</f>
        <v>334650.96999999997</v>
      </c>
      <c r="CQ13" s="68"/>
      <c r="CR13" s="53">
        <f>SUM(CR7:CR12)</f>
        <v>297100</v>
      </c>
      <c r="CS13" s="68"/>
      <c r="CT13" s="58">
        <f>SUM(CT7:CT12)</f>
        <v>37550.969999999994</v>
      </c>
      <c r="CU13" s="68">
        <f>CT13/CR13</f>
        <v>0.12639168630090877</v>
      </c>
      <c r="CW13" s="53">
        <f>SUM(CW7:CW12)</f>
        <v>266221.01</v>
      </c>
      <c r="CX13" s="68"/>
      <c r="CY13" s="53">
        <f>SUM(CY7:CY12)</f>
        <v>272251</v>
      </c>
      <c r="CZ13" s="68"/>
      <c r="DA13" s="58">
        <f>SUM(DA7:DA12)</f>
        <v>-6029.9900000000089</v>
      </c>
      <c r="DB13" s="68">
        <f>DA13/CY13</f>
        <v>-2.2148642245574886E-2</v>
      </c>
      <c r="DD13" s="53">
        <f>SUM(DD7:DD12)</f>
        <v>155248.51</v>
      </c>
      <c r="DE13" s="68"/>
      <c r="DF13" s="53">
        <f>SUM(DF7:DF12)</f>
        <v>284626</v>
      </c>
      <c r="DG13" s="68"/>
      <c r="DH13" s="58">
        <f>SUM(DH7:DH12)</f>
        <v>-129377.49</v>
      </c>
      <c r="DI13" s="68">
        <f>DH13/DF13</f>
        <v>-0.45455260587578089</v>
      </c>
      <c r="DK13" s="53">
        <f>SUM(DK7:DK12)</f>
        <v>1119207.05</v>
      </c>
      <c r="DL13" s="68"/>
      <c r="DM13" s="53">
        <f>SUM(DM7:DM12)</f>
        <v>1168505</v>
      </c>
      <c r="DN13" s="68"/>
      <c r="DO13" s="58">
        <f>SUM(DO7:DO12)</f>
        <v>-49297.94999999999</v>
      </c>
      <c r="DP13" s="68">
        <f>DO13/DM13</f>
        <v>-4.2188908049173933E-2</v>
      </c>
      <c r="DR13" s="53">
        <f>SUM(DR7:DR12)</f>
        <v>2763614.11</v>
      </c>
      <c r="DS13" s="45"/>
      <c r="DT13" s="53">
        <f>SUM(DT7:DT12)</f>
        <v>5591679</v>
      </c>
      <c r="DU13" s="45"/>
      <c r="DV13" s="58">
        <f>SUM(DV7:DV12)</f>
        <v>-2828064.8900000006</v>
      </c>
      <c r="DW13" s="38">
        <f>DV13/DT13</f>
        <v>-0.50576309727364543</v>
      </c>
      <c r="DY13" s="64"/>
    </row>
    <row r="14" spans="1:129" ht="16.7" thickTop="1">
      <c r="C14" s="61"/>
      <c r="D14" s="61"/>
      <c r="E14" s="61"/>
      <c r="F14" s="61"/>
      <c r="G14" s="57"/>
      <c r="H14" s="57"/>
      <c r="J14" s="61"/>
      <c r="K14" s="61"/>
      <c r="L14" s="61"/>
      <c r="M14" s="61"/>
      <c r="N14" s="57"/>
      <c r="O14" s="57"/>
      <c r="Q14" s="61"/>
      <c r="R14" s="61"/>
      <c r="S14" s="61"/>
      <c r="T14" s="61"/>
      <c r="U14" s="57"/>
      <c r="V14" s="57"/>
      <c r="X14" s="61"/>
      <c r="Y14" s="61"/>
      <c r="Z14" s="61"/>
      <c r="AA14" s="61"/>
      <c r="AB14" s="57"/>
      <c r="AC14" s="57"/>
      <c r="AE14" s="61"/>
      <c r="AF14" s="61"/>
      <c r="AG14" s="61"/>
      <c r="AH14" s="61"/>
      <c r="AI14" s="57"/>
      <c r="AJ14" s="57"/>
      <c r="AL14" s="61"/>
      <c r="AM14" s="61"/>
      <c r="AN14" s="61"/>
      <c r="AO14" s="61"/>
      <c r="AP14" s="57"/>
      <c r="AQ14" s="57"/>
      <c r="AS14" s="61"/>
      <c r="AT14" s="61"/>
      <c r="AU14" s="61"/>
      <c r="AV14" s="61"/>
      <c r="AW14" s="57"/>
      <c r="AX14" s="57"/>
      <c r="AZ14" s="61"/>
      <c r="BA14" s="61"/>
      <c r="BB14" s="61"/>
      <c r="BC14" s="61"/>
      <c r="BD14" s="57"/>
      <c r="BE14" s="57"/>
      <c r="BG14" s="61"/>
      <c r="BH14" s="43"/>
      <c r="BI14" s="61"/>
      <c r="BJ14" s="43"/>
      <c r="BK14" s="57"/>
      <c r="BN14" s="61"/>
      <c r="BO14" s="43"/>
      <c r="BP14" s="61"/>
      <c r="BQ14" s="43"/>
      <c r="BR14" s="57"/>
      <c r="BU14" s="61"/>
      <c r="BV14" s="43"/>
      <c r="BW14" s="61"/>
      <c r="BX14" s="43"/>
      <c r="BY14" s="57"/>
      <c r="CB14" s="61"/>
      <c r="CC14" s="43"/>
      <c r="CD14" s="61"/>
      <c r="CE14" s="43"/>
      <c r="CF14" s="57"/>
      <c r="CI14" s="61"/>
      <c r="CJ14" s="43"/>
      <c r="CK14" s="61"/>
      <c r="CL14" s="43"/>
      <c r="CM14" s="57"/>
      <c r="CP14" s="61"/>
      <c r="CQ14" s="43"/>
      <c r="CR14" s="61"/>
      <c r="CS14" s="43"/>
      <c r="CT14" s="57"/>
      <c r="CW14" s="61"/>
      <c r="CX14" s="43"/>
      <c r="CY14" s="61"/>
      <c r="CZ14" s="43"/>
      <c r="DA14" s="57"/>
      <c r="DD14" s="61"/>
      <c r="DE14" s="43"/>
      <c r="DF14" s="61"/>
      <c r="DG14" s="43"/>
      <c r="DH14" s="57"/>
      <c r="DK14" s="61"/>
      <c r="DL14" s="43"/>
      <c r="DM14" s="61"/>
      <c r="DN14" s="43"/>
      <c r="DO14" s="57"/>
      <c r="DP14" s="66"/>
      <c r="DR14" s="61"/>
      <c r="DS14" s="61"/>
      <c r="DT14" s="61"/>
      <c r="DU14" s="61"/>
      <c r="DV14" s="57"/>
      <c r="DW14" s="57"/>
    </row>
    <row r="15" spans="1:129">
      <c r="A15" s="5" t="s">
        <v>33</v>
      </c>
      <c r="B15" s="5"/>
      <c r="C15" s="61"/>
      <c r="D15" s="61"/>
      <c r="E15" s="61"/>
      <c r="F15" s="61"/>
      <c r="G15" s="57"/>
      <c r="H15" s="57"/>
      <c r="J15" s="61"/>
      <c r="K15" s="61"/>
      <c r="L15" s="61"/>
      <c r="M15" s="61"/>
      <c r="N15" s="57"/>
      <c r="O15" s="57"/>
      <c r="Q15" s="61"/>
      <c r="R15" s="61"/>
      <c r="S15" s="61"/>
      <c r="T15" s="61"/>
      <c r="U15" s="57"/>
      <c r="V15" s="57"/>
      <c r="X15" s="61"/>
      <c r="Y15" s="61"/>
      <c r="Z15" s="61"/>
      <c r="AA15" s="61"/>
      <c r="AB15" s="57"/>
      <c r="AC15" s="57"/>
      <c r="AE15" s="61"/>
      <c r="AF15" s="61"/>
      <c r="AG15" s="61"/>
      <c r="AH15" s="61"/>
      <c r="AI15" s="57"/>
      <c r="AJ15" s="57"/>
      <c r="AL15" s="61"/>
      <c r="AM15" s="61"/>
      <c r="AN15" s="61"/>
      <c r="AO15" s="61"/>
      <c r="AP15" s="57"/>
      <c r="AQ15" s="57"/>
      <c r="AS15" s="61"/>
      <c r="AT15" s="61"/>
      <c r="AU15" s="61"/>
      <c r="AV15" s="61"/>
      <c r="AW15" s="57"/>
      <c r="AX15" s="57"/>
      <c r="AZ15" s="61"/>
      <c r="BA15" s="61"/>
      <c r="BB15" s="61"/>
      <c r="BC15" s="61"/>
      <c r="BD15" s="57"/>
      <c r="BE15" s="57"/>
      <c r="BG15" s="61"/>
      <c r="BH15" s="43"/>
      <c r="BI15" s="61"/>
      <c r="BJ15" s="43"/>
      <c r="BK15" s="57"/>
      <c r="BN15" s="61"/>
      <c r="BO15" s="43"/>
      <c r="BP15" s="61"/>
      <c r="BQ15" s="43"/>
      <c r="BR15" s="57"/>
      <c r="BU15" s="61"/>
      <c r="BV15" s="43"/>
      <c r="BW15" s="61"/>
      <c r="BX15" s="43"/>
      <c r="BY15" s="57"/>
      <c r="CB15" s="61"/>
      <c r="CC15" s="43"/>
      <c r="CD15" s="61"/>
      <c r="CE15" s="43"/>
      <c r="CF15" s="57"/>
      <c r="CI15" s="61"/>
      <c r="CJ15" s="43"/>
      <c r="CK15" s="61"/>
      <c r="CL15" s="43"/>
      <c r="CM15" s="57"/>
      <c r="CP15" s="61"/>
      <c r="CQ15" s="43"/>
      <c r="CR15" s="61"/>
      <c r="CS15" s="43"/>
      <c r="CT15" s="57"/>
      <c r="CW15" s="61"/>
      <c r="CX15" s="43"/>
      <c r="CY15" s="61"/>
      <c r="CZ15" s="43"/>
      <c r="DA15" s="57"/>
      <c r="DD15" s="61"/>
      <c r="DE15" s="43"/>
      <c r="DF15" s="61"/>
      <c r="DG15" s="43"/>
      <c r="DH15" s="57"/>
      <c r="DK15" s="61"/>
      <c r="DL15" s="43"/>
      <c r="DM15" s="61"/>
      <c r="DN15" s="43"/>
      <c r="DO15" s="57"/>
      <c r="DP15" s="66"/>
      <c r="DR15" s="61"/>
      <c r="DS15" s="61"/>
      <c r="DT15" s="61"/>
      <c r="DU15" s="61"/>
      <c r="DV15" s="57"/>
      <c r="DW15" s="57"/>
    </row>
    <row r="16" spans="1:129">
      <c r="A16" s="42" t="s">
        <v>26</v>
      </c>
      <c r="B16" s="42"/>
      <c r="C16" s="61">
        <v>76323.47</v>
      </c>
      <c r="D16" s="39">
        <f t="shared" ref="D16:D21" si="29">C16/C7</f>
        <v>0.31502870812113443</v>
      </c>
      <c r="E16" s="61">
        <v>52878</v>
      </c>
      <c r="F16" s="39">
        <f t="shared" ref="F16:F21" si="30">E16/E7</f>
        <v>0.30599809033303432</v>
      </c>
      <c r="G16" s="57">
        <f t="shared" ref="G16:G18" si="31">E16-C16</f>
        <v>-23445.47</v>
      </c>
      <c r="H16" s="39"/>
      <c r="J16" s="61">
        <v>79545.11</v>
      </c>
      <c r="K16" s="39">
        <f t="shared" ref="K16:K21" si="32">J16/J7</f>
        <v>0.30816626892501281</v>
      </c>
      <c r="L16" s="61">
        <v>73230</v>
      </c>
      <c r="M16" s="39">
        <f t="shared" ref="M16:M21" si="33">L16/L7</f>
        <v>0.30600220632479774</v>
      </c>
      <c r="N16" s="57">
        <f t="shared" ref="N16:N18" si="34">L16-J16</f>
        <v>-6315.1100000000006</v>
      </c>
      <c r="O16" s="39"/>
      <c r="Q16" s="61">
        <v>51601.54</v>
      </c>
      <c r="R16" s="39">
        <f t="shared" ref="R16:R21" si="35">Q16/Q7</f>
        <v>0.27830762516404017</v>
      </c>
      <c r="S16" s="61">
        <v>94488</v>
      </c>
      <c r="T16" s="39">
        <f t="shared" ref="T16:T21" si="36">S16/S7</f>
        <v>0.30600130188514263</v>
      </c>
      <c r="U16" s="57">
        <f t="shared" ref="U16:U18" si="37">S16-Q16</f>
        <v>42886.46</v>
      </c>
      <c r="V16" s="39"/>
      <c r="X16" s="61">
        <f t="shared" ref="X16:X22" si="38">C16+J16+Q16</f>
        <v>207470.12000000002</v>
      </c>
      <c r="Y16" s="39">
        <f t="shared" ref="Y16:Y21" si="39">X16/X7</f>
        <v>0.30251813135619254</v>
      </c>
      <c r="Z16" s="61">
        <f t="shared" ref="Z16:Z22" si="40">E16+L16+S16</f>
        <v>220596</v>
      </c>
      <c r="AA16" s="39">
        <f t="shared" ref="AA16:AA21" si="41">Z16/Z7</f>
        <v>0.30600083229296715</v>
      </c>
      <c r="AB16" s="57">
        <f t="shared" ref="AB16:AB18" si="42">Z16-X16</f>
        <v>13125.879999999976</v>
      </c>
      <c r="AC16" s="39"/>
      <c r="AE16" s="61"/>
      <c r="AF16" s="39" t="e">
        <f t="shared" ref="AF16:AF21" si="43">AE16/AE7</f>
        <v>#DIV/0!</v>
      </c>
      <c r="AG16" s="61">
        <v>111239</v>
      </c>
      <c r="AH16" s="39">
        <f t="shared" ref="AH16:AH21" si="44">AG16/AG7</f>
        <v>0.30599927928324444</v>
      </c>
      <c r="AI16" s="57">
        <f t="shared" ref="AI16:AI18" si="45">AG16-AE16</f>
        <v>111239</v>
      </c>
      <c r="AJ16" s="39"/>
      <c r="AL16" s="61">
        <v>0</v>
      </c>
      <c r="AM16" s="39" t="e">
        <f t="shared" ref="AM16:AM21" si="46">AL16/AL7</f>
        <v>#DIV/0!</v>
      </c>
      <c r="AN16" s="61">
        <v>107211</v>
      </c>
      <c r="AO16" s="39">
        <f t="shared" ref="AO16:AO21" si="47">AN16/AN7</f>
        <v>0.30600065075550431</v>
      </c>
      <c r="AP16" s="57">
        <f t="shared" ref="AP16:AP18" si="48">AN16-AL16</f>
        <v>107211</v>
      </c>
      <c r="AQ16" s="39"/>
      <c r="AS16" s="61">
        <v>0</v>
      </c>
      <c r="AT16" s="39" t="e">
        <f t="shared" ref="AT16:AT21" si="49">AS16/AS7</f>
        <v>#DIV/0!</v>
      </c>
      <c r="AU16" s="61">
        <v>116346</v>
      </c>
      <c r="AV16" s="39">
        <f t="shared" ref="AV16:AV21" si="50">AU16/AU7</f>
        <v>0.30599974751194059</v>
      </c>
      <c r="AW16" s="57">
        <f t="shared" ref="AW16:AW18" si="51">AU16-AS16</f>
        <v>116346</v>
      </c>
      <c r="AX16" s="39"/>
      <c r="AZ16" s="61">
        <f t="shared" ref="AZ16:AZ21" si="52">AE16+AL16+AS16</f>
        <v>0</v>
      </c>
      <c r="BA16" s="39" t="e">
        <f t="shared" ref="BA16:BA21" si="53">AZ16/AZ7</f>
        <v>#DIV/0!</v>
      </c>
      <c r="BB16" s="61">
        <f t="shared" ref="BB16:BB22" si="54">AG16+AN16+AU16</f>
        <v>334796</v>
      </c>
      <c r="BC16" s="39">
        <f t="shared" ref="BC16:BC21" si="55">BB16/BB7</f>
        <v>0.30599988118142224</v>
      </c>
      <c r="BD16" s="57">
        <f t="shared" ref="BD16:BD18" si="56">BB16-AZ16</f>
        <v>334796</v>
      </c>
      <c r="BE16" s="39"/>
      <c r="BG16" s="61">
        <v>-141.01</v>
      </c>
      <c r="BH16" s="43" t="e">
        <f t="shared" ref="BH16:BH21" si="57">BG16/BG7</f>
        <v>#DIV/0!</v>
      </c>
      <c r="BI16" s="61">
        <v>118977</v>
      </c>
      <c r="BJ16" s="43">
        <f t="shared" ref="BJ16:BJ21" si="58">BI16/BI7</f>
        <v>0.30600135798277833</v>
      </c>
      <c r="BK16" s="57">
        <f t="shared" ref="BK16:BK22" si="59">BG16-BI16</f>
        <v>-119118.01</v>
      </c>
      <c r="BL16" s="43"/>
      <c r="BN16" s="61">
        <v>46006.23</v>
      </c>
      <c r="BO16" s="43">
        <f t="shared" ref="BO16:BO21" si="60">BN16/BN7</f>
        <v>0.32964312007953356</v>
      </c>
      <c r="BP16" s="61">
        <v>116930</v>
      </c>
      <c r="BQ16" s="43">
        <f t="shared" ref="BQ16:BQ21" si="61">BP16/BP7</f>
        <v>0.30599934576382076</v>
      </c>
      <c r="BR16" s="57">
        <f t="shared" ref="BR16:BR22" si="62">BN16-BP16</f>
        <v>-70923.76999999999</v>
      </c>
      <c r="BS16" s="43"/>
      <c r="BU16" s="61">
        <v>67933.11</v>
      </c>
      <c r="BV16" s="43">
        <f t="shared" ref="BV16:BV21" si="63">BU16/BU7</f>
        <v>0.32612633372387007</v>
      </c>
      <c r="BW16" s="61">
        <v>57782</v>
      </c>
      <c r="BX16" s="43">
        <f t="shared" ref="BX16:BX21" si="64">BW16/BW7</f>
        <v>0.30700160455651543</v>
      </c>
      <c r="BY16" s="57">
        <f t="shared" ref="BY16:BY22" si="65">BU16-BW16</f>
        <v>10151.11</v>
      </c>
      <c r="BZ16" s="43"/>
      <c r="CB16" s="61">
        <f t="shared" ref="CB16:CB22" si="66">BG16+BN16+BU16</f>
        <v>113798.33</v>
      </c>
      <c r="CC16" s="43">
        <f t="shared" ref="CC16:CC21" si="67">CB16/CB7</f>
        <v>0.32713190796017322</v>
      </c>
      <c r="CD16" s="61">
        <f t="shared" ref="CD16:CD22" si="68">BI16+BP16+BW16</f>
        <v>293689</v>
      </c>
      <c r="CE16" s="43">
        <f t="shared" ref="CE16:CE21" si="69">CD16/CD7</f>
        <v>0.30619683449217067</v>
      </c>
      <c r="CF16" s="57">
        <f t="shared" ref="CF16:CF22" si="70">CB16-CD16</f>
        <v>-179890.66999999998</v>
      </c>
      <c r="CG16" s="43"/>
      <c r="CI16" s="61">
        <v>73790.41</v>
      </c>
      <c r="CJ16" s="43">
        <f t="shared" ref="CJ16:CJ21" si="71">CI16/CI7</f>
        <v>0.3294284588624089</v>
      </c>
      <c r="CK16" s="61">
        <v>61798</v>
      </c>
      <c r="CL16" s="43">
        <f t="shared" ref="CL16:CL21" si="72">CK16/CK7</f>
        <v>0.30699758566900814</v>
      </c>
      <c r="CM16" s="57">
        <f t="shared" ref="CM16:CM22" si="73">CI16-CK16</f>
        <v>11992.410000000003</v>
      </c>
      <c r="CN16" s="43"/>
      <c r="CP16" s="61">
        <v>68562.289999999994</v>
      </c>
      <c r="CQ16" s="43">
        <f t="shared" ref="CQ16:CQ21" si="74">CP16/CP7</f>
        <v>0.3306365524825558</v>
      </c>
      <c r="CR16" s="61">
        <v>58374</v>
      </c>
      <c r="CS16" s="43">
        <f t="shared" ref="CS16:CS21" si="75">CR16/CR7</f>
        <v>0.30699890609222485</v>
      </c>
      <c r="CT16" s="57">
        <f t="shared" ref="CT16:CT22" si="76">CP16-CR16</f>
        <v>10188.289999999994</v>
      </c>
      <c r="CU16" s="43"/>
      <c r="CW16" s="61">
        <v>54262.84</v>
      </c>
      <c r="CX16" s="43">
        <f>CW16/CW7</f>
        <v>0.33878017052249831</v>
      </c>
      <c r="CY16" s="61">
        <v>53492</v>
      </c>
      <c r="CZ16" s="43">
        <f>CY16/CY7</f>
        <v>0.30700183654729107</v>
      </c>
      <c r="DA16" s="57">
        <f t="shared" ref="DA16:DA22" si="77">CW16-CY16</f>
        <v>770.83999999999651</v>
      </c>
      <c r="DB16" s="43"/>
      <c r="DD16" s="61">
        <v>32137.26</v>
      </c>
      <c r="DE16" s="43">
        <f t="shared" ref="DE16:DE21" si="78">DD16/DD7</f>
        <v>0.3361577595047453</v>
      </c>
      <c r="DF16" s="61">
        <v>55923</v>
      </c>
      <c r="DG16" s="43">
        <f t="shared" ref="DG16:DG21" si="79">DF16/DF7</f>
        <v>0.30699934123847167</v>
      </c>
      <c r="DH16" s="57">
        <f t="shared" ref="DH16:DH22" si="80">DD16-DF16</f>
        <v>-23785.74</v>
      </c>
      <c r="DI16" s="43"/>
      <c r="DK16" s="61">
        <f t="shared" ref="DK16:DK22" si="81">CI16+CP16+CW16+DD16</f>
        <v>228752.80000000002</v>
      </c>
      <c r="DL16" s="43">
        <f t="shared" ref="DL16:DL21" si="82">DK16/DK7</f>
        <v>0.33290918917513945</v>
      </c>
      <c r="DM16" s="61">
        <f t="shared" ref="DM16:DM22" si="83">CK16+CR16+CY16+DF16</f>
        <v>229587</v>
      </c>
      <c r="DN16" s="43">
        <f t="shared" ref="DN16:DN21" si="84">DM16/DM7</f>
        <v>0.30699933943266089</v>
      </c>
      <c r="DO16" s="57">
        <f t="shared" ref="DO16:DO22" si="85">DK16-DM16</f>
        <v>-834.19999999998254</v>
      </c>
      <c r="DP16" s="43"/>
      <c r="DR16" s="61">
        <f t="shared" ref="DR16:DR22" si="86">X16+AZ16+CB16+DK16</f>
        <v>550021.25</v>
      </c>
      <c r="DS16" s="39">
        <f t="shared" ref="DS16:DS21" si="87">DR16/DR7</f>
        <v>0.3196292622789525</v>
      </c>
      <c r="DT16" s="61">
        <f t="shared" ref="DT16:DT22" si="88">Z16+BB16+CD16+DM16</f>
        <v>1078668</v>
      </c>
      <c r="DU16" s="39">
        <f t="shared" ref="DU16:DU21" si="89">DT16/DT7</f>
        <v>0.30626593200791141</v>
      </c>
      <c r="DV16" s="57">
        <f t="shared" ref="DV16:DV18" si="90">DT16-DR16</f>
        <v>528646.75</v>
      </c>
      <c r="DW16" s="41"/>
    </row>
    <row r="17" spans="1:129">
      <c r="A17" s="42" t="s">
        <v>27</v>
      </c>
      <c r="B17" s="42"/>
      <c r="C17" s="61">
        <v>9132.67</v>
      </c>
      <c r="D17" s="39">
        <f t="shared" si="29"/>
        <v>0.23051238042353417</v>
      </c>
      <c r="E17" s="61">
        <v>7719</v>
      </c>
      <c r="F17" s="39">
        <f t="shared" si="30"/>
        <v>0.25499653133361966</v>
      </c>
      <c r="G17" s="57">
        <f t="shared" si="31"/>
        <v>-1413.67</v>
      </c>
      <c r="H17" s="39"/>
      <c r="J17" s="61">
        <v>9901.1200000000008</v>
      </c>
      <c r="K17" s="39">
        <f t="shared" si="32"/>
        <v>0.23506653529753921</v>
      </c>
      <c r="L17" s="61">
        <v>10690</v>
      </c>
      <c r="M17" s="39">
        <f t="shared" si="33"/>
        <v>0.25499737607938555</v>
      </c>
      <c r="N17" s="57">
        <f t="shared" si="34"/>
        <v>788.8799999999992</v>
      </c>
      <c r="O17" s="39"/>
      <c r="Q17" s="61">
        <v>7627.83</v>
      </c>
      <c r="R17" s="39">
        <f t="shared" si="35"/>
        <v>0.24621788250484183</v>
      </c>
      <c r="S17" s="61">
        <v>13793</v>
      </c>
      <c r="T17" s="39">
        <f t="shared" si="36"/>
        <v>0.25499621009040319</v>
      </c>
      <c r="U17" s="57">
        <f t="shared" si="37"/>
        <v>6165.17</v>
      </c>
      <c r="V17" s="39"/>
      <c r="X17" s="61">
        <f t="shared" si="38"/>
        <v>26661.620000000003</v>
      </c>
      <c r="Y17" s="39">
        <f t="shared" si="39"/>
        <v>0.23653068013963868</v>
      </c>
      <c r="Z17" s="61">
        <f t="shared" si="40"/>
        <v>32202</v>
      </c>
      <c r="AA17" s="39">
        <f t="shared" si="41"/>
        <v>0.25499667416299771</v>
      </c>
      <c r="AB17" s="57">
        <f t="shared" si="42"/>
        <v>5540.3799999999974</v>
      </c>
      <c r="AC17" s="39"/>
      <c r="AE17" s="61"/>
      <c r="AF17" s="39" t="e">
        <f t="shared" si="43"/>
        <v>#DIV/0!</v>
      </c>
      <c r="AG17" s="61">
        <v>16239</v>
      </c>
      <c r="AH17" s="39">
        <f t="shared" si="44"/>
        <v>0.25500541762849199</v>
      </c>
      <c r="AI17" s="57">
        <f t="shared" si="45"/>
        <v>16239</v>
      </c>
      <c r="AJ17" s="39"/>
      <c r="AL17" s="61">
        <v>0</v>
      </c>
      <c r="AM17" s="39" t="e">
        <f t="shared" si="46"/>
        <v>#DIV/0!</v>
      </c>
      <c r="AN17" s="61">
        <v>15651</v>
      </c>
      <c r="AO17" s="39">
        <f t="shared" si="47"/>
        <v>0.25500610997963341</v>
      </c>
      <c r="AP17" s="57">
        <f t="shared" si="48"/>
        <v>15651</v>
      </c>
      <c r="AQ17" s="39"/>
      <c r="AS17" s="61">
        <v>0</v>
      </c>
      <c r="AT17" s="39" t="e">
        <f t="shared" si="49"/>
        <v>#DIV/0!</v>
      </c>
      <c r="AU17" s="61">
        <v>16984</v>
      </c>
      <c r="AV17" s="39">
        <f t="shared" si="50"/>
        <v>0.25499587118084227</v>
      </c>
      <c r="AW17" s="57">
        <f t="shared" si="51"/>
        <v>16984</v>
      </c>
      <c r="AX17" s="39"/>
      <c r="AZ17" s="61">
        <f t="shared" si="52"/>
        <v>0</v>
      </c>
      <c r="BA17" s="39" t="e">
        <f t="shared" si="53"/>
        <v>#DIV/0!</v>
      </c>
      <c r="BB17" s="61">
        <f t="shared" si="54"/>
        <v>48874</v>
      </c>
      <c r="BC17" s="39">
        <f t="shared" si="55"/>
        <v>0.25500232180777521</v>
      </c>
      <c r="BD17" s="57">
        <f t="shared" si="56"/>
        <v>48874</v>
      </c>
      <c r="BE17" s="39"/>
      <c r="BG17" s="61"/>
      <c r="BH17" s="43" t="e">
        <f t="shared" si="57"/>
        <v>#DIV/0!</v>
      </c>
      <c r="BI17" s="61">
        <v>17368</v>
      </c>
      <c r="BJ17" s="43">
        <f t="shared" si="58"/>
        <v>0.25499552201553349</v>
      </c>
      <c r="BK17" s="57">
        <f t="shared" si="59"/>
        <v>-17368</v>
      </c>
      <c r="BL17" s="43"/>
      <c r="BN17" s="61">
        <v>6682.93</v>
      </c>
      <c r="BO17" s="43">
        <f t="shared" si="60"/>
        <v>0.27441916806964234</v>
      </c>
      <c r="BP17" s="61">
        <v>17069</v>
      </c>
      <c r="BQ17" s="43">
        <f t="shared" si="61"/>
        <v>0.25499335215644092</v>
      </c>
      <c r="BR17" s="57">
        <f t="shared" si="62"/>
        <v>-10386.07</v>
      </c>
      <c r="BS17" s="43"/>
      <c r="BU17" s="61">
        <v>8091.64</v>
      </c>
      <c r="BV17" s="43">
        <f t="shared" si="63"/>
        <v>0.25424221953403608</v>
      </c>
      <c r="BW17" s="61">
        <v>7293</v>
      </c>
      <c r="BX17" s="43">
        <f t="shared" si="64"/>
        <v>0.24798531061919821</v>
      </c>
      <c r="BY17" s="57">
        <f t="shared" si="65"/>
        <v>798.64000000000033</v>
      </c>
      <c r="BZ17" s="43"/>
      <c r="CB17" s="61">
        <f t="shared" si="66"/>
        <v>14774.57</v>
      </c>
      <c r="CC17" s="43">
        <f t="shared" si="67"/>
        <v>0.26298863464430977</v>
      </c>
      <c r="CD17" s="61">
        <f t="shared" si="68"/>
        <v>41730</v>
      </c>
      <c r="CE17" s="43">
        <f t="shared" si="69"/>
        <v>0.25374105400130126</v>
      </c>
      <c r="CF17" s="57">
        <f t="shared" si="70"/>
        <v>-26955.43</v>
      </c>
      <c r="CG17" s="43"/>
      <c r="CI17" s="61">
        <v>8904.3700000000008</v>
      </c>
      <c r="CJ17" s="43">
        <f t="shared" si="71"/>
        <v>0.23467445016933072</v>
      </c>
      <c r="CK17" s="61">
        <v>7800</v>
      </c>
      <c r="CL17" s="43">
        <f t="shared" si="72"/>
        <v>0.24798906304645027</v>
      </c>
      <c r="CM17" s="57">
        <f t="shared" si="73"/>
        <v>1104.3700000000008</v>
      </c>
      <c r="CN17" s="43"/>
      <c r="CP17" s="61">
        <v>8974.69</v>
      </c>
      <c r="CQ17" s="43">
        <f t="shared" si="74"/>
        <v>0.26135560150266463</v>
      </c>
      <c r="CR17" s="61">
        <v>7368</v>
      </c>
      <c r="CS17" s="43">
        <f t="shared" si="75"/>
        <v>0.24799730730393807</v>
      </c>
      <c r="CT17" s="57">
        <f t="shared" si="76"/>
        <v>1606.6900000000005</v>
      </c>
      <c r="CU17" s="43"/>
      <c r="CW17" s="61">
        <v>7334.45</v>
      </c>
      <c r="CX17" s="43">
        <f t="shared" ref="CX17:CX20" si="91">CW17/CW8</f>
        <v>0.24765996960999492</v>
      </c>
      <c r="CY17" s="61">
        <v>6752</v>
      </c>
      <c r="CZ17" s="43">
        <f t="shared" ref="CZ17:CZ21" si="92">CY17/CY8</f>
        <v>0.24800734618916437</v>
      </c>
      <c r="DA17" s="57">
        <f t="shared" si="77"/>
        <v>582.44999999999982</v>
      </c>
      <c r="DB17" s="43"/>
      <c r="DD17" s="61">
        <v>3956.14</v>
      </c>
      <c r="DE17" s="43">
        <f t="shared" si="78"/>
        <v>0.22834203919078813</v>
      </c>
      <c r="DF17" s="61">
        <v>7059</v>
      </c>
      <c r="DG17" s="43">
        <f t="shared" si="79"/>
        <v>0.24800618346625444</v>
      </c>
      <c r="DH17" s="57">
        <f t="shared" si="80"/>
        <v>-3102.86</v>
      </c>
      <c r="DI17" s="43"/>
      <c r="DK17" s="61">
        <f t="shared" si="81"/>
        <v>29169.65</v>
      </c>
      <c r="DL17" s="43">
        <f t="shared" si="82"/>
        <v>0.24466462008169565</v>
      </c>
      <c r="DM17" s="61">
        <f t="shared" si="83"/>
        <v>28979</v>
      </c>
      <c r="DN17" s="43">
        <f t="shared" si="84"/>
        <v>0.24799958922046025</v>
      </c>
      <c r="DO17" s="57">
        <f t="shared" si="85"/>
        <v>190.65000000000146</v>
      </c>
      <c r="DP17" s="43"/>
      <c r="DR17" s="61">
        <f t="shared" si="86"/>
        <v>70605.84</v>
      </c>
      <c r="DS17" s="39">
        <f t="shared" si="87"/>
        <v>0.24505535849397128</v>
      </c>
      <c r="DT17" s="61">
        <f t="shared" si="88"/>
        <v>151785</v>
      </c>
      <c r="DU17" s="39">
        <f t="shared" si="89"/>
        <v>0.25328950113057047</v>
      </c>
      <c r="DV17" s="57">
        <f t="shared" si="90"/>
        <v>81179.16</v>
      </c>
      <c r="DW17" s="41"/>
    </row>
    <row r="18" spans="1:129">
      <c r="A18" s="42" t="s">
        <v>28</v>
      </c>
      <c r="B18" s="42"/>
      <c r="C18" s="61">
        <v>952.46</v>
      </c>
      <c r="D18" s="39">
        <f t="shared" si="29"/>
        <v>0.21460985556882448</v>
      </c>
      <c r="E18" s="61">
        <v>819</v>
      </c>
      <c r="F18" s="39">
        <f t="shared" si="30"/>
        <v>0.19500000000000001</v>
      </c>
      <c r="G18" s="57">
        <f t="shared" si="31"/>
        <v>-133.46000000000004</v>
      </c>
      <c r="H18" s="39"/>
      <c r="J18" s="61">
        <v>1468.9</v>
      </c>
      <c r="K18" s="39">
        <f t="shared" si="32"/>
        <v>0.30687432755685085</v>
      </c>
      <c r="L18" s="61">
        <v>1134</v>
      </c>
      <c r="M18" s="39">
        <f t="shared" si="33"/>
        <v>0.19497936726272352</v>
      </c>
      <c r="N18" s="57">
        <f t="shared" si="34"/>
        <v>-334.90000000000009</v>
      </c>
      <c r="O18" s="39"/>
      <c r="Q18" s="61">
        <v>881.32</v>
      </c>
      <c r="R18" s="39">
        <f t="shared" si="35"/>
        <v>0.33027412917611354</v>
      </c>
      <c r="S18" s="61">
        <v>1463</v>
      </c>
      <c r="T18" s="39">
        <f t="shared" si="36"/>
        <v>0.19496268656716417</v>
      </c>
      <c r="U18" s="57">
        <f t="shared" si="37"/>
        <v>581.67999999999995</v>
      </c>
      <c r="V18" s="39"/>
      <c r="X18" s="61">
        <f t="shared" si="38"/>
        <v>3302.6800000000003</v>
      </c>
      <c r="Y18" s="39">
        <f t="shared" si="39"/>
        <v>0.27769481720647093</v>
      </c>
      <c r="Z18" s="61">
        <f t="shared" si="40"/>
        <v>3416</v>
      </c>
      <c r="AA18" s="39">
        <f t="shared" si="41"/>
        <v>0.19497716894977168</v>
      </c>
      <c r="AB18" s="57">
        <f t="shared" si="42"/>
        <v>113.31999999999971</v>
      </c>
      <c r="AC18" s="39"/>
      <c r="AE18" s="61"/>
      <c r="AF18" s="39" t="e">
        <f t="shared" si="43"/>
        <v>#DIV/0!</v>
      </c>
      <c r="AG18" s="61">
        <v>1723</v>
      </c>
      <c r="AH18" s="39">
        <f t="shared" si="44"/>
        <v>0.19504188363142405</v>
      </c>
      <c r="AI18" s="57">
        <f t="shared" si="45"/>
        <v>1723</v>
      </c>
      <c r="AJ18" s="39"/>
      <c r="AL18" s="61">
        <v>0</v>
      </c>
      <c r="AM18" s="39" t="e">
        <f t="shared" si="46"/>
        <v>#DIV/0!</v>
      </c>
      <c r="AN18" s="61">
        <v>1660</v>
      </c>
      <c r="AO18" s="39">
        <f t="shared" si="47"/>
        <v>0.19495008807985909</v>
      </c>
      <c r="AP18" s="57">
        <f t="shared" si="48"/>
        <v>1660</v>
      </c>
      <c r="AQ18" s="39"/>
      <c r="AS18" s="61">
        <v>0</v>
      </c>
      <c r="AT18" s="39" t="e">
        <f t="shared" si="49"/>
        <v>#DIV/0!</v>
      </c>
      <c r="AU18" s="61">
        <v>1802</v>
      </c>
      <c r="AV18" s="39">
        <f t="shared" si="50"/>
        <v>0.19502164502164501</v>
      </c>
      <c r="AW18" s="57">
        <f t="shared" si="51"/>
        <v>1802</v>
      </c>
      <c r="AX18" s="39"/>
      <c r="AZ18" s="61">
        <f t="shared" si="52"/>
        <v>0</v>
      </c>
      <c r="BA18" s="39" t="e">
        <f t="shared" si="53"/>
        <v>#DIV/0!</v>
      </c>
      <c r="BB18" s="61">
        <f t="shared" si="54"/>
        <v>5185</v>
      </c>
      <c r="BC18" s="39">
        <f t="shared" si="55"/>
        <v>0.19500545338297792</v>
      </c>
      <c r="BD18" s="57">
        <f t="shared" si="56"/>
        <v>5185</v>
      </c>
      <c r="BE18" s="39"/>
      <c r="BG18" s="61"/>
      <c r="BH18" s="43" t="e">
        <f t="shared" si="57"/>
        <v>#DIV/0!</v>
      </c>
      <c r="BI18" s="61">
        <v>1843</v>
      </c>
      <c r="BJ18" s="43">
        <f t="shared" si="58"/>
        <v>0.19504709493068051</v>
      </c>
      <c r="BK18" s="57">
        <f t="shared" si="59"/>
        <v>-1843</v>
      </c>
      <c r="BL18" s="43"/>
      <c r="BN18" s="61">
        <v>732.21</v>
      </c>
      <c r="BO18" s="43">
        <f t="shared" si="60"/>
        <v>0.37029863200748481</v>
      </c>
      <c r="BP18" s="61">
        <v>1811</v>
      </c>
      <c r="BQ18" s="43">
        <f t="shared" si="61"/>
        <v>0.19502476846866251</v>
      </c>
      <c r="BR18" s="57">
        <f t="shared" si="62"/>
        <v>-1078.79</v>
      </c>
      <c r="BS18" s="43"/>
      <c r="BU18" s="61">
        <v>815.22</v>
      </c>
      <c r="BV18" s="43">
        <f t="shared" si="63"/>
        <v>0.31753982783469015</v>
      </c>
      <c r="BW18" s="61">
        <v>573</v>
      </c>
      <c r="BX18" s="43">
        <f t="shared" si="64"/>
        <v>0.19483168990139407</v>
      </c>
      <c r="BY18" s="57">
        <f t="shared" si="65"/>
        <v>242.22000000000003</v>
      </c>
      <c r="BZ18" s="43"/>
      <c r="CB18" s="61">
        <f t="shared" si="66"/>
        <v>1547.43</v>
      </c>
      <c r="CC18" s="43">
        <f t="shared" si="67"/>
        <v>0.34049486759156372</v>
      </c>
      <c r="CD18" s="61">
        <f t="shared" si="68"/>
        <v>4227</v>
      </c>
      <c r="CE18" s="43">
        <f t="shared" si="69"/>
        <v>0.19500830411515041</v>
      </c>
      <c r="CF18" s="57">
        <f t="shared" si="70"/>
        <v>-2679.5699999999997</v>
      </c>
      <c r="CG18" s="43"/>
      <c r="CI18" s="61">
        <v>1366.06</v>
      </c>
      <c r="CJ18" s="43">
        <f t="shared" si="71"/>
        <v>0.39456870855188669</v>
      </c>
      <c r="CK18" s="61">
        <v>613</v>
      </c>
      <c r="CL18" s="43">
        <f t="shared" si="72"/>
        <v>0.19491255961844198</v>
      </c>
      <c r="CM18" s="57">
        <f t="shared" si="73"/>
        <v>753.06</v>
      </c>
      <c r="CN18" s="43"/>
      <c r="CP18" s="61">
        <v>841.32</v>
      </c>
      <c r="CQ18" s="43">
        <f t="shared" si="74"/>
        <v>0.1848790832078934</v>
      </c>
      <c r="CR18" s="61">
        <v>579</v>
      </c>
      <c r="CS18" s="43">
        <f t="shared" si="75"/>
        <v>0.19488387748232919</v>
      </c>
      <c r="CT18" s="57">
        <f t="shared" si="76"/>
        <v>262.32000000000005</v>
      </c>
      <c r="CU18" s="43"/>
      <c r="CW18" s="61">
        <v>902.35</v>
      </c>
      <c r="CX18" s="43">
        <f t="shared" si="91"/>
        <v>0.22478557745243843</v>
      </c>
      <c r="CY18" s="61">
        <v>531</v>
      </c>
      <c r="CZ18" s="43">
        <f t="shared" si="92"/>
        <v>0.19500550863018729</v>
      </c>
      <c r="DA18" s="57">
        <f t="shared" si="77"/>
        <v>371.35</v>
      </c>
      <c r="DB18" s="43"/>
      <c r="DD18" s="61">
        <v>409.7</v>
      </c>
      <c r="DE18" s="43">
        <f t="shared" si="78"/>
        <v>0.18353021282695658</v>
      </c>
      <c r="DF18" s="61">
        <v>555</v>
      </c>
      <c r="DG18" s="43">
        <f t="shared" si="79"/>
        <v>0.19501054111033028</v>
      </c>
      <c r="DH18" s="57">
        <f t="shared" si="80"/>
        <v>-145.30000000000001</v>
      </c>
      <c r="DI18" s="43"/>
      <c r="DK18" s="61">
        <f t="shared" si="81"/>
        <v>3519.43</v>
      </c>
      <c r="DL18" s="43">
        <f t="shared" si="82"/>
        <v>0.2468145596486811</v>
      </c>
      <c r="DM18" s="61">
        <f t="shared" si="83"/>
        <v>2278</v>
      </c>
      <c r="DN18" s="43">
        <f t="shared" si="84"/>
        <v>0.1949507916131793</v>
      </c>
      <c r="DO18" s="57">
        <f t="shared" si="85"/>
        <v>1241.4299999999998</v>
      </c>
      <c r="DP18" s="43"/>
      <c r="DR18" s="61">
        <f t="shared" si="86"/>
        <v>8369.5400000000009</v>
      </c>
      <c r="DS18" s="39">
        <f t="shared" si="87"/>
        <v>0.27264778680572799</v>
      </c>
      <c r="DT18" s="61">
        <f t="shared" si="88"/>
        <v>15106</v>
      </c>
      <c r="DU18" s="39">
        <f t="shared" si="89"/>
        <v>0.19499160965535045</v>
      </c>
      <c r="DV18" s="57">
        <f t="shared" si="90"/>
        <v>6736.4599999999991</v>
      </c>
      <c r="DW18" s="41"/>
    </row>
    <row r="19" spans="1:129">
      <c r="A19" s="42" t="s">
        <v>29</v>
      </c>
      <c r="B19" s="42"/>
      <c r="C19" s="61">
        <v>4843.34</v>
      </c>
      <c r="D19" s="39">
        <f t="shared" si="29"/>
        <v>0.2008955254834863</v>
      </c>
      <c r="E19" s="61">
        <v>3781</v>
      </c>
      <c r="F19" s="39">
        <f t="shared" si="30"/>
        <v>0.20400345311319737</v>
      </c>
      <c r="G19" s="57">
        <f>E19-C19</f>
        <v>-1062.3400000000001</v>
      </c>
      <c r="H19" s="39"/>
      <c r="J19" s="61">
        <v>5729.01</v>
      </c>
      <c r="K19" s="39">
        <f t="shared" si="32"/>
        <v>0.21372476968389009</v>
      </c>
      <c r="L19" s="61">
        <v>5236</v>
      </c>
      <c r="M19" s="39">
        <f t="shared" si="33"/>
        <v>0.20398940314788841</v>
      </c>
      <c r="N19" s="57">
        <f>L19-J19</f>
        <v>-493.01000000000022</v>
      </c>
      <c r="O19" s="39"/>
      <c r="Q19" s="61">
        <v>4553.91</v>
      </c>
      <c r="R19" s="39">
        <f t="shared" si="35"/>
        <v>0.19485910945829893</v>
      </c>
      <c r="S19" s="61">
        <v>6756</v>
      </c>
      <c r="T19" s="39">
        <f t="shared" si="36"/>
        <v>0.20399166641504876</v>
      </c>
      <c r="U19" s="57">
        <f>S19-Q19</f>
        <v>2202.09</v>
      </c>
      <c r="V19" s="39"/>
      <c r="X19" s="61">
        <f t="shared" si="38"/>
        <v>15126.26</v>
      </c>
      <c r="Y19" s="39">
        <f t="shared" si="39"/>
        <v>0.20362586739076499</v>
      </c>
      <c r="Z19" s="61">
        <f>E19+L19+S19</f>
        <v>15773</v>
      </c>
      <c r="AA19" s="39">
        <f t="shared" si="41"/>
        <v>0.20399374038100904</v>
      </c>
      <c r="AB19" s="57">
        <f>Z19-X19</f>
        <v>646.73999999999978</v>
      </c>
      <c r="AC19" s="39"/>
      <c r="AE19" s="61"/>
      <c r="AF19" s="39" t="e">
        <f t="shared" si="43"/>
        <v>#DIV/0!</v>
      </c>
      <c r="AG19" s="61">
        <v>7954</v>
      </c>
      <c r="AH19" s="39">
        <f t="shared" si="44"/>
        <v>0.20399579390115669</v>
      </c>
      <c r="AI19" s="57">
        <f>AG19-AE19</f>
        <v>7954</v>
      </c>
      <c r="AJ19" s="39"/>
      <c r="AL19" s="61">
        <v>-320.11</v>
      </c>
      <c r="AM19" s="39" t="e">
        <f t="shared" si="46"/>
        <v>#DIV/0!</v>
      </c>
      <c r="AN19" s="61">
        <v>7666</v>
      </c>
      <c r="AO19" s="39">
        <f t="shared" si="47"/>
        <v>0.2039969131695894</v>
      </c>
      <c r="AP19" s="57">
        <f>AN19-AL19</f>
        <v>7986.11</v>
      </c>
      <c r="AQ19" s="39"/>
      <c r="AS19" s="61">
        <v>0</v>
      </c>
      <c r="AT19" s="39" t="e">
        <f t="shared" si="49"/>
        <v>#DIV/0!</v>
      </c>
      <c r="AU19" s="61">
        <v>8319</v>
      </c>
      <c r="AV19" s="39">
        <f t="shared" si="50"/>
        <v>0.20399205512370958</v>
      </c>
      <c r="AW19" s="57">
        <f>AU19-AS19</f>
        <v>8319</v>
      </c>
      <c r="AX19" s="39"/>
      <c r="AZ19" s="61">
        <f>AE19+AL19+AS19</f>
        <v>-320.11</v>
      </c>
      <c r="BA19" s="39" t="e">
        <f t="shared" si="53"/>
        <v>#DIV/0!</v>
      </c>
      <c r="BB19" s="61">
        <f t="shared" si="54"/>
        <v>23939</v>
      </c>
      <c r="BC19" s="39">
        <f t="shared" si="55"/>
        <v>0.20399485304769452</v>
      </c>
      <c r="BD19" s="57">
        <f>BB19-AZ19</f>
        <v>24259.11</v>
      </c>
      <c r="BE19" s="39"/>
      <c r="BG19" s="61"/>
      <c r="BH19" s="43" t="e">
        <f t="shared" si="57"/>
        <v>#DIV/0!</v>
      </c>
      <c r="BI19" s="61">
        <v>8507</v>
      </c>
      <c r="BJ19" s="43">
        <f t="shared" si="58"/>
        <v>0.20399012061482388</v>
      </c>
      <c r="BK19" s="57">
        <f t="shared" si="59"/>
        <v>-8507</v>
      </c>
      <c r="BL19" s="43"/>
      <c r="BN19" s="61">
        <v>1906.1</v>
      </c>
      <c r="BO19" s="43">
        <f t="shared" si="60"/>
        <v>0.21058388112467546</v>
      </c>
      <c r="BP19" s="61">
        <v>8361</v>
      </c>
      <c r="BQ19" s="43">
        <f t="shared" si="61"/>
        <v>0.2040014639502257</v>
      </c>
      <c r="BR19" s="57">
        <f t="shared" si="62"/>
        <v>-6454.9</v>
      </c>
      <c r="BS19" s="43"/>
      <c r="BU19" s="61">
        <v>3189.11</v>
      </c>
      <c r="BV19" s="43">
        <f t="shared" si="63"/>
        <v>0.24986171504681318</v>
      </c>
      <c r="BW19" s="61">
        <v>3600</v>
      </c>
      <c r="BX19" s="43">
        <f t="shared" si="64"/>
        <v>0.20402380277699064</v>
      </c>
      <c r="BY19" s="57">
        <f t="shared" si="65"/>
        <v>-410.88999999999987</v>
      </c>
      <c r="BZ19" s="43"/>
      <c r="CB19" s="61">
        <f t="shared" si="66"/>
        <v>5095.21</v>
      </c>
      <c r="CC19" s="43">
        <f t="shared" si="67"/>
        <v>0.23356451982580792</v>
      </c>
      <c r="CD19" s="61">
        <f>BI19+BP19+BW19</f>
        <v>20468</v>
      </c>
      <c r="CE19" s="43">
        <f t="shared" si="69"/>
        <v>0.20400067774311542</v>
      </c>
      <c r="CF19" s="57">
        <f t="shared" si="70"/>
        <v>-15372.79</v>
      </c>
      <c r="CG19" s="43"/>
      <c r="CI19" s="61">
        <v>3292.59</v>
      </c>
      <c r="CJ19" s="43">
        <f t="shared" si="71"/>
        <v>0.21618397294901678</v>
      </c>
      <c r="CK19" s="61">
        <v>3850</v>
      </c>
      <c r="CL19" s="43">
        <f t="shared" si="72"/>
        <v>0.20400593471810088</v>
      </c>
      <c r="CM19" s="57">
        <f t="shared" si="73"/>
        <v>-557.40999999999985</v>
      </c>
      <c r="CN19" s="43"/>
      <c r="CP19" s="61">
        <v>3277.89</v>
      </c>
      <c r="CQ19" s="43">
        <f t="shared" si="74"/>
        <v>0.23346794871794871</v>
      </c>
      <c r="CR19" s="61">
        <v>3636</v>
      </c>
      <c r="CS19" s="43">
        <f t="shared" si="75"/>
        <v>0.20397172669134972</v>
      </c>
      <c r="CT19" s="57">
        <f t="shared" si="76"/>
        <v>-358.11000000000013</v>
      </c>
      <c r="CU19" s="43"/>
      <c r="CW19" s="61">
        <v>2530.38</v>
      </c>
      <c r="CX19" s="43">
        <f t="shared" si="91"/>
        <v>0.21228910608666471</v>
      </c>
      <c r="CY19" s="61">
        <v>3332</v>
      </c>
      <c r="CZ19" s="43">
        <f t="shared" si="92"/>
        <v>0.20397918579736762</v>
      </c>
      <c r="DA19" s="57">
        <f t="shared" si="77"/>
        <v>-801.61999999999989</v>
      </c>
      <c r="DB19" s="43"/>
      <c r="DD19" s="61">
        <v>1638.78</v>
      </c>
      <c r="DE19" s="43">
        <f t="shared" si="78"/>
        <v>0.19941348259917255</v>
      </c>
      <c r="DF19" s="61">
        <v>3484</v>
      </c>
      <c r="DG19" s="43">
        <f t="shared" si="79"/>
        <v>0.20400515282820003</v>
      </c>
      <c r="DH19" s="57">
        <f t="shared" si="80"/>
        <v>-1845.22</v>
      </c>
      <c r="DI19" s="43"/>
      <c r="DK19" s="61">
        <f t="shared" si="81"/>
        <v>10739.640000000001</v>
      </c>
      <c r="DL19" s="43">
        <f t="shared" si="82"/>
        <v>0.2173664183937824</v>
      </c>
      <c r="DM19" s="61">
        <f>CK19+CR19+CY19+DF19</f>
        <v>14302</v>
      </c>
      <c r="DN19" s="43">
        <f t="shared" si="84"/>
        <v>0.20399081456547474</v>
      </c>
      <c r="DO19" s="57">
        <f t="shared" si="85"/>
        <v>-3562.3599999999988</v>
      </c>
      <c r="DP19" s="43"/>
      <c r="DR19" s="61">
        <f t="shared" si="86"/>
        <v>30641</v>
      </c>
      <c r="DS19" s="39">
        <f t="shared" si="87"/>
        <v>0.21058010933726679</v>
      </c>
      <c r="DT19" s="61">
        <f>Z19+BB19+CD19+DM19</f>
        <v>74482</v>
      </c>
      <c r="DU19" s="39">
        <f t="shared" si="89"/>
        <v>0.20399544254428731</v>
      </c>
      <c r="DV19" s="57">
        <f>DT19-DR19</f>
        <v>43841</v>
      </c>
      <c r="DW19" s="41"/>
    </row>
    <row r="20" spans="1:129">
      <c r="A20" s="42" t="s">
        <v>30</v>
      </c>
      <c r="B20" s="42"/>
      <c r="C20" s="61">
        <v>8764.58</v>
      </c>
      <c r="D20" s="39">
        <f t="shared" si="29"/>
        <v>0.16659041598280225</v>
      </c>
      <c r="E20" s="61">
        <v>6608</v>
      </c>
      <c r="F20" s="39">
        <f t="shared" si="30"/>
        <v>0.16799715259063405</v>
      </c>
      <c r="G20" s="57">
        <f>E20-C20</f>
        <v>-2156.58</v>
      </c>
      <c r="H20" s="39"/>
      <c r="J20" s="61">
        <v>9923.67</v>
      </c>
      <c r="K20" s="39">
        <f t="shared" si="32"/>
        <v>0.16542496576452831</v>
      </c>
      <c r="L20" s="61">
        <v>9151</v>
      </c>
      <c r="M20" s="39">
        <f t="shared" si="33"/>
        <v>0.16799148201861472</v>
      </c>
      <c r="N20" s="57">
        <f>L20-J20</f>
        <v>-772.67000000000007</v>
      </c>
      <c r="O20" s="39"/>
      <c r="Q20" s="61">
        <v>7749.85</v>
      </c>
      <c r="R20" s="39">
        <f t="shared" si="35"/>
        <v>0.15997946443205779</v>
      </c>
      <c r="S20" s="61">
        <v>11808</v>
      </c>
      <c r="T20" s="39">
        <f t="shared" si="36"/>
        <v>0.16799931707594684</v>
      </c>
      <c r="U20" s="57">
        <f>S20-Q20</f>
        <v>4058.1499999999996</v>
      </c>
      <c r="V20" s="39"/>
      <c r="X20" s="61">
        <f t="shared" si="38"/>
        <v>26438.1</v>
      </c>
      <c r="Y20" s="39">
        <f t="shared" si="39"/>
        <v>0.16416766970965815</v>
      </c>
      <c r="Z20" s="61">
        <f t="shared" si="40"/>
        <v>27567</v>
      </c>
      <c r="AA20" s="39">
        <f t="shared" si="41"/>
        <v>0.16799619727837262</v>
      </c>
      <c r="AB20" s="57">
        <f>Z20-X20</f>
        <v>1128.9000000000015</v>
      </c>
      <c r="AC20" s="39"/>
      <c r="AE20" s="61"/>
      <c r="AF20" s="39" t="e">
        <f t="shared" si="43"/>
        <v>#DIV/0!</v>
      </c>
      <c r="AG20" s="61">
        <v>13902</v>
      </c>
      <c r="AH20" s="39">
        <f t="shared" si="44"/>
        <v>0.16800609085525758</v>
      </c>
      <c r="AI20" s="57">
        <f>AG20-AE20</f>
        <v>13902</v>
      </c>
      <c r="AJ20" s="39"/>
      <c r="AL20" s="61">
        <v>0</v>
      </c>
      <c r="AM20" s="39" t="e">
        <f t="shared" si="46"/>
        <v>#DIV/0!</v>
      </c>
      <c r="AN20" s="61">
        <v>13398</v>
      </c>
      <c r="AO20" s="39">
        <f t="shared" si="47"/>
        <v>0.16800000000000001</v>
      </c>
      <c r="AP20" s="57">
        <f>AN20-AL20</f>
        <v>13398</v>
      </c>
      <c r="AQ20" s="39"/>
      <c r="AS20" s="61">
        <v>0</v>
      </c>
      <c r="AT20" s="39" t="e">
        <f t="shared" si="49"/>
        <v>#DIV/0!</v>
      </c>
      <c r="AU20" s="61">
        <v>14540</v>
      </c>
      <c r="AV20" s="39">
        <f t="shared" si="50"/>
        <v>0.16800314283733506</v>
      </c>
      <c r="AW20" s="57">
        <f>AU20-AS20</f>
        <v>14540</v>
      </c>
      <c r="AX20" s="39"/>
      <c r="AZ20" s="61">
        <f t="shared" si="52"/>
        <v>0</v>
      </c>
      <c r="BA20" s="39" t="e">
        <f t="shared" si="53"/>
        <v>#DIV/0!</v>
      </c>
      <c r="BB20" s="61">
        <f t="shared" si="54"/>
        <v>41840</v>
      </c>
      <c r="BC20" s="39">
        <f t="shared" si="55"/>
        <v>0.16800311592777151</v>
      </c>
      <c r="BD20" s="57">
        <f>BB20-AZ20</f>
        <v>41840</v>
      </c>
      <c r="BE20" s="39"/>
      <c r="BG20" s="61"/>
      <c r="BH20" s="43" t="e">
        <f t="shared" si="57"/>
        <v>#DIV/0!</v>
      </c>
      <c r="BI20" s="61">
        <v>14868</v>
      </c>
      <c r="BJ20" s="43">
        <f t="shared" si="58"/>
        <v>0.16799430527778719</v>
      </c>
      <c r="BK20" s="57">
        <f t="shared" si="59"/>
        <v>-14868</v>
      </c>
      <c r="BL20" s="43"/>
      <c r="BN20" s="61">
        <v>7585.5</v>
      </c>
      <c r="BO20" s="43">
        <f t="shared" si="60"/>
        <v>0.17890942025140008</v>
      </c>
      <c r="BP20" s="61">
        <v>14613</v>
      </c>
      <c r="BQ20" s="43">
        <f t="shared" si="61"/>
        <v>0.16800413888250174</v>
      </c>
      <c r="BR20" s="57">
        <f t="shared" si="62"/>
        <v>-7027.5</v>
      </c>
      <c r="BS20" s="43"/>
      <c r="BU20" s="61">
        <v>9361.2099999999991</v>
      </c>
      <c r="BV20" s="43">
        <f t="shared" si="63"/>
        <v>0.13841872610607922</v>
      </c>
      <c r="BW20" s="61">
        <v>7367</v>
      </c>
      <c r="BX20" s="43">
        <f t="shared" si="64"/>
        <v>0.1670029243080271</v>
      </c>
      <c r="BY20" s="57">
        <f t="shared" si="65"/>
        <v>1994.2099999999991</v>
      </c>
      <c r="BZ20" s="43"/>
      <c r="CB20" s="61">
        <f t="shared" si="66"/>
        <v>16946.71</v>
      </c>
      <c r="CC20" s="43">
        <f t="shared" si="67"/>
        <v>0.15402151448446852</v>
      </c>
      <c r="CD20" s="61">
        <f t="shared" si="68"/>
        <v>36848</v>
      </c>
      <c r="CE20" s="43">
        <f t="shared" si="69"/>
        <v>0.16779904916300845</v>
      </c>
      <c r="CF20" s="57">
        <f t="shared" si="70"/>
        <v>-19901.29</v>
      </c>
      <c r="CG20" s="43"/>
      <c r="CI20" s="61">
        <v>10377.17</v>
      </c>
      <c r="CJ20" s="43">
        <f t="shared" si="71"/>
        <v>0.13895486283838476</v>
      </c>
      <c r="CK20" s="61">
        <v>7879</v>
      </c>
      <c r="CL20" s="43">
        <f t="shared" si="72"/>
        <v>0.16700226795820175</v>
      </c>
      <c r="CM20" s="57">
        <f t="shared" si="73"/>
        <v>2498.17</v>
      </c>
      <c r="CN20" s="43"/>
      <c r="CP20" s="61">
        <v>10569.77</v>
      </c>
      <c r="CQ20" s="43">
        <f t="shared" si="74"/>
        <v>0.17659755765442597</v>
      </c>
      <c r="CR20" s="61">
        <v>7442</v>
      </c>
      <c r="CS20" s="43">
        <f t="shared" si="75"/>
        <v>0.16699203410748345</v>
      </c>
      <c r="CT20" s="57">
        <f t="shared" si="76"/>
        <v>3127.7700000000004</v>
      </c>
      <c r="CU20" s="43"/>
      <c r="CW20" s="61">
        <v>7906.95</v>
      </c>
      <c r="CX20" s="43">
        <f t="shared" si="91"/>
        <v>0.17031663974151856</v>
      </c>
      <c r="CY20" s="61">
        <v>6820</v>
      </c>
      <c r="CZ20" s="43">
        <f t="shared" si="92"/>
        <v>0.16700132229785983</v>
      </c>
      <c r="DA20" s="57">
        <f t="shared" si="77"/>
        <v>1086.9499999999998</v>
      </c>
      <c r="DB20" s="43"/>
      <c r="DD20" s="61">
        <v>4729.55</v>
      </c>
      <c r="DE20" s="43">
        <f t="shared" si="78"/>
        <v>0.19789781559440897</v>
      </c>
      <c r="DF20" s="61">
        <v>7130</v>
      </c>
      <c r="DG20" s="43">
        <f t="shared" si="79"/>
        <v>0.16700238909448634</v>
      </c>
      <c r="DH20" s="57">
        <f t="shared" si="80"/>
        <v>-2400.4499999999998</v>
      </c>
      <c r="DI20" s="43"/>
      <c r="DK20" s="61">
        <f t="shared" si="81"/>
        <v>33583.440000000002</v>
      </c>
      <c r="DL20" s="43">
        <f t="shared" si="82"/>
        <v>0.16393649405144287</v>
      </c>
      <c r="DM20" s="61">
        <f>CK20+CR20+CY20+DF20</f>
        <v>29271</v>
      </c>
      <c r="DN20" s="43">
        <f t="shared" si="84"/>
        <v>0.16699947511353522</v>
      </c>
      <c r="DO20" s="57">
        <f t="shared" si="85"/>
        <v>4312.4400000000023</v>
      </c>
      <c r="DP20" s="43"/>
      <c r="DR20" s="61">
        <f t="shared" si="86"/>
        <v>76968.25</v>
      </c>
      <c r="DS20" s="39">
        <f t="shared" si="87"/>
        <v>0.16172250720004047</v>
      </c>
      <c r="DT20" s="61">
        <f t="shared" si="88"/>
        <v>135526</v>
      </c>
      <c r="DU20" s="39">
        <f t="shared" si="89"/>
        <v>0.16772853734121446</v>
      </c>
      <c r="DV20" s="57">
        <f>DT20-DR20</f>
        <v>58557.75</v>
      </c>
      <c r="DW20" s="41"/>
    </row>
    <row r="21" spans="1:129">
      <c r="A21" s="42" t="s">
        <v>31</v>
      </c>
      <c r="B21" s="42"/>
      <c r="C21" s="61">
        <v>3626.16</v>
      </c>
      <c r="D21" s="39">
        <f t="shared" si="29"/>
        <v>0.2051802037565672</v>
      </c>
      <c r="E21" s="61">
        <v>2598</v>
      </c>
      <c r="F21" s="39">
        <f t="shared" si="30"/>
        <v>0.24097950097393564</v>
      </c>
      <c r="G21" s="57">
        <f t="shared" ref="G21:G23" si="93">E21-C21</f>
        <v>-1028.1599999999999</v>
      </c>
      <c r="H21" s="39"/>
      <c r="J21" s="61">
        <v>3271.21</v>
      </c>
      <c r="K21" s="39">
        <f t="shared" si="32"/>
        <v>0.20009236321375051</v>
      </c>
      <c r="L21" s="61">
        <v>3598</v>
      </c>
      <c r="M21" s="39">
        <f t="shared" si="33"/>
        <v>0.24099129269926323</v>
      </c>
      <c r="N21" s="57">
        <f t="shared" ref="N21:N23" si="94">L21-J21</f>
        <v>326.78999999999996</v>
      </c>
      <c r="O21" s="39"/>
      <c r="Q21" s="61">
        <v>2762.1</v>
      </c>
      <c r="R21" s="39">
        <f t="shared" si="35"/>
        <v>0.18254238901137246</v>
      </c>
      <c r="S21" s="61">
        <v>4643</v>
      </c>
      <c r="T21" s="39">
        <f t="shared" si="36"/>
        <v>0.24101951827242524</v>
      </c>
      <c r="U21" s="57">
        <f t="shared" ref="U21:U23" si="95">S21-Q21</f>
        <v>1880.9</v>
      </c>
      <c r="V21" s="39"/>
      <c r="X21" s="61">
        <f t="shared" si="38"/>
        <v>9659.4699999999993</v>
      </c>
      <c r="Y21" s="39">
        <f t="shared" si="39"/>
        <v>0.19651910174856665</v>
      </c>
      <c r="Z21" s="61">
        <f t="shared" si="40"/>
        <v>10839</v>
      </c>
      <c r="AA21" s="39">
        <f t="shared" si="41"/>
        <v>0.24100055586436908</v>
      </c>
      <c r="AB21" s="57">
        <f t="shared" ref="AB21:AB23" si="96">Z21-X21</f>
        <v>1179.5300000000007</v>
      </c>
      <c r="AC21" s="39"/>
      <c r="AE21" s="61"/>
      <c r="AF21" s="39" t="e">
        <f t="shared" si="43"/>
        <v>#DIV/0!</v>
      </c>
      <c r="AG21" s="61">
        <v>5466</v>
      </c>
      <c r="AH21" s="39">
        <f t="shared" si="44"/>
        <v>0.24101591780942722</v>
      </c>
      <c r="AI21" s="57">
        <f t="shared" ref="AI21:AI23" si="97">AG21-AE21</f>
        <v>5466</v>
      </c>
      <c r="AJ21" s="39"/>
      <c r="AL21" s="61">
        <v>0</v>
      </c>
      <c r="AM21" s="39" t="e">
        <f t="shared" si="46"/>
        <v>#DIV/0!</v>
      </c>
      <c r="AN21" s="61">
        <v>5268</v>
      </c>
      <c r="AO21" s="39">
        <f t="shared" si="47"/>
        <v>0.24101015646445237</v>
      </c>
      <c r="AP21" s="57">
        <f t="shared" ref="AP21:AP23" si="98">AN21-AL21</f>
        <v>5268</v>
      </c>
      <c r="AQ21" s="39"/>
      <c r="AS21" s="61">
        <v>0</v>
      </c>
      <c r="AT21" s="39" t="e">
        <f t="shared" si="49"/>
        <v>#DIV/0!</v>
      </c>
      <c r="AU21" s="61">
        <v>5717</v>
      </c>
      <c r="AV21" s="39">
        <f t="shared" si="50"/>
        <v>0.24102023608768972</v>
      </c>
      <c r="AW21" s="57">
        <f t="shared" ref="AW21:AW23" si="99">AU21-AS21</f>
        <v>5717</v>
      </c>
      <c r="AX21" s="39"/>
      <c r="AZ21" s="61">
        <f t="shared" si="52"/>
        <v>0</v>
      </c>
      <c r="BA21" s="39" t="e">
        <f t="shared" si="53"/>
        <v>#DIV/0!</v>
      </c>
      <c r="BB21" s="61">
        <f t="shared" si="54"/>
        <v>16451</v>
      </c>
      <c r="BC21" s="39">
        <f t="shared" si="55"/>
        <v>0.24101557349429362</v>
      </c>
      <c r="BD21" s="57">
        <f t="shared" ref="BD21:BD23" si="100">BB21-AZ21</f>
        <v>16451</v>
      </c>
      <c r="BE21" s="39"/>
      <c r="BG21" s="61"/>
      <c r="BH21" s="43" t="e">
        <f t="shared" si="57"/>
        <v>#DIV/0!</v>
      </c>
      <c r="BI21" s="61">
        <v>5846</v>
      </c>
      <c r="BJ21" s="43">
        <f t="shared" si="58"/>
        <v>0.24100259718844044</v>
      </c>
      <c r="BK21" s="57">
        <f t="shared" si="59"/>
        <v>-5846</v>
      </c>
      <c r="BL21" s="43"/>
      <c r="BN21" s="61">
        <v>1209.1300000000001</v>
      </c>
      <c r="BO21" s="43">
        <f t="shared" si="60"/>
        <v>0.33309366391184575</v>
      </c>
      <c r="BP21" s="61">
        <v>5745</v>
      </c>
      <c r="BQ21" s="43">
        <f t="shared" si="61"/>
        <v>0.24098154362416108</v>
      </c>
      <c r="BR21" s="57">
        <f t="shared" si="62"/>
        <v>-4535.87</v>
      </c>
      <c r="BS21" s="43"/>
      <c r="BU21" s="61">
        <v>1906.69</v>
      </c>
      <c r="BV21" s="43">
        <f t="shared" si="63"/>
        <v>0.350558926273212</v>
      </c>
      <c r="BW21" s="61">
        <v>2835</v>
      </c>
      <c r="BX21" s="43">
        <f t="shared" si="64"/>
        <v>0.24100994644223411</v>
      </c>
      <c r="BY21" s="57">
        <f t="shared" si="65"/>
        <v>-928.31</v>
      </c>
      <c r="BZ21" s="43"/>
      <c r="CB21" s="61">
        <f t="shared" si="66"/>
        <v>3115.82</v>
      </c>
      <c r="CC21" s="43">
        <f t="shared" si="67"/>
        <v>0.34356819936045874</v>
      </c>
      <c r="CD21" s="61">
        <f t="shared" si="68"/>
        <v>14426</v>
      </c>
      <c r="CE21" s="43">
        <f t="shared" si="69"/>
        <v>0.2409956565319078</v>
      </c>
      <c r="CF21" s="57">
        <f t="shared" si="70"/>
        <v>-11310.18</v>
      </c>
      <c r="CG21" s="43"/>
      <c r="CI21" s="61">
        <v>2165.19</v>
      </c>
      <c r="CJ21" s="43">
        <f t="shared" si="71"/>
        <v>0.27848102893890675</v>
      </c>
      <c r="CK21" s="61">
        <v>3032</v>
      </c>
      <c r="CL21" s="43">
        <f t="shared" si="72"/>
        <v>0.24099833081631031</v>
      </c>
      <c r="CM21" s="57">
        <f t="shared" si="73"/>
        <v>-866.81</v>
      </c>
      <c r="CN21" s="43"/>
      <c r="CP21" s="61">
        <v>2555.75</v>
      </c>
      <c r="CQ21" s="43">
        <f t="shared" si="74"/>
        <v>0.17620393670929713</v>
      </c>
      <c r="CR21" s="61">
        <v>2864</v>
      </c>
      <c r="CS21" s="43">
        <f t="shared" si="75"/>
        <v>0.24099629754291485</v>
      </c>
      <c r="CT21" s="57">
        <f t="shared" si="76"/>
        <v>-308.25</v>
      </c>
      <c r="CU21" s="43"/>
      <c r="CW21" s="61">
        <v>1946.15</v>
      </c>
      <c r="CX21" s="43">
        <f>CW21/CW12</f>
        <v>0.13826015913611822</v>
      </c>
      <c r="CY21" s="61">
        <v>2624</v>
      </c>
      <c r="CZ21" s="43">
        <f t="shared" si="92"/>
        <v>0.24095500459136823</v>
      </c>
      <c r="DA21" s="57">
        <f t="shared" si="77"/>
        <v>-677.84999999999991</v>
      </c>
      <c r="DB21" s="43"/>
      <c r="DD21" s="61">
        <v>1094.94</v>
      </c>
      <c r="DE21" s="43">
        <f t="shared" si="78"/>
        <v>0.13734804647761356</v>
      </c>
      <c r="DF21" s="61">
        <v>2744</v>
      </c>
      <c r="DG21" s="43">
        <f t="shared" si="79"/>
        <v>0.24101888449714537</v>
      </c>
      <c r="DH21" s="57">
        <f t="shared" si="80"/>
        <v>-1649.06</v>
      </c>
      <c r="DI21" s="43"/>
      <c r="DK21" s="61">
        <f t="shared" si="81"/>
        <v>7762.0300000000007</v>
      </c>
      <c r="DL21" s="43">
        <f t="shared" si="82"/>
        <v>0.17510638427468631</v>
      </c>
      <c r="DM21" s="61">
        <f t="shared" si="83"/>
        <v>11264</v>
      </c>
      <c r="DN21" s="43">
        <f t="shared" si="84"/>
        <v>0.24099272571673086</v>
      </c>
      <c r="DO21" s="57">
        <f t="shared" si="85"/>
        <v>-3501.9699999999993</v>
      </c>
      <c r="DP21" s="43"/>
      <c r="DR21" s="61">
        <f t="shared" si="86"/>
        <v>20537.32</v>
      </c>
      <c r="DS21" s="39">
        <f t="shared" si="87"/>
        <v>0.20026769553075621</v>
      </c>
      <c r="DT21" s="61">
        <f t="shared" si="88"/>
        <v>52980</v>
      </c>
      <c r="DU21" s="39">
        <f t="shared" si="89"/>
        <v>0.24100221987699699</v>
      </c>
      <c r="DV21" s="57">
        <f t="shared" ref="DV21:DV23" si="101">DT21-DR21</f>
        <v>32442.68</v>
      </c>
      <c r="DW21" s="41"/>
    </row>
    <row r="22" spans="1:129">
      <c r="A22" s="42" t="s">
        <v>34</v>
      </c>
      <c r="B22" s="42"/>
      <c r="C22" s="61">
        <v>361.97</v>
      </c>
      <c r="D22" s="39"/>
      <c r="E22" s="61">
        <v>0</v>
      </c>
      <c r="F22" s="39"/>
      <c r="G22" s="57">
        <f t="shared" si="93"/>
        <v>-361.97</v>
      </c>
      <c r="H22" s="39"/>
      <c r="J22" s="61">
        <v>0</v>
      </c>
      <c r="K22" s="39"/>
      <c r="L22" s="61">
        <v>0</v>
      </c>
      <c r="M22" s="39"/>
      <c r="N22" s="57">
        <f t="shared" si="94"/>
        <v>0</v>
      </c>
      <c r="O22" s="39"/>
      <c r="Q22" s="61">
        <v>0</v>
      </c>
      <c r="R22" s="39"/>
      <c r="S22" s="61">
        <v>0</v>
      </c>
      <c r="T22" s="39"/>
      <c r="U22" s="57">
        <f t="shared" si="95"/>
        <v>0</v>
      </c>
      <c r="V22" s="39"/>
      <c r="X22" s="61">
        <f t="shared" si="38"/>
        <v>361.97</v>
      </c>
      <c r="Y22" s="39"/>
      <c r="Z22" s="61">
        <f t="shared" si="40"/>
        <v>0</v>
      </c>
      <c r="AA22" s="39"/>
      <c r="AB22" s="57"/>
      <c r="AC22" s="39"/>
      <c r="AE22" s="61"/>
      <c r="AF22" s="39"/>
      <c r="AG22" s="61">
        <v>0</v>
      </c>
      <c r="AH22" s="39"/>
      <c r="AI22" s="57">
        <f t="shared" si="97"/>
        <v>0</v>
      </c>
      <c r="AJ22" s="39"/>
      <c r="AL22" s="61">
        <v>0</v>
      </c>
      <c r="AM22" s="39"/>
      <c r="AN22" s="61">
        <v>0</v>
      </c>
      <c r="AO22" s="39"/>
      <c r="AP22" s="57">
        <f t="shared" si="98"/>
        <v>0</v>
      </c>
      <c r="AQ22" s="39"/>
      <c r="AS22" s="61">
        <v>0</v>
      </c>
      <c r="AT22" s="39"/>
      <c r="AU22" s="61">
        <v>0</v>
      </c>
      <c r="AV22" s="39"/>
      <c r="AW22" s="57">
        <f t="shared" si="99"/>
        <v>0</v>
      </c>
      <c r="AX22" s="39"/>
      <c r="AZ22" s="61">
        <v>0</v>
      </c>
      <c r="BA22" s="39"/>
      <c r="BB22" s="61">
        <f t="shared" si="54"/>
        <v>0</v>
      </c>
      <c r="BC22" s="39"/>
      <c r="BD22" s="57"/>
      <c r="BE22" s="39"/>
      <c r="BG22" s="61"/>
      <c r="BH22" s="43"/>
      <c r="BI22" s="61">
        <v>0</v>
      </c>
      <c r="BJ22" s="43"/>
      <c r="BK22" s="57">
        <f t="shared" si="59"/>
        <v>0</v>
      </c>
      <c r="BL22" s="43"/>
      <c r="BN22" s="61">
        <v>0</v>
      </c>
      <c r="BO22" s="43"/>
      <c r="BP22" s="61">
        <v>0</v>
      </c>
      <c r="BQ22" s="43"/>
      <c r="BR22" s="57">
        <f t="shared" si="62"/>
        <v>0</v>
      </c>
      <c r="BS22" s="43"/>
      <c r="BU22" s="61">
        <v>0</v>
      </c>
      <c r="BV22" s="43"/>
      <c r="BW22" s="61">
        <v>0</v>
      </c>
      <c r="BX22" s="43"/>
      <c r="BY22" s="57">
        <f t="shared" si="65"/>
        <v>0</v>
      </c>
      <c r="BZ22" s="43"/>
      <c r="CB22" s="61">
        <f t="shared" si="66"/>
        <v>0</v>
      </c>
      <c r="CC22" s="43"/>
      <c r="CD22" s="61">
        <f t="shared" si="68"/>
        <v>0</v>
      </c>
      <c r="CE22" s="43"/>
      <c r="CF22" s="57">
        <f t="shared" si="70"/>
        <v>0</v>
      </c>
      <c r="CG22" s="43"/>
      <c r="CI22" s="61">
        <v>0</v>
      </c>
      <c r="CJ22" s="43"/>
      <c r="CK22" s="61">
        <v>0</v>
      </c>
      <c r="CL22" s="43"/>
      <c r="CM22" s="57">
        <f t="shared" si="73"/>
        <v>0</v>
      </c>
      <c r="CN22" s="43"/>
      <c r="CP22" s="61">
        <v>0</v>
      </c>
      <c r="CQ22" s="43"/>
      <c r="CR22" s="61">
        <v>0</v>
      </c>
      <c r="CS22" s="43"/>
      <c r="CT22" s="57">
        <f t="shared" si="76"/>
        <v>0</v>
      </c>
      <c r="CU22" s="43"/>
      <c r="CW22" s="61">
        <v>0</v>
      </c>
      <c r="CX22" s="43"/>
      <c r="CY22" s="61">
        <v>0</v>
      </c>
      <c r="CZ22" s="43"/>
      <c r="DA22" s="57">
        <f t="shared" si="77"/>
        <v>0</v>
      </c>
      <c r="DB22" s="43"/>
      <c r="DD22" s="61">
        <v>0</v>
      </c>
      <c r="DE22" s="43"/>
      <c r="DF22" s="61">
        <v>0</v>
      </c>
      <c r="DG22" s="43"/>
      <c r="DH22" s="57">
        <f t="shared" si="80"/>
        <v>0</v>
      </c>
      <c r="DI22" s="43"/>
      <c r="DK22" s="61">
        <f t="shared" si="81"/>
        <v>0</v>
      </c>
      <c r="DL22" s="43"/>
      <c r="DM22" s="61">
        <f t="shared" si="83"/>
        <v>0</v>
      </c>
      <c r="DN22" s="43"/>
      <c r="DO22" s="57">
        <f t="shared" si="85"/>
        <v>0</v>
      </c>
      <c r="DP22" s="43"/>
      <c r="DR22" s="61">
        <f t="shared" si="86"/>
        <v>361.97</v>
      </c>
      <c r="DS22" s="39"/>
      <c r="DT22" s="61">
        <f t="shared" si="88"/>
        <v>0</v>
      </c>
      <c r="DU22" s="39"/>
      <c r="DV22" s="57"/>
      <c r="DW22" s="39"/>
    </row>
    <row r="23" spans="1:129" ht="16.7" thickBot="1">
      <c r="A23" s="54" t="s">
        <v>35</v>
      </c>
      <c r="B23" s="5"/>
      <c r="C23" s="53">
        <f>SUM(C16:C22)</f>
        <v>104004.65000000001</v>
      </c>
      <c r="D23" s="38">
        <f>C23/C13</f>
        <v>0.27317518598064594</v>
      </c>
      <c r="E23" s="53">
        <f>SUM(E16:E22)</f>
        <v>74403</v>
      </c>
      <c r="F23" s="38">
        <f>E23/E13</f>
        <v>0.26964936123946726</v>
      </c>
      <c r="G23" s="58">
        <f t="shared" si="93"/>
        <v>-29601.650000000009</v>
      </c>
      <c r="H23" s="38">
        <f>G23/E23</f>
        <v>-0.39785559722054231</v>
      </c>
      <c r="J23" s="53">
        <f>SUM(J16:J22)</f>
        <v>109839.01999999999</v>
      </c>
      <c r="K23" s="38">
        <f>J23/J13</f>
        <v>0.26909842281780949</v>
      </c>
      <c r="L23" s="53">
        <f>SUM(L16:L22)</f>
        <v>103039</v>
      </c>
      <c r="M23" s="38">
        <f>L23/L13</f>
        <v>0.26965018933793222</v>
      </c>
      <c r="N23" s="58">
        <f t="shared" si="94"/>
        <v>-6800.0199999999895</v>
      </c>
      <c r="O23" s="38">
        <f>N23/L23</f>
        <v>-6.5994623395025084E-2</v>
      </c>
      <c r="Q23" s="53">
        <f>SUM(Q16:Q22)</f>
        <v>75176.550000000017</v>
      </c>
      <c r="R23" s="38">
        <f>Q23/Q13</f>
        <v>0.2456712587318115</v>
      </c>
      <c r="S23" s="53">
        <f>SUM(S16:S22)</f>
        <v>132951</v>
      </c>
      <c r="T23" s="38">
        <f>S23/S13</f>
        <v>0.26965177761957787</v>
      </c>
      <c r="U23" s="58">
        <f t="shared" si="95"/>
        <v>57774.449999999983</v>
      </c>
      <c r="V23" s="38">
        <f>U23/S23</f>
        <v>0.4345544599138027</v>
      </c>
      <c r="X23" s="53">
        <f>SUM(X16:X22)</f>
        <v>289020.21999999997</v>
      </c>
      <c r="Y23" s="38">
        <f>X23/X13</f>
        <v>0.26396857053876072</v>
      </c>
      <c r="Z23" s="53">
        <f>SUM(Z16:Z21)</f>
        <v>310393</v>
      </c>
      <c r="AA23" s="38">
        <f>Z23/Z13</f>
        <v>0.2696506711447294</v>
      </c>
      <c r="AB23" s="58">
        <f t="shared" si="96"/>
        <v>21372.780000000028</v>
      </c>
      <c r="AC23" s="38">
        <f>AB23/Z23</f>
        <v>6.8857158505507624E-2</v>
      </c>
      <c r="AE23" s="53">
        <f>SUM(AE16:AE21)</f>
        <v>0</v>
      </c>
      <c r="AF23" s="38" t="e">
        <f>AE23/AE13</f>
        <v>#DIV/0!</v>
      </c>
      <c r="AG23" s="53">
        <f>SUM(AG16:AG22)</f>
        <v>156523</v>
      </c>
      <c r="AH23" s="38">
        <f>AG23/AG13</f>
        <v>0.26965384290707872</v>
      </c>
      <c r="AI23" s="58">
        <f t="shared" si="97"/>
        <v>156523</v>
      </c>
      <c r="AJ23" s="38">
        <f>AI23/AG23</f>
        <v>1</v>
      </c>
      <c r="AL23" s="53">
        <f>SUM(AL16:AL21)</f>
        <v>-320.11</v>
      </c>
      <c r="AM23" s="38" t="e">
        <f>AL23/AL13</f>
        <v>#DIV/0!</v>
      </c>
      <c r="AN23" s="53">
        <f>SUM(AN16:AN22)</f>
        <v>150854</v>
      </c>
      <c r="AO23" s="38">
        <f>AN23/AN13</f>
        <v>0.26965227665572117</v>
      </c>
      <c r="AP23" s="58">
        <f t="shared" si="98"/>
        <v>151174.10999999999</v>
      </c>
      <c r="AQ23" s="38">
        <f>AP23/AN23</f>
        <v>1.0021219854959098</v>
      </c>
      <c r="AS23" s="53">
        <f>SUM(AS16:AS21)</f>
        <v>0</v>
      </c>
      <c r="AT23" s="38" t="e">
        <f>AS23/AS13</f>
        <v>#DIV/0!</v>
      </c>
      <c r="AU23" s="53">
        <f>SUM(AU16:AU22)</f>
        <v>163708</v>
      </c>
      <c r="AV23" s="38">
        <f>AU23/AU13</f>
        <v>0.26965218709027061</v>
      </c>
      <c r="AW23" s="58">
        <f t="shared" si="99"/>
        <v>163708</v>
      </c>
      <c r="AX23" s="38">
        <f>AW23/AU23</f>
        <v>1</v>
      </c>
      <c r="AZ23" s="53">
        <f>SUM(AZ16:AZ21)</f>
        <v>-320.11</v>
      </c>
      <c r="BA23" s="38" t="e">
        <f>AZ23/AZ13</f>
        <v>#DIV/0!</v>
      </c>
      <c r="BB23" s="53">
        <f>SUM(BB16:BB21)</f>
        <v>471085</v>
      </c>
      <c r="BC23" s="38">
        <f>BB23/BB13</f>
        <v>0.26965276593211474</v>
      </c>
      <c r="BD23" s="58">
        <f t="shared" si="100"/>
        <v>471405.11</v>
      </c>
      <c r="BE23" s="38">
        <f>BD23/BB23</f>
        <v>1.0006795164354627</v>
      </c>
      <c r="BG23" s="53">
        <f>SUM(BG16:BG21)</f>
        <v>-141.01</v>
      </c>
      <c r="BH23" s="68" t="e">
        <f>BG23/BG13</f>
        <v>#DIV/0!</v>
      </c>
      <c r="BI23" s="53">
        <f>SUM(BI16:BI22)</f>
        <v>167409</v>
      </c>
      <c r="BJ23" s="68">
        <f>BI23/BI13</f>
        <v>0.26965135664065332</v>
      </c>
      <c r="BK23" s="53">
        <f>SUM(BK16:BK22)</f>
        <v>-167550.01</v>
      </c>
      <c r="BL23" s="68">
        <f>BK23/BI23</f>
        <v>-1.0008423083585709</v>
      </c>
      <c r="BN23" s="53">
        <f>SUM(BN16:BN22)</f>
        <v>64122.1</v>
      </c>
      <c r="BO23" s="68">
        <f>BN23/BN13</f>
        <v>0.29017919064288739</v>
      </c>
      <c r="BP23" s="53">
        <f>SUM(BP16:BP22)</f>
        <v>164529</v>
      </c>
      <c r="BQ23" s="68">
        <f>BP23/BP13</f>
        <v>0.26965115421491259</v>
      </c>
      <c r="BR23" s="53">
        <f>SUM(BR16:BR22)</f>
        <v>-100406.89999999998</v>
      </c>
      <c r="BS23" s="68">
        <f>BR23/BP23</f>
        <v>-0.61026870642865383</v>
      </c>
      <c r="BU23" s="53">
        <f>SUM(BU16:BU22)</f>
        <v>91296.98000000001</v>
      </c>
      <c r="BV23" s="68">
        <f>BU23/BU13</f>
        <v>0.27789625877776392</v>
      </c>
      <c r="BW23" s="53">
        <f>SUM(BW16:BW22)</f>
        <v>79450</v>
      </c>
      <c r="BX23" s="68">
        <f>BW23/BW13</f>
        <v>0.2701599877586412</v>
      </c>
      <c r="BY23" s="53">
        <f>SUM(BY16:BY22)</f>
        <v>11846.98</v>
      </c>
      <c r="BZ23" s="68">
        <f>BY23/BW23</f>
        <v>0.14911239773442417</v>
      </c>
      <c r="CB23" s="53">
        <f>SUM(CB16:CB21)</f>
        <v>155278.06999999998</v>
      </c>
      <c r="CC23" s="68">
        <f>CB23/CB13</f>
        <v>0.2825790352612173</v>
      </c>
      <c r="CD23" s="53">
        <f>SUM(CD16:CD21)</f>
        <v>411388</v>
      </c>
      <c r="CE23" s="68">
        <f>CD23/CD13</f>
        <v>0.26974935658902022</v>
      </c>
      <c r="CF23" s="53">
        <f>SUM(CF16:CF21)</f>
        <v>-256109.93</v>
      </c>
      <c r="CG23" s="68">
        <f>CF23/CD23</f>
        <v>-0.62255080362091264</v>
      </c>
      <c r="CI23" s="53">
        <f>SUM(CI16:CI22)</f>
        <v>99895.79</v>
      </c>
      <c r="CJ23" s="68">
        <f>CI23/CI13</f>
        <v>0.2751294071584473</v>
      </c>
      <c r="CK23" s="53">
        <f>SUM(CK16:CK22)</f>
        <v>84972</v>
      </c>
      <c r="CL23" s="68">
        <f>CK23/CK13</f>
        <v>0.27015718791331772</v>
      </c>
      <c r="CM23" s="53">
        <f>SUM(CM16:CM22)</f>
        <v>14923.790000000005</v>
      </c>
      <c r="CN23" s="68">
        <f>CM23/CK23</f>
        <v>0.17563185519935984</v>
      </c>
      <c r="CP23" s="53">
        <f>SUM(CP16:CP22)</f>
        <v>94781.71</v>
      </c>
      <c r="CQ23" s="68">
        <f>CP23/CP13</f>
        <v>0.28322556483251793</v>
      </c>
      <c r="CR23" s="53">
        <f>SUM(CR16:CR22)</f>
        <v>80263</v>
      </c>
      <c r="CS23" s="68">
        <f>CR23/CR13</f>
        <v>0.27015483002356111</v>
      </c>
      <c r="CT23" s="53">
        <f>SUM(CT16:CT22)</f>
        <v>14518.709999999994</v>
      </c>
      <c r="CU23" s="68">
        <f>CT23/CR23</f>
        <v>0.18088920174924927</v>
      </c>
      <c r="CW23" s="53">
        <f>SUM(CW16:CW22)</f>
        <v>74883.119999999981</v>
      </c>
      <c r="CX23" s="68">
        <f>CW23/CW13</f>
        <v>0.28128178162948136</v>
      </c>
      <c r="CY23" s="53">
        <f>SUM(CY16:CY22)</f>
        <v>73551</v>
      </c>
      <c r="CZ23" s="68">
        <f>CY23/CY13</f>
        <v>0.2701587872955471</v>
      </c>
      <c r="DA23" s="53">
        <f>SUM(DA16:DA22)</f>
        <v>1332.1199999999963</v>
      </c>
      <c r="DB23" s="68">
        <f>DA23/CY23</f>
        <v>1.8111514459354681E-2</v>
      </c>
      <c r="DD23" s="53">
        <f>SUM(DD16:DD22)</f>
        <v>43966.37</v>
      </c>
      <c r="DE23" s="68">
        <f>DD23/DD13</f>
        <v>0.28319994826359363</v>
      </c>
      <c r="DF23" s="53">
        <f>SUM(DF16:DF22)</f>
        <v>76895</v>
      </c>
      <c r="DG23" s="68">
        <f>DF23/DF13</f>
        <v>0.27016154532614728</v>
      </c>
      <c r="DH23" s="53">
        <f>SUM(DH16:DH22)</f>
        <v>-32928.630000000005</v>
      </c>
      <c r="DI23" s="68">
        <f>DH23/DF23</f>
        <v>-0.42822849340009111</v>
      </c>
      <c r="DK23" s="53">
        <f>SUM(DK16:DK22)</f>
        <v>313526.99000000005</v>
      </c>
      <c r="DL23" s="68">
        <f>DK23/DK13</f>
        <v>0.28013314426495084</v>
      </c>
      <c r="DM23" s="53">
        <f>SUM(DM16:DM22)</f>
        <v>315681</v>
      </c>
      <c r="DN23" s="68">
        <f>DM23/DM13</f>
        <v>0.2701580224303704</v>
      </c>
      <c r="DO23" s="53">
        <f>SUM(DO16:DO22)</f>
        <v>-2154.009999999977</v>
      </c>
      <c r="DP23" s="68">
        <f>DO23/DM23</f>
        <v>-6.8233754961495212E-3</v>
      </c>
      <c r="DR23" s="53">
        <f>SUM(DR16:DR22)</f>
        <v>757505.16999999993</v>
      </c>
      <c r="DS23" s="38">
        <f>DR23/DR13</f>
        <v>0.27409947259243078</v>
      </c>
      <c r="DT23" s="53">
        <f>SUM(DT16:DT21)</f>
        <v>1508547</v>
      </c>
      <c r="DU23" s="38">
        <f>DT23/DT13</f>
        <v>0.26978426336704953</v>
      </c>
      <c r="DV23" s="58">
        <f t="shared" si="101"/>
        <v>751041.83000000007</v>
      </c>
      <c r="DW23" s="38">
        <f>DV23/DT23</f>
        <v>0.49785775981789104</v>
      </c>
      <c r="DX23" s="64"/>
    </row>
    <row r="24" spans="1:129" ht="16.7" thickTop="1">
      <c r="C24" s="61"/>
      <c r="D24" s="61"/>
      <c r="E24" s="61"/>
      <c r="F24" s="61"/>
      <c r="G24" s="57"/>
      <c r="H24" s="57"/>
      <c r="J24" s="61"/>
      <c r="K24" s="61"/>
      <c r="L24" s="61"/>
      <c r="M24" s="61"/>
      <c r="N24" s="57"/>
      <c r="O24" s="57"/>
      <c r="Q24" s="61"/>
      <c r="R24" s="61"/>
      <c r="S24" s="61"/>
      <c r="T24" s="61"/>
      <c r="U24" s="57"/>
      <c r="V24" s="57"/>
      <c r="X24" s="61"/>
      <c r="Y24" s="61"/>
      <c r="Z24" s="61"/>
      <c r="AA24" s="61"/>
      <c r="AB24" s="57"/>
      <c r="AC24" s="57"/>
      <c r="AE24" s="61"/>
      <c r="AF24" s="61"/>
      <c r="AG24" s="61"/>
      <c r="AH24" s="61"/>
      <c r="AI24" s="57"/>
      <c r="AJ24" s="57"/>
      <c r="AL24" s="61"/>
      <c r="AM24" s="61"/>
      <c r="AN24" s="61"/>
      <c r="AO24" s="61"/>
      <c r="AP24" s="57"/>
      <c r="AQ24" s="57"/>
      <c r="AS24" s="61"/>
      <c r="AT24" s="61"/>
      <c r="AU24" s="61"/>
      <c r="AV24" s="61"/>
      <c r="AW24" s="57"/>
      <c r="AX24" s="57"/>
      <c r="AZ24" s="61"/>
      <c r="BA24" s="61"/>
      <c r="BB24" s="61"/>
      <c r="BC24" s="61"/>
      <c r="BD24" s="57"/>
      <c r="BE24" s="57"/>
      <c r="BG24" s="61"/>
      <c r="BH24" s="43"/>
      <c r="BI24" s="61"/>
      <c r="BJ24" s="43"/>
      <c r="BK24" s="57"/>
      <c r="BN24" s="61"/>
      <c r="BO24" s="43"/>
      <c r="BP24" s="61"/>
      <c r="BQ24" s="43"/>
      <c r="BR24" s="57"/>
      <c r="BU24" s="61"/>
      <c r="BV24" s="43"/>
      <c r="BW24" s="61"/>
      <c r="BX24" s="43"/>
      <c r="BY24" s="57"/>
      <c r="CB24" s="61"/>
      <c r="CC24" s="43"/>
      <c r="CD24" s="61"/>
      <c r="CE24" s="43"/>
      <c r="CF24" s="57"/>
      <c r="CI24" s="61"/>
      <c r="CJ24" s="43"/>
      <c r="CK24" s="61"/>
      <c r="CL24" s="43"/>
      <c r="CM24" s="57"/>
      <c r="CP24" s="61"/>
      <c r="CQ24" s="43"/>
      <c r="CR24" s="61"/>
      <c r="CS24" s="43"/>
      <c r="CT24" s="57"/>
      <c r="CW24" s="61"/>
      <c r="CX24" s="43"/>
      <c r="CY24" s="61"/>
      <c r="CZ24" s="43"/>
      <c r="DA24" s="57"/>
      <c r="DD24" s="61"/>
      <c r="DE24" s="43"/>
      <c r="DF24" s="61"/>
      <c r="DG24" s="43"/>
      <c r="DH24" s="57"/>
      <c r="DK24" s="61"/>
      <c r="DL24" s="43"/>
      <c r="DM24" s="61"/>
      <c r="DN24" s="43"/>
      <c r="DO24" s="57"/>
      <c r="DP24" s="66"/>
      <c r="DR24" s="61"/>
      <c r="DS24" s="61"/>
      <c r="DT24" s="61"/>
      <c r="DU24" s="61"/>
      <c r="DV24" s="57"/>
      <c r="DW24" s="57"/>
    </row>
    <row r="25" spans="1:129">
      <c r="A25" s="6" t="s">
        <v>36</v>
      </c>
      <c r="B25" s="6"/>
      <c r="C25" s="31">
        <f>C13-C23</f>
        <v>276720.44999999995</v>
      </c>
      <c r="D25" s="36">
        <f>C25/C13</f>
        <v>0.72682481401935406</v>
      </c>
      <c r="E25" s="31">
        <f>E13-E23</f>
        <v>201522</v>
      </c>
      <c r="F25" s="36">
        <f>E25/E13</f>
        <v>0.73035063876053274</v>
      </c>
      <c r="G25" s="46">
        <f>C25-E25</f>
        <v>75198.449999999953</v>
      </c>
      <c r="H25" s="38">
        <f>G25/E25</f>
        <v>0.37315255902581335</v>
      </c>
      <c r="J25" s="31">
        <f>J13-J23</f>
        <v>298335.13</v>
      </c>
      <c r="K25" s="36">
        <f>J25/J13</f>
        <v>0.73090157718219051</v>
      </c>
      <c r="L25" s="31">
        <f>L13-L23</f>
        <v>279082</v>
      </c>
      <c r="M25" s="36">
        <f>L25/L13</f>
        <v>0.73034981066206772</v>
      </c>
      <c r="N25" s="46">
        <f>J25-L25</f>
        <v>19253.130000000005</v>
      </c>
      <c r="O25" s="38">
        <f>N25/L25</f>
        <v>6.8987358554116723E-2</v>
      </c>
      <c r="Q25" s="31">
        <f>Q13-Q23</f>
        <v>230828.11000000002</v>
      </c>
      <c r="R25" s="36">
        <f>Q25/Q13</f>
        <v>0.7543287412681885</v>
      </c>
      <c r="S25" s="31">
        <f>S13-S23</f>
        <v>360096</v>
      </c>
      <c r="T25" s="36">
        <f>S25/S13</f>
        <v>0.73034822238042219</v>
      </c>
      <c r="U25" s="46">
        <f>Q25-S25</f>
        <v>-129267.88999999998</v>
      </c>
      <c r="V25" s="38">
        <f>U25/S25</f>
        <v>-0.35898174375722025</v>
      </c>
      <c r="X25" s="31">
        <f>X13-X23</f>
        <v>805883.69000000018</v>
      </c>
      <c r="Y25" s="36">
        <f>X25/X13</f>
        <v>0.73603142946123923</v>
      </c>
      <c r="Z25" s="31">
        <f>Z13-Z23</f>
        <v>840700</v>
      </c>
      <c r="AA25" s="36">
        <f>Z25/Z13</f>
        <v>0.7303493288552706</v>
      </c>
      <c r="AB25" s="46">
        <f>X25-Z25</f>
        <v>-34816.309999999823</v>
      </c>
      <c r="AC25" s="38">
        <f>AB25/Z25</f>
        <v>-4.1413476864517455E-2</v>
      </c>
      <c r="AE25" s="31">
        <f>AE13-AE23</f>
        <v>0</v>
      </c>
      <c r="AF25" s="36" t="e">
        <f>AE25/AE13</f>
        <v>#DIV/0!</v>
      </c>
      <c r="AG25" s="31">
        <f>AG13-AG23</f>
        <v>423936</v>
      </c>
      <c r="AH25" s="36">
        <f>AG25/AG13</f>
        <v>0.73034615709292128</v>
      </c>
      <c r="AI25" s="46">
        <f>AE25-AG25</f>
        <v>-423936</v>
      </c>
      <c r="AJ25" s="38">
        <f>AI25/AG25</f>
        <v>-1</v>
      </c>
      <c r="AL25" s="31">
        <f>AL13-AL23</f>
        <v>320.11</v>
      </c>
      <c r="AM25" s="36" t="e">
        <f>AL25/AL13</f>
        <v>#DIV/0!</v>
      </c>
      <c r="AN25" s="31">
        <f>AN13-AN23</f>
        <v>408585</v>
      </c>
      <c r="AO25" s="36">
        <f>AN25/AN13</f>
        <v>0.73034772334427878</v>
      </c>
      <c r="AP25" s="46">
        <f>AL25-AN25</f>
        <v>-408264.89</v>
      </c>
      <c r="AQ25" s="38">
        <f>AP25/AN25</f>
        <v>-0.99921654001003468</v>
      </c>
      <c r="AS25" s="31">
        <f>AS13-AS23</f>
        <v>0</v>
      </c>
      <c r="AT25" s="36" t="e">
        <f>AS25/AS13</f>
        <v>#DIV/0!</v>
      </c>
      <c r="AU25" s="31">
        <f>AU13-AU23</f>
        <v>443400</v>
      </c>
      <c r="AV25" s="36">
        <f>AU25/AU13</f>
        <v>0.73034781290972939</v>
      </c>
      <c r="AW25" s="46">
        <f>AS25-AU25</f>
        <v>-443400</v>
      </c>
      <c r="AX25" s="38">
        <f>AW25/AU25</f>
        <v>-1</v>
      </c>
      <c r="AZ25" s="31">
        <f>AZ13-AZ23</f>
        <v>320.11</v>
      </c>
      <c r="BA25" s="36" t="e">
        <f>AZ25/AZ13</f>
        <v>#DIV/0!</v>
      </c>
      <c r="BB25" s="31">
        <f>BB13-BB23</f>
        <v>1275921</v>
      </c>
      <c r="BC25" s="36">
        <f>BB25/BB13</f>
        <v>0.73034723406788526</v>
      </c>
      <c r="BD25" s="46">
        <f>AZ25-BB25</f>
        <v>-1275600.8899999999</v>
      </c>
      <c r="BE25" s="38">
        <f>BD25/BB25</f>
        <v>-0.99974911456116788</v>
      </c>
      <c r="BG25" s="31">
        <f>BG13-BG23</f>
        <v>141.01</v>
      </c>
      <c r="BH25" s="69" t="e">
        <f>BG25/BG13</f>
        <v>#DIV/0!</v>
      </c>
      <c r="BI25" s="31">
        <f>BI13-BI23</f>
        <v>453426</v>
      </c>
      <c r="BJ25" s="69">
        <f>BI25/BI13</f>
        <v>0.73034864335934668</v>
      </c>
      <c r="BK25" s="46">
        <f>BG25-BI25</f>
        <v>-453284.99</v>
      </c>
      <c r="BL25" s="68">
        <f>BK25/BI25</f>
        <v>-0.99968901209899741</v>
      </c>
      <c r="BN25" s="31">
        <f>BN13-BN23</f>
        <v>156852.05000000002</v>
      </c>
      <c r="BO25" s="69">
        <f>BN25/BN13</f>
        <v>0.70982080935711256</v>
      </c>
      <c r="BP25" s="31">
        <f>BP13-BP23</f>
        <v>445626</v>
      </c>
      <c r="BQ25" s="69">
        <f>BP25/BP13</f>
        <v>0.73034884578508741</v>
      </c>
      <c r="BR25" s="46">
        <f>BN25-BP25</f>
        <v>-288773.94999999995</v>
      </c>
      <c r="BS25" s="68">
        <f>BR25/BP25</f>
        <v>-0.64801862997221871</v>
      </c>
      <c r="BU25" s="31">
        <f>BU13-BU23</f>
        <v>237232.02</v>
      </c>
      <c r="BV25" s="69">
        <f>BU25/BU13</f>
        <v>0.72210374122223608</v>
      </c>
      <c r="BW25" s="31">
        <f>BW13-BW23</f>
        <v>214635</v>
      </c>
      <c r="BX25" s="69">
        <f>BW25/BW13</f>
        <v>0.72984001224135875</v>
      </c>
      <c r="BY25" s="46">
        <f>BU25-BW25</f>
        <v>22597.01999999999</v>
      </c>
      <c r="BZ25" s="68">
        <f>BY25/BW25</f>
        <v>0.10528115172269197</v>
      </c>
      <c r="CB25" s="31">
        <f>CB13-CB23</f>
        <v>394225.08000000007</v>
      </c>
      <c r="CC25" s="69">
        <f>CB25/CB13</f>
        <v>0.71742096473878281</v>
      </c>
      <c r="CD25" s="31">
        <f>CD13-CD23</f>
        <v>1113687</v>
      </c>
      <c r="CE25" s="69">
        <f>CD25/CD13</f>
        <v>0.73025064341097978</v>
      </c>
      <c r="CF25" s="46">
        <f>CB25-CD25</f>
        <v>-719461.91999999993</v>
      </c>
      <c r="CG25" s="68">
        <f>CF25/CD25</f>
        <v>-0.64601806432148345</v>
      </c>
      <c r="CI25" s="31">
        <f>CI13-CI23</f>
        <v>263190.76999999996</v>
      </c>
      <c r="CJ25" s="69">
        <f>CI25/CI13</f>
        <v>0.72487059284155275</v>
      </c>
      <c r="CK25" s="31">
        <f>CK13-CK23</f>
        <v>229556</v>
      </c>
      <c r="CL25" s="69">
        <f>CK25/CK13</f>
        <v>0.72984281208668222</v>
      </c>
      <c r="CM25" s="46">
        <f>CI25-CK25</f>
        <v>33634.76999999996</v>
      </c>
      <c r="CN25" s="68">
        <f>CM25/CK25</f>
        <v>0.14652097963024255</v>
      </c>
      <c r="CP25" s="31">
        <f>CP13-CP23</f>
        <v>239869.25999999995</v>
      </c>
      <c r="CQ25" s="69">
        <f>CP25/CP13</f>
        <v>0.71677443516748207</v>
      </c>
      <c r="CR25" s="31">
        <f>CR13-CR23</f>
        <v>216837</v>
      </c>
      <c r="CS25" s="69">
        <f>CR25/CR13</f>
        <v>0.72984516997643889</v>
      </c>
      <c r="CT25" s="46">
        <f>CP25-CR25</f>
        <v>23032.259999999951</v>
      </c>
      <c r="CU25" s="68">
        <f>CT25/CR25</f>
        <v>0.106219233802349</v>
      </c>
      <c r="CW25" s="31">
        <f>CW13-CW23</f>
        <v>191337.89</v>
      </c>
      <c r="CX25" s="69">
        <f>CW25/CW13</f>
        <v>0.71871821837051852</v>
      </c>
      <c r="CY25" s="31">
        <f>CY13-CY23</f>
        <v>198700</v>
      </c>
      <c r="CZ25" s="69">
        <f>CY25/CY13</f>
        <v>0.7298412127044529</v>
      </c>
      <c r="DA25" s="46">
        <f>CW25-CY25</f>
        <v>-7362.109999999986</v>
      </c>
      <c r="DB25" s="68">
        <f>DA25/CY25</f>
        <v>-3.7051383995973762E-2</v>
      </c>
      <c r="DD25" s="31">
        <f>DD13-DD23</f>
        <v>111282.14000000001</v>
      </c>
      <c r="DE25" s="69">
        <f>DD25/DD13</f>
        <v>0.71680005173640637</v>
      </c>
      <c r="DF25" s="31">
        <f>DF13-DF23</f>
        <v>207731</v>
      </c>
      <c r="DG25" s="69">
        <f>DF25/DF13</f>
        <v>0.72983845467385267</v>
      </c>
      <c r="DH25" s="46">
        <f>DD25-DF25</f>
        <v>-96448.859999999986</v>
      </c>
      <c r="DI25" s="68">
        <f>DH25/DF25</f>
        <v>-0.4642969032065507</v>
      </c>
      <c r="DK25" s="61">
        <f t="shared" ref="DK25" si="102">CI25+CP25+CW25+DD25</f>
        <v>805680.05999999994</v>
      </c>
      <c r="DL25" s="69">
        <f>DK25/DK13</f>
        <v>0.71986685573504916</v>
      </c>
      <c r="DM25" s="61">
        <f>CK25+CR25+CY25+DF25</f>
        <v>852824</v>
      </c>
      <c r="DN25" s="69">
        <f>DM25/DM13</f>
        <v>0.72984197756962954</v>
      </c>
      <c r="DO25" s="46">
        <f>DK25-DM25</f>
        <v>-47143.940000000061</v>
      </c>
      <c r="DP25" s="68">
        <f>DO25/DM25</f>
        <v>-5.5279799818016451E-2</v>
      </c>
      <c r="DR25" s="61">
        <f>X25+AZ25+CB25+DK25</f>
        <v>2006108.9400000004</v>
      </c>
      <c r="DS25" s="36">
        <f>DR25/DR13</f>
        <v>0.72590052740756938</v>
      </c>
      <c r="DT25" s="61">
        <f>Z25+BB25+CD25+DM25</f>
        <v>4083132</v>
      </c>
      <c r="DU25" s="36">
        <f>DT25/DT13</f>
        <v>0.73021573663295047</v>
      </c>
      <c r="DV25" s="46">
        <f>DR25-DT25</f>
        <v>-2077023.0599999996</v>
      </c>
      <c r="DW25" s="38">
        <f>DV25/DT25</f>
        <v>-0.50868378979665596</v>
      </c>
      <c r="DX25" s="64"/>
    </row>
    <row r="26" spans="1:129">
      <c r="A26" s="7"/>
      <c r="B26" s="7"/>
      <c r="C26" s="60"/>
      <c r="D26" s="33"/>
      <c r="E26" s="60"/>
      <c r="F26" s="33"/>
      <c r="G26" s="55"/>
      <c r="H26" s="55"/>
      <c r="J26" s="60"/>
      <c r="K26" s="33"/>
      <c r="L26" s="60"/>
      <c r="M26" s="33"/>
      <c r="N26" s="55"/>
      <c r="O26" s="55"/>
      <c r="Q26" s="60"/>
      <c r="R26" s="33"/>
      <c r="S26" s="60"/>
      <c r="T26" s="33"/>
      <c r="U26" s="55"/>
      <c r="V26" s="55"/>
      <c r="X26" s="60"/>
      <c r="Y26" s="33"/>
      <c r="Z26" s="60"/>
      <c r="AA26" s="33"/>
      <c r="AB26" s="55"/>
      <c r="AC26" s="55"/>
      <c r="AE26" s="60"/>
      <c r="AF26" s="33"/>
      <c r="AG26" s="60"/>
      <c r="AH26" s="33"/>
      <c r="AI26" s="55"/>
      <c r="AJ26" s="55"/>
      <c r="AL26" s="60"/>
      <c r="AM26" s="33"/>
      <c r="AN26" s="60"/>
      <c r="AO26" s="33"/>
      <c r="AP26" s="55"/>
      <c r="AQ26" s="55"/>
      <c r="AS26" s="60"/>
      <c r="AT26" s="33"/>
      <c r="AU26" s="60"/>
      <c r="AV26" s="33"/>
      <c r="AW26" s="55"/>
      <c r="AX26" s="55"/>
      <c r="AZ26" s="60"/>
      <c r="BA26" s="33"/>
      <c r="BB26" s="60"/>
      <c r="BC26" s="33"/>
      <c r="BD26" s="55"/>
      <c r="BE26" s="55"/>
      <c r="BG26" s="60"/>
      <c r="BH26" s="70"/>
      <c r="BI26" s="60"/>
      <c r="BJ26" s="70"/>
      <c r="BK26" s="55"/>
      <c r="BL26" s="71"/>
      <c r="BN26" s="60"/>
      <c r="BO26" s="70"/>
      <c r="BP26" s="60"/>
      <c r="BQ26" s="70"/>
      <c r="BR26" s="55"/>
      <c r="BS26" s="71"/>
      <c r="BU26" s="60"/>
      <c r="BV26" s="70"/>
      <c r="BW26" s="60"/>
      <c r="BX26" s="70"/>
      <c r="BY26" s="55"/>
      <c r="BZ26" s="71"/>
      <c r="CB26" s="60"/>
      <c r="CC26" s="70"/>
      <c r="CD26" s="60"/>
      <c r="CE26" s="70"/>
      <c r="CF26" s="55"/>
      <c r="CG26" s="71"/>
      <c r="CI26" s="60"/>
      <c r="CJ26" s="70"/>
      <c r="CK26" s="60"/>
      <c r="CL26" s="70"/>
      <c r="CM26" s="55"/>
      <c r="CN26" s="71"/>
      <c r="CP26" s="60"/>
      <c r="CQ26" s="70"/>
      <c r="CR26" s="60"/>
      <c r="CS26" s="70"/>
      <c r="CT26" s="55"/>
      <c r="CU26" s="71"/>
      <c r="CW26" s="60"/>
      <c r="CX26" s="70"/>
      <c r="CY26" s="60"/>
      <c r="CZ26" s="70"/>
      <c r="DA26" s="55"/>
      <c r="DB26" s="71"/>
      <c r="DD26" s="60"/>
      <c r="DE26" s="70"/>
      <c r="DF26" s="60"/>
      <c r="DG26" s="70"/>
      <c r="DH26" s="55"/>
      <c r="DI26" s="71"/>
      <c r="DK26" s="60"/>
      <c r="DL26" s="70"/>
      <c r="DM26" s="60"/>
      <c r="DN26" s="70"/>
      <c r="DO26" s="55"/>
      <c r="DP26" s="71"/>
      <c r="DR26" s="60"/>
      <c r="DS26" s="33"/>
      <c r="DT26" s="60"/>
      <c r="DU26" s="33"/>
      <c r="DV26" s="55"/>
      <c r="DW26" s="55"/>
    </row>
    <row r="27" spans="1:129">
      <c r="A27" s="56" t="s">
        <v>37</v>
      </c>
      <c r="B27" s="8"/>
      <c r="C27" s="55">
        <f>26500.8+20254.08</f>
        <v>46754.880000000005</v>
      </c>
      <c r="D27" s="33"/>
      <c r="E27" s="55">
        <v>45421</v>
      </c>
      <c r="F27" s="33"/>
      <c r="G27" s="57"/>
      <c r="H27" s="39"/>
      <c r="J27" s="55">
        <f>34238.33-1800</f>
        <v>32438.33</v>
      </c>
      <c r="K27" s="33"/>
      <c r="L27" s="55">
        <v>45421</v>
      </c>
      <c r="M27" s="33"/>
      <c r="N27" s="57"/>
      <c r="O27" s="39"/>
      <c r="Q27" s="55">
        <f>42292.04-1800</f>
        <v>40492.04</v>
      </c>
      <c r="R27" s="33"/>
      <c r="S27" s="55">
        <v>45421</v>
      </c>
      <c r="T27" s="33"/>
      <c r="U27" s="57"/>
      <c r="V27" s="39"/>
      <c r="X27" s="61">
        <f t="shared" ref="X27:X28" si="103">C27+J27+Q27</f>
        <v>119685.25</v>
      </c>
      <c r="Y27" s="33"/>
      <c r="Z27" s="61">
        <f t="shared" ref="Z27:Z28" si="104">E27+L27+S27</f>
        <v>136263</v>
      </c>
      <c r="AA27" s="33"/>
      <c r="AB27" s="57"/>
      <c r="AC27" s="39"/>
      <c r="AE27" s="55">
        <v>0</v>
      </c>
      <c r="AF27" s="33"/>
      <c r="AG27" s="55">
        <v>46344</v>
      </c>
      <c r="AH27" s="33"/>
      <c r="AI27" s="57"/>
      <c r="AJ27" s="39"/>
      <c r="AL27" s="55">
        <f>5054.71+10837.6</f>
        <v>15892.310000000001</v>
      </c>
      <c r="AM27" s="33"/>
      <c r="AN27" s="55">
        <v>46344</v>
      </c>
      <c r="AO27" s="33"/>
      <c r="AP27" s="57"/>
      <c r="AQ27" s="39"/>
      <c r="AS27" s="55">
        <f>8076.39+7257.3</f>
        <v>15333.69</v>
      </c>
      <c r="AT27" s="33"/>
      <c r="AU27" s="55">
        <v>46344</v>
      </c>
      <c r="AV27" s="33"/>
      <c r="AW27" s="57"/>
      <c r="AX27" s="39"/>
      <c r="AZ27" s="61">
        <f t="shared" ref="AZ27:AZ28" si="105">AE27+AL27+AS27</f>
        <v>31226</v>
      </c>
      <c r="BA27" s="33"/>
      <c r="BB27" s="61">
        <f t="shared" ref="BB27:BB28" si="106">AG27+AN27+AU27</f>
        <v>139032</v>
      </c>
      <c r="BC27" s="33"/>
      <c r="BD27" s="57"/>
      <c r="BE27" s="39"/>
      <c r="BG27" s="55">
        <f>16612.28+3164.28</f>
        <v>19776.559999999998</v>
      </c>
      <c r="BH27" s="70"/>
      <c r="BI27" s="55">
        <v>46344</v>
      </c>
      <c r="BJ27" s="70"/>
      <c r="BK27" s="57">
        <f t="shared" ref="BK27:BK28" si="107">BG27-BI27</f>
        <v>-26567.440000000002</v>
      </c>
      <c r="BL27" s="43"/>
      <c r="BN27" s="55">
        <f>30356.33-BN28</f>
        <v>28856.33</v>
      </c>
      <c r="BO27" s="70"/>
      <c r="BP27" s="55">
        <v>46344</v>
      </c>
      <c r="BQ27" s="70"/>
      <c r="BR27" s="57">
        <f t="shared" ref="BR27:BR28" si="108">BN27-BP27</f>
        <v>-17487.669999999998</v>
      </c>
      <c r="BS27" s="43"/>
      <c r="BU27" s="55">
        <f>19995.69+3628.65+4043.07</f>
        <v>27667.41</v>
      </c>
      <c r="BV27" s="70"/>
      <c r="BW27" s="55">
        <v>41788</v>
      </c>
      <c r="BX27" s="70"/>
      <c r="BY27" s="57">
        <f t="shared" ref="BY27:BY28" si="109">BU27-BW27</f>
        <v>-14120.59</v>
      </c>
      <c r="BZ27" s="43"/>
      <c r="CB27" s="61">
        <f t="shared" ref="CB27:CB28" si="110">BG27+BN27+BU27</f>
        <v>76300.3</v>
      </c>
      <c r="CC27" s="70"/>
      <c r="CD27" s="61">
        <f t="shared" ref="CD27:CD28" si="111">BI27+BP27+BW27</f>
        <v>134476</v>
      </c>
      <c r="CE27" s="70"/>
      <c r="CF27" s="57">
        <f t="shared" ref="CF27:CF28" si="112">CB27-CD27</f>
        <v>-58175.7</v>
      </c>
      <c r="CG27" s="43"/>
      <c r="CI27" s="55">
        <f>22239.56+15693.3</f>
        <v>37932.86</v>
      </c>
      <c r="CJ27" s="70"/>
      <c r="CK27" s="55">
        <v>41788</v>
      </c>
      <c r="CL27" s="70"/>
      <c r="CM27" s="57">
        <f t="shared" ref="CM27:CM28" si="113">CI27-CK27</f>
        <v>-3855.1399999999994</v>
      </c>
      <c r="CN27" s="43"/>
      <c r="CP27" s="55">
        <f>18613.98+20082.81</f>
        <v>38696.79</v>
      </c>
      <c r="CQ27" s="70"/>
      <c r="CR27" s="55">
        <v>41788</v>
      </c>
      <c r="CS27" s="70"/>
      <c r="CT27" s="57">
        <f t="shared" ref="CT27:CT28" si="114">CP27-CR27</f>
        <v>-3091.2099999999991</v>
      </c>
      <c r="CU27" s="43"/>
      <c r="CW27" s="55">
        <f>22765.39+15873</f>
        <v>38638.39</v>
      </c>
      <c r="CX27" s="70"/>
      <c r="CY27" s="55">
        <v>41788</v>
      </c>
      <c r="CZ27" s="70"/>
      <c r="DA27" s="57">
        <f t="shared" ref="DA27:DA28" si="115">CW27-CY27</f>
        <v>-3149.6100000000006</v>
      </c>
      <c r="DB27" s="43"/>
      <c r="DD27" s="55">
        <f>19144.82+12292.2</f>
        <v>31437.02</v>
      </c>
      <c r="DE27" s="70"/>
      <c r="DF27" s="55">
        <v>41788</v>
      </c>
      <c r="DG27" s="70"/>
      <c r="DH27" s="57">
        <f t="shared" ref="DH27:DH28" si="116">DD27-DF27</f>
        <v>-10350.98</v>
      </c>
      <c r="DI27" s="43"/>
      <c r="DK27" s="61">
        <f t="shared" ref="DK27:DK28" si="117">CI27+CP27+CW27+DD27</f>
        <v>146705.06</v>
      </c>
      <c r="DL27" s="70"/>
      <c r="DM27" s="61">
        <f t="shared" ref="DM27:DM28" si="118">CK27+CR27+CY27+DF27</f>
        <v>167152</v>
      </c>
      <c r="DN27" s="70"/>
      <c r="DO27" s="57">
        <f t="shared" ref="DO27:DO28" si="119">DK27-DM27</f>
        <v>-20446.940000000002</v>
      </c>
      <c r="DP27" s="43"/>
      <c r="DR27" s="61">
        <f t="shared" ref="DR27:DR28" si="120">X27+AZ27+CB27+DK27</f>
        <v>373916.61</v>
      </c>
      <c r="DS27" s="33"/>
      <c r="DT27" s="61">
        <f t="shared" ref="DT27:DT28" si="121">Z27+BB27+CD27+DM27</f>
        <v>576923</v>
      </c>
      <c r="DU27" s="33"/>
      <c r="DV27" s="57">
        <f>DT27-DR27</f>
        <v>203006.39</v>
      </c>
      <c r="DW27" s="39">
        <f>DV27/DT27</f>
        <v>0.3518777895837053</v>
      </c>
      <c r="DY27" s="64"/>
    </row>
    <row r="28" spans="1:129">
      <c r="A28" s="56" t="s">
        <v>38</v>
      </c>
      <c r="B28" s="8"/>
      <c r="C28" s="55">
        <v>1800</v>
      </c>
      <c r="D28" s="33"/>
      <c r="E28" s="55">
        <v>1800</v>
      </c>
      <c r="F28" s="33"/>
      <c r="G28" s="57"/>
      <c r="H28" s="39"/>
      <c r="J28" s="55">
        <v>1800</v>
      </c>
      <c r="K28" s="33"/>
      <c r="L28" s="55">
        <v>1800</v>
      </c>
      <c r="M28" s="33"/>
      <c r="N28" s="57"/>
      <c r="O28" s="39"/>
      <c r="Q28" s="55">
        <v>1800</v>
      </c>
      <c r="R28" s="33"/>
      <c r="S28" s="55">
        <v>1800</v>
      </c>
      <c r="T28" s="33"/>
      <c r="U28" s="57"/>
      <c r="V28" s="39"/>
      <c r="X28" s="61">
        <f t="shared" si="103"/>
        <v>5400</v>
      </c>
      <c r="Y28" s="33"/>
      <c r="Z28" s="61">
        <f t="shared" si="104"/>
        <v>5400</v>
      </c>
      <c r="AA28" s="33"/>
      <c r="AB28" s="57"/>
      <c r="AC28" s="39"/>
      <c r="AE28" s="55">
        <v>1800</v>
      </c>
      <c r="AF28" s="33"/>
      <c r="AG28" s="55">
        <v>1800</v>
      </c>
      <c r="AH28" s="33"/>
      <c r="AI28" s="57"/>
      <c r="AJ28" s="39"/>
      <c r="AL28" s="55">
        <v>1500</v>
      </c>
      <c r="AM28" s="33"/>
      <c r="AN28" s="55">
        <v>1800</v>
      </c>
      <c r="AO28" s="33"/>
      <c r="AP28" s="57"/>
      <c r="AQ28" s="39"/>
      <c r="AS28" s="55">
        <v>1500</v>
      </c>
      <c r="AT28" s="33"/>
      <c r="AU28" s="55">
        <v>1800</v>
      </c>
      <c r="AV28" s="33"/>
      <c r="AW28" s="57"/>
      <c r="AX28" s="39"/>
      <c r="AZ28" s="61">
        <f t="shared" si="105"/>
        <v>4800</v>
      </c>
      <c r="BA28" s="33"/>
      <c r="BB28" s="61">
        <f t="shared" si="106"/>
        <v>5400</v>
      </c>
      <c r="BC28" s="33"/>
      <c r="BD28" s="57"/>
      <c r="BE28" s="39"/>
      <c r="BG28" s="55">
        <v>1500</v>
      </c>
      <c r="BH28" s="70"/>
      <c r="BI28" s="55">
        <v>1800</v>
      </c>
      <c r="BJ28" s="70"/>
      <c r="BK28" s="57">
        <f t="shared" si="107"/>
        <v>-300</v>
      </c>
      <c r="BL28" s="43"/>
      <c r="BN28" s="55">
        <v>1500</v>
      </c>
      <c r="BO28" s="70"/>
      <c r="BP28" s="55">
        <v>1800</v>
      </c>
      <c r="BQ28" s="70"/>
      <c r="BR28" s="57">
        <f t="shared" si="108"/>
        <v>-300</v>
      </c>
      <c r="BS28" s="43"/>
      <c r="BU28" s="55">
        <v>1500</v>
      </c>
      <c r="BV28" s="70"/>
      <c r="BW28" s="55">
        <v>1106</v>
      </c>
      <c r="BX28" s="70"/>
      <c r="BY28" s="57">
        <f t="shared" si="109"/>
        <v>394</v>
      </c>
      <c r="BZ28" s="43"/>
      <c r="CB28" s="61">
        <f t="shared" si="110"/>
        <v>4500</v>
      </c>
      <c r="CC28" s="70"/>
      <c r="CD28" s="61">
        <f t="shared" si="111"/>
        <v>4706</v>
      </c>
      <c r="CE28" s="70"/>
      <c r="CF28" s="57">
        <f t="shared" si="112"/>
        <v>-206</v>
      </c>
      <c r="CG28" s="43"/>
      <c r="CI28" s="55">
        <f>1046.59+1500</f>
        <v>2546.59</v>
      </c>
      <c r="CJ28" s="70"/>
      <c r="CK28" s="55">
        <v>1106</v>
      </c>
      <c r="CL28" s="70"/>
      <c r="CM28" s="57">
        <f t="shared" si="113"/>
        <v>1440.5900000000001</v>
      </c>
      <c r="CN28" s="43"/>
      <c r="CP28" s="55">
        <v>2685.28</v>
      </c>
      <c r="CQ28" s="70"/>
      <c r="CR28" s="55">
        <v>1106</v>
      </c>
      <c r="CS28" s="70"/>
      <c r="CT28" s="57">
        <f t="shared" si="114"/>
        <v>1579.2800000000002</v>
      </c>
      <c r="CU28" s="43"/>
      <c r="CW28" s="55">
        <v>2685.28</v>
      </c>
      <c r="CX28" s="70"/>
      <c r="CY28" s="55">
        <v>1106</v>
      </c>
      <c r="CZ28" s="70"/>
      <c r="DA28" s="57">
        <f t="shared" si="115"/>
        <v>1579.2800000000002</v>
      </c>
      <c r="DB28" s="43"/>
      <c r="DD28" s="55">
        <v>2411.85</v>
      </c>
      <c r="DE28" s="70"/>
      <c r="DF28" s="55">
        <v>1106</v>
      </c>
      <c r="DG28" s="70"/>
      <c r="DH28" s="57">
        <f t="shared" si="116"/>
        <v>1305.8499999999999</v>
      </c>
      <c r="DI28" s="43"/>
      <c r="DK28" s="61">
        <f t="shared" si="117"/>
        <v>10329.000000000002</v>
      </c>
      <c r="DL28" s="70"/>
      <c r="DM28" s="61">
        <f t="shared" si="118"/>
        <v>4424</v>
      </c>
      <c r="DN28" s="70"/>
      <c r="DO28" s="57">
        <f t="shared" si="119"/>
        <v>5905.0000000000018</v>
      </c>
      <c r="DP28" s="43"/>
      <c r="DR28" s="61">
        <f t="shared" si="120"/>
        <v>25029</v>
      </c>
      <c r="DS28" s="33"/>
      <c r="DT28" s="61">
        <f t="shared" si="121"/>
        <v>19930</v>
      </c>
      <c r="DU28" s="33"/>
      <c r="DV28" s="57"/>
      <c r="DW28" s="39"/>
      <c r="DY28" s="64"/>
    </row>
    <row r="29" spans="1:129" ht="16.7" thickBot="1">
      <c r="A29" s="54" t="s">
        <v>39</v>
      </c>
      <c r="B29" s="5"/>
      <c r="C29" s="53">
        <f>SUM(C27:C28)</f>
        <v>48554.880000000005</v>
      </c>
      <c r="D29" s="36">
        <f>+C29/C13</f>
        <v>0.12753264757169938</v>
      </c>
      <c r="E29" s="53">
        <f>SUM(E27:E28)</f>
        <v>47221</v>
      </c>
      <c r="F29" s="38">
        <f>+E29/E13</f>
        <v>0.17113708435263206</v>
      </c>
      <c r="G29" s="58"/>
      <c r="H29" s="38">
        <f>G29/E29</f>
        <v>0</v>
      </c>
      <c r="J29" s="53">
        <f>SUM(J27:J28)</f>
        <v>34238.33</v>
      </c>
      <c r="K29" s="36">
        <f>+J29/J13</f>
        <v>8.3881671585522996E-2</v>
      </c>
      <c r="L29" s="53">
        <f>SUM(L27:L28)</f>
        <v>47221</v>
      </c>
      <c r="M29" s="38">
        <f>+L29/L13</f>
        <v>0.12357604005014118</v>
      </c>
      <c r="N29" s="58"/>
      <c r="O29" s="38">
        <f>N29/L29</f>
        <v>0</v>
      </c>
      <c r="Q29" s="53">
        <f>SUM(Q27:Q28)</f>
        <v>42292.04</v>
      </c>
      <c r="R29" s="36">
        <f>+Q29/Q13</f>
        <v>0.13820717632208607</v>
      </c>
      <c r="S29" s="53">
        <f>SUM(S27:S28)</f>
        <v>47221</v>
      </c>
      <c r="T29" s="38">
        <f>+S29/S13</f>
        <v>9.5773830892389569E-2</v>
      </c>
      <c r="U29" s="58"/>
      <c r="V29" s="38">
        <f>U29/S29</f>
        <v>0</v>
      </c>
      <c r="X29" s="53">
        <f>SUM(X27:X28)</f>
        <v>125085.25</v>
      </c>
      <c r="Y29" s="36">
        <f>+X29/X13</f>
        <v>0.11424313024875396</v>
      </c>
      <c r="Z29" s="53">
        <f>SUM(Z27:Z28)</f>
        <v>141663</v>
      </c>
      <c r="AA29" s="38">
        <f>+Z29/Z13</f>
        <v>0.12306824904677555</v>
      </c>
      <c r="AB29" s="58"/>
      <c r="AC29" s="38">
        <f>AB29/Z29</f>
        <v>0</v>
      </c>
      <c r="AE29" s="53">
        <f>SUM(AE27:AE28)</f>
        <v>1800</v>
      </c>
      <c r="AF29" s="52" t="e">
        <f>+AE29/AE13</f>
        <v>#DIV/0!</v>
      </c>
      <c r="AG29" s="53">
        <f>SUM(AG27:AG28)</f>
        <v>48144</v>
      </c>
      <c r="AH29" s="38">
        <f>+AG29/AG13</f>
        <v>8.2941258555729175E-2</v>
      </c>
      <c r="AI29" s="58"/>
      <c r="AJ29" s="38">
        <f>AI29/AG29</f>
        <v>0</v>
      </c>
      <c r="AL29" s="53">
        <f>SUM(AL27:AL28)</f>
        <v>17392.310000000001</v>
      </c>
      <c r="AM29" s="52" t="e">
        <f>+AL29/AL13</f>
        <v>#DIV/0!</v>
      </c>
      <c r="AN29" s="53">
        <f>SUM(AN27:AN28)</f>
        <v>48144</v>
      </c>
      <c r="AO29" s="38">
        <f>+AN29/AN13</f>
        <v>8.6057639885671181E-2</v>
      </c>
      <c r="AP29" s="58"/>
      <c r="AQ29" s="38">
        <f>AP29/AN29</f>
        <v>0</v>
      </c>
      <c r="AS29" s="53">
        <f>SUM(AS27:AS28)</f>
        <v>16833.690000000002</v>
      </c>
      <c r="AT29" s="52" t="e">
        <f>+AS29/AS13</f>
        <v>#DIV/0!</v>
      </c>
      <c r="AU29" s="53">
        <f>SUM(AU27:AU28)</f>
        <v>48144</v>
      </c>
      <c r="AV29" s="38">
        <f>+AU29/AU13</f>
        <v>7.9300552784677514E-2</v>
      </c>
      <c r="AW29" s="58"/>
      <c r="AX29" s="38">
        <f>AW29/AU29</f>
        <v>0</v>
      </c>
      <c r="AZ29" s="53">
        <f>SUM(AZ27:AZ28)</f>
        <v>36026</v>
      </c>
      <c r="BA29" s="52" t="e">
        <f>+AZ29/AZ13</f>
        <v>#DIV/0!</v>
      </c>
      <c r="BB29" s="53">
        <f>SUM(BB27:BB28)</f>
        <v>144432</v>
      </c>
      <c r="BC29" s="38">
        <f>+BB29/BB13</f>
        <v>8.2674014857418918E-2</v>
      </c>
      <c r="BD29" s="58"/>
      <c r="BE29" s="38">
        <f>BD29/BB29</f>
        <v>0</v>
      </c>
      <c r="BG29" s="53">
        <f>SUM(BG27:BG28)</f>
        <v>21276.559999999998</v>
      </c>
      <c r="BH29" s="68" t="e">
        <f>+BG29/BG13</f>
        <v>#DIV/0!</v>
      </c>
      <c r="BI29" s="53">
        <f>SUM(BI27:BI28)</f>
        <v>48144</v>
      </c>
      <c r="BJ29" s="68">
        <f>+BI29/BI13</f>
        <v>7.7547174370001692E-2</v>
      </c>
      <c r="BK29" s="53">
        <f>SUM(BK27:BK28)</f>
        <v>-26867.440000000002</v>
      </c>
      <c r="BL29" s="68">
        <f>BK29/BI29</f>
        <v>-0.55806414091060152</v>
      </c>
      <c r="BN29" s="53">
        <f>SUM(BN27:BN28)</f>
        <v>30356.33</v>
      </c>
      <c r="BO29" s="68">
        <f>+BN29/BN13</f>
        <v>0.13737502780302582</v>
      </c>
      <c r="BP29" s="53">
        <f>SUM(BP27:BP28)</f>
        <v>48144</v>
      </c>
      <c r="BQ29" s="68">
        <f>+BP29/BP13</f>
        <v>7.8904540649507096E-2</v>
      </c>
      <c r="BR29" s="53">
        <f>SUM(BR27:BR28)</f>
        <v>-17787.669999999998</v>
      </c>
      <c r="BS29" s="68">
        <f>BR29/BP29</f>
        <v>-0.36946805417082085</v>
      </c>
      <c r="BU29" s="53">
        <f>SUM(BU27:BU28)</f>
        <v>29167.41</v>
      </c>
      <c r="BV29" s="68">
        <f>+BU29/BU13</f>
        <v>8.8781842698818059E-2</v>
      </c>
      <c r="BW29" s="53">
        <f>SUM(BW27:BW28)</f>
        <v>42894</v>
      </c>
      <c r="BX29" s="68">
        <f>+BW29/BW13</f>
        <v>0.14585578999268919</v>
      </c>
      <c r="BY29" s="53">
        <f>SUM(BY27:BY28)</f>
        <v>-13726.59</v>
      </c>
      <c r="BZ29" s="68">
        <f>BY29/BW29</f>
        <v>-0.32001188977479367</v>
      </c>
      <c r="CB29" s="53">
        <f>SUM(CB27:CB28)</f>
        <v>80800.3</v>
      </c>
      <c r="CC29" s="68">
        <f>+CB29/CB13</f>
        <v>0.14704246918329766</v>
      </c>
      <c r="CD29" s="53">
        <f>SUM(CD27:CD28)</f>
        <v>139182</v>
      </c>
      <c r="CE29" s="68">
        <f>+CD29/CD13</f>
        <v>9.1262396931298465E-2</v>
      </c>
      <c r="CF29" s="53">
        <f>SUM(CF27:CF28)</f>
        <v>-58381.7</v>
      </c>
      <c r="CG29" s="68">
        <f>CF29/CD29</f>
        <v>-0.41946300527367042</v>
      </c>
      <c r="CI29" s="53">
        <f>SUM(CI27:CI28)</f>
        <v>40479.449999999997</v>
      </c>
      <c r="CJ29" s="68">
        <f>+CI29/CI13</f>
        <v>0.111487051462329</v>
      </c>
      <c r="CK29" s="53">
        <f>SUM(CK27:CK28)</f>
        <v>42894</v>
      </c>
      <c r="CL29" s="68">
        <f>+CK29/CK13</f>
        <v>0.13637577576559162</v>
      </c>
      <c r="CM29" s="53">
        <f>SUM(CM27:CM28)</f>
        <v>-2414.5499999999993</v>
      </c>
      <c r="CN29" s="68">
        <f>CM29/CK29</f>
        <v>-5.6291089662889898E-2</v>
      </c>
      <c r="CP29" s="53">
        <f>SUM(CP27:CP28)</f>
        <v>41382.07</v>
      </c>
      <c r="CQ29" s="68">
        <f>+CP29/CP13</f>
        <v>0.12365740341347285</v>
      </c>
      <c r="CR29" s="53">
        <f>SUM(CR27:CR28)</f>
        <v>42894</v>
      </c>
      <c r="CS29" s="68">
        <f>+CR29/CR13</f>
        <v>0.14437563110063953</v>
      </c>
      <c r="CT29" s="53">
        <f>SUM(CT27:CT28)</f>
        <v>-1511.9299999999989</v>
      </c>
      <c r="CU29" s="68">
        <f>CT29/CR29</f>
        <v>-3.5248053340793561E-2</v>
      </c>
      <c r="CW29" s="53">
        <f>SUM(CW27:CW28)</f>
        <v>41323.67</v>
      </c>
      <c r="CX29" s="68">
        <f>+CW29/CW13</f>
        <v>0.1552231734076886</v>
      </c>
      <c r="CY29" s="53">
        <f>SUM(CY27:CY28)</f>
        <v>42894</v>
      </c>
      <c r="CZ29" s="68">
        <f>+CY29/CY13</f>
        <v>0.15755314030067841</v>
      </c>
      <c r="DA29" s="53">
        <f>SUM(DA27:DA28)</f>
        <v>-1570.3300000000004</v>
      </c>
      <c r="DB29" s="68">
        <f>DA29/CY29</f>
        <v>-3.6609549121089206E-2</v>
      </c>
      <c r="DD29" s="53">
        <f>SUM(DD27:DD28)</f>
        <v>33848.870000000003</v>
      </c>
      <c r="DE29" s="68">
        <f>+DD29/DD13</f>
        <v>0.21803024067670601</v>
      </c>
      <c r="DF29" s="53">
        <f>SUM(DF27:DF28)</f>
        <v>42894</v>
      </c>
      <c r="DG29" s="68">
        <f>+DF29/DF13</f>
        <v>0.15070302783301595</v>
      </c>
      <c r="DH29" s="53">
        <f>SUM(DH27:DH28)</f>
        <v>-9045.1299999999992</v>
      </c>
      <c r="DI29" s="68">
        <f>DH29/DF29</f>
        <v>-0.21087168368536391</v>
      </c>
      <c r="DK29" s="53">
        <f>SUM(DK27:DK28)</f>
        <v>157034.06</v>
      </c>
      <c r="DL29" s="68">
        <f>+DK29/DK13</f>
        <v>0.1403083191800838</v>
      </c>
      <c r="DM29" s="53">
        <f>SUM(DM27:DM28)</f>
        <v>171576</v>
      </c>
      <c r="DN29" s="68">
        <f>+DM29/DM13</f>
        <v>0.14683377478059573</v>
      </c>
      <c r="DO29" s="53">
        <f>SUM(DO27:DO28)</f>
        <v>-14541.94</v>
      </c>
      <c r="DP29" s="68">
        <f>DO29/DM29</f>
        <v>-8.4755093952534152E-2</v>
      </c>
      <c r="DR29" s="53">
        <f>SUM(DR27:DR28)</f>
        <v>398945.61</v>
      </c>
      <c r="DS29" s="36">
        <f>+DR29/DR13</f>
        <v>0.1443564818099731</v>
      </c>
      <c r="DT29" s="53">
        <f>SUM(DT27:DT28)</f>
        <v>596853</v>
      </c>
      <c r="DU29" s="38">
        <f>+DT29/DT13</f>
        <v>0.10673949631228831</v>
      </c>
      <c r="DV29" s="58"/>
      <c r="DW29" s="38">
        <f>DV29/DT29</f>
        <v>0</v>
      </c>
      <c r="DX29" s="64"/>
    </row>
    <row r="30" spans="1:129" ht="16.7" thickTop="1">
      <c r="A30" s="8"/>
      <c r="B30" s="8"/>
      <c r="C30" s="60"/>
      <c r="D30" s="33"/>
      <c r="E30" s="60"/>
      <c r="F30" s="33"/>
      <c r="G30" s="55"/>
      <c r="H30" s="55"/>
      <c r="J30" s="60"/>
      <c r="K30" s="33"/>
      <c r="L30" s="60"/>
      <c r="M30" s="33"/>
      <c r="N30" s="55"/>
      <c r="O30" s="55"/>
      <c r="Q30" s="60"/>
      <c r="R30" s="33"/>
      <c r="S30" s="60"/>
      <c r="T30" s="33"/>
      <c r="U30" s="55"/>
      <c r="V30" s="55"/>
      <c r="X30" s="60"/>
      <c r="Y30" s="33"/>
      <c r="Z30" s="60"/>
      <c r="AA30" s="33"/>
      <c r="AB30" s="55"/>
      <c r="AC30" s="55"/>
      <c r="AE30" s="60"/>
      <c r="AF30" s="33"/>
      <c r="AG30" s="60"/>
      <c r="AH30" s="33"/>
      <c r="AI30" s="55"/>
      <c r="AJ30" s="55"/>
      <c r="AL30" s="60"/>
      <c r="AM30" s="33"/>
      <c r="AN30" s="60"/>
      <c r="AO30" s="33"/>
      <c r="AP30" s="55"/>
      <c r="AQ30" s="55"/>
      <c r="AS30" s="60"/>
      <c r="AT30" s="33"/>
      <c r="AU30" s="60"/>
      <c r="AV30" s="33"/>
      <c r="AW30" s="55"/>
      <c r="AX30" s="55"/>
      <c r="AZ30" s="60"/>
      <c r="BA30" s="33"/>
      <c r="BB30" s="60"/>
      <c r="BC30" s="33"/>
      <c r="BD30" s="55"/>
      <c r="BE30" s="55"/>
      <c r="BG30" s="60"/>
      <c r="BH30" s="70"/>
      <c r="BI30" s="60"/>
      <c r="BJ30" s="70"/>
      <c r="BK30" s="55"/>
      <c r="BL30" s="71"/>
      <c r="BN30" s="60"/>
      <c r="BO30" s="70"/>
      <c r="BP30" s="60"/>
      <c r="BQ30" s="70"/>
      <c r="BR30" s="55"/>
      <c r="BS30" s="71"/>
      <c r="BU30" s="60"/>
      <c r="BV30" s="70"/>
      <c r="BW30" s="60"/>
      <c r="BX30" s="70"/>
      <c r="BY30" s="55"/>
      <c r="BZ30" s="71"/>
      <c r="CB30" s="60"/>
      <c r="CC30" s="70"/>
      <c r="CD30" s="60"/>
      <c r="CE30" s="70"/>
      <c r="CF30" s="55"/>
      <c r="CG30" s="71"/>
      <c r="CI30" s="60"/>
      <c r="CJ30" s="70"/>
      <c r="CK30" s="60"/>
      <c r="CL30" s="70"/>
      <c r="CM30" s="55"/>
      <c r="CN30" s="71"/>
      <c r="CP30" s="60"/>
      <c r="CQ30" s="70"/>
      <c r="CR30" s="60"/>
      <c r="CS30" s="70"/>
      <c r="CT30" s="55"/>
      <c r="CU30" s="71"/>
      <c r="CW30" s="60"/>
      <c r="CX30" s="70"/>
      <c r="CY30" s="60"/>
      <c r="CZ30" s="70"/>
      <c r="DA30" s="55"/>
      <c r="DB30" s="71"/>
      <c r="DD30" s="60"/>
      <c r="DE30" s="70"/>
      <c r="DF30" s="60"/>
      <c r="DG30" s="70"/>
      <c r="DH30" s="55"/>
      <c r="DI30" s="71"/>
      <c r="DK30" s="60"/>
      <c r="DL30" s="70"/>
      <c r="DM30" s="60"/>
      <c r="DN30" s="70"/>
      <c r="DO30" s="55"/>
      <c r="DP30" s="71"/>
      <c r="DR30" s="60"/>
      <c r="DS30" s="33"/>
      <c r="DT30" s="60"/>
      <c r="DU30" s="33"/>
      <c r="DV30" s="55"/>
      <c r="DW30" s="55"/>
    </row>
    <row r="31" spans="1:129">
      <c r="A31" s="8" t="s">
        <v>40</v>
      </c>
      <c r="B31" s="8"/>
      <c r="C31" s="60"/>
      <c r="D31" s="33"/>
      <c r="E31" s="60"/>
      <c r="F31" s="33"/>
      <c r="G31" s="55"/>
      <c r="H31" s="55"/>
      <c r="J31" s="60"/>
      <c r="K31" s="33"/>
      <c r="L31" s="60"/>
      <c r="M31" s="33"/>
      <c r="N31" s="55"/>
      <c r="O31" s="55"/>
      <c r="Q31" s="60"/>
      <c r="R31" s="33"/>
      <c r="S31" s="60"/>
      <c r="T31" s="33"/>
      <c r="U31" s="55"/>
      <c r="V31" s="55"/>
      <c r="X31" s="60"/>
      <c r="Y31" s="33"/>
      <c r="Z31" s="60"/>
      <c r="AA31" s="33"/>
      <c r="AB31" s="55"/>
      <c r="AC31" s="55"/>
      <c r="AE31" s="60"/>
      <c r="AF31" s="33"/>
      <c r="AG31" s="60"/>
      <c r="AH31" s="33"/>
      <c r="AI31" s="55"/>
      <c r="AJ31" s="55"/>
      <c r="AL31" s="60"/>
      <c r="AM31" s="33"/>
      <c r="AN31" s="60"/>
      <c r="AO31" s="33"/>
      <c r="AP31" s="55"/>
      <c r="AQ31" s="55"/>
      <c r="AS31" s="60"/>
      <c r="AT31" s="33"/>
      <c r="AU31" s="60"/>
      <c r="AV31" s="33"/>
      <c r="AW31" s="55"/>
      <c r="AX31" s="55"/>
      <c r="AZ31" s="60"/>
      <c r="BA31" s="33"/>
      <c r="BB31" s="60"/>
      <c r="BC31" s="33"/>
      <c r="BD31" s="55"/>
      <c r="BE31" s="55"/>
      <c r="BG31" s="60"/>
      <c r="BH31" s="70"/>
      <c r="BI31" s="60"/>
      <c r="BJ31" s="70"/>
      <c r="BK31" s="55"/>
      <c r="BL31" s="71"/>
      <c r="BN31" s="60"/>
      <c r="BO31" s="70"/>
      <c r="BP31" s="60"/>
      <c r="BQ31" s="70"/>
      <c r="BR31" s="55"/>
      <c r="BS31" s="71"/>
      <c r="BU31" s="60"/>
      <c r="BV31" s="70"/>
      <c r="BW31" s="60"/>
      <c r="BX31" s="70"/>
      <c r="BY31" s="55"/>
      <c r="BZ31" s="71"/>
      <c r="CB31" s="60"/>
      <c r="CC31" s="70"/>
      <c r="CD31" s="60"/>
      <c r="CE31" s="70"/>
      <c r="CF31" s="55"/>
      <c r="CG31" s="71"/>
      <c r="CI31" s="60"/>
      <c r="CJ31" s="70"/>
      <c r="CK31" s="60"/>
      <c r="CL31" s="70"/>
      <c r="CM31" s="55"/>
      <c r="CN31" s="71"/>
      <c r="CP31" s="60"/>
      <c r="CQ31" s="70"/>
      <c r="CR31" s="60"/>
      <c r="CS31" s="70"/>
      <c r="CT31" s="55"/>
      <c r="CU31" s="71"/>
      <c r="CW31" s="60"/>
      <c r="CX31" s="70"/>
      <c r="CY31" s="60"/>
      <c r="CZ31" s="70"/>
      <c r="DA31" s="55"/>
      <c r="DB31" s="71"/>
      <c r="DD31" s="60"/>
      <c r="DE31" s="70"/>
      <c r="DF31" s="60"/>
      <c r="DG31" s="70"/>
      <c r="DH31" s="55"/>
      <c r="DI31" s="71"/>
      <c r="DK31" s="60"/>
      <c r="DL31" s="70"/>
      <c r="DM31" s="60"/>
      <c r="DN31" s="70"/>
      <c r="DO31" s="55"/>
      <c r="DP31" s="71"/>
      <c r="DR31" s="60"/>
      <c r="DS31" s="33"/>
      <c r="DT31" s="61">
        <f t="shared" ref="DT31:DT36" si="122">Z31+BB31+CD31+DM31</f>
        <v>0</v>
      </c>
      <c r="DU31" s="33"/>
      <c r="DV31" s="55"/>
      <c r="DW31" s="55"/>
    </row>
    <row r="32" spans="1:129">
      <c r="A32" s="9" t="s">
        <v>41</v>
      </c>
      <c r="B32" s="9"/>
      <c r="C32" s="60">
        <v>27373.18</v>
      </c>
      <c r="D32" s="33"/>
      <c r="E32" s="60">
        <v>16280</v>
      </c>
      <c r="F32" s="33"/>
      <c r="G32" s="57">
        <f>E32-C32</f>
        <v>-11093.18</v>
      </c>
      <c r="H32" s="39"/>
      <c r="J32" s="60">
        <v>26046.23</v>
      </c>
      <c r="K32" s="33"/>
      <c r="L32" s="60">
        <v>22545</v>
      </c>
      <c r="M32" s="33"/>
      <c r="N32" s="57">
        <f>L32-J32</f>
        <v>-3501.2299999999996</v>
      </c>
      <c r="O32" s="39"/>
      <c r="Q32" s="60">
        <v>19961.34</v>
      </c>
      <c r="R32" s="33"/>
      <c r="S32" s="60">
        <v>29090</v>
      </c>
      <c r="T32" s="33"/>
      <c r="U32" s="57">
        <f>S32-Q32</f>
        <v>9128.66</v>
      </c>
      <c r="V32" s="39"/>
      <c r="X32" s="61">
        <f t="shared" ref="X32:X36" si="123">C32+J32+Q32</f>
        <v>73380.75</v>
      </c>
      <c r="Y32" s="33"/>
      <c r="Z32" s="61">
        <f t="shared" ref="Z32:Z36" si="124">E32+L32+S32</f>
        <v>67915</v>
      </c>
      <c r="AA32" s="33"/>
      <c r="AB32" s="57">
        <f>Z32-X32</f>
        <v>-5465.75</v>
      </c>
      <c r="AC32" s="39"/>
      <c r="AE32" s="60">
        <v>0</v>
      </c>
      <c r="AF32" s="33"/>
      <c r="AG32" s="60">
        <v>34247</v>
      </c>
      <c r="AH32" s="33"/>
      <c r="AI32" s="57">
        <f>AG32-AE32</f>
        <v>34247</v>
      </c>
      <c r="AJ32" s="39"/>
      <c r="AL32" s="60">
        <v>0</v>
      </c>
      <c r="AM32" s="33"/>
      <c r="AN32" s="60">
        <v>33007</v>
      </c>
      <c r="AO32" s="33"/>
      <c r="AP32" s="57">
        <f>AN32-AL32</f>
        <v>33007</v>
      </c>
      <c r="AQ32" s="39"/>
      <c r="AS32" s="60">
        <v>0</v>
      </c>
      <c r="AT32" s="33"/>
      <c r="AU32" s="60">
        <v>35819</v>
      </c>
      <c r="AV32" s="33"/>
      <c r="AW32" s="57">
        <f>AU32-AS32</f>
        <v>35819</v>
      </c>
      <c r="AX32" s="39"/>
      <c r="AZ32" s="61">
        <f t="shared" ref="AZ32:AZ36" si="125">AE32+AL32+AS32</f>
        <v>0</v>
      </c>
      <c r="BA32" s="33"/>
      <c r="BB32" s="61">
        <f t="shared" ref="BB32:BB36" si="126">AG32+AN32+AU32</f>
        <v>103073</v>
      </c>
      <c r="BC32" s="33"/>
      <c r="BD32" s="57">
        <f>BB32-AZ32</f>
        <v>103073</v>
      </c>
      <c r="BE32" s="39"/>
      <c r="BG32" s="60">
        <v>0</v>
      </c>
      <c r="BH32" s="70"/>
      <c r="BI32" s="60">
        <v>36629</v>
      </c>
      <c r="BJ32" s="70"/>
      <c r="BK32" s="57">
        <f t="shared" ref="BK32:BK36" si="127">BG32-BI32</f>
        <v>-36629</v>
      </c>
      <c r="BL32" s="43"/>
      <c r="BN32" s="60">
        <v>13077.95</v>
      </c>
      <c r="BO32" s="70"/>
      <c r="BP32" s="60">
        <v>35999</v>
      </c>
      <c r="BQ32" s="70"/>
      <c r="BR32" s="57">
        <f t="shared" ref="BR32" si="128">BN32-BP32</f>
        <v>-22921.05</v>
      </c>
      <c r="BS32" s="43"/>
      <c r="BU32" s="60">
        <f>400+17260.18</f>
        <v>17660.18</v>
      </c>
      <c r="BV32" s="70"/>
      <c r="BW32" s="60">
        <v>17351</v>
      </c>
      <c r="BX32" s="70"/>
      <c r="BY32" s="57">
        <f t="shared" ref="BY32:BY36" si="129">BU32-BW32</f>
        <v>309.18000000000029</v>
      </c>
      <c r="BZ32" s="43"/>
      <c r="CB32" s="61">
        <f t="shared" ref="CB32:CB36" si="130">BG32+BN32+BU32</f>
        <v>30738.13</v>
      </c>
      <c r="CC32" s="70"/>
      <c r="CD32" s="61">
        <f t="shared" ref="CD32:CD36" si="131">BI32+BP32+BW32</f>
        <v>89979</v>
      </c>
      <c r="CE32" s="70"/>
      <c r="CF32" s="57">
        <f t="shared" ref="CF32:CF36" si="132">CB32-CD32</f>
        <v>-59240.869999999995</v>
      </c>
      <c r="CG32" s="43"/>
      <c r="CI32" s="60">
        <f>860.2+25576.81</f>
        <v>26437.010000000002</v>
      </c>
      <c r="CJ32" s="70"/>
      <c r="CK32" s="60">
        <v>18557</v>
      </c>
      <c r="CL32" s="70"/>
      <c r="CM32" s="57">
        <f t="shared" ref="CM32:CM36" si="133">CI32-CK32</f>
        <v>7880.010000000002</v>
      </c>
      <c r="CN32" s="43"/>
      <c r="CP32" s="60">
        <f>880+21701.96</f>
        <v>22581.96</v>
      </c>
      <c r="CQ32" s="70"/>
      <c r="CR32" s="60">
        <v>17529</v>
      </c>
      <c r="CS32" s="70"/>
      <c r="CT32" s="57">
        <f t="shared" ref="CT32:CT36" si="134">CP32-CR32</f>
        <v>5052.9599999999991</v>
      </c>
      <c r="CU32" s="43"/>
      <c r="CW32" s="60">
        <f>880+18223.52</f>
        <v>19103.52</v>
      </c>
      <c r="CX32" s="70"/>
      <c r="CY32" s="60">
        <v>16063</v>
      </c>
      <c r="CZ32" s="70"/>
      <c r="DA32" s="57">
        <f t="shared" ref="DA32:DA36" si="135">CW32-CY32</f>
        <v>3040.5200000000004</v>
      </c>
      <c r="DB32" s="43"/>
      <c r="DD32" s="60">
        <f>510+7348.54</f>
        <v>7858.54</v>
      </c>
      <c r="DE32" s="70"/>
      <c r="DF32" s="60">
        <v>16793</v>
      </c>
      <c r="DG32" s="70"/>
      <c r="DH32" s="57">
        <f t="shared" ref="DH32:DH36" si="136">DD32-DF32</f>
        <v>-8934.4599999999991</v>
      </c>
      <c r="DI32" s="43"/>
      <c r="DK32" s="61">
        <f t="shared" ref="DK32:DK36" si="137">CI32+CP32+CW32+DD32</f>
        <v>75981.03</v>
      </c>
      <c r="DL32" s="70"/>
      <c r="DM32" s="61">
        <f t="shared" ref="DM32:DM36" si="138">CK32+CR32+CY32+DF32</f>
        <v>68942</v>
      </c>
      <c r="DN32" s="70"/>
      <c r="DO32" s="57">
        <f t="shared" ref="DO32:DO36" si="139">DK32-DM32</f>
        <v>7039.0299999999988</v>
      </c>
      <c r="DP32" s="43"/>
      <c r="DR32" s="61">
        <f t="shared" ref="DR32:DR36" si="140">X32+AZ32+CB32+DK32</f>
        <v>180099.91</v>
      </c>
      <c r="DS32" s="33"/>
      <c r="DT32" s="61">
        <f t="shared" si="122"/>
        <v>329909</v>
      </c>
      <c r="DU32" s="33">
        <f>DT32/$DT$13</f>
        <v>5.8999989090933153E-2</v>
      </c>
      <c r="DV32" s="57">
        <f>DT32-DR32</f>
        <v>149809.09</v>
      </c>
      <c r="DW32" s="39"/>
      <c r="DY32" s="64"/>
    </row>
    <row r="33" spans="1:129">
      <c r="A33" s="9" t="s">
        <v>42</v>
      </c>
      <c r="B33" s="9"/>
      <c r="C33" s="60">
        <v>1987.4</v>
      </c>
      <c r="D33" s="33"/>
      <c r="E33" s="60">
        <v>2207</v>
      </c>
      <c r="F33" s="33"/>
      <c r="G33" s="57">
        <f>E33-C33</f>
        <v>219.59999999999991</v>
      </c>
      <c r="H33" s="39"/>
      <c r="J33" s="60">
        <v>1745.79</v>
      </c>
      <c r="K33" s="33"/>
      <c r="L33" s="60">
        <v>3057</v>
      </c>
      <c r="M33" s="33"/>
      <c r="N33" s="57">
        <f>L33-J33</f>
        <v>1311.21</v>
      </c>
      <c r="O33" s="39"/>
      <c r="Q33" s="60">
        <v>1519.47</v>
      </c>
      <c r="R33" s="33"/>
      <c r="S33" s="60">
        <v>3944</v>
      </c>
      <c r="T33" s="33"/>
      <c r="U33" s="57">
        <f>S33-Q33</f>
        <v>2424.5299999999997</v>
      </c>
      <c r="V33" s="39"/>
      <c r="X33" s="61">
        <f t="shared" si="123"/>
        <v>5252.66</v>
      </c>
      <c r="Y33" s="33"/>
      <c r="Z33" s="61">
        <f t="shared" si="124"/>
        <v>9208</v>
      </c>
      <c r="AA33" s="33"/>
      <c r="AB33" s="57">
        <f>Z33-X33</f>
        <v>3955.34</v>
      </c>
      <c r="AC33" s="39"/>
      <c r="AE33" s="60">
        <v>0</v>
      </c>
      <c r="AF33" s="33"/>
      <c r="AG33" s="60">
        <v>4644</v>
      </c>
      <c r="AH33" s="33"/>
      <c r="AI33" s="57">
        <f>AG33-AE33</f>
        <v>4644</v>
      </c>
      <c r="AJ33" s="39"/>
      <c r="AL33" s="60">
        <v>0</v>
      </c>
      <c r="AM33" s="33"/>
      <c r="AN33" s="60">
        <v>4476</v>
      </c>
      <c r="AO33" s="33"/>
      <c r="AP33" s="57">
        <f>AN33-AL33</f>
        <v>4476</v>
      </c>
      <c r="AQ33" s="39"/>
      <c r="AS33" s="60">
        <v>0</v>
      </c>
      <c r="AT33" s="33"/>
      <c r="AU33" s="60">
        <v>4857</v>
      </c>
      <c r="AV33" s="33"/>
      <c r="AW33" s="57">
        <f>AU33-AS33</f>
        <v>4857</v>
      </c>
      <c r="AX33" s="39"/>
      <c r="AZ33" s="61">
        <f t="shared" si="125"/>
        <v>0</v>
      </c>
      <c r="BA33" s="33"/>
      <c r="BB33" s="61">
        <f t="shared" si="126"/>
        <v>13977</v>
      </c>
      <c r="BC33" s="33"/>
      <c r="BD33" s="57">
        <f>BB33-AZ33</f>
        <v>13977</v>
      </c>
      <c r="BE33" s="39"/>
      <c r="BG33" s="60">
        <v>0</v>
      </c>
      <c r="BH33" s="70"/>
      <c r="BI33" s="60">
        <v>4967</v>
      </c>
      <c r="BJ33" s="70"/>
      <c r="BK33" s="57">
        <f t="shared" si="127"/>
        <v>-4967</v>
      </c>
      <c r="BL33" s="43"/>
      <c r="BN33" s="60">
        <v>1408.28</v>
      </c>
      <c r="BO33" s="70"/>
      <c r="BP33" s="60">
        <v>4881</v>
      </c>
      <c r="BQ33" s="70"/>
      <c r="BR33" s="57">
        <f t="shared" ref="BR33:BR36" si="141">BN33-BP33</f>
        <v>-3472.7200000000003</v>
      </c>
      <c r="BS33" s="43"/>
      <c r="BU33" s="60">
        <v>2538.9699999999998</v>
      </c>
      <c r="BV33" s="70"/>
      <c r="BW33" s="60">
        <v>2298</v>
      </c>
      <c r="BX33" s="70"/>
      <c r="BY33" s="57">
        <f t="shared" si="129"/>
        <v>240.9699999999998</v>
      </c>
      <c r="BZ33" s="43"/>
      <c r="CB33" s="61">
        <f t="shared" si="130"/>
        <v>3947.25</v>
      </c>
      <c r="CC33" s="70"/>
      <c r="CD33" s="61">
        <f t="shared" si="131"/>
        <v>12146</v>
      </c>
      <c r="CE33" s="70"/>
      <c r="CF33" s="57">
        <f t="shared" si="132"/>
        <v>-8198.75</v>
      </c>
      <c r="CG33" s="43"/>
      <c r="CI33" s="60">
        <v>3072.28</v>
      </c>
      <c r="CJ33" s="70"/>
      <c r="CK33" s="60">
        <v>2298</v>
      </c>
      <c r="CL33" s="70"/>
      <c r="CM33" s="57">
        <f t="shared" si="133"/>
        <v>774.2800000000002</v>
      </c>
      <c r="CN33" s="43"/>
      <c r="CP33" s="60">
        <v>2654.41</v>
      </c>
      <c r="CQ33" s="70"/>
      <c r="CR33" s="60">
        <v>2298</v>
      </c>
      <c r="CS33" s="70"/>
      <c r="CT33" s="57">
        <f t="shared" si="134"/>
        <v>356.40999999999985</v>
      </c>
      <c r="CU33" s="43"/>
      <c r="CW33" s="60">
        <v>2700.7</v>
      </c>
      <c r="CX33" s="70"/>
      <c r="CY33" s="60">
        <v>2298</v>
      </c>
      <c r="CZ33" s="70"/>
      <c r="DA33" s="57">
        <f t="shared" si="135"/>
        <v>402.69999999999982</v>
      </c>
      <c r="DB33" s="43"/>
      <c r="DD33" s="60">
        <v>784.09</v>
      </c>
      <c r="DE33" s="70"/>
      <c r="DF33" s="60">
        <v>2298</v>
      </c>
      <c r="DG33" s="70"/>
      <c r="DH33" s="57">
        <f t="shared" si="136"/>
        <v>-1513.9099999999999</v>
      </c>
      <c r="DI33" s="43"/>
      <c r="DK33" s="61">
        <f t="shared" si="137"/>
        <v>9211.48</v>
      </c>
      <c r="DL33" s="70"/>
      <c r="DM33" s="61">
        <f t="shared" si="138"/>
        <v>9192</v>
      </c>
      <c r="DN33" s="70"/>
      <c r="DO33" s="57">
        <f t="shared" si="139"/>
        <v>19.479999999999563</v>
      </c>
      <c r="DP33" s="43"/>
      <c r="DR33" s="61">
        <f t="shared" si="140"/>
        <v>18411.39</v>
      </c>
      <c r="DS33" s="33"/>
      <c r="DT33" s="61">
        <f t="shared" si="122"/>
        <v>44523</v>
      </c>
      <c r="DU33" s="33">
        <f>DT33/$DT$13</f>
        <v>7.9623669384455004E-3</v>
      </c>
      <c r="DV33" s="57">
        <f>DT33-DR33</f>
        <v>26111.61</v>
      </c>
      <c r="DW33" s="39"/>
    </row>
    <row r="34" spans="1:129">
      <c r="A34" s="9" t="s">
        <v>43</v>
      </c>
      <c r="B34" s="9"/>
      <c r="C34" s="60">
        <v>40228.230000000003</v>
      </c>
      <c r="D34" s="33"/>
      <c r="E34" s="60">
        <v>26627</v>
      </c>
      <c r="F34" s="33"/>
      <c r="G34" s="57">
        <f>E34-C34</f>
        <v>-13601.230000000003</v>
      </c>
      <c r="H34" s="39"/>
      <c r="J34" s="60">
        <v>42350.32</v>
      </c>
      <c r="K34" s="33"/>
      <c r="L34" s="60">
        <v>36875</v>
      </c>
      <c r="M34" s="33"/>
      <c r="N34" s="57">
        <f>L34-J34</f>
        <v>-5475.32</v>
      </c>
      <c r="O34" s="39"/>
      <c r="Q34" s="60">
        <v>32142.560000000001</v>
      </c>
      <c r="R34" s="33"/>
      <c r="S34" s="60">
        <v>47579</v>
      </c>
      <c r="T34" s="33"/>
      <c r="U34" s="57">
        <f>S34-Q34</f>
        <v>15436.439999999999</v>
      </c>
      <c r="V34" s="39"/>
      <c r="X34" s="61">
        <f t="shared" si="123"/>
        <v>114721.11</v>
      </c>
      <c r="Y34" s="33"/>
      <c r="Z34" s="61">
        <f t="shared" si="124"/>
        <v>111081</v>
      </c>
      <c r="AA34" s="33"/>
      <c r="AB34" s="57">
        <f>Z34-X34</f>
        <v>-3640.1100000000006</v>
      </c>
      <c r="AC34" s="39"/>
      <c r="AE34" s="60">
        <v>0</v>
      </c>
      <c r="AF34" s="33"/>
      <c r="AG34" s="60">
        <v>56014</v>
      </c>
      <c r="AH34" s="33"/>
      <c r="AI34" s="57">
        <f>AG34-AE34</f>
        <v>56014</v>
      </c>
      <c r="AJ34" s="39"/>
      <c r="AL34" s="60">
        <v>0</v>
      </c>
      <c r="AM34" s="33"/>
      <c r="AN34" s="60">
        <v>53986</v>
      </c>
      <c r="AO34" s="33"/>
      <c r="AP34" s="57">
        <f>AN34-AL34</f>
        <v>53986</v>
      </c>
      <c r="AQ34" s="39"/>
      <c r="AS34" s="60">
        <v>78</v>
      </c>
      <c r="AT34" s="33"/>
      <c r="AU34" s="60">
        <v>58586</v>
      </c>
      <c r="AV34" s="33"/>
      <c r="AW34" s="57">
        <f>AU34-AS34</f>
        <v>58508</v>
      </c>
      <c r="AX34" s="39"/>
      <c r="AZ34" s="61">
        <f t="shared" si="125"/>
        <v>78</v>
      </c>
      <c r="BA34" s="33"/>
      <c r="BB34" s="61">
        <f t="shared" si="126"/>
        <v>168586</v>
      </c>
      <c r="BC34" s="33"/>
      <c r="BD34" s="57">
        <f>BB34-AZ34</f>
        <v>168508</v>
      </c>
      <c r="BE34" s="39"/>
      <c r="BG34" s="60">
        <v>175</v>
      </c>
      <c r="BH34" s="70"/>
      <c r="BI34" s="60">
        <v>59910</v>
      </c>
      <c r="BJ34" s="70"/>
      <c r="BK34" s="57">
        <f t="shared" si="127"/>
        <v>-59735</v>
      </c>
      <c r="BL34" s="43"/>
      <c r="BN34" s="60">
        <v>23151.19</v>
      </c>
      <c r="BO34" s="70"/>
      <c r="BP34" s="60">
        <v>58880</v>
      </c>
      <c r="BQ34" s="70"/>
      <c r="BR34" s="57">
        <f t="shared" si="141"/>
        <v>-35728.81</v>
      </c>
      <c r="BS34" s="43"/>
      <c r="BU34" s="60">
        <v>31704.22</v>
      </c>
      <c r="BV34" s="70"/>
      <c r="BW34" s="60">
        <v>31614</v>
      </c>
      <c r="BX34" s="70"/>
      <c r="BY34" s="57">
        <f t="shared" si="129"/>
        <v>90.220000000001164</v>
      </c>
      <c r="BZ34" s="43"/>
      <c r="CB34" s="61">
        <f t="shared" si="130"/>
        <v>55030.41</v>
      </c>
      <c r="CC34" s="70"/>
      <c r="CD34" s="61">
        <f t="shared" si="131"/>
        <v>150404</v>
      </c>
      <c r="CE34" s="70"/>
      <c r="CF34" s="57">
        <f t="shared" si="132"/>
        <v>-95373.59</v>
      </c>
      <c r="CG34" s="43"/>
      <c r="CI34" s="60">
        <v>33999.83</v>
      </c>
      <c r="CJ34" s="70"/>
      <c r="CK34" s="60">
        <v>33812</v>
      </c>
      <c r="CL34" s="70"/>
      <c r="CM34" s="57">
        <f t="shared" si="133"/>
        <v>187.83000000000175</v>
      </c>
      <c r="CN34" s="43"/>
      <c r="CP34" s="60">
        <v>36448.400000000001</v>
      </c>
      <c r="CQ34" s="70"/>
      <c r="CR34" s="60">
        <v>31938</v>
      </c>
      <c r="CS34" s="70"/>
      <c r="CT34" s="57">
        <f t="shared" si="134"/>
        <v>4510.4000000000015</v>
      </c>
      <c r="CU34" s="43"/>
      <c r="CW34" s="60">
        <v>30814.28</v>
      </c>
      <c r="CX34" s="70"/>
      <c r="CY34" s="60">
        <v>29267</v>
      </c>
      <c r="CZ34" s="70"/>
      <c r="DA34" s="57">
        <f t="shared" si="135"/>
        <v>1547.2799999999988</v>
      </c>
      <c r="DB34" s="43"/>
      <c r="DD34" s="60">
        <v>13749.77</v>
      </c>
      <c r="DE34" s="70"/>
      <c r="DF34" s="60">
        <v>30597</v>
      </c>
      <c r="DG34" s="70"/>
      <c r="DH34" s="57">
        <f t="shared" si="136"/>
        <v>-16847.23</v>
      </c>
      <c r="DI34" s="43"/>
      <c r="DK34" s="61">
        <f t="shared" si="137"/>
        <v>115012.28000000001</v>
      </c>
      <c r="DL34" s="70"/>
      <c r="DM34" s="61">
        <f t="shared" si="138"/>
        <v>125614</v>
      </c>
      <c r="DN34" s="70"/>
      <c r="DO34" s="57">
        <f t="shared" si="139"/>
        <v>-10601.719999999987</v>
      </c>
      <c r="DP34" s="43"/>
      <c r="DR34" s="61">
        <f t="shared" si="140"/>
        <v>284841.80000000005</v>
      </c>
      <c r="DS34" s="33"/>
      <c r="DT34" s="61">
        <f t="shared" si="122"/>
        <v>555685</v>
      </c>
      <c r="DU34" s="33">
        <f t="shared" ref="DU34:DU36" si="142">DT34/$DT$13</f>
        <v>9.9377128050447822E-2</v>
      </c>
      <c r="DV34" s="57">
        <f>DT34-DR34</f>
        <v>270843.19999999995</v>
      </c>
      <c r="DW34" s="39"/>
    </row>
    <row r="35" spans="1:129">
      <c r="A35" s="9" t="s">
        <v>44</v>
      </c>
      <c r="B35" s="9"/>
      <c r="C35" s="60">
        <v>3442.8</v>
      </c>
      <c r="D35" s="33"/>
      <c r="E35" s="60">
        <v>1680</v>
      </c>
      <c r="F35" s="33"/>
      <c r="G35" s="57"/>
      <c r="H35" s="39"/>
      <c r="J35" s="60">
        <v>4422.51</v>
      </c>
      <c r="K35" s="33"/>
      <c r="L35" s="60">
        <v>1680</v>
      </c>
      <c r="M35" s="33"/>
      <c r="N35" s="57"/>
      <c r="O35" s="39"/>
      <c r="Q35" s="60">
        <v>4439.3500000000004</v>
      </c>
      <c r="R35" s="33"/>
      <c r="S35" s="60">
        <v>1680</v>
      </c>
      <c r="T35" s="33"/>
      <c r="U35" s="57"/>
      <c r="V35" s="39"/>
      <c r="X35" s="61">
        <f t="shared" si="123"/>
        <v>12304.66</v>
      </c>
      <c r="Y35" s="33"/>
      <c r="Z35" s="61">
        <f t="shared" si="124"/>
        <v>5040</v>
      </c>
      <c r="AA35" s="33"/>
      <c r="AB35" s="57"/>
      <c r="AC35" s="39"/>
      <c r="AE35" s="60">
        <v>0</v>
      </c>
      <c r="AF35" s="33"/>
      <c r="AG35" s="60">
        <v>1680</v>
      </c>
      <c r="AH35" s="33"/>
      <c r="AI35" s="57"/>
      <c r="AJ35" s="39"/>
      <c r="AL35" s="60">
        <v>0</v>
      </c>
      <c r="AM35" s="33"/>
      <c r="AN35" s="60">
        <v>1680</v>
      </c>
      <c r="AO35" s="33"/>
      <c r="AP35" s="57"/>
      <c r="AQ35" s="39"/>
      <c r="AS35" s="60">
        <v>0</v>
      </c>
      <c r="AT35" s="33"/>
      <c r="AU35" s="60">
        <v>1680</v>
      </c>
      <c r="AV35" s="33"/>
      <c r="AW35" s="57"/>
      <c r="AX35" s="39"/>
      <c r="AZ35" s="61">
        <f t="shared" si="125"/>
        <v>0</v>
      </c>
      <c r="BA35" s="33"/>
      <c r="BB35" s="61">
        <f t="shared" si="126"/>
        <v>5040</v>
      </c>
      <c r="BC35" s="33"/>
      <c r="BD35" s="57"/>
      <c r="BE35" s="39"/>
      <c r="BG35" s="60">
        <v>0</v>
      </c>
      <c r="BH35" s="70"/>
      <c r="BI35" s="60">
        <v>1680</v>
      </c>
      <c r="BJ35" s="70"/>
      <c r="BK35" s="57">
        <f t="shared" si="127"/>
        <v>-1680</v>
      </c>
      <c r="BL35" s="43"/>
      <c r="BN35" s="60">
        <v>3672</v>
      </c>
      <c r="BO35" s="70"/>
      <c r="BP35" s="60">
        <v>1680</v>
      </c>
      <c r="BQ35" s="70"/>
      <c r="BR35" s="57">
        <f t="shared" si="141"/>
        <v>1992</v>
      </c>
      <c r="BS35" s="43"/>
      <c r="BU35" s="60">
        <v>3740.4</v>
      </c>
      <c r="BV35" s="70"/>
      <c r="BW35" s="60">
        <v>3700</v>
      </c>
      <c r="BX35" s="70"/>
      <c r="BY35" s="57">
        <f t="shared" si="129"/>
        <v>40.400000000000091</v>
      </c>
      <c r="BZ35" s="43"/>
      <c r="CB35" s="61">
        <f t="shared" si="130"/>
        <v>7412.4</v>
      </c>
      <c r="CC35" s="70"/>
      <c r="CD35" s="61">
        <f t="shared" si="131"/>
        <v>7060</v>
      </c>
      <c r="CE35" s="33"/>
      <c r="CF35" s="57">
        <f t="shared" si="132"/>
        <v>352.39999999999964</v>
      </c>
      <c r="CG35" s="43"/>
      <c r="CI35" s="60">
        <v>0</v>
      </c>
      <c r="CJ35" s="70"/>
      <c r="CK35" s="60">
        <v>0</v>
      </c>
      <c r="CL35" s="70"/>
      <c r="CM35" s="57">
        <f t="shared" si="133"/>
        <v>0</v>
      </c>
      <c r="CN35" s="43"/>
      <c r="CP35" s="60">
        <v>0</v>
      </c>
      <c r="CQ35" s="70"/>
      <c r="CR35" s="60">
        <v>0</v>
      </c>
      <c r="CS35" s="70"/>
      <c r="CT35" s="57">
        <f t="shared" si="134"/>
        <v>0</v>
      </c>
      <c r="CU35" s="43"/>
      <c r="CW35" s="60">
        <v>0</v>
      </c>
      <c r="CX35" s="70"/>
      <c r="CY35" s="60">
        <v>0</v>
      </c>
      <c r="CZ35" s="70"/>
      <c r="DA35" s="57">
        <f t="shared" si="135"/>
        <v>0</v>
      </c>
      <c r="DB35" s="43"/>
      <c r="DD35" s="60">
        <v>790</v>
      </c>
      <c r="DE35" s="70"/>
      <c r="DF35" s="60">
        <v>0</v>
      </c>
      <c r="DG35" s="70"/>
      <c r="DH35" s="57">
        <f t="shared" si="136"/>
        <v>790</v>
      </c>
      <c r="DI35" s="43"/>
      <c r="DK35" s="61">
        <f t="shared" si="137"/>
        <v>790</v>
      </c>
      <c r="DL35" s="70"/>
      <c r="DM35" s="61">
        <f t="shared" si="138"/>
        <v>0</v>
      </c>
      <c r="DN35" s="70"/>
      <c r="DO35" s="57">
        <f t="shared" si="139"/>
        <v>790</v>
      </c>
      <c r="DP35" s="43"/>
      <c r="DR35" s="61">
        <f t="shared" si="140"/>
        <v>20507.059999999998</v>
      </c>
      <c r="DS35" s="33"/>
      <c r="DT35" s="61">
        <f t="shared" si="122"/>
        <v>17140</v>
      </c>
      <c r="DU35" s="33">
        <f t="shared" si="142"/>
        <v>3.065268946947777E-3</v>
      </c>
      <c r="DV35" s="57"/>
      <c r="DW35" s="39"/>
    </row>
    <row r="36" spans="1:129">
      <c r="A36" s="9" t="s">
        <v>45</v>
      </c>
      <c r="B36" s="9"/>
      <c r="C36" s="60">
        <f>2497.97+281.29</f>
        <v>2779.2599999999998</v>
      </c>
      <c r="D36" s="33"/>
      <c r="E36" s="60">
        <v>2759</v>
      </c>
      <c r="F36" s="33"/>
      <c r="G36" s="57">
        <f>E36-C36</f>
        <v>-20.259999999999764</v>
      </c>
      <c r="H36" s="39"/>
      <c r="J36" s="60">
        <f>3855.53+361.61</f>
        <v>4217.1400000000003</v>
      </c>
      <c r="K36" s="33"/>
      <c r="L36" s="60">
        <v>3821</v>
      </c>
      <c r="M36" s="33"/>
      <c r="N36" s="57">
        <f>L36-J36</f>
        <v>-396.14000000000033</v>
      </c>
      <c r="O36" s="39"/>
      <c r="Q36" s="60">
        <f>1971.62+120.34</f>
        <v>2091.96</v>
      </c>
      <c r="R36" s="33"/>
      <c r="S36" s="60">
        <v>4930</v>
      </c>
      <c r="T36" s="33"/>
      <c r="U36" s="57">
        <f>S36-Q36</f>
        <v>2838.04</v>
      </c>
      <c r="V36" s="39"/>
      <c r="X36" s="61">
        <f t="shared" si="123"/>
        <v>9088.36</v>
      </c>
      <c r="Y36" s="33"/>
      <c r="Z36" s="61">
        <f t="shared" si="124"/>
        <v>11510</v>
      </c>
      <c r="AA36" s="33"/>
      <c r="AB36" s="57">
        <f>Z36-X36</f>
        <v>2421.6399999999994</v>
      </c>
      <c r="AC36" s="39"/>
      <c r="AE36" s="60">
        <v>0</v>
      </c>
      <c r="AF36" s="33"/>
      <c r="AG36" s="60">
        <v>5805</v>
      </c>
      <c r="AH36" s="33"/>
      <c r="AI36" s="57">
        <f>AG36-AE36</f>
        <v>5805</v>
      </c>
      <c r="AJ36" s="39"/>
      <c r="AL36" s="60">
        <v>0</v>
      </c>
      <c r="AM36" s="33"/>
      <c r="AN36" s="60">
        <v>5594</v>
      </c>
      <c r="AO36" s="33"/>
      <c r="AP36" s="57">
        <f>AN36-AL36</f>
        <v>5594</v>
      </c>
      <c r="AQ36" s="39"/>
      <c r="AS36" s="60">
        <v>0</v>
      </c>
      <c r="AT36" s="33"/>
      <c r="AU36" s="60">
        <v>6071</v>
      </c>
      <c r="AV36" s="33"/>
      <c r="AW36" s="57">
        <f>AU36-AS36</f>
        <v>6071</v>
      </c>
      <c r="AX36" s="39"/>
      <c r="AZ36" s="61">
        <f t="shared" si="125"/>
        <v>0</v>
      </c>
      <c r="BA36" s="33"/>
      <c r="BB36" s="61">
        <f t="shared" si="126"/>
        <v>17470</v>
      </c>
      <c r="BC36" s="33"/>
      <c r="BD36" s="57">
        <f>BB36-AZ36</f>
        <v>17470</v>
      </c>
      <c r="BE36" s="39"/>
      <c r="BG36" s="60">
        <v>0</v>
      </c>
      <c r="BH36" s="70"/>
      <c r="BI36" s="60">
        <v>6208</v>
      </c>
      <c r="BJ36" s="70"/>
      <c r="BK36" s="57">
        <f t="shared" si="127"/>
        <v>-6208</v>
      </c>
      <c r="BL36" s="43"/>
      <c r="BN36" s="60">
        <f>787.51+76.14</f>
        <v>863.65</v>
      </c>
      <c r="BO36" s="70"/>
      <c r="BP36" s="60">
        <v>6102</v>
      </c>
      <c r="BQ36" s="70"/>
      <c r="BR36" s="57">
        <f t="shared" si="141"/>
        <v>-5238.3500000000004</v>
      </c>
      <c r="BS36" s="43"/>
      <c r="BU36" s="60">
        <f>2292.21+217.68</f>
        <v>2509.89</v>
      </c>
      <c r="BV36" s="70"/>
      <c r="BW36" s="60">
        <v>864</v>
      </c>
      <c r="BX36" s="70"/>
      <c r="BY36" s="57">
        <f t="shared" si="129"/>
        <v>1645.8899999999999</v>
      </c>
      <c r="BZ36" s="43"/>
      <c r="CB36" s="61">
        <f t="shared" si="130"/>
        <v>3373.54</v>
      </c>
      <c r="CC36" s="70"/>
      <c r="CD36" s="61">
        <f t="shared" si="131"/>
        <v>13174</v>
      </c>
      <c r="CE36" s="70"/>
      <c r="CF36" s="57">
        <f t="shared" si="132"/>
        <v>-9800.4599999999991</v>
      </c>
      <c r="CG36" s="43"/>
      <c r="CI36" s="60">
        <f>5849.34+203.57+147.55</f>
        <v>6200.46</v>
      </c>
      <c r="CJ36" s="70"/>
      <c r="CK36" s="60">
        <v>864</v>
      </c>
      <c r="CL36" s="70"/>
      <c r="CM36" s="57">
        <f t="shared" si="133"/>
        <v>5336.46</v>
      </c>
      <c r="CN36" s="43"/>
      <c r="CP36" s="60">
        <f>3324.3+1.69</f>
        <v>3325.9900000000002</v>
      </c>
      <c r="CQ36" s="70"/>
      <c r="CR36" s="60">
        <v>864</v>
      </c>
      <c r="CS36" s="70"/>
      <c r="CT36" s="57">
        <f t="shared" si="134"/>
        <v>2461.9900000000002</v>
      </c>
      <c r="CU36" s="43"/>
      <c r="CW36" s="60">
        <f>5.77+105.19</f>
        <v>110.96</v>
      </c>
      <c r="CX36" s="70"/>
      <c r="CY36" s="60">
        <v>864</v>
      </c>
      <c r="CZ36" s="70"/>
      <c r="DA36" s="57">
        <f t="shared" si="135"/>
        <v>-753.04</v>
      </c>
      <c r="DB36" s="43"/>
      <c r="DD36" s="60">
        <f>50.99</f>
        <v>50.99</v>
      </c>
      <c r="DE36" s="70"/>
      <c r="DF36" s="60">
        <v>864</v>
      </c>
      <c r="DG36" s="70"/>
      <c r="DH36" s="57">
        <f t="shared" si="136"/>
        <v>-813.01</v>
      </c>
      <c r="DI36" s="43"/>
      <c r="DK36" s="61">
        <f t="shared" si="137"/>
        <v>9688.4</v>
      </c>
      <c r="DL36" s="70"/>
      <c r="DM36" s="61">
        <f t="shared" si="138"/>
        <v>3456</v>
      </c>
      <c r="DN36" s="70"/>
      <c r="DO36" s="57">
        <f t="shared" si="139"/>
        <v>6232.4</v>
      </c>
      <c r="DP36" s="43"/>
      <c r="DR36" s="61">
        <f t="shared" si="140"/>
        <v>22150.300000000003</v>
      </c>
      <c r="DS36" s="33"/>
      <c r="DT36" s="61">
        <f t="shared" si="122"/>
        <v>45610</v>
      </c>
      <c r="DU36" s="33">
        <f t="shared" si="142"/>
        <v>8.1567629329222947E-3</v>
      </c>
      <c r="DV36" s="57">
        <f>DT36-DR36</f>
        <v>23459.699999999997</v>
      </c>
      <c r="DW36" s="39"/>
    </row>
    <row r="37" spans="1:129" ht="16.7" thickBot="1">
      <c r="A37" s="10" t="s">
        <v>46</v>
      </c>
      <c r="B37" s="8"/>
      <c r="C37" s="59">
        <f>SUM(C32:C36)</f>
        <v>75810.87</v>
      </c>
      <c r="D37" s="36">
        <f>C37/C13</f>
        <v>0.19912233262267184</v>
      </c>
      <c r="E37" s="59">
        <f>SUM(E32:E36)</f>
        <v>49553</v>
      </c>
      <c r="F37" s="36">
        <f>E37/E13</f>
        <v>0.17958865633777293</v>
      </c>
      <c r="G37" s="58">
        <f>E37-C37</f>
        <v>-26257.869999999995</v>
      </c>
      <c r="H37" s="38">
        <f>G37/E37</f>
        <v>-0.52989465824470761</v>
      </c>
      <c r="J37" s="59">
        <f>SUM(J32:J36)</f>
        <v>78781.989999999991</v>
      </c>
      <c r="K37" s="36">
        <f>J37/J13</f>
        <v>0.19301072838640071</v>
      </c>
      <c r="L37" s="59">
        <f>SUM(L32:L36)</f>
        <v>67978</v>
      </c>
      <c r="M37" s="36">
        <f>L37/L13</f>
        <v>0.17789653015667811</v>
      </c>
      <c r="N37" s="58">
        <f>L37-J37</f>
        <v>-10803.989999999991</v>
      </c>
      <c r="O37" s="38">
        <f>N37/L37</f>
        <v>-0.15893362558474786</v>
      </c>
      <c r="Q37" s="59">
        <f>SUM(Q32:Q36)</f>
        <v>60154.68</v>
      </c>
      <c r="R37" s="36">
        <f>Q37/Q13</f>
        <v>0.19658092788521583</v>
      </c>
      <c r="S37" s="59">
        <f>SUM(S32:S36)</f>
        <v>87223</v>
      </c>
      <c r="T37" s="36">
        <f>S37/S13</f>
        <v>0.17690605560930298</v>
      </c>
      <c r="U37" s="58">
        <f>S37-Q37</f>
        <v>27068.32</v>
      </c>
      <c r="V37" s="38">
        <f>U37/S37</f>
        <v>0.3103346594361579</v>
      </c>
      <c r="X37" s="59">
        <f>SUM(X32:X36)</f>
        <v>214747.54000000004</v>
      </c>
      <c r="Y37" s="36">
        <f>X37/X13</f>
        <v>0.19613368628850728</v>
      </c>
      <c r="Z37" s="59">
        <f>SUM(Z32:Z36)</f>
        <v>204754</v>
      </c>
      <c r="AA37" s="36">
        <f>Z37/Z13</f>
        <v>0.17787789518309988</v>
      </c>
      <c r="AB37" s="58">
        <f>Z37-X37</f>
        <v>-9993.5400000000373</v>
      </c>
      <c r="AC37" s="38">
        <f>AB37/Z37</f>
        <v>-4.8807544663352305E-2</v>
      </c>
      <c r="AE37" s="59">
        <f>SUM(AE32:AE36)</f>
        <v>0</v>
      </c>
      <c r="AF37" s="36" t="e">
        <f>AE37/AE13</f>
        <v>#DIV/0!</v>
      </c>
      <c r="AG37" s="59">
        <f>SUM(AG32:AG36)</f>
        <v>102390</v>
      </c>
      <c r="AH37" s="36">
        <f>AG37/AG13</f>
        <v>0.17639488749420718</v>
      </c>
      <c r="AI37" s="58">
        <f>AG37-AE37</f>
        <v>102390</v>
      </c>
      <c r="AJ37" s="38">
        <f>AI37/AG37</f>
        <v>1</v>
      </c>
      <c r="AL37" s="59">
        <f>SUM(AL32:AL36)</f>
        <v>0</v>
      </c>
      <c r="AM37" s="36" t="e">
        <f>AL37/AL13</f>
        <v>#DIV/0!</v>
      </c>
      <c r="AN37" s="59">
        <f>SUM(AN32:AN36)</f>
        <v>98743</v>
      </c>
      <c r="AO37" s="36">
        <f>AN37/AN13</f>
        <v>0.17650360450379757</v>
      </c>
      <c r="AP37" s="58">
        <f>AN37-AL37</f>
        <v>98743</v>
      </c>
      <c r="AQ37" s="38">
        <f>AP37/AN37</f>
        <v>1</v>
      </c>
      <c r="AS37" s="59">
        <f>SUM(AS32:AS36)</f>
        <v>78</v>
      </c>
      <c r="AT37" s="36" t="e">
        <f>AS37/AS13</f>
        <v>#DIV/0!</v>
      </c>
      <c r="AU37" s="59">
        <f>SUM(AU32:AU36)</f>
        <v>107013</v>
      </c>
      <c r="AV37" s="36">
        <f>AU37/AU13</f>
        <v>0.17626682567187388</v>
      </c>
      <c r="AW37" s="58">
        <f>AU37-AS37</f>
        <v>106935</v>
      </c>
      <c r="AX37" s="38">
        <f>AW37/AU37</f>
        <v>0.99927111659331114</v>
      </c>
      <c r="AZ37" s="59">
        <f>SUM(AZ32:AZ36)</f>
        <v>78</v>
      </c>
      <c r="BA37" s="36" t="e">
        <f>AZ37/AZ13</f>
        <v>#DIV/0!</v>
      </c>
      <c r="BB37" s="59">
        <f>SUM(BB32:BB36)</f>
        <v>308146</v>
      </c>
      <c r="BC37" s="36">
        <f>BB37/BB13</f>
        <v>0.17638519844808775</v>
      </c>
      <c r="BD37" s="58">
        <f>BB37-AZ37</f>
        <v>308068</v>
      </c>
      <c r="BE37" s="38">
        <f>BD37/BB37</f>
        <v>0.99974687323541434</v>
      </c>
      <c r="BG37" s="59">
        <f>SUM(BG32:BG36)</f>
        <v>175</v>
      </c>
      <c r="BH37" s="69" t="e">
        <f>BG37/BG13</f>
        <v>#DIV/0!</v>
      </c>
      <c r="BI37" s="59">
        <f>SUM(BI32:BI36)</f>
        <v>109394</v>
      </c>
      <c r="BJ37" s="69">
        <f>BI37/BI13</f>
        <v>0.17620462763858352</v>
      </c>
      <c r="BK37" s="59">
        <f>SUM(BK32:BK36)</f>
        <v>-109219</v>
      </c>
      <c r="BL37" s="68">
        <f>BK37/BI37</f>
        <v>-0.99840027789458285</v>
      </c>
      <c r="BN37" s="59">
        <f>SUM(BN32:BN36)</f>
        <v>42173.07</v>
      </c>
      <c r="BO37" s="69">
        <f>BN37/BN13</f>
        <v>0.19085069452693898</v>
      </c>
      <c r="BP37" s="59">
        <f>SUM(BP32:BP36)</f>
        <v>107542</v>
      </c>
      <c r="BQ37" s="69">
        <f>BP37/BP13</f>
        <v>0.17625357491129304</v>
      </c>
      <c r="BR37" s="59">
        <f>SUM(BR32:BR36)</f>
        <v>-65368.93</v>
      </c>
      <c r="BS37" s="68">
        <f>BR37/BP37</f>
        <v>-0.60784558591062099</v>
      </c>
      <c r="BU37" s="59">
        <f>SUM(BU32:BU36)</f>
        <v>58153.66</v>
      </c>
      <c r="BV37" s="69">
        <f>BU37/BU13</f>
        <v>0.17701225766979475</v>
      </c>
      <c r="BW37" s="59">
        <f>SUM(BW32:BW36)</f>
        <v>55827</v>
      </c>
      <c r="BX37" s="69">
        <f>BW37/BW13</f>
        <v>0.18983287144873082</v>
      </c>
      <c r="BY37" s="59">
        <f>SUM(BY32:BY36)</f>
        <v>2326.6600000000012</v>
      </c>
      <c r="BZ37" s="68">
        <f>BY37/BW37</f>
        <v>4.1676249843265824E-2</v>
      </c>
      <c r="CB37" s="59">
        <f>SUM(CB32:CB36)</f>
        <v>100501.73</v>
      </c>
      <c r="CC37" s="69">
        <f>CB37/CB13</f>
        <v>0.18289563945174836</v>
      </c>
      <c r="CD37" s="59">
        <f>SUM(CD32:CD36)</f>
        <v>272763</v>
      </c>
      <c r="CE37" s="69">
        <f>CD37/CD13</f>
        <v>0.17885218759733129</v>
      </c>
      <c r="CF37" s="59">
        <f>SUM(CF32:CF36)</f>
        <v>-172261.27</v>
      </c>
      <c r="CG37" s="68">
        <f>CF37/CD37</f>
        <v>-0.63154192467453429</v>
      </c>
      <c r="CI37" s="59">
        <f>SUM(CI32:CI36)</f>
        <v>69709.58</v>
      </c>
      <c r="CJ37" s="69">
        <f>CI37/CI13</f>
        <v>0.19199162866287314</v>
      </c>
      <c r="CK37" s="59">
        <f>SUM(CK32:CK36)</f>
        <v>55531</v>
      </c>
      <c r="CL37" s="69">
        <f>CK37/CK13</f>
        <v>0.17655343880354055</v>
      </c>
      <c r="CM37" s="59">
        <f>SUM(CM32:CM36)</f>
        <v>14178.580000000005</v>
      </c>
      <c r="CN37" s="68">
        <f>CM37/CK37</f>
        <v>0.2553272946642417</v>
      </c>
      <c r="CP37" s="59">
        <f>SUM(CP32:CP36)</f>
        <v>65010.76</v>
      </c>
      <c r="CQ37" s="69">
        <f>CP37/CP13</f>
        <v>0.19426437042749348</v>
      </c>
      <c r="CR37" s="59">
        <f>SUM(CR32:CR36)</f>
        <v>52629</v>
      </c>
      <c r="CS37" s="69">
        <f>CR37/CR13</f>
        <v>0.17714237630427465</v>
      </c>
      <c r="CT37" s="59">
        <f>SUM(CT32:CT36)</f>
        <v>12381.76</v>
      </c>
      <c r="CU37" s="68">
        <f>CT37/CR37</f>
        <v>0.23526496798343119</v>
      </c>
      <c r="CW37" s="59">
        <f>SUM(CW32:CW36)</f>
        <v>52729.46</v>
      </c>
      <c r="CX37" s="69">
        <f>CW37/CW13</f>
        <v>0.19806648618754769</v>
      </c>
      <c r="CY37" s="59">
        <f>SUM(CY32:CY36)</f>
        <v>48492</v>
      </c>
      <c r="CZ37" s="69">
        <f>CY37/CY13</f>
        <v>0.17811504824592012</v>
      </c>
      <c r="DA37" s="59">
        <f>SUM(DA32:DA36)</f>
        <v>4237.4599999999991</v>
      </c>
      <c r="DB37" s="68">
        <f>DA37/CY37</f>
        <v>8.7384723253320112E-2</v>
      </c>
      <c r="DD37" s="59">
        <f>SUM(DD32:DD36)</f>
        <v>23233.390000000003</v>
      </c>
      <c r="DE37" s="69">
        <f>DD37/DD13</f>
        <v>0.14965290166069872</v>
      </c>
      <c r="DF37" s="59">
        <f>SUM(DF32:DF36)</f>
        <v>50552</v>
      </c>
      <c r="DG37" s="69">
        <f>DF37/DF13</f>
        <v>0.17760851081770462</v>
      </c>
      <c r="DH37" s="59">
        <f>SUM(DH32:DH36)</f>
        <v>-27318.609999999997</v>
      </c>
      <c r="DI37" s="68">
        <f>DH37/DF37</f>
        <v>-0.54040611647412562</v>
      </c>
      <c r="DK37" s="59">
        <f>SUM(DK32:DK36)</f>
        <v>210683.19</v>
      </c>
      <c r="DL37" s="69">
        <f>DK37/DK13</f>
        <v>0.18824326562274601</v>
      </c>
      <c r="DM37" s="59">
        <f>SUM(DM32:DM36)</f>
        <v>207204</v>
      </c>
      <c r="DN37" s="69">
        <f>DM37/DM13</f>
        <v>0.1773240165852949</v>
      </c>
      <c r="DO37" s="59">
        <f>SUM(DO32:DO36)</f>
        <v>3479.1900000000114</v>
      </c>
      <c r="DP37" s="68">
        <f>DO37/DM37</f>
        <v>1.679113337580361E-2</v>
      </c>
      <c r="DR37" s="59">
        <f>SUM(DR32:DR36)</f>
        <v>526010.46000000008</v>
      </c>
      <c r="DS37" s="36">
        <f>DR37/DR13</f>
        <v>0.19033426486594401</v>
      </c>
      <c r="DT37" s="59">
        <f>SUM(DT32:DT36)</f>
        <v>992867</v>
      </c>
      <c r="DU37" s="36">
        <f>DT37/DT13</f>
        <v>0.17756151595969655</v>
      </c>
      <c r="DV37" s="58">
        <f>DT37-DR37</f>
        <v>466856.53999999992</v>
      </c>
      <c r="DW37" s="38">
        <f>DV37/DT37</f>
        <v>0.47021055186646338</v>
      </c>
      <c r="DX37" s="64"/>
    </row>
    <row r="38" spans="1:129" ht="16.7" thickTop="1">
      <c r="A38" s="9"/>
      <c r="B38" s="9"/>
      <c r="C38" s="60"/>
      <c r="D38" s="33"/>
      <c r="E38" s="60"/>
      <c r="F38" s="33"/>
      <c r="G38" s="55"/>
      <c r="H38" s="55"/>
      <c r="J38" s="60"/>
      <c r="K38" s="33"/>
      <c r="L38" s="60"/>
      <c r="M38" s="33"/>
      <c r="N38" s="55"/>
      <c r="O38" s="55"/>
      <c r="Q38" s="60"/>
      <c r="R38" s="33"/>
      <c r="S38" s="60"/>
      <c r="T38" s="33"/>
      <c r="U38" s="55"/>
      <c r="V38" s="55"/>
      <c r="X38" s="60"/>
      <c r="Y38" s="33"/>
      <c r="Z38" s="60"/>
      <c r="AA38" s="33"/>
      <c r="AB38" s="55"/>
      <c r="AC38" s="55"/>
      <c r="AE38" s="60"/>
      <c r="AF38" s="33"/>
      <c r="AG38" s="60"/>
      <c r="AH38" s="33"/>
      <c r="AI38" s="55"/>
      <c r="AJ38" s="55"/>
      <c r="AL38" s="60"/>
      <c r="AM38" s="33"/>
      <c r="AN38" s="60"/>
      <c r="AO38" s="33"/>
      <c r="AP38" s="55"/>
      <c r="AQ38" s="55"/>
      <c r="AS38" s="60"/>
      <c r="AT38" s="33"/>
      <c r="AU38" s="60"/>
      <c r="AV38" s="33"/>
      <c r="AW38" s="55"/>
      <c r="AX38" s="55"/>
      <c r="AZ38" s="60"/>
      <c r="BA38" s="33"/>
      <c r="BB38" s="60"/>
      <c r="BC38" s="33"/>
      <c r="BD38" s="55"/>
      <c r="BE38" s="55"/>
      <c r="BG38" s="60"/>
      <c r="BH38" s="70"/>
      <c r="BI38" s="60"/>
      <c r="BJ38" s="70"/>
      <c r="BK38" s="55"/>
      <c r="BL38" s="71"/>
      <c r="BN38" s="60"/>
      <c r="BO38" s="70"/>
      <c r="BP38" s="60"/>
      <c r="BQ38" s="70"/>
      <c r="BR38" s="55"/>
      <c r="BS38" s="71"/>
      <c r="BU38" s="60"/>
      <c r="BV38" s="70"/>
      <c r="BW38" s="60"/>
      <c r="BX38" s="70"/>
      <c r="BY38" s="55"/>
      <c r="BZ38" s="71"/>
      <c r="CB38" s="60"/>
      <c r="CC38" s="70"/>
      <c r="CD38" s="60"/>
      <c r="CE38" s="70"/>
      <c r="CF38" s="55"/>
      <c r="CG38" s="71"/>
      <c r="CI38" s="60"/>
      <c r="CJ38" s="70"/>
      <c r="CK38" s="60"/>
      <c r="CL38" s="70"/>
      <c r="CM38" s="55"/>
      <c r="CN38" s="71"/>
      <c r="CP38" s="60"/>
      <c r="CQ38" s="70"/>
      <c r="CR38" s="60"/>
      <c r="CS38" s="70"/>
      <c r="CT38" s="55"/>
      <c r="CU38" s="71"/>
      <c r="CW38" s="60"/>
      <c r="CX38" s="70"/>
      <c r="CY38" s="60"/>
      <c r="CZ38" s="70"/>
      <c r="DA38" s="55"/>
      <c r="DB38" s="71"/>
      <c r="DD38" s="60"/>
      <c r="DE38" s="70"/>
      <c r="DF38" s="60"/>
      <c r="DG38" s="70"/>
      <c r="DH38" s="55"/>
      <c r="DI38" s="71"/>
      <c r="DK38" s="60"/>
      <c r="DL38" s="70"/>
      <c r="DM38" s="60"/>
      <c r="DN38" s="70"/>
      <c r="DO38" s="55"/>
      <c r="DP38" s="71"/>
      <c r="DR38" s="60"/>
      <c r="DS38" s="33"/>
      <c r="DT38" s="60"/>
      <c r="DU38" s="33"/>
      <c r="DV38" s="55"/>
      <c r="DW38" s="55"/>
    </row>
    <row r="39" spans="1:129">
      <c r="A39" s="8" t="s">
        <v>47</v>
      </c>
      <c r="B39" s="8"/>
      <c r="C39" s="60"/>
      <c r="D39" s="33"/>
      <c r="E39" s="60"/>
      <c r="F39" s="33"/>
      <c r="G39" s="55"/>
      <c r="H39" s="55"/>
      <c r="J39" s="60"/>
      <c r="K39" s="33"/>
      <c r="L39" s="60"/>
      <c r="M39" s="33"/>
      <c r="N39" s="55"/>
      <c r="O39" s="55"/>
      <c r="Q39" s="60"/>
      <c r="R39" s="33"/>
      <c r="S39" s="60"/>
      <c r="T39" s="33"/>
      <c r="U39" s="55"/>
      <c r="V39" s="55"/>
      <c r="X39" s="60"/>
      <c r="Y39" s="33"/>
      <c r="Z39" s="60"/>
      <c r="AA39" s="33"/>
      <c r="AB39" s="55"/>
      <c r="AC39" s="55"/>
      <c r="AE39" s="60"/>
      <c r="AF39" s="33"/>
      <c r="AG39" s="60"/>
      <c r="AH39" s="33"/>
      <c r="AI39" s="55"/>
      <c r="AJ39" s="55"/>
      <c r="AL39" s="60"/>
      <c r="AM39" s="33"/>
      <c r="AN39" s="60"/>
      <c r="AO39" s="33"/>
      <c r="AP39" s="55"/>
      <c r="AQ39" s="55"/>
      <c r="AS39" s="60"/>
      <c r="AT39" s="33"/>
      <c r="AU39" s="60"/>
      <c r="AV39" s="33"/>
      <c r="AW39" s="55"/>
      <c r="AX39" s="55"/>
      <c r="AZ39" s="60"/>
      <c r="BA39" s="33"/>
      <c r="BB39" s="60"/>
      <c r="BC39" s="33"/>
      <c r="BD39" s="55"/>
      <c r="BE39" s="55"/>
      <c r="BG39" s="60"/>
      <c r="BH39" s="70"/>
      <c r="BI39" s="60"/>
      <c r="BJ39" s="70"/>
      <c r="BK39" s="55"/>
      <c r="BL39" s="71"/>
      <c r="BN39" s="60"/>
      <c r="BO39" s="70"/>
      <c r="BP39" s="60"/>
      <c r="BQ39" s="70"/>
      <c r="BR39" s="55"/>
      <c r="BS39" s="71"/>
      <c r="BU39" s="60"/>
      <c r="BV39" s="70"/>
      <c r="BW39" s="60"/>
      <c r="BX39" s="70"/>
      <c r="BY39" s="55"/>
      <c r="BZ39" s="71"/>
      <c r="CB39" s="60"/>
      <c r="CC39" s="70"/>
      <c r="CD39" s="60"/>
      <c r="CE39" s="70"/>
      <c r="CF39" s="55"/>
      <c r="CG39" s="71"/>
      <c r="CI39" s="60"/>
      <c r="CJ39" s="70"/>
      <c r="CK39" s="60"/>
      <c r="CL39" s="70"/>
      <c r="CM39" s="55"/>
      <c r="CN39" s="71"/>
      <c r="CP39" s="60"/>
      <c r="CQ39" s="70"/>
      <c r="CR39" s="60"/>
      <c r="CS39" s="70"/>
      <c r="CT39" s="55"/>
      <c r="CU39" s="71"/>
      <c r="CW39" s="60"/>
      <c r="CX39" s="70"/>
      <c r="CY39" s="60"/>
      <c r="CZ39" s="70"/>
      <c r="DA39" s="55"/>
      <c r="DB39" s="71"/>
      <c r="DD39" s="60"/>
      <c r="DE39" s="70"/>
      <c r="DF39" s="60"/>
      <c r="DG39" s="70"/>
      <c r="DH39" s="55"/>
      <c r="DI39" s="71"/>
      <c r="DK39" s="60"/>
      <c r="DL39" s="70"/>
      <c r="DM39" s="60"/>
      <c r="DN39" s="70"/>
      <c r="DO39" s="55"/>
      <c r="DP39" s="71"/>
      <c r="DR39" s="60"/>
      <c r="DS39" s="33"/>
      <c r="DT39" s="60"/>
      <c r="DU39" s="33"/>
      <c r="DV39" s="55"/>
      <c r="DW39" s="55"/>
    </row>
    <row r="40" spans="1:129">
      <c r="A40" s="9" t="s">
        <v>48</v>
      </c>
      <c r="B40" s="9"/>
      <c r="C40" s="60">
        <v>16628.400000000001</v>
      </c>
      <c r="D40" s="33"/>
      <c r="E40" s="60">
        <v>12968</v>
      </c>
      <c r="F40" s="33"/>
      <c r="G40" s="57"/>
      <c r="H40" s="39"/>
      <c r="J40" s="60">
        <v>17164.63</v>
      </c>
      <c r="K40" s="33"/>
      <c r="L40" s="60">
        <v>15437</v>
      </c>
      <c r="M40" s="33"/>
      <c r="N40" s="57"/>
      <c r="O40" s="39"/>
      <c r="Q40" s="60">
        <v>11518.2</v>
      </c>
      <c r="R40" s="33"/>
      <c r="S40" s="60">
        <v>18016</v>
      </c>
      <c r="T40" s="33"/>
      <c r="U40" s="57"/>
      <c r="V40" s="39"/>
      <c r="X40" s="61">
        <f t="shared" ref="X40:X56" si="143">C40+J40+Q40</f>
        <v>45311.229999999996</v>
      </c>
      <c r="Y40" s="33"/>
      <c r="Z40" s="61">
        <f>+E40+L40+S40</f>
        <v>46421</v>
      </c>
      <c r="AA40" s="33"/>
      <c r="AB40" s="57"/>
      <c r="AC40" s="39"/>
      <c r="AE40" s="60">
        <v>0</v>
      </c>
      <c r="AF40" s="33"/>
      <c r="AG40" s="60">
        <v>20171</v>
      </c>
      <c r="AH40" s="33"/>
      <c r="AI40" s="57">
        <f t="shared" ref="AI40:AI49" si="144">AG40-AE40</f>
        <v>20171</v>
      </c>
      <c r="AJ40" s="39"/>
      <c r="AL40" s="60">
        <v>-214.9</v>
      </c>
      <c r="AM40" s="33"/>
      <c r="AN40" s="60">
        <v>19683</v>
      </c>
      <c r="AO40" s="33"/>
      <c r="AP40" s="57">
        <f t="shared" ref="AP40:AP49" si="145">AN40-AL40</f>
        <v>19897.900000000001</v>
      </c>
      <c r="AQ40" s="39"/>
      <c r="AS40" s="60">
        <v>1419.69</v>
      </c>
      <c r="AT40" s="33"/>
      <c r="AU40" s="60">
        <v>20791</v>
      </c>
      <c r="AV40" s="33"/>
      <c r="AW40" s="57">
        <f t="shared" ref="AW40:AW49" si="146">AU40-AS40</f>
        <v>19371.310000000001</v>
      </c>
      <c r="AX40" s="39"/>
      <c r="AZ40" s="61">
        <f t="shared" ref="AZ40:AZ57" si="147">AE40+AL40+AS40</f>
        <v>1204.79</v>
      </c>
      <c r="BA40" s="33"/>
      <c r="BB40" s="61">
        <f t="shared" ref="BB40:BB57" si="148">AG40+AN40+AU40</f>
        <v>60645</v>
      </c>
      <c r="BC40" s="33"/>
      <c r="BD40" s="57">
        <f t="shared" ref="BD40:BD56" si="149">BB40-AZ40</f>
        <v>59440.21</v>
      </c>
      <c r="BE40" s="39"/>
      <c r="BG40" s="60">
        <v>1695.09</v>
      </c>
      <c r="BH40" s="70"/>
      <c r="BI40" s="60">
        <v>21110</v>
      </c>
      <c r="BJ40" s="70"/>
      <c r="BK40" s="57">
        <f t="shared" ref="BK40:BK57" si="150">BG40-BI40</f>
        <v>-19414.91</v>
      </c>
      <c r="BL40" s="43"/>
      <c r="BN40" s="60">
        <v>8298.01</v>
      </c>
      <c r="BO40" s="70"/>
      <c r="BP40" s="60">
        <v>20862</v>
      </c>
      <c r="BQ40" s="70"/>
      <c r="BR40" s="57">
        <f t="shared" ref="BR40:BR57" si="151">BN40-BP40</f>
        <v>-12563.99</v>
      </c>
      <c r="BS40" s="43"/>
      <c r="BU40" s="60">
        <v>10980.56</v>
      </c>
      <c r="BV40" s="70"/>
      <c r="BW40" s="60">
        <v>13080</v>
      </c>
      <c r="BX40" s="70"/>
      <c r="BY40" s="57">
        <f t="shared" ref="BY40:BY57" si="152">BU40-BW40</f>
        <v>-2099.4400000000005</v>
      </c>
      <c r="BZ40" s="43"/>
      <c r="CB40" s="61">
        <f t="shared" ref="CB40:CB57" si="153">BG40+BN40+BU40</f>
        <v>20973.66</v>
      </c>
      <c r="CC40" s="70"/>
      <c r="CD40" s="61">
        <f t="shared" ref="CD40:CD57" si="154">BI40+BP40+BW40</f>
        <v>55052</v>
      </c>
      <c r="CE40" s="70"/>
      <c r="CF40" s="57">
        <f t="shared" ref="CF40:CF57" si="155">CB40-CD40</f>
        <v>-34078.339999999997</v>
      </c>
      <c r="CG40" s="43"/>
      <c r="CI40" s="60">
        <v>14011.93</v>
      </c>
      <c r="CJ40" s="70"/>
      <c r="CK40" s="60">
        <v>13041</v>
      </c>
      <c r="CL40" s="70"/>
      <c r="CM40" s="57">
        <f t="shared" ref="CM40:CM57" si="156">CI40-CK40</f>
        <v>970.93000000000029</v>
      </c>
      <c r="CN40" s="43"/>
      <c r="CP40" s="60">
        <v>11701.15</v>
      </c>
      <c r="CQ40" s="70"/>
      <c r="CR40" s="60">
        <v>12652</v>
      </c>
      <c r="CS40" s="70"/>
      <c r="CT40" s="57">
        <f t="shared" ref="CT40:CT57" si="157">CP40-CR40</f>
        <v>-950.85000000000036</v>
      </c>
      <c r="CU40" s="43"/>
      <c r="CW40" s="60">
        <v>10494.46</v>
      </c>
      <c r="CX40" s="70"/>
      <c r="CY40" s="60">
        <v>12097</v>
      </c>
      <c r="CZ40" s="70"/>
      <c r="DA40" s="57">
        <f t="shared" ref="DA40:DA57" si="158">CW40-CY40</f>
        <v>-1602.5400000000009</v>
      </c>
      <c r="DB40" s="43"/>
      <c r="DD40" s="60">
        <v>5214.13</v>
      </c>
      <c r="DE40" s="70"/>
      <c r="DF40" s="60">
        <v>12374</v>
      </c>
      <c r="DG40" s="70"/>
      <c r="DH40" s="57">
        <f t="shared" ref="DH40:DH57" si="159">DD40-DF40</f>
        <v>-7159.87</v>
      </c>
      <c r="DI40" s="43"/>
      <c r="DK40" s="61">
        <f t="shared" ref="DK40:DK57" si="160">CI40+CP40+CW40+DD40</f>
        <v>41421.67</v>
      </c>
      <c r="DL40" s="70"/>
      <c r="DM40" s="61">
        <f t="shared" ref="DM40:DM57" si="161">CK40+CR40+CY40+DF40</f>
        <v>50164</v>
      </c>
      <c r="DN40" s="70"/>
      <c r="DO40" s="57">
        <f t="shared" ref="DO40:DO57" si="162">DK40-DM40</f>
        <v>-8742.3300000000017</v>
      </c>
      <c r="DP40" s="43"/>
      <c r="DR40" s="61">
        <f t="shared" ref="DR40:DR56" si="163">X40+AZ40+CB40+DK40</f>
        <v>108911.34999999999</v>
      </c>
      <c r="DS40" s="33"/>
      <c r="DT40" s="61">
        <f t="shared" ref="DT40:DT57" si="164">Z40+BB40+CD40+DM40</f>
        <v>212282</v>
      </c>
      <c r="DU40" s="33"/>
      <c r="DV40" s="57">
        <f t="shared" ref="DV40:DV56" si="165">DT40-DR40</f>
        <v>103370.65000000001</v>
      </c>
      <c r="DW40" s="39"/>
    </row>
    <row r="41" spans="1:129">
      <c r="A41" s="9" t="s">
        <v>49</v>
      </c>
      <c r="B41" s="9"/>
      <c r="C41" s="60">
        <v>2212.65</v>
      </c>
      <c r="D41" s="33"/>
      <c r="E41" s="60">
        <v>2048</v>
      </c>
      <c r="F41" s="33"/>
      <c r="G41" s="57"/>
      <c r="H41" s="39"/>
      <c r="J41" s="60">
        <v>2212.65</v>
      </c>
      <c r="K41" s="33"/>
      <c r="L41" s="60">
        <v>2048</v>
      </c>
      <c r="M41" s="33"/>
      <c r="N41" s="57"/>
      <c r="O41" s="39"/>
      <c r="Q41" s="60">
        <v>2212.65</v>
      </c>
      <c r="R41" s="33"/>
      <c r="S41" s="60">
        <v>2048</v>
      </c>
      <c r="T41" s="33"/>
      <c r="U41" s="57"/>
      <c r="V41" s="39"/>
      <c r="X41" s="61">
        <f t="shared" si="143"/>
        <v>6637.9500000000007</v>
      </c>
      <c r="Y41" s="33"/>
      <c r="Z41" s="61">
        <f t="shared" ref="Z41:Z56" si="166">+E41+L41+S41</f>
        <v>6144</v>
      </c>
      <c r="AA41" s="33"/>
      <c r="AB41" s="57"/>
      <c r="AC41" s="39"/>
      <c r="AE41" s="60">
        <v>2212.65</v>
      </c>
      <c r="AF41" s="33"/>
      <c r="AG41" s="60">
        <v>2048</v>
      </c>
      <c r="AH41" s="33"/>
      <c r="AI41" s="57">
        <f t="shared" si="144"/>
        <v>-164.65000000000009</v>
      </c>
      <c r="AJ41" s="39"/>
      <c r="AL41" s="60">
        <v>1197.6500000000001</v>
      </c>
      <c r="AM41" s="33"/>
      <c r="AN41" s="60">
        <v>2048</v>
      </c>
      <c r="AO41" s="33"/>
      <c r="AP41" s="57">
        <f t="shared" si="145"/>
        <v>850.34999999999991</v>
      </c>
      <c r="AQ41" s="39"/>
      <c r="AS41" s="60">
        <v>1197.7</v>
      </c>
      <c r="AT41" s="33"/>
      <c r="AU41" s="60">
        <v>2048</v>
      </c>
      <c r="AV41" s="33"/>
      <c r="AW41" s="57">
        <f t="shared" si="146"/>
        <v>850.3</v>
      </c>
      <c r="AX41" s="39"/>
      <c r="AZ41" s="61">
        <f t="shared" si="147"/>
        <v>4608</v>
      </c>
      <c r="BA41" s="33"/>
      <c r="BB41" s="61">
        <f t="shared" si="148"/>
        <v>6144</v>
      </c>
      <c r="BC41" s="33"/>
      <c r="BD41" s="57">
        <f t="shared" si="149"/>
        <v>1536</v>
      </c>
      <c r="BE41" s="39"/>
      <c r="BG41" s="60">
        <v>-812.2</v>
      </c>
      <c r="BH41" s="70"/>
      <c r="BI41" s="60">
        <v>2048</v>
      </c>
      <c r="BJ41" s="70"/>
      <c r="BK41" s="57">
        <f t="shared" si="150"/>
        <v>-2860.2</v>
      </c>
      <c r="BL41" s="43"/>
      <c r="BN41" s="60">
        <v>418.8</v>
      </c>
      <c r="BO41" s="70"/>
      <c r="BP41" s="60">
        <v>2048</v>
      </c>
      <c r="BQ41" s="70"/>
      <c r="BR41" s="57">
        <f t="shared" si="151"/>
        <v>-1629.2</v>
      </c>
      <c r="BS41" s="43"/>
      <c r="BU41" s="60">
        <v>-7126.2</v>
      </c>
      <c r="BV41" s="70"/>
      <c r="BW41" s="60">
        <v>537</v>
      </c>
      <c r="BX41" s="70"/>
      <c r="BY41" s="57">
        <f t="shared" si="152"/>
        <v>-7663.2</v>
      </c>
      <c r="BZ41" s="43"/>
      <c r="CB41" s="61">
        <f t="shared" si="153"/>
        <v>-7519.5999999999995</v>
      </c>
      <c r="CC41" s="70"/>
      <c r="CD41" s="61">
        <f t="shared" si="154"/>
        <v>4633</v>
      </c>
      <c r="CE41" s="70"/>
      <c r="CF41" s="57">
        <f t="shared" si="155"/>
        <v>-12152.599999999999</v>
      </c>
      <c r="CG41" s="43"/>
      <c r="CI41" s="60">
        <v>418.8</v>
      </c>
      <c r="CJ41" s="70"/>
      <c r="CK41" s="60">
        <v>537</v>
      </c>
      <c r="CL41" s="70"/>
      <c r="CM41" s="57">
        <f t="shared" si="156"/>
        <v>-118.19999999999999</v>
      </c>
      <c r="CN41" s="43"/>
      <c r="CP41" s="60">
        <v>418.8</v>
      </c>
      <c r="CQ41" s="70"/>
      <c r="CR41" s="60">
        <v>537</v>
      </c>
      <c r="CS41" s="70"/>
      <c r="CT41" s="57">
        <f t="shared" si="157"/>
        <v>-118.19999999999999</v>
      </c>
      <c r="CU41" s="43"/>
      <c r="CW41" s="60">
        <v>418.8</v>
      </c>
      <c r="CX41" s="70"/>
      <c r="CY41" s="60">
        <v>537</v>
      </c>
      <c r="CZ41" s="70"/>
      <c r="DA41" s="57">
        <f t="shared" si="158"/>
        <v>-118.19999999999999</v>
      </c>
      <c r="DB41" s="43"/>
      <c r="DD41" s="60">
        <v>423.8</v>
      </c>
      <c r="DE41" s="70"/>
      <c r="DF41" s="60">
        <v>537</v>
      </c>
      <c r="DG41" s="70"/>
      <c r="DH41" s="57">
        <f t="shared" si="159"/>
        <v>-113.19999999999999</v>
      </c>
      <c r="DI41" s="43"/>
      <c r="DK41" s="61">
        <f t="shared" si="160"/>
        <v>1680.2</v>
      </c>
      <c r="DL41" s="70"/>
      <c r="DM41" s="61">
        <f t="shared" si="161"/>
        <v>2148</v>
      </c>
      <c r="DN41" s="70"/>
      <c r="DO41" s="57">
        <f t="shared" si="162"/>
        <v>-467.79999999999995</v>
      </c>
      <c r="DP41" s="43"/>
      <c r="DR41" s="61">
        <f t="shared" si="163"/>
        <v>5406.5500000000011</v>
      </c>
      <c r="DS41" s="33"/>
      <c r="DT41" s="61">
        <f t="shared" si="164"/>
        <v>19069</v>
      </c>
      <c r="DU41" s="33"/>
      <c r="DV41" s="57">
        <f t="shared" si="165"/>
        <v>13662.449999999999</v>
      </c>
      <c r="DW41" s="39"/>
    </row>
    <row r="42" spans="1:129">
      <c r="A42" s="9" t="s">
        <v>50</v>
      </c>
      <c r="B42" s="9"/>
      <c r="C42" s="60">
        <v>0</v>
      </c>
      <c r="D42" s="33"/>
      <c r="E42" s="60">
        <v>75</v>
      </c>
      <c r="F42" s="33"/>
      <c r="G42" s="57"/>
      <c r="H42" s="39"/>
      <c r="J42" s="60">
        <v>0</v>
      </c>
      <c r="K42" s="33"/>
      <c r="L42" s="60">
        <v>75</v>
      </c>
      <c r="M42" s="33"/>
      <c r="N42" s="57"/>
      <c r="O42" s="39"/>
      <c r="Q42" s="60">
        <v>0</v>
      </c>
      <c r="R42" s="33"/>
      <c r="S42" s="60">
        <v>75</v>
      </c>
      <c r="T42" s="33"/>
      <c r="U42" s="57"/>
      <c r="V42" s="39"/>
      <c r="X42" s="61">
        <f t="shared" si="143"/>
        <v>0</v>
      </c>
      <c r="Y42" s="33"/>
      <c r="Z42" s="61">
        <f t="shared" si="166"/>
        <v>225</v>
      </c>
      <c r="AA42" s="33"/>
      <c r="AB42" s="57"/>
      <c r="AC42" s="39"/>
      <c r="AE42" s="60">
        <v>0</v>
      </c>
      <c r="AF42" s="33"/>
      <c r="AG42" s="60">
        <v>75</v>
      </c>
      <c r="AH42" s="33"/>
      <c r="AI42" s="57">
        <f t="shared" si="144"/>
        <v>75</v>
      </c>
      <c r="AJ42" s="39"/>
      <c r="AL42" s="60">
        <v>0</v>
      </c>
      <c r="AM42" s="33"/>
      <c r="AN42" s="60">
        <v>75</v>
      </c>
      <c r="AO42" s="33"/>
      <c r="AP42" s="57">
        <f t="shared" si="145"/>
        <v>75</v>
      </c>
      <c r="AQ42" s="39"/>
      <c r="AS42" s="60">
        <v>0</v>
      </c>
      <c r="AT42" s="33"/>
      <c r="AU42" s="60">
        <v>75</v>
      </c>
      <c r="AV42" s="33"/>
      <c r="AW42" s="57">
        <f t="shared" si="146"/>
        <v>75</v>
      </c>
      <c r="AX42" s="39"/>
      <c r="AZ42" s="61">
        <f t="shared" si="147"/>
        <v>0</v>
      </c>
      <c r="BA42" s="33"/>
      <c r="BB42" s="61">
        <f t="shared" si="148"/>
        <v>225</v>
      </c>
      <c r="BC42" s="33"/>
      <c r="BD42" s="57">
        <f t="shared" si="149"/>
        <v>225</v>
      </c>
      <c r="BE42" s="39"/>
      <c r="BG42" s="60">
        <v>0</v>
      </c>
      <c r="BH42" s="70"/>
      <c r="BI42" s="60">
        <v>75</v>
      </c>
      <c r="BJ42" s="70"/>
      <c r="BK42" s="57">
        <f t="shared" si="150"/>
        <v>-75</v>
      </c>
      <c r="BL42" s="43"/>
      <c r="BN42" s="60">
        <v>0</v>
      </c>
      <c r="BO42" s="70"/>
      <c r="BP42" s="60">
        <v>75</v>
      </c>
      <c r="BQ42" s="70"/>
      <c r="BR42" s="57">
        <f t="shared" si="151"/>
        <v>-75</v>
      </c>
      <c r="BS42" s="43"/>
      <c r="BU42" s="60">
        <v>0</v>
      </c>
      <c r="BV42" s="70"/>
      <c r="BW42" s="60">
        <v>75</v>
      </c>
      <c r="BX42" s="70"/>
      <c r="BY42" s="57">
        <f t="shared" si="152"/>
        <v>-75</v>
      </c>
      <c r="BZ42" s="43"/>
      <c r="CB42" s="61">
        <f t="shared" si="153"/>
        <v>0</v>
      </c>
      <c r="CC42" s="70"/>
      <c r="CD42" s="61">
        <f t="shared" si="154"/>
        <v>225</v>
      </c>
      <c r="CE42" s="70"/>
      <c r="CF42" s="57">
        <f t="shared" si="155"/>
        <v>-225</v>
      </c>
      <c r="CG42" s="43"/>
      <c r="CI42" s="60">
        <v>0</v>
      </c>
      <c r="CJ42" s="70"/>
      <c r="CK42" s="60">
        <v>75</v>
      </c>
      <c r="CL42" s="70"/>
      <c r="CM42" s="57">
        <f t="shared" si="156"/>
        <v>-75</v>
      </c>
      <c r="CN42" s="43"/>
      <c r="CP42" s="60">
        <v>0</v>
      </c>
      <c r="CQ42" s="70"/>
      <c r="CR42" s="60">
        <v>75</v>
      </c>
      <c r="CS42" s="70"/>
      <c r="CT42" s="57">
        <f t="shared" si="157"/>
        <v>-75</v>
      </c>
      <c r="CU42" s="43"/>
      <c r="CW42" s="60">
        <v>0</v>
      </c>
      <c r="CX42" s="70"/>
      <c r="CY42" s="60">
        <v>75</v>
      </c>
      <c r="CZ42" s="70"/>
      <c r="DA42" s="57">
        <f t="shared" si="158"/>
        <v>-75</v>
      </c>
      <c r="DB42" s="43"/>
      <c r="DD42" s="60">
        <v>0</v>
      </c>
      <c r="DE42" s="70"/>
      <c r="DF42" s="60">
        <v>75</v>
      </c>
      <c r="DG42" s="70"/>
      <c r="DH42" s="57">
        <f t="shared" si="159"/>
        <v>-75</v>
      </c>
      <c r="DI42" s="43"/>
      <c r="DK42" s="61">
        <f t="shared" si="160"/>
        <v>0</v>
      </c>
      <c r="DL42" s="70"/>
      <c r="DM42" s="61">
        <f t="shared" si="161"/>
        <v>300</v>
      </c>
      <c r="DN42" s="70"/>
      <c r="DO42" s="57">
        <f t="shared" si="162"/>
        <v>-300</v>
      </c>
      <c r="DP42" s="43"/>
      <c r="DR42" s="61">
        <f t="shared" si="163"/>
        <v>0</v>
      </c>
      <c r="DS42" s="33"/>
      <c r="DT42" s="61">
        <f t="shared" si="164"/>
        <v>975</v>
      </c>
      <c r="DU42" s="33"/>
      <c r="DV42" s="57">
        <f t="shared" si="165"/>
        <v>975</v>
      </c>
      <c r="DW42" s="39"/>
    </row>
    <row r="43" spans="1:129">
      <c r="A43" s="9" t="s">
        <v>51</v>
      </c>
      <c r="B43" s="9"/>
      <c r="C43" s="60">
        <v>-135.62</v>
      </c>
      <c r="D43" s="33"/>
      <c r="E43" s="60">
        <v>1535</v>
      </c>
      <c r="F43" s="33"/>
      <c r="G43" s="57"/>
      <c r="H43" s="39"/>
      <c r="J43" s="60">
        <v>174.39</v>
      </c>
      <c r="K43" s="33"/>
      <c r="L43" s="60">
        <v>1535</v>
      </c>
      <c r="M43" s="33"/>
      <c r="N43" s="57"/>
      <c r="O43" s="39"/>
      <c r="Q43" s="60">
        <v>0</v>
      </c>
      <c r="R43" s="33"/>
      <c r="S43" s="60">
        <v>1535</v>
      </c>
      <c r="T43" s="33"/>
      <c r="U43" s="57"/>
      <c r="V43" s="39"/>
      <c r="X43" s="61">
        <f t="shared" si="143"/>
        <v>38.769999999999982</v>
      </c>
      <c r="Y43" s="33"/>
      <c r="Z43" s="61">
        <f t="shared" si="166"/>
        <v>4605</v>
      </c>
      <c r="AA43" s="33"/>
      <c r="AB43" s="57"/>
      <c r="AC43" s="39"/>
      <c r="AE43" s="60">
        <v>950.63</v>
      </c>
      <c r="AF43" s="33"/>
      <c r="AG43" s="60">
        <v>1535</v>
      </c>
      <c r="AH43" s="33"/>
      <c r="AI43" s="57">
        <f t="shared" si="144"/>
        <v>584.37</v>
      </c>
      <c r="AJ43" s="39"/>
      <c r="AL43" s="60">
        <v>662.92</v>
      </c>
      <c r="AM43" s="33"/>
      <c r="AN43" s="60">
        <v>1535</v>
      </c>
      <c r="AO43" s="33"/>
      <c r="AP43" s="57">
        <f t="shared" si="145"/>
        <v>872.08</v>
      </c>
      <c r="AQ43" s="39"/>
      <c r="AS43" s="60">
        <v>2670.98</v>
      </c>
      <c r="AT43" s="33"/>
      <c r="AU43" s="60">
        <v>1535</v>
      </c>
      <c r="AV43" s="33"/>
      <c r="AW43" s="57">
        <f t="shared" si="146"/>
        <v>-1135.98</v>
      </c>
      <c r="AX43" s="39"/>
      <c r="AZ43" s="61">
        <f>AE43+AL43+AS43</f>
        <v>4284.53</v>
      </c>
      <c r="BA43" s="33"/>
      <c r="BB43" s="61">
        <f t="shared" si="148"/>
        <v>4605</v>
      </c>
      <c r="BC43" s="33"/>
      <c r="BD43" s="57">
        <f t="shared" si="149"/>
        <v>320.47000000000025</v>
      </c>
      <c r="BE43" s="39"/>
      <c r="BG43" s="60">
        <v>662.92</v>
      </c>
      <c r="BH43" s="70"/>
      <c r="BI43" s="60">
        <v>1535</v>
      </c>
      <c r="BJ43" s="70"/>
      <c r="BK43" s="57">
        <f t="shared" si="150"/>
        <v>-872.08</v>
      </c>
      <c r="BL43" s="43"/>
      <c r="BN43" s="60">
        <v>612.59</v>
      </c>
      <c r="BO43" s="70"/>
      <c r="BP43" s="60">
        <v>1535</v>
      </c>
      <c r="BQ43" s="70"/>
      <c r="BR43" s="57">
        <f t="shared" si="151"/>
        <v>-922.41</v>
      </c>
      <c r="BS43" s="43"/>
      <c r="BU43" s="60">
        <v>541.79999999999995</v>
      </c>
      <c r="BV43" s="70"/>
      <c r="BW43" s="60">
        <v>620</v>
      </c>
      <c r="BX43" s="70"/>
      <c r="BY43" s="57">
        <f t="shared" si="152"/>
        <v>-78.200000000000045</v>
      </c>
      <c r="BZ43" s="43"/>
      <c r="CB43" s="61">
        <f t="shared" si="153"/>
        <v>1817.31</v>
      </c>
      <c r="CC43" s="70"/>
      <c r="CD43" s="61">
        <f t="shared" si="154"/>
        <v>3690</v>
      </c>
      <c r="CE43" s="70"/>
      <c r="CF43" s="57">
        <f t="shared" si="155"/>
        <v>-1872.69</v>
      </c>
      <c r="CG43" s="43"/>
      <c r="CI43" s="60">
        <v>416.48</v>
      </c>
      <c r="CJ43" s="70"/>
      <c r="CK43" s="60">
        <v>620</v>
      </c>
      <c r="CL43" s="70"/>
      <c r="CM43" s="57">
        <f t="shared" si="156"/>
        <v>-203.51999999999998</v>
      </c>
      <c r="CN43" s="43"/>
      <c r="CP43" s="60">
        <v>693.05</v>
      </c>
      <c r="CQ43" s="70"/>
      <c r="CR43" s="60">
        <v>620</v>
      </c>
      <c r="CS43" s="70"/>
      <c r="CT43" s="57">
        <f t="shared" si="157"/>
        <v>73.049999999999955</v>
      </c>
      <c r="CU43" s="43"/>
      <c r="CW43" s="60">
        <v>709.19</v>
      </c>
      <c r="CX43" s="70"/>
      <c r="CY43" s="60">
        <v>620</v>
      </c>
      <c r="CZ43" s="70"/>
      <c r="DA43" s="57">
        <f t="shared" si="158"/>
        <v>89.190000000000055</v>
      </c>
      <c r="DB43" s="43"/>
      <c r="DD43" s="60">
        <v>0</v>
      </c>
      <c r="DE43" s="70"/>
      <c r="DF43" s="60">
        <v>620</v>
      </c>
      <c r="DG43" s="70"/>
      <c r="DH43" s="57">
        <f t="shared" si="159"/>
        <v>-620</v>
      </c>
      <c r="DI43" s="43"/>
      <c r="DK43" s="61">
        <f t="shared" si="160"/>
        <v>1818.72</v>
      </c>
      <c r="DL43" s="70"/>
      <c r="DM43" s="61">
        <f t="shared" si="161"/>
        <v>2480</v>
      </c>
      <c r="DN43" s="70"/>
      <c r="DO43" s="57">
        <f t="shared" si="162"/>
        <v>-661.28</v>
      </c>
      <c r="DP43" s="43"/>
      <c r="DR43" s="61">
        <f t="shared" si="163"/>
        <v>7959.329999999999</v>
      </c>
      <c r="DS43" s="33"/>
      <c r="DT43" s="61">
        <f t="shared" si="164"/>
        <v>15380</v>
      </c>
      <c r="DU43" s="33"/>
      <c r="DV43" s="57">
        <f t="shared" si="165"/>
        <v>7420.670000000001</v>
      </c>
      <c r="DW43" s="39"/>
      <c r="DY43" s="64"/>
    </row>
    <row r="44" spans="1:129">
      <c r="A44" s="9" t="s">
        <v>52</v>
      </c>
      <c r="B44" s="9"/>
      <c r="C44" s="60">
        <v>2304.83</v>
      </c>
      <c r="D44" s="33"/>
      <c r="E44" s="60">
        <v>1312</v>
      </c>
      <c r="F44" s="33"/>
      <c r="G44" s="57"/>
      <c r="H44" s="39"/>
      <c r="J44" s="60">
        <v>966.95</v>
      </c>
      <c r="K44" s="33"/>
      <c r="L44" s="60">
        <v>1312</v>
      </c>
      <c r="M44" s="33"/>
      <c r="N44" s="57"/>
      <c r="O44" s="39"/>
      <c r="Q44" s="60">
        <v>863.3</v>
      </c>
      <c r="R44" s="33"/>
      <c r="S44" s="60">
        <v>1312</v>
      </c>
      <c r="T44" s="33"/>
      <c r="U44" s="57"/>
      <c r="V44" s="39"/>
      <c r="X44" s="61">
        <f t="shared" si="143"/>
        <v>4135.08</v>
      </c>
      <c r="Y44" s="33"/>
      <c r="Z44" s="61">
        <f t="shared" si="166"/>
        <v>3936</v>
      </c>
      <c r="AA44" s="33"/>
      <c r="AB44" s="57"/>
      <c r="AC44" s="39"/>
      <c r="AE44" s="60">
        <v>304.26</v>
      </c>
      <c r="AF44" s="33"/>
      <c r="AG44" s="60">
        <v>1312</v>
      </c>
      <c r="AH44" s="33"/>
      <c r="AI44" s="57">
        <f t="shared" si="144"/>
        <v>1007.74</v>
      </c>
      <c r="AJ44" s="39"/>
      <c r="AL44" s="60">
        <v>0</v>
      </c>
      <c r="AM44" s="33"/>
      <c r="AN44" s="60">
        <v>1312</v>
      </c>
      <c r="AO44" s="33"/>
      <c r="AP44" s="57">
        <f t="shared" si="145"/>
        <v>1312</v>
      </c>
      <c r="AQ44" s="39"/>
      <c r="AS44" s="60">
        <v>308.88</v>
      </c>
      <c r="AT44" s="33"/>
      <c r="AU44" s="60">
        <v>1312</v>
      </c>
      <c r="AV44" s="33"/>
      <c r="AW44" s="57">
        <f t="shared" si="146"/>
        <v>1003.12</v>
      </c>
      <c r="AX44" s="39"/>
      <c r="AZ44" s="61">
        <f t="shared" si="147"/>
        <v>613.14</v>
      </c>
      <c r="BA44" s="33"/>
      <c r="BB44" s="61">
        <f t="shared" si="148"/>
        <v>3936</v>
      </c>
      <c r="BC44" s="33"/>
      <c r="BD44" s="57">
        <f t="shared" si="149"/>
        <v>3322.86</v>
      </c>
      <c r="BE44" s="39"/>
      <c r="BG44" s="60">
        <v>283.69</v>
      </c>
      <c r="BH44" s="70"/>
      <c r="BI44" s="60">
        <v>1312</v>
      </c>
      <c r="BJ44" s="70"/>
      <c r="BK44" s="57">
        <f t="shared" si="150"/>
        <v>-1028.31</v>
      </c>
      <c r="BL44" s="43"/>
      <c r="BN44" s="60">
        <v>831.93</v>
      </c>
      <c r="BO44" s="70"/>
      <c r="BP44" s="60">
        <v>1312</v>
      </c>
      <c r="BQ44" s="70"/>
      <c r="BR44" s="57">
        <f t="shared" si="151"/>
        <v>-480.07000000000005</v>
      </c>
      <c r="BS44" s="43"/>
      <c r="BU44" s="60">
        <v>577.08000000000004</v>
      </c>
      <c r="BV44" s="70"/>
      <c r="BW44" s="60">
        <v>517</v>
      </c>
      <c r="BX44" s="70"/>
      <c r="BY44" s="57">
        <f t="shared" si="152"/>
        <v>60.080000000000041</v>
      </c>
      <c r="BZ44" s="43"/>
      <c r="CB44" s="61">
        <f t="shared" si="153"/>
        <v>1692.6999999999998</v>
      </c>
      <c r="CC44" s="70"/>
      <c r="CD44" s="61">
        <f t="shared" si="154"/>
        <v>3141</v>
      </c>
      <c r="CE44" s="70"/>
      <c r="CF44" s="57">
        <f t="shared" si="155"/>
        <v>-1448.3000000000002</v>
      </c>
      <c r="CG44" s="43"/>
      <c r="CI44" s="60">
        <v>1153.0899999999999</v>
      </c>
      <c r="CJ44" s="70"/>
      <c r="CK44" s="60">
        <v>517</v>
      </c>
      <c r="CL44" s="70"/>
      <c r="CM44" s="57">
        <f t="shared" si="156"/>
        <v>636.08999999999992</v>
      </c>
      <c r="CN44" s="43"/>
      <c r="CP44" s="60">
        <v>736.81</v>
      </c>
      <c r="CQ44" s="70"/>
      <c r="CR44" s="60">
        <v>517</v>
      </c>
      <c r="CS44" s="70"/>
      <c r="CT44" s="57">
        <f t="shared" si="157"/>
        <v>219.80999999999995</v>
      </c>
      <c r="CU44" s="43"/>
      <c r="CW44" s="60">
        <v>643.82000000000005</v>
      </c>
      <c r="CX44" s="70"/>
      <c r="CY44" s="60">
        <v>517</v>
      </c>
      <c r="CZ44" s="70"/>
      <c r="DA44" s="57">
        <f t="shared" si="158"/>
        <v>126.82000000000005</v>
      </c>
      <c r="DB44" s="43"/>
      <c r="DD44" s="60">
        <v>619.12</v>
      </c>
      <c r="DE44" s="70"/>
      <c r="DF44" s="60">
        <v>517</v>
      </c>
      <c r="DG44" s="70"/>
      <c r="DH44" s="57">
        <f t="shared" si="159"/>
        <v>102.12</v>
      </c>
      <c r="DI44" s="43"/>
      <c r="DK44" s="61">
        <f t="shared" si="160"/>
        <v>3152.8399999999997</v>
      </c>
      <c r="DL44" s="70"/>
      <c r="DM44" s="61">
        <f t="shared" si="161"/>
        <v>2068</v>
      </c>
      <c r="DN44" s="70"/>
      <c r="DO44" s="57">
        <f t="shared" si="162"/>
        <v>1084.8399999999997</v>
      </c>
      <c r="DP44" s="43"/>
      <c r="DR44" s="61">
        <f t="shared" si="163"/>
        <v>9593.76</v>
      </c>
      <c r="DS44" s="33"/>
      <c r="DT44" s="61">
        <f t="shared" si="164"/>
        <v>13081</v>
      </c>
      <c r="DU44" s="33"/>
      <c r="DV44" s="57">
        <f t="shared" si="165"/>
        <v>3487.24</v>
      </c>
      <c r="DW44" s="39"/>
    </row>
    <row r="45" spans="1:129">
      <c r="A45" s="9" t="s">
        <v>53</v>
      </c>
      <c r="B45" s="9"/>
      <c r="C45" s="60">
        <v>304</v>
      </c>
      <c r="D45" s="33"/>
      <c r="E45" s="60">
        <v>831</v>
      </c>
      <c r="F45" s="33"/>
      <c r="G45" s="57">
        <f t="shared" ref="G45" si="167">E45-C45</f>
        <v>527</v>
      </c>
      <c r="H45" s="39"/>
      <c r="J45" s="60">
        <v>308</v>
      </c>
      <c r="K45" s="33"/>
      <c r="L45" s="60">
        <v>831</v>
      </c>
      <c r="M45" s="33"/>
      <c r="N45" s="57">
        <f t="shared" ref="N45" si="168">L45-J45</f>
        <v>523</v>
      </c>
      <c r="O45" s="39"/>
      <c r="Q45" s="60">
        <v>1176.24</v>
      </c>
      <c r="R45" s="33"/>
      <c r="S45" s="60">
        <v>831</v>
      </c>
      <c r="T45" s="33"/>
      <c r="U45" s="57">
        <f t="shared" ref="U45:U49" si="169">S45-Q45</f>
        <v>-345.24</v>
      </c>
      <c r="V45" s="39"/>
      <c r="X45" s="61">
        <f t="shared" si="143"/>
        <v>1788.24</v>
      </c>
      <c r="Y45" s="33"/>
      <c r="Z45" s="61">
        <f t="shared" si="166"/>
        <v>2493</v>
      </c>
      <c r="AA45" s="33"/>
      <c r="AB45" s="57">
        <f t="shared" ref="AB45" si="170">Z45-X45</f>
        <v>704.76</v>
      </c>
      <c r="AC45" s="39"/>
      <c r="AE45" s="60">
        <v>637.22</v>
      </c>
      <c r="AF45" s="33"/>
      <c r="AG45" s="60">
        <v>831</v>
      </c>
      <c r="AH45" s="33"/>
      <c r="AI45" s="57">
        <f t="shared" si="144"/>
        <v>193.77999999999997</v>
      </c>
      <c r="AJ45" s="39"/>
      <c r="AL45" s="60">
        <v>1329.49</v>
      </c>
      <c r="AM45" s="33"/>
      <c r="AN45" s="60">
        <v>831</v>
      </c>
      <c r="AO45" s="33"/>
      <c r="AP45" s="57">
        <f t="shared" si="145"/>
        <v>-498.49</v>
      </c>
      <c r="AQ45" s="39"/>
      <c r="AS45" s="60">
        <v>424.56</v>
      </c>
      <c r="AT45" s="33"/>
      <c r="AU45" s="60">
        <v>831</v>
      </c>
      <c r="AV45" s="33"/>
      <c r="AW45" s="57">
        <f t="shared" si="146"/>
        <v>406.44</v>
      </c>
      <c r="AX45" s="39"/>
      <c r="AZ45" s="61">
        <f t="shared" si="147"/>
        <v>2391.27</v>
      </c>
      <c r="BA45" s="33"/>
      <c r="BB45" s="61">
        <f t="shared" si="148"/>
        <v>2493</v>
      </c>
      <c r="BC45" s="33"/>
      <c r="BD45" s="57">
        <f t="shared" si="149"/>
        <v>101.73000000000002</v>
      </c>
      <c r="BE45" s="39"/>
      <c r="BG45" s="60">
        <v>424.56</v>
      </c>
      <c r="BH45" s="70"/>
      <c r="BI45" s="60">
        <v>831</v>
      </c>
      <c r="BJ45" s="70"/>
      <c r="BK45" s="57">
        <f t="shared" si="150"/>
        <v>-406.44</v>
      </c>
      <c r="BL45" s="43"/>
      <c r="BN45" s="60">
        <v>424.56</v>
      </c>
      <c r="BO45" s="70"/>
      <c r="BP45" s="60">
        <v>831</v>
      </c>
      <c r="BQ45" s="70"/>
      <c r="BR45" s="57">
        <f t="shared" si="151"/>
        <v>-406.44</v>
      </c>
      <c r="BS45" s="43"/>
      <c r="BU45" s="60">
        <v>424.56</v>
      </c>
      <c r="BV45" s="70"/>
      <c r="BW45" s="60">
        <v>560</v>
      </c>
      <c r="BX45" s="70"/>
      <c r="BY45" s="57">
        <f t="shared" si="152"/>
        <v>-135.44</v>
      </c>
      <c r="BZ45" s="43"/>
      <c r="CB45" s="61">
        <f t="shared" si="153"/>
        <v>1273.68</v>
      </c>
      <c r="CC45" s="70"/>
      <c r="CD45" s="61">
        <f t="shared" si="154"/>
        <v>2222</v>
      </c>
      <c r="CE45" s="70"/>
      <c r="CF45" s="57">
        <f t="shared" si="155"/>
        <v>-948.31999999999994</v>
      </c>
      <c r="CG45" s="43"/>
      <c r="CI45" s="60">
        <v>425</v>
      </c>
      <c r="CJ45" s="70"/>
      <c r="CK45" s="60">
        <v>560</v>
      </c>
      <c r="CL45" s="70"/>
      <c r="CM45" s="57">
        <f t="shared" si="156"/>
        <v>-135</v>
      </c>
      <c r="CN45" s="43"/>
      <c r="CP45" s="60">
        <v>425</v>
      </c>
      <c r="CQ45" s="70"/>
      <c r="CR45" s="60">
        <v>560</v>
      </c>
      <c r="CS45" s="70"/>
      <c r="CT45" s="57">
        <f t="shared" si="157"/>
        <v>-135</v>
      </c>
      <c r="CU45" s="43"/>
      <c r="CW45" s="60">
        <v>425</v>
      </c>
      <c r="CX45" s="70"/>
      <c r="CY45" s="60">
        <v>560</v>
      </c>
      <c r="CZ45" s="70"/>
      <c r="DA45" s="57">
        <f t="shared" si="158"/>
        <v>-135</v>
      </c>
      <c r="DB45" s="43"/>
      <c r="DD45" s="60">
        <v>425</v>
      </c>
      <c r="DE45" s="70"/>
      <c r="DF45" s="60">
        <v>560</v>
      </c>
      <c r="DG45" s="70"/>
      <c r="DH45" s="57">
        <f t="shared" si="159"/>
        <v>-135</v>
      </c>
      <c r="DI45" s="43"/>
      <c r="DK45" s="61">
        <f t="shared" si="160"/>
        <v>1700</v>
      </c>
      <c r="DL45" s="70"/>
      <c r="DM45" s="61">
        <f t="shared" si="161"/>
        <v>2240</v>
      </c>
      <c r="DN45" s="70"/>
      <c r="DO45" s="57">
        <f t="shared" si="162"/>
        <v>-540</v>
      </c>
      <c r="DP45" s="43"/>
      <c r="DR45" s="61">
        <f t="shared" si="163"/>
        <v>7153.1900000000005</v>
      </c>
      <c r="DS45" s="33"/>
      <c r="DT45" s="61">
        <f t="shared" si="164"/>
        <v>9448</v>
      </c>
      <c r="DU45" s="33"/>
      <c r="DV45" s="57">
        <f t="shared" si="165"/>
        <v>2294.8099999999995</v>
      </c>
      <c r="DW45" s="39"/>
    </row>
    <row r="46" spans="1:129">
      <c r="A46" s="9" t="s">
        <v>54</v>
      </c>
      <c r="B46" s="9"/>
      <c r="C46" s="60">
        <v>3020.6</v>
      </c>
      <c r="D46" s="33"/>
      <c r="E46" s="60">
        <v>3539</v>
      </c>
      <c r="F46" s="33"/>
      <c r="G46" s="57">
        <f t="shared" ref="G46:G58" si="171">E46-C46</f>
        <v>518.40000000000009</v>
      </c>
      <c r="H46" s="39"/>
      <c r="J46" s="60">
        <v>11059.33</v>
      </c>
      <c r="K46" s="33"/>
      <c r="L46" s="60">
        <v>3539</v>
      </c>
      <c r="M46" s="33"/>
      <c r="N46" s="57">
        <f t="shared" ref="N46:N49" si="172">L46-J46</f>
        <v>-7520.33</v>
      </c>
      <c r="O46" s="39"/>
      <c r="Q46" s="60">
        <v>2729</v>
      </c>
      <c r="R46" s="33"/>
      <c r="S46" s="60">
        <v>3539</v>
      </c>
      <c r="T46" s="33"/>
      <c r="U46" s="57">
        <f t="shared" si="169"/>
        <v>810</v>
      </c>
      <c r="V46" s="39"/>
      <c r="X46" s="61">
        <f t="shared" si="143"/>
        <v>16808.93</v>
      </c>
      <c r="Y46" s="33"/>
      <c r="Z46" s="61">
        <f t="shared" si="166"/>
        <v>10617</v>
      </c>
      <c r="AA46" s="33"/>
      <c r="AB46" s="57">
        <f t="shared" ref="AB46:AB58" si="173">Z46-X46</f>
        <v>-6191.93</v>
      </c>
      <c r="AC46" s="39"/>
      <c r="AE46" s="60">
        <v>0</v>
      </c>
      <c r="AF46" s="33"/>
      <c r="AG46" s="60">
        <v>3539</v>
      </c>
      <c r="AH46" s="33"/>
      <c r="AI46" s="57">
        <f t="shared" si="144"/>
        <v>3539</v>
      </c>
      <c r="AJ46" s="39"/>
      <c r="AL46" s="60">
        <v>0</v>
      </c>
      <c r="AM46" s="33"/>
      <c r="AN46" s="60">
        <v>3539</v>
      </c>
      <c r="AO46" s="33"/>
      <c r="AP46" s="57">
        <f t="shared" si="145"/>
        <v>3539</v>
      </c>
      <c r="AQ46" s="39"/>
      <c r="AS46" s="60">
        <v>785</v>
      </c>
      <c r="AT46" s="33"/>
      <c r="AU46" s="60">
        <v>3539</v>
      </c>
      <c r="AV46" s="33"/>
      <c r="AW46" s="57">
        <f t="shared" si="146"/>
        <v>2754</v>
      </c>
      <c r="AX46" s="39"/>
      <c r="AZ46" s="61">
        <f t="shared" si="147"/>
        <v>785</v>
      </c>
      <c r="BA46" s="33"/>
      <c r="BB46" s="61">
        <f t="shared" si="148"/>
        <v>10617</v>
      </c>
      <c r="BC46" s="33"/>
      <c r="BD46" s="57">
        <f t="shared" si="149"/>
        <v>9832</v>
      </c>
      <c r="BE46" s="39"/>
      <c r="BG46" s="60">
        <v>2109.52</v>
      </c>
      <c r="BH46" s="70"/>
      <c r="BI46" s="60">
        <v>3539</v>
      </c>
      <c r="BJ46" s="70"/>
      <c r="BK46" s="57">
        <f t="shared" si="150"/>
        <v>-1429.48</v>
      </c>
      <c r="BL46" s="43"/>
      <c r="BN46" s="60">
        <v>3539</v>
      </c>
      <c r="BO46" s="70"/>
      <c r="BP46" s="60">
        <v>3539</v>
      </c>
      <c r="BQ46" s="70"/>
      <c r="BR46" s="57">
        <f t="shared" si="151"/>
        <v>0</v>
      </c>
      <c r="BS46" s="43"/>
      <c r="BU46" s="60">
        <v>2609</v>
      </c>
      <c r="BV46" s="70"/>
      <c r="BW46" s="60">
        <v>2609</v>
      </c>
      <c r="BX46" s="70"/>
      <c r="BY46" s="57">
        <f t="shared" si="152"/>
        <v>0</v>
      </c>
      <c r="BZ46" s="43"/>
      <c r="CB46" s="61">
        <f t="shared" si="153"/>
        <v>8257.52</v>
      </c>
      <c r="CC46" s="70"/>
      <c r="CD46" s="61">
        <f t="shared" si="154"/>
        <v>9687</v>
      </c>
      <c r="CE46" s="70"/>
      <c r="CF46" s="57">
        <f t="shared" si="155"/>
        <v>-1429.4799999999996</v>
      </c>
      <c r="CG46" s="43"/>
      <c r="CI46" s="60">
        <v>5434.85</v>
      </c>
      <c r="CJ46" s="70"/>
      <c r="CK46" s="60">
        <v>2609</v>
      </c>
      <c r="CL46" s="70"/>
      <c r="CM46" s="57">
        <f t="shared" si="156"/>
        <v>2825.8500000000004</v>
      </c>
      <c r="CN46" s="43"/>
      <c r="CP46" s="60">
        <v>2609</v>
      </c>
      <c r="CQ46" s="70"/>
      <c r="CR46" s="60">
        <v>2609</v>
      </c>
      <c r="CS46" s="70"/>
      <c r="CT46" s="57">
        <f t="shared" si="157"/>
        <v>0</v>
      </c>
      <c r="CU46" s="43"/>
      <c r="CW46" s="60">
        <v>2609</v>
      </c>
      <c r="CX46" s="70"/>
      <c r="CY46" s="60">
        <v>2609</v>
      </c>
      <c r="CZ46" s="70"/>
      <c r="DA46" s="57">
        <f t="shared" si="158"/>
        <v>0</v>
      </c>
      <c r="DB46" s="43"/>
      <c r="DD46" s="60">
        <v>4406.1000000000004</v>
      </c>
      <c r="DE46" s="70"/>
      <c r="DF46" s="60">
        <v>2609</v>
      </c>
      <c r="DG46" s="70"/>
      <c r="DH46" s="57">
        <f t="shared" si="159"/>
        <v>1797.1000000000004</v>
      </c>
      <c r="DI46" s="43"/>
      <c r="DK46" s="61">
        <f t="shared" si="160"/>
        <v>15058.95</v>
      </c>
      <c r="DL46" s="70"/>
      <c r="DM46" s="61">
        <f t="shared" si="161"/>
        <v>10436</v>
      </c>
      <c r="DN46" s="70"/>
      <c r="DO46" s="57">
        <f t="shared" si="162"/>
        <v>4622.9500000000007</v>
      </c>
      <c r="DP46" s="43"/>
      <c r="DR46" s="61">
        <f t="shared" si="163"/>
        <v>40910.400000000001</v>
      </c>
      <c r="DS46" s="33"/>
      <c r="DT46" s="61">
        <f t="shared" si="164"/>
        <v>41357</v>
      </c>
      <c r="DU46" s="33"/>
      <c r="DV46" s="57">
        <f t="shared" si="165"/>
        <v>446.59999999999854</v>
      </c>
      <c r="DW46" s="39"/>
    </row>
    <row r="47" spans="1:129">
      <c r="A47" s="9" t="s">
        <v>55</v>
      </c>
      <c r="B47" s="9"/>
      <c r="C47" s="60">
        <v>1485.32</v>
      </c>
      <c r="D47" s="33"/>
      <c r="E47" s="60">
        <v>1003</v>
      </c>
      <c r="F47" s="33"/>
      <c r="G47" s="57">
        <f t="shared" si="171"/>
        <v>-482.31999999999994</v>
      </c>
      <c r="H47" s="39"/>
      <c r="J47" s="60">
        <f>1329.56+250</f>
        <v>1579.56</v>
      </c>
      <c r="K47" s="33"/>
      <c r="L47" s="60">
        <v>1003</v>
      </c>
      <c r="M47" s="33"/>
      <c r="N47" s="57">
        <f t="shared" si="172"/>
        <v>-576.55999999999995</v>
      </c>
      <c r="O47" s="39"/>
      <c r="Q47" s="60">
        <v>493.82</v>
      </c>
      <c r="R47" s="33"/>
      <c r="S47" s="60">
        <v>1003</v>
      </c>
      <c r="T47" s="33"/>
      <c r="U47" s="57">
        <f t="shared" si="169"/>
        <v>509.18</v>
      </c>
      <c r="V47" s="39"/>
      <c r="X47" s="61">
        <f t="shared" si="143"/>
        <v>3558.7000000000003</v>
      </c>
      <c r="Y47" s="33"/>
      <c r="Z47" s="61">
        <f t="shared" si="166"/>
        <v>3009</v>
      </c>
      <c r="AA47" s="33"/>
      <c r="AB47" s="57">
        <f t="shared" si="173"/>
        <v>-549.70000000000027</v>
      </c>
      <c r="AC47" s="39"/>
      <c r="AE47" s="60">
        <v>478.04</v>
      </c>
      <c r="AF47" s="33"/>
      <c r="AG47" s="60">
        <v>1003</v>
      </c>
      <c r="AH47" s="33"/>
      <c r="AI47" s="57">
        <f t="shared" si="144"/>
        <v>524.96</v>
      </c>
      <c r="AJ47" s="39"/>
      <c r="AL47" s="60">
        <v>756.03</v>
      </c>
      <c r="AM47" s="33"/>
      <c r="AN47" s="60">
        <v>1003</v>
      </c>
      <c r="AO47" s="33"/>
      <c r="AP47" s="57">
        <f t="shared" si="145"/>
        <v>246.97000000000003</v>
      </c>
      <c r="AQ47" s="39"/>
      <c r="AS47" s="60">
        <v>143.4</v>
      </c>
      <c r="AT47" s="33"/>
      <c r="AU47" s="60">
        <v>1003</v>
      </c>
      <c r="AV47" s="33"/>
      <c r="AW47" s="57">
        <f t="shared" si="146"/>
        <v>859.6</v>
      </c>
      <c r="AX47" s="39"/>
      <c r="AZ47" s="61">
        <f t="shared" si="147"/>
        <v>1377.47</v>
      </c>
      <c r="BA47" s="33"/>
      <c r="BB47" s="61">
        <f t="shared" si="148"/>
        <v>3009</v>
      </c>
      <c r="BC47" s="33"/>
      <c r="BD47" s="57">
        <f t="shared" si="149"/>
        <v>1631.53</v>
      </c>
      <c r="BE47" s="39"/>
      <c r="BG47" s="60">
        <v>690.38</v>
      </c>
      <c r="BH47" s="70"/>
      <c r="BI47" s="60">
        <v>1003</v>
      </c>
      <c r="BJ47" s="70"/>
      <c r="BK47" s="57">
        <f t="shared" si="150"/>
        <v>-312.62</v>
      </c>
      <c r="BL47" s="43"/>
      <c r="BN47" s="60">
        <f>245.66+1192.65</f>
        <v>1438.3100000000002</v>
      </c>
      <c r="BO47" s="70"/>
      <c r="BP47" s="60">
        <v>1003</v>
      </c>
      <c r="BQ47" s="70"/>
      <c r="BR47" s="57">
        <f t="shared" si="151"/>
        <v>435.31000000000017</v>
      </c>
      <c r="BS47" s="43"/>
      <c r="BU47" s="60">
        <v>1438.31</v>
      </c>
      <c r="BV47" s="70"/>
      <c r="BW47" s="60">
        <v>1438</v>
      </c>
      <c r="BX47" s="70"/>
      <c r="BY47" s="57">
        <f t="shared" si="152"/>
        <v>0.30999999999994543</v>
      </c>
      <c r="BZ47" s="43"/>
      <c r="CB47" s="61">
        <f t="shared" si="153"/>
        <v>3567</v>
      </c>
      <c r="CC47" s="70"/>
      <c r="CD47" s="61">
        <f t="shared" si="154"/>
        <v>3444</v>
      </c>
      <c r="CE47" s="70"/>
      <c r="CF47" s="57">
        <f t="shared" si="155"/>
        <v>123</v>
      </c>
      <c r="CG47" s="43"/>
      <c r="CI47" s="60">
        <v>2695.28</v>
      </c>
      <c r="CJ47" s="70"/>
      <c r="CK47" s="60">
        <v>1438</v>
      </c>
      <c r="CL47" s="70"/>
      <c r="CM47" s="57">
        <f t="shared" si="156"/>
        <v>1257.2800000000002</v>
      </c>
      <c r="CN47" s="43"/>
      <c r="CP47" s="60">
        <v>1429.69</v>
      </c>
      <c r="CQ47" s="70"/>
      <c r="CR47" s="60">
        <v>1438</v>
      </c>
      <c r="CS47" s="70"/>
      <c r="CT47" s="57">
        <f t="shared" si="157"/>
        <v>-8.3099999999999454</v>
      </c>
      <c r="CU47" s="43"/>
      <c r="CW47" s="60">
        <v>1339.46</v>
      </c>
      <c r="CX47" s="70"/>
      <c r="CY47" s="60">
        <v>1438</v>
      </c>
      <c r="CZ47" s="70"/>
      <c r="DA47" s="57">
        <f t="shared" si="158"/>
        <v>-98.539999999999964</v>
      </c>
      <c r="DB47" s="43"/>
      <c r="DD47" s="60">
        <v>-641.76</v>
      </c>
      <c r="DE47" s="70"/>
      <c r="DF47" s="60">
        <v>1438</v>
      </c>
      <c r="DG47" s="70"/>
      <c r="DH47" s="57">
        <f t="shared" si="159"/>
        <v>-2079.7600000000002</v>
      </c>
      <c r="DI47" s="43"/>
      <c r="DK47" s="61">
        <f t="shared" si="160"/>
        <v>4822.67</v>
      </c>
      <c r="DL47" s="70"/>
      <c r="DM47" s="61">
        <f t="shared" si="161"/>
        <v>5752</v>
      </c>
      <c r="DN47" s="70"/>
      <c r="DO47" s="57">
        <f t="shared" si="162"/>
        <v>-929.32999999999993</v>
      </c>
      <c r="DP47" s="43"/>
      <c r="DR47" s="61">
        <f t="shared" si="163"/>
        <v>13325.84</v>
      </c>
      <c r="DS47" s="33"/>
      <c r="DT47" s="61">
        <f t="shared" si="164"/>
        <v>15214</v>
      </c>
      <c r="DU47" s="33"/>
      <c r="DV47" s="57">
        <f t="shared" si="165"/>
        <v>1888.1599999999999</v>
      </c>
      <c r="DW47" s="39"/>
      <c r="DY47" s="64"/>
    </row>
    <row r="48" spans="1:129">
      <c r="A48" s="9" t="s">
        <v>56</v>
      </c>
      <c r="B48" s="9"/>
      <c r="C48" s="60">
        <v>438.26</v>
      </c>
      <c r="D48" s="33"/>
      <c r="E48" s="60">
        <v>899</v>
      </c>
      <c r="F48" s="33"/>
      <c r="G48" s="57"/>
      <c r="H48" s="39"/>
      <c r="J48" s="60">
        <v>640.34400000000005</v>
      </c>
      <c r="K48" s="33"/>
      <c r="L48" s="60">
        <v>899</v>
      </c>
      <c r="M48" s="33"/>
      <c r="N48" s="57"/>
      <c r="O48" s="39"/>
      <c r="Q48" s="60">
        <v>485.64</v>
      </c>
      <c r="R48" s="33"/>
      <c r="S48" s="60">
        <v>899</v>
      </c>
      <c r="T48" s="33"/>
      <c r="U48" s="57"/>
      <c r="V48" s="39"/>
      <c r="X48" s="61">
        <f t="shared" si="143"/>
        <v>1564.2440000000001</v>
      </c>
      <c r="Y48" s="33"/>
      <c r="Z48" s="61">
        <f t="shared" si="166"/>
        <v>2697</v>
      </c>
      <c r="AA48" s="33"/>
      <c r="AB48" s="57"/>
      <c r="AC48" s="39"/>
      <c r="AE48" s="60">
        <v>0</v>
      </c>
      <c r="AF48" s="33"/>
      <c r="AG48" s="60">
        <v>899</v>
      </c>
      <c r="AH48" s="33"/>
      <c r="AI48" s="57">
        <f t="shared" si="144"/>
        <v>899</v>
      </c>
      <c r="AJ48" s="39"/>
      <c r="AL48" s="60">
        <v>0</v>
      </c>
      <c r="AM48" s="33"/>
      <c r="AN48" s="60">
        <v>899</v>
      </c>
      <c r="AO48" s="33"/>
      <c r="AP48" s="57">
        <f t="shared" si="145"/>
        <v>899</v>
      </c>
      <c r="AQ48" s="39"/>
      <c r="AS48" s="60">
        <v>664.83</v>
      </c>
      <c r="AT48" s="33"/>
      <c r="AU48" s="60">
        <v>899</v>
      </c>
      <c r="AV48" s="33"/>
      <c r="AW48" s="57">
        <f t="shared" si="146"/>
        <v>234.16999999999996</v>
      </c>
      <c r="AX48" s="39"/>
      <c r="AZ48" s="61">
        <f t="shared" si="147"/>
        <v>664.83</v>
      </c>
      <c r="BA48" s="33"/>
      <c r="BB48" s="61">
        <f t="shared" si="148"/>
        <v>2697</v>
      </c>
      <c r="BC48" s="33"/>
      <c r="BD48" s="57"/>
      <c r="BE48" s="39"/>
      <c r="BG48" s="60">
        <v>456.34</v>
      </c>
      <c r="BH48" s="70"/>
      <c r="BI48" s="60">
        <v>899</v>
      </c>
      <c r="BJ48" s="70"/>
      <c r="BK48" s="57">
        <f t="shared" si="150"/>
        <v>-442.66</v>
      </c>
      <c r="BL48" s="43"/>
      <c r="BN48" s="60">
        <v>513.94000000000005</v>
      </c>
      <c r="BO48" s="70"/>
      <c r="BP48" s="60">
        <v>899</v>
      </c>
      <c r="BQ48" s="70"/>
      <c r="BR48" s="57">
        <f t="shared" si="151"/>
        <v>-385.05999999999995</v>
      </c>
      <c r="BS48" s="43"/>
      <c r="BU48" s="60">
        <v>516.44000000000005</v>
      </c>
      <c r="BV48" s="70"/>
      <c r="BW48" s="60">
        <v>462</v>
      </c>
      <c r="BX48" s="70"/>
      <c r="BY48" s="57">
        <f t="shared" si="152"/>
        <v>54.440000000000055</v>
      </c>
      <c r="BZ48" s="43"/>
      <c r="CB48" s="61">
        <f t="shared" si="153"/>
        <v>1486.72</v>
      </c>
      <c r="CC48" s="70"/>
      <c r="CD48" s="61">
        <f t="shared" si="154"/>
        <v>2260</v>
      </c>
      <c r="CE48" s="70"/>
      <c r="CF48" s="57">
        <f t="shared" si="155"/>
        <v>-773.28</v>
      </c>
      <c r="CG48" s="43"/>
      <c r="CI48" s="60">
        <v>624.74</v>
      </c>
      <c r="CJ48" s="70"/>
      <c r="CK48" s="60">
        <v>462</v>
      </c>
      <c r="CL48" s="70"/>
      <c r="CM48" s="57">
        <f t="shared" si="156"/>
        <v>162.74</v>
      </c>
      <c r="CN48" s="43"/>
      <c r="CP48" s="60">
        <v>520.02</v>
      </c>
      <c r="CQ48" s="70"/>
      <c r="CR48" s="60">
        <v>462</v>
      </c>
      <c r="CS48" s="70"/>
      <c r="CT48" s="57">
        <f t="shared" si="157"/>
        <v>58.019999999999982</v>
      </c>
      <c r="CU48" s="43"/>
      <c r="CW48" s="60">
        <v>493.02</v>
      </c>
      <c r="CX48" s="70"/>
      <c r="CY48" s="60">
        <v>462</v>
      </c>
      <c r="CZ48" s="70"/>
      <c r="DA48" s="57">
        <f t="shared" si="158"/>
        <v>31.019999999999982</v>
      </c>
      <c r="DB48" s="43"/>
      <c r="DD48" s="60">
        <v>372.02</v>
      </c>
      <c r="DE48" s="70"/>
      <c r="DF48" s="60">
        <v>462</v>
      </c>
      <c r="DG48" s="70"/>
      <c r="DH48" s="57">
        <f t="shared" si="159"/>
        <v>-89.980000000000018</v>
      </c>
      <c r="DI48" s="43"/>
      <c r="DK48" s="61">
        <f t="shared" si="160"/>
        <v>2009.8</v>
      </c>
      <c r="DL48" s="70"/>
      <c r="DM48" s="61">
        <f t="shared" si="161"/>
        <v>1848</v>
      </c>
      <c r="DN48" s="70"/>
      <c r="DO48" s="57">
        <f t="shared" si="162"/>
        <v>161.79999999999995</v>
      </c>
      <c r="DP48" s="43"/>
      <c r="DR48" s="61">
        <f t="shared" si="163"/>
        <v>5725.5940000000001</v>
      </c>
      <c r="DS48" s="33"/>
      <c r="DT48" s="61">
        <f t="shared" si="164"/>
        <v>9502</v>
      </c>
      <c r="DU48" s="33"/>
      <c r="DV48" s="57"/>
      <c r="DW48" s="39"/>
    </row>
    <row r="49" spans="1:129">
      <c r="A49" s="9" t="s">
        <v>57</v>
      </c>
      <c r="B49" s="9"/>
      <c r="C49" s="60">
        <v>1962</v>
      </c>
      <c r="D49" s="33"/>
      <c r="E49" s="60">
        <v>3074</v>
      </c>
      <c r="F49" s="33"/>
      <c r="G49" s="57">
        <f t="shared" si="171"/>
        <v>1112</v>
      </c>
      <c r="H49" s="39"/>
      <c r="J49" s="60">
        <v>2747.5</v>
      </c>
      <c r="K49" s="33"/>
      <c r="L49" s="60">
        <v>3074</v>
      </c>
      <c r="M49" s="33"/>
      <c r="N49" s="57">
        <f t="shared" si="172"/>
        <v>326.5</v>
      </c>
      <c r="O49" s="39"/>
      <c r="Q49" s="60">
        <v>2060.5</v>
      </c>
      <c r="R49" s="33"/>
      <c r="S49" s="60">
        <v>3074</v>
      </c>
      <c r="T49" s="33"/>
      <c r="U49" s="57">
        <f t="shared" si="169"/>
        <v>1013.5</v>
      </c>
      <c r="V49" s="39"/>
      <c r="X49" s="61">
        <f t="shared" si="143"/>
        <v>6770</v>
      </c>
      <c r="Y49" s="33"/>
      <c r="Z49" s="61">
        <f t="shared" si="166"/>
        <v>9222</v>
      </c>
      <c r="AA49" s="33"/>
      <c r="AB49" s="57">
        <f t="shared" si="173"/>
        <v>2452</v>
      </c>
      <c r="AC49" s="39"/>
      <c r="AE49" s="60">
        <v>0</v>
      </c>
      <c r="AF49" s="33"/>
      <c r="AG49" s="60">
        <v>3074</v>
      </c>
      <c r="AH49" s="33"/>
      <c r="AI49" s="57">
        <f t="shared" si="144"/>
        <v>3074</v>
      </c>
      <c r="AJ49" s="39"/>
      <c r="AL49" s="60">
        <v>0</v>
      </c>
      <c r="AM49" s="33"/>
      <c r="AN49" s="60">
        <v>3074</v>
      </c>
      <c r="AO49" s="33"/>
      <c r="AP49" s="57">
        <f t="shared" si="145"/>
        <v>3074</v>
      </c>
      <c r="AQ49" s="39"/>
      <c r="AS49" s="60">
        <v>0</v>
      </c>
      <c r="AT49" s="33"/>
      <c r="AU49" s="60">
        <v>3074</v>
      </c>
      <c r="AV49" s="33"/>
      <c r="AW49" s="57">
        <f t="shared" si="146"/>
        <v>3074</v>
      </c>
      <c r="AX49" s="39"/>
      <c r="AZ49" s="61">
        <f t="shared" si="147"/>
        <v>0</v>
      </c>
      <c r="BA49" s="33"/>
      <c r="BB49" s="61">
        <f t="shared" si="148"/>
        <v>9222</v>
      </c>
      <c r="BC49" s="33"/>
      <c r="BD49" s="57"/>
      <c r="BE49" s="39"/>
      <c r="BG49" s="60">
        <v>0</v>
      </c>
      <c r="BH49" s="70"/>
      <c r="BI49" s="60">
        <v>3074</v>
      </c>
      <c r="BJ49" s="70"/>
      <c r="BK49" s="57">
        <f t="shared" si="150"/>
        <v>-3074</v>
      </c>
      <c r="BL49" s="43"/>
      <c r="BN49" s="60">
        <v>2097</v>
      </c>
      <c r="BO49" s="70"/>
      <c r="BP49" s="60">
        <v>3074</v>
      </c>
      <c r="BQ49" s="70"/>
      <c r="BR49" s="57">
        <f t="shared" si="151"/>
        <v>-977</v>
      </c>
      <c r="BS49" s="43"/>
      <c r="BU49" s="60">
        <v>3528</v>
      </c>
      <c r="BV49" s="70"/>
      <c r="BW49" s="60">
        <v>2520</v>
      </c>
      <c r="BX49" s="70"/>
      <c r="BY49" s="57">
        <f t="shared" si="152"/>
        <v>1008</v>
      </c>
      <c r="BZ49" s="43"/>
      <c r="CB49" s="61">
        <f t="shared" si="153"/>
        <v>5625</v>
      </c>
      <c r="CC49" s="70"/>
      <c r="CD49" s="61">
        <f t="shared" si="154"/>
        <v>8668</v>
      </c>
      <c r="CE49" s="70"/>
      <c r="CF49" s="57">
        <f t="shared" si="155"/>
        <v>-3043</v>
      </c>
      <c r="CG49" s="43"/>
      <c r="CI49" s="60">
        <v>4645</v>
      </c>
      <c r="CJ49" s="70"/>
      <c r="CK49" s="60">
        <v>2520</v>
      </c>
      <c r="CL49" s="70"/>
      <c r="CM49" s="57">
        <f t="shared" si="156"/>
        <v>2125</v>
      </c>
      <c r="CN49" s="43"/>
      <c r="CP49" s="60">
        <v>3301.38</v>
      </c>
      <c r="CQ49" s="70"/>
      <c r="CR49" s="60">
        <v>2520</v>
      </c>
      <c r="CS49" s="70"/>
      <c r="CT49" s="57">
        <f t="shared" si="157"/>
        <v>781.38000000000011</v>
      </c>
      <c r="CU49" s="43"/>
      <c r="CW49" s="60">
        <v>1926</v>
      </c>
      <c r="CX49" s="70"/>
      <c r="CY49" s="60">
        <v>2520</v>
      </c>
      <c r="CZ49" s="70"/>
      <c r="DA49" s="57">
        <f t="shared" si="158"/>
        <v>-594</v>
      </c>
      <c r="DB49" s="43"/>
      <c r="DD49" s="60">
        <v>1271</v>
      </c>
      <c r="DE49" s="70"/>
      <c r="DF49" s="60">
        <v>2520</v>
      </c>
      <c r="DG49" s="70"/>
      <c r="DH49" s="57">
        <f t="shared" si="159"/>
        <v>-1249</v>
      </c>
      <c r="DI49" s="43"/>
      <c r="DK49" s="61">
        <f t="shared" si="160"/>
        <v>11143.380000000001</v>
      </c>
      <c r="DL49" s="70"/>
      <c r="DM49" s="61">
        <f t="shared" si="161"/>
        <v>10080</v>
      </c>
      <c r="DN49" s="70"/>
      <c r="DO49" s="57">
        <f t="shared" si="162"/>
        <v>1063.380000000001</v>
      </c>
      <c r="DP49" s="43"/>
      <c r="DR49" s="61">
        <f t="shared" si="163"/>
        <v>23538.38</v>
      </c>
      <c r="DS49" s="33"/>
      <c r="DT49" s="61">
        <f t="shared" si="164"/>
        <v>37192</v>
      </c>
      <c r="DU49" s="33"/>
      <c r="DV49" s="57"/>
      <c r="DW49" s="39"/>
    </row>
    <row r="50" spans="1:129">
      <c r="A50" s="9" t="s">
        <v>58</v>
      </c>
      <c r="B50" s="9"/>
      <c r="C50" s="60">
        <v>3009</v>
      </c>
      <c r="D50" s="33"/>
      <c r="E50" s="60">
        <v>3080</v>
      </c>
      <c r="F50" s="33"/>
      <c r="G50" s="57">
        <f>E50-C50</f>
        <v>71</v>
      </c>
      <c r="H50" s="39"/>
      <c r="J50" s="60">
        <v>2888.95</v>
      </c>
      <c r="K50" s="33"/>
      <c r="L50" s="60">
        <v>3080</v>
      </c>
      <c r="M50" s="33"/>
      <c r="N50" s="57">
        <f>L50-J50</f>
        <v>191.05000000000018</v>
      </c>
      <c r="O50" s="39"/>
      <c r="Q50" s="60">
        <v>1771</v>
      </c>
      <c r="R50" s="33"/>
      <c r="S50" s="60">
        <v>3080</v>
      </c>
      <c r="T50" s="33"/>
      <c r="U50" s="57">
        <f>S50-Q50</f>
        <v>1309</v>
      </c>
      <c r="V50" s="39"/>
      <c r="X50" s="61">
        <f t="shared" si="143"/>
        <v>7668.95</v>
      </c>
      <c r="Y50" s="33"/>
      <c r="Z50" s="61">
        <f t="shared" si="166"/>
        <v>9240</v>
      </c>
      <c r="AA50" s="33"/>
      <c r="AB50" s="57">
        <f>Z50-X50</f>
        <v>1571.0500000000002</v>
      </c>
      <c r="AC50" s="39"/>
      <c r="AE50" s="60">
        <v>0</v>
      </c>
      <c r="AF50" s="33"/>
      <c r="AG50" s="60">
        <v>3080</v>
      </c>
      <c r="AH50" s="33"/>
      <c r="AI50" s="57">
        <f>AG50-AE50</f>
        <v>3080</v>
      </c>
      <c r="AJ50" s="39"/>
      <c r="AL50" s="60">
        <v>0</v>
      </c>
      <c r="AM50" s="33"/>
      <c r="AN50" s="60">
        <v>3080</v>
      </c>
      <c r="AO50" s="33"/>
      <c r="AP50" s="57">
        <f>AN50-AL50</f>
        <v>3080</v>
      </c>
      <c r="AQ50" s="39"/>
      <c r="AS50" s="60">
        <v>0</v>
      </c>
      <c r="AT50" s="33"/>
      <c r="AU50" s="60">
        <v>3080</v>
      </c>
      <c r="AV50" s="33"/>
      <c r="AW50" s="57">
        <f>AU50-AS50</f>
        <v>3080</v>
      </c>
      <c r="AX50" s="39"/>
      <c r="AZ50" s="61">
        <f t="shared" si="147"/>
        <v>0</v>
      </c>
      <c r="BA50" s="33"/>
      <c r="BB50" s="61">
        <f t="shared" si="148"/>
        <v>9240</v>
      </c>
      <c r="BC50" s="33"/>
      <c r="BD50" s="57">
        <f>BB50-AZ50</f>
        <v>9240</v>
      </c>
      <c r="BE50" s="39"/>
      <c r="BG50" s="60">
        <v>0</v>
      </c>
      <c r="BH50" s="70"/>
      <c r="BI50" s="60">
        <v>3080</v>
      </c>
      <c r="BJ50" s="70"/>
      <c r="BK50" s="57">
        <f t="shared" si="150"/>
        <v>-3080</v>
      </c>
      <c r="BL50" s="43"/>
      <c r="BN50" s="60">
        <v>1239.83</v>
      </c>
      <c r="BO50" s="70"/>
      <c r="BP50" s="60">
        <v>3080</v>
      </c>
      <c r="BQ50" s="70"/>
      <c r="BR50" s="57">
        <f t="shared" si="151"/>
        <v>-1840.17</v>
      </c>
      <c r="BS50" s="43"/>
      <c r="BU50" s="60">
        <v>1495.13</v>
      </c>
      <c r="BV50" s="70"/>
      <c r="BW50" s="60">
        <v>1820</v>
      </c>
      <c r="BX50" s="70"/>
      <c r="BY50" s="57">
        <f t="shared" si="152"/>
        <v>-324.86999999999989</v>
      </c>
      <c r="BZ50" s="43"/>
      <c r="CB50" s="61">
        <f t="shared" si="153"/>
        <v>2734.96</v>
      </c>
      <c r="CC50" s="70"/>
      <c r="CD50" s="61">
        <f t="shared" si="154"/>
        <v>7980</v>
      </c>
      <c r="CE50" s="70"/>
      <c r="CF50" s="57">
        <f t="shared" si="155"/>
        <v>-5245.04</v>
      </c>
      <c r="CG50" s="43"/>
      <c r="CI50" s="60">
        <v>2601.2600000000002</v>
      </c>
      <c r="CJ50" s="70"/>
      <c r="CK50" s="60">
        <v>1820</v>
      </c>
      <c r="CL50" s="70"/>
      <c r="CM50" s="57">
        <f t="shared" si="156"/>
        <v>781.26000000000022</v>
      </c>
      <c r="CN50" s="43"/>
      <c r="CP50" s="60">
        <v>2935.47</v>
      </c>
      <c r="CQ50" s="70"/>
      <c r="CR50" s="60">
        <v>1820</v>
      </c>
      <c r="CS50" s="70"/>
      <c r="CT50" s="57">
        <f t="shared" si="157"/>
        <v>1115.4699999999998</v>
      </c>
      <c r="CU50" s="43"/>
      <c r="CW50" s="60">
        <v>1760.47</v>
      </c>
      <c r="CX50" s="70"/>
      <c r="CY50" s="60">
        <v>1820</v>
      </c>
      <c r="CZ50" s="70"/>
      <c r="DA50" s="57">
        <f t="shared" si="158"/>
        <v>-59.529999999999973</v>
      </c>
      <c r="DB50" s="43"/>
      <c r="DD50" s="60">
        <v>858.65</v>
      </c>
      <c r="DE50" s="70"/>
      <c r="DF50" s="60">
        <v>1820</v>
      </c>
      <c r="DG50" s="70"/>
      <c r="DH50" s="57">
        <f t="shared" si="159"/>
        <v>-961.35</v>
      </c>
      <c r="DI50" s="43"/>
      <c r="DK50" s="61">
        <f t="shared" si="160"/>
        <v>8155.8499999999995</v>
      </c>
      <c r="DL50" s="70"/>
      <c r="DM50" s="61">
        <f t="shared" si="161"/>
        <v>7280</v>
      </c>
      <c r="DN50" s="70"/>
      <c r="DO50" s="57">
        <f t="shared" si="162"/>
        <v>875.84999999999945</v>
      </c>
      <c r="DP50" s="43"/>
      <c r="DR50" s="61">
        <f t="shared" si="163"/>
        <v>18559.759999999998</v>
      </c>
      <c r="DS50" s="33"/>
      <c r="DT50" s="61">
        <f>Z50+BB50+CD50+DM50</f>
        <v>33740</v>
      </c>
      <c r="DU50" s="33"/>
      <c r="DV50" s="57">
        <f>DT50-DR50</f>
        <v>15180.240000000002</v>
      </c>
      <c r="DW50" s="39"/>
    </row>
    <row r="51" spans="1:129">
      <c r="A51" s="9" t="s">
        <v>59</v>
      </c>
      <c r="B51" s="9"/>
      <c r="C51" s="60">
        <v>3142.5</v>
      </c>
      <c r="D51" s="33"/>
      <c r="E51" s="60">
        <v>3180</v>
      </c>
      <c r="F51" s="33"/>
      <c r="G51" s="57">
        <f>E51-C51</f>
        <v>37.5</v>
      </c>
      <c r="H51" s="39"/>
      <c r="J51" s="60">
        <v>2929</v>
      </c>
      <c r="K51" s="33"/>
      <c r="L51" s="60">
        <v>3180</v>
      </c>
      <c r="M51" s="33"/>
      <c r="N51" s="57">
        <f>L51-J51</f>
        <v>251</v>
      </c>
      <c r="O51" s="39"/>
      <c r="Q51" s="60">
        <v>2177.91</v>
      </c>
      <c r="R51" s="33"/>
      <c r="S51" s="60">
        <v>3180</v>
      </c>
      <c r="T51" s="33"/>
      <c r="U51" s="57">
        <f>S51-Q51</f>
        <v>1002.0900000000001</v>
      </c>
      <c r="V51" s="39"/>
      <c r="X51" s="61">
        <f t="shared" si="143"/>
        <v>8249.41</v>
      </c>
      <c r="Y51" s="33"/>
      <c r="Z51" s="61">
        <f t="shared" si="166"/>
        <v>9540</v>
      </c>
      <c r="AA51" s="33"/>
      <c r="AB51" s="57"/>
      <c r="AC51" s="39"/>
      <c r="AE51" s="60">
        <v>11.93</v>
      </c>
      <c r="AF51" s="33"/>
      <c r="AG51" s="60">
        <v>3180</v>
      </c>
      <c r="AH51" s="33"/>
      <c r="AI51" s="57">
        <f>AG51-AE51</f>
        <v>3168.07</v>
      </c>
      <c r="AJ51" s="39"/>
      <c r="AL51" s="60">
        <v>0</v>
      </c>
      <c r="AM51" s="33"/>
      <c r="AN51" s="60">
        <v>3180</v>
      </c>
      <c r="AO51" s="33"/>
      <c r="AP51" s="57">
        <f>AN51-AL51</f>
        <v>3180</v>
      </c>
      <c r="AQ51" s="39"/>
      <c r="AS51" s="60">
        <v>0</v>
      </c>
      <c r="AT51" s="33"/>
      <c r="AU51" s="60">
        <v>3180</v>
      </c>
      <c r="AV51" s="33"/>
      <c r="AW51" s="57">
        <f>AU51-AS51</f>
        <v>3180</v>
      </c>
      <c r="AX51" s="39"/>
      <c r="AZ51" s="61">
        <f t="shared" si="147"/>
        <v>11.93</v>
      </c>
      <c r="BA51" s="33"/>
      <c r="BB51" s="61">
        <f t="shared" si="148"/>
        <v>9540</v>
      </c>
      <c r="BC51" s="33"/>
      <c r="BD51" s="57">
        <f>BB51-AZ51</f>
        <v>9528.07</v>
      </c>
      <c r="BE51" s="39"/>
      <c r="BG51" s="60">
        <v>0</v>
      </c>
      <c r="BH51" s="70"/>
      <c r="BI51" s="60">
        <v>3180</v>
      </c>
      <c r="BJ51" s="70"/>
      <c r="BK51" s="57">
        <f t="shared" si="150"/>
        <v>-3180</v>
      </c>
      <c r="BL51" s="43"/>
      <c r="BN51" s="60">
        <v>2062</v>
      </c>
      <c r="BO51" s="70"/>
      <c r="BP51" s="60">
        <v>3180</v>
      </c>
      <c r="BQ51" s="70"/>
      <c r="BR51" s="57">
        <f t="shared" si="151"/>
        <v>-1118</v>
      </c>
      <c r="BS51" s="43"/>
      <c r="BU51" s="60">
        <v>3007.5</v>
      </c>
      <c r="BV51" s="70"/>
      <c r="BW51" s="60">
        <v>2820</v>
      </c>
      <c r="BX51" s="70"/>
      <c r="BY51" s="57">
        <f t="shared" si="152"/>
        <v>187.5</v>
      </c>
      <c r="BZ51" s="43"/>
      <c r="CB51" s="61">
        <f t="shared" si="153"/>
        <v>5069.5</v>
      </c>
      <c r="CC51" s="70"/>
      <c r="CD51" s="61">
        <f t="shared" si="154"/>
        <v>9180</v>
      </c>
      <c r="CE51" s="70"/>
      <c r="CF51" s="57">
        <f t="shared" si="155"/>
        <v>-4110.5</v>
      </c>
      <c r="CG51" s="43"/>
      <c r="CI51" s="60">
        <v>3171.5</v>
      </c>
      <c r="CJ51" s="70"/>
      <c r="CK51" s="60">
        <v>2820</v>
      </c>
      <c r="CL51" s="70"/>
      <c r="CM51" s="57">
        <f t="shared" si="156"/>
        <v>351.5</v>
      </c>
      <c r="CN51" s="43"/>
      <c r="CP51" s="60">
        <v>3223</v>
      </c>
      <c r="CQ51" s="70"/>
      <c r="CR51" s="60">
        <v>2820</v>
      </c>
      <c r="CS51" s="70"/>
      <c r="CT51" s="57">
        <f t="shared" si="157"/>
        <v>403</v>
      </c>
      <c r="CU51" s="43"/>
      <c r="CW51" s="60">
        <v>3158.5</v>
      </c>
      <c r="CX51" s="70"/>
      <c r="CY51" s="60">
        <v>2820</v>
      </c>
      <c r="CZ51" s="70"/>
      <c r="DA51" s="57">
        <f t="shared" si="158"/>
        <v>338.5</v>
      </c>
      <c r="DB51" s="43"/>
      <c r="DD51" s="60">
        <v>1833.5</v>
      </c>
      <c r="DE51" s="70"/>
      <c r="DF51" s="60">
        <v>2820</v>
      </c>
      <c r="DG51" s="70"/>
      <c r="DH51" s="57">
        <f t="shared" si="159"/>
        <v>-986.5</v>
      </c>
      <c r="DI51" s="43"/>
      <c r="DK51" s="61">
        <f t="shared" si="160"/>
        <v>11386.5</v>
      </c>
      <c r="DL51" s="70"/>
      <c r="DM51" s="61">
        <f t="shared" si="161"/>
        <v>11280</v>
      </c>
      <c r="DN51" s="70"/>
      <c r="DO51" s="57">
        <f t="shared" si="162"/>
        <v>106.5</v>
      </c>
      <c r="DP51" s="43"/>
      <c r="DR51" s="61">
        <f t="shared" si="163"/>
        <v>24717.34</v>
      </c>
      <c r="DS51" s="33"/>
      <c r="DT51" s="61">
        <f>Z51+BB51+CD51+DM51</f>
        <v>39540</v>
      </c>
      <c r="DU51" s="33"/>
      <c r="DV51" s="57">
        <f>DT51-DR51</f>
        <v>14822.66</v>
      </c>
      <c r="DW51" s="39"/>
    </row>
    <row r="52" spans="1:129">
      <c r="A52" s="9" t="s">
        <v>60</v>
      </c>
      <c r="B52" s="9"/>
      <c r="C52" s="60">
        <v>1708.5</v>
      </c>
      <c r="D52" s="33"/>
      <c r="E52" s="60">
        <v>1600</v>
      </c>
      <c r="F52" s="33"/>
      <c r="G52" s="57">
        <f t="shared" si="171"/>
        <v>-108.5</v>
      </c>
      <c r="H52" s="39"/>
      <c r="J52" s="60">
        <v>3125</v>
      </c>
      <c r="K52" s="33"/>
      <c r="L52" s="60">
        <v>1600</v>
      </c>
      <c r="M52" s="33"/>
      <c r="N52" s="57">
        <f t="shared" ref="N52:N58" si="174">L52-J52</f>
        <v>-1525</v>
      </c>
      <c r="O52" s="39"/>
      <c r="Q52" s="60">
        <v>1505.5</v>
      </c>
      <c r="R52" s="33"/>
      <c r="S52" s="60">
        <v>1600</v>
      </c>
      <c r="T52" s="33"/>
      <c r="U52" s="57">
        <f t="shared" ref="U52:U58" si="175">S52-Q52</f>
        <v>94.5</v>
      </c>
      <c r="V52" s="39"/>
      <c r="X52" s="61">
        <f t="shared" si="143"/>
        <v>6339</v>
      </c>
      <c r="Y52" s="33"/>
      <c r="Z52" s="61">
        <f t="shared" si="166"/>
        <v>4800</v>
      </c>
      <c r="AA52" s="33"/>
      <c r="AB52" s="57">
        <f t="shared" si="173"/>
        <v>-1539</v>
      </c>
      <c r="AC52" s="39"/>
      <c r="AE52" s="60">
        <v>0</v>
      </c>
      <c r="AF52" s="33"/>
      <c r="AG52" s="60">
        <v>1600</v>
      </c>
      <c r="AH52" s="33"/>
      <c r="AI52" s="57">
        <f t="shared" ref="AI52:AI56" si="176">AG52-AE52</f>
        <v>1600</v>
      </c>
      <c r="AJ52" s="39"/>
      <c r="AL52" s="60">
        <v>0</v>
      </c>
      <c r="AM52" s="33"/>
      <c r="AN52" s="60">
        <v>1600</v>
      </c>
      <c r="AO52" s="33"/>
      <c r="AP52" s="57">
        <f t="shared" ref="AP52:AP56" si="177">AN52-AL52</f>
        <v>1600</v>
      </c>
      <c r="AQ52" s="39"/>
      <c r="AS52" s="60">
        <v>0</v>
      </c>
      <c r="AT52" s="33"/>
      <c r="AU52" s="60">
        <v>1600</v>
      </c>
      <c r="AV52" s="33"/>
      <c r="AW52" s="57">
        <f t="shared" ref="AW52:AW56" si="178">AU52-AS52</f>
        <v>1600</v>
      </c>
      <c r="AX52" s="39"/>
      <c r="AZ52" s="61">
        <f t="shared" si="147"/>
        <v>0</v>
      </c>
      <c r="BA52" s="33"/>
      <c r="BB52" s="61">
        <f t="shared" si="148"/>
        <v>4800</v>
      </c>
      <c r="BC52" s="33"/>
      <c r="BD52" s="57">
        <f t="shared" si="149"/>
        <v>4800</v>
      </c>
      <c r="BE52" s="39"/>
      <c r="BG52" s="60">
        <v>0</v>
      </c>
      <c r="BH52" s="70"/>
      <c r="BI52" s="60">
        <v>1600</v>
      </c>
      <c r="BJ52" s="70"/>
      <c r="BK52" s="57">
        <f t="shared" si="150"/>
        <v>-1600</v>
      </c>
      <c r="BL52" s="43"/>
      <c r="BN52" s="60">
        <v>363</v>
      </c>
      <c r="BO52" s="70"/>
      <c r="BP52" s="60">
        <v>1600</v>
      </c>
      <c r="BQ52" s="70"/>
      <c r="BR52" s="57">
        <f t="shared" si="151"/>
        <v>-1237</v>
      </c>
      <c r="BS52" s="43"/>
      <c r="BU52" s="60">
        <v>1002</v>
      </c>
      <c r="BV52" s="70"/>
      <c r="BW52" s="60">
        <v>969</v>
      </c>
      <c r="BX52" s="70"/>
      <c r="BY52" s="57">
        <f t="shared" si="152"/>
        <v>33</v>
      </c>
      <c r="BZ52" s="43"/>
      <c r="CB52" s="61">
        <f t="shared" si="153"/>
        <v>1365</v>
      </c>
      <c r="CC52" s="70"/>
      <c r="CD52" s="61">
        <f t="shared" si="154"/>
        <v>4169</v>
      </c>
      <c r="CE52" s="70"/>
      <c r="CF52" s="57">
        <f t="shared" si="155"/>
        <v>-2804</v>
      </c>
      <c r="CG52" s="43"/>
      <c r="CI52" s="60">
        <v>1064</v>
      </c>
      <c r="CJ52" s="70"/>
      <c r="CK52" s="60">
        <v>969</v>
      </c>
      <c r="CL52" s="70"/>
      <c r="CM52" s="57">
        <f t="shared" si="156"/>
        <v>95</v>
      </c>
      <c r="CN52" s="43"/>
      <c r="CP52" s="60">
        <v>907.5</v>
      </c>
      <c r="CQ52" s="70"/>
      <c r="CR52" s="60">
        <v>969</v>
      </c>
      <c r="CS52" s="70"/>
      <c r="CT52" s="57">
        <f t="shared" si="157"/>
        <v>-61.5</v>
      </c>
      <c r="CU52" s="43"/>
      <c r="CW52" s="60">
        <v>1219.5</v>
      </c>
      <c r="CX52" s="70"/>
      <c r="CY52" s="60">
        <v>969</v>
      </c>
      <c r="CZ52" s="70"/>
      <c r="DA52" s="57">
        <f t="shared" si="158"/>
        <v>250.5</v>
      </c>
      <c r="DB52" s="43"/>
      <c r="DD52" s="60">
        <v>321</v>
      </c>
      <c r="DE52" s="70"/>
      <c r="DF52" s="60">
        <v>969</v>
      </c>
      <c r="DG52" s="70"/>
      <c r="DH52" s="57">
        <f t="shared" si="159"/>
        <v>-648</v>
      </c>
      <c r="DI52" s="43"/>
      <c r="DK52" s="61">
        <f t="shared" si="160"/>
        <v>3512</v>
      </c>
      <c r="DL52" s="70"/>
      <c r="DM52" s="61">
        <f t="shared" si="161"/>
        <v>3876</v>
      </c>
      <c r="DN52" s="70"/>
      <c r="DO52" s="57">
        <f t="shared" si="162"/>
        <v>-364</v>
      </c>
      <c r="DP52" s="43"/>
      <c r="DR52" s="61">
        <f t="shared" si="163"/>
        <v>11216</v>
      </c>
      <c r="DS52" s="33"/>
      <c r="DT52" s="61">
        <f t="shared" si="164"/>
        <v>17645</v>
      </c>
      <c r="DU52" s="33"/>
      <c r="DV52" s="57">
        <f t="shared" si="165"/>
        <v>6429</v>
      </c>
      <c r="DW52" s="39"/>
    </row>
    <row r="53" spans="1:129">
      <c r="A53" s="9" t="s">
        <v>61</v>
      </c>
      <c r="B53" s="9"/>
      <c r="C53" s="60">
        <v>732.31</v>
      </c>
      <c r="D53" s="33"/>
      <c r="E53" s="60">
        <v>119</v>
      </c>
      <c r="F53" s="33"/>
      <c r="G53" s="57">
        <f t="shared" si="171"/>
        <v>-613.30999999999995</v>
      </c>
      <c r="H53" s="39"/>
      <c r="J53" s="60">
        <v>-2385</v>
      </c>
      <c r="K53" s="33"/>
      <c r="L53" s="60">
        <v>119</v>
      </c>
      <c r="M53" s="33"/>
      <c r="N53" s="57">
        <f t="shared" si="174"/>
        <v>2504</v>
      </c>
      <c r="O53" s="39"/>
      <c r="Q53" s="60">
        <f>103+452.38</f>
        <v>555.38</v>
      </c>
      <c r="R53" s="33"/>
      <c r="S53" s="60">
        <v>119</v>
      </c>
      <c r="T53" s="33"/>
      <c r="U53" s="57">
        <f t="shared" si="175"/>
        <v>-436.38</v>
      </c>
      <c r="V53" s="39"/>
      <c r="X53" s="61">
        <f t="shared" si="143"/>
        <v>-1097.31</v>
      </c>
      <c r="Y53" s="33"/>
      <c r="Z53" s="61">
        <f t="shared" si="166"/>
        <v>357</v>
      </c>
      <c r="AA53" s="33"/>
      <c r="AB53" s="57">
        <f t="shared" si="173"/>
        <v>1454.31</v>
      </c>
      <c r="AC53" s="39"/>
      <c r="AE53" s="60">
        <v>277.99</v>
      </c>
      <c r="AF53" s="33"/>
      <c r="AG53" s="60">
        <v>119</v>
      </c>
      <c r="AH53" s="33"/>
      <c r="AI53" s="57">
        <f t="shared" si="176"/>
        <v>-158.99</v>
      </c>
      <c r="AJ53" s="39"/>
      <c r="AL53" s="60">
        <v>0</v>
      </c>
      <c r="AM53" s="33"/>
      <c r="AN53" s="60">
        <v>119</v>
      </c>
      <c r="AO53" s="33"/>
      <c r="AP53" s="57">
        <f t="shared" si="177"/>
        <v>119</v>
      </c>
      <c r="AQ53" s="39"/>
      <c r="AS53" s="60">
        <v>209.2</v>
      </c>
      <c r="AT53" s="33"/>
      <c r="AU53" s="60">
        <v>119</v>
      </c>
      <c r="AV53" s="33"/>
      <c r="AW53" s="57">
        <f t="shared" si="178"/>
        <v>-90.199999999999989</v>
      </c>
      <c r="AX53" s="39"/>
      <c r="AZ53" s="61">
        <f t="shared" si="147"/>
        <v>487.19</v>
      </c>
      <c r="BA53" s="33"/>
      <c r="BB53" s="61">
        <f t="shared" si="148"/>
        <v>357</v>
      </c>
      <c r="BC53" s="33"/>
      <c r="BD53" s="57">
        <f t="shared" si="149"/>
        <v>-130.19</v>
      </c>
      <c r="BE53" s="39"/>
      <c r="BG53" s="60">
        <v>0</v>
      </c>
      <c r="BH53" s="70"/>
      <c r="BI53" s="60">
        <v>119</v>
      </c>
      <c r="BJ53" s="70"/>
      <c r="BK53" s="57">
        <f t="shared" si="150"/>
        <v>-119</v>
      </c>
      <c r="BL53" s="43"/>
      <c r="BN53" s="60">
        <v>0</v>
      </c>
      <c r="BO53" s="70"/>
      <c r="BP53" s="60">
        <v>119</v>
      </c>
      <c r="BQ53" s="70"/>
      <c r="BR53" s="57">
        <f t="shared" si="151"/>
        <v>-119</v>
      </c>
      <c r="BS53" s="43"/>
      <c r="BU53" s="60">
        <v>0</v>
      </c>
      <c r="BV53" s="70"/>
      <c r="BW53" s="60">
        <v>0</v>
      </c>
      <c r="BX53" s="70"/>
      <c r="BY53" s="57">
        <f t="shared" si="152"/>
        <v>0</v>
      </c>
      <c r="BZ53" s="43"/>
      <c r="CB53" s="61">
        <f t="shared" si="153"/>
        <v>0</v>
      </c>
      <c r="CC53" s="70"/>
      <c r="CD53" s="61">
        <f t="shared" si="154"/>
        <v>238</v>
      </c>
      <c r="CE53" s="70"/>
      <c r="CF53" s="57">
        <f t="shared" si="155"/>
        <v>-238</v>
      </c>
      <c r="CG53" s="43"/>
      <c r="CI53" s="60">
        <v>0</v>
      </c>
      <c r="CJ53" s="70"/>
      <c r="CK53" s="60">
        <v>0</v>
      </c>
      <c r="CL53" s="70"/>
      <c r="CM53" s="57">
        <f t="shared" si="156"/>
        <v>0</v>
      </c>
      <c r="CN53" s="43"/>
      <c r="CP53" s="60">
        <v>198.5</v>
      </c>
      <c r="CQ53" s="70"/>
      <c r="CR53" s="60">
        <v>0</v>
      </c>
      <c r="CS53" s="70"/>
      <c r="CT53" s="57">
        <f t="shared" si="157"/>
        <v>198.5</v>
      </c>
      <c r="CU53" s="43"/>
      <c r="CW53" s="60">
        <v>56.45</v>
      </c>
      <c r="CX53" s="70"/>
      <c r="CY53" s="60">
        <v>0</v>
      </c>
      <c r="CZ53" s="70"/>
      <c r="DA53" s="57">
        <f t="shared" si="158"/>
        <v>56.45</v>
      </c>
      <c r="DB53" s="43"/>
      <c r="DD53" s="60">
        <v>70.77</v>
      </c>
      <c r="DE53" s="70"/>
      <c r="DF53" s="60">
        <v>0</v>
      </c>
      <c r="DG53" s="70"/>
      <c r="DH53" s="57">
        <f t="shared" si="159"/>
        <v>70.77</v>
      </c>
      <c r="DI53" s="43"/>
      <c r="DK53" s="61">
        <f t="shared" si="160"/>
        <v>325.71999999999997</v>
      </c>
      <c r="DL53" s="70"/>
      <c r="DM53" s="61">
        <f t="shared" si="161"/>
        <v>0</v>
      </c>
      <c r="DN53" s="70"/>
      <c r="DO53" s="57">
        <f t="shared" si="162"/>
        <v>325.71999999999997</v>
      </c>
      <c r="DP53" s="43"/>
      <c r="DR53" s="61">
        <f t="shared" si="163"/>
        <v>-284.39999999999992</v>
      </c>
      <c r="DS53" s="33"/>
      <c r="DT53" s="61">
        <f t="shared" si="164"/>
        <v>952</v>
      </c>
      <c r="DU53" s="33"/>
      <c r="DV53" s="57">
        <f t="shared" si="165"/>
        <v>1236.3999999999999</v>
      </c>
      <c r="DW53" s="39"/>
    </row>
    <row r="54" spans="1:129">
      <c r="A54" s="9" t="s">
        <v>62</v>
      </c>
      <c r="B54" s="9"/>
      <c r="C54" s="60">
        <v>0</v>
      </c>
      <c r="D54" s="33"/>
      <c r="E54" s="60">
        <v>215</v>
      </c>
      <c r="F54" s="33"/>
      <c r="G54" s="57">
        <f t="shared" si="171"/>
        <v>215</v>
      </c>
      <c r="H54" s="39"/>
      <c r="J54" s="60">
        <v>0</v>
      </c>
      <c r="K54" s="33"/>
      <c r="L54" s="60">
        <v>215</v>
      </c>
      <c r="M54" s="33"/>
      <c r="N54" s="57">
        <f t="shared" si="174"/>
        <v>215</v>
      </c>
      <c r="O54" s="39"/>
      <c r="Q54" s="60">
        <v>0</v>
      </c>
      <c r="R54" s="33"/>
      <c r="S54" s="60">
        <v>215</v>
      </c>
      <c r="T54" s="33"/>
      <c r="U54" s="57">
        <f t="shared" si="175"/>
        <v>215</v>
      </c>
      <c r="V54" s="39"/>
      <c r="X54" s="61">
        <f t="shared" si="143"/>
        <v>0</v>
      </c>
      <c r="Y54" s="33"/>
      <c r="Z54" s="61">
        <f t="shared" si="166"/>
        <v>645</v>
      </c>
      <c r="AA54" s="33"/>
      <c r="AB54" s="57">
        <f t="shared" si="173"/>
        <v>645</v>
      </c>
      <c r="AC54" s="39"/>
      <c r="AE54" s="60">
        <v>0</v>
      </c>
      <c r="AF54" s="33"/>
      <c r="AG54" s="60">
        <v>215</v>
      </c>
      <c r="AH54" s="33"/>
      <c r="AI54" s="57">
        <f t="shared" si="176"/>
        <v>215</v>
      </c>
      <c r="AJ54" s="39"/>
      <c r="AL54" s="60">
        <v>0</v>
      </c>
      <c r="AM54" s="33"/>
      <c r="AN54" s="60">
        <v>215</v>
      </c>
      <c r="AO54" s="33"/>
      <c r="AP54" s="57">
        <f t="shared" si="177"/>
        <v>215</v>
      </c>
      <c r="AQ54" s="39"/>
      <c r="AS54" s="60">
        <v>0</v>
      </c>
      <c r="AT54" s="33"/>
      <c r="AU54" s="60">
        <v>215</v>
      </c>
      <c r="AV54" s="33"/>
      <c r="AW54" s="57">
        <f t="shared" si="178"/>
        <v>215</v>
      </c>
      <c r="AX54" s="39"/>
      <c r="AZ54" s="61">
        <f t="shared" si="147"/>
        <v>0</v>
      </c>
      <c r="BA54" s="33"/>
      <c r="BB54" s="61">
        <f t="shared" si="148"/>
        <v>645</v>
      </c>
      <c r="BC54" s="33"/>
      <c r="BD54" s="57">
        <f t="shared" si="149"/>
        <v>645</v>
      </c>
      <c r="BE54" s="39"/>
      <c r="BG54" s="60">
        <v>0</v>
      </c>
      <c r="BH54" s="70"/>
      <c r="BI54" s="60">
        <v>215</v>
      </c>
      <c r="BJ54" s="70"/>
      <c r="BK54" s="57">
        <f t="shared" si="150"/>
        <v>-215</v>
      </c>
      <c r="BL54" s="43"/>
      <c r="BN54" s="60">
        <v>0</v>
      </c>
      <c r="BO54" s="70"/>
      <c r="BP54" s="60">
        <v>215</v>
      </c>
      <c r="BQ54" s="70"/>
      <c r="BR54" s="57">
        <f t="shared" si="151"/>
        <v>-215</v>
      </c>
      <c r="BS54" s="43"/>
      <c r="BU54" s="60">
        <v>0</v>
      </c>
      <c r="BV54" s="70"/>
      <c r="BW54" s="60">
        <v>103</v>
      </c>
      <c r="BX54" s="70"/>
      <c r="BY54" s="57">
        <f t="shared" si="152"/>
        <v>-103</v>
      </c>
      <c r="BZ54" s="43"/>
      <c r="CB54" s="61">
        <f t="shared" si="153"/>
        <v>0</v>
      </c>
      <c r="CC54" s="70"/>
      <c r="CD54" s="61">
        <f t="shared" si="154"/>
        <v>533</v>
      </c>
      <c r="CE54" s="70"/>
      <c r="CF54" s="57">
        <f t="shared" si="155"/>
        <v>-533</v>
      </c>
      <c r="CG54" s="43"/>
      <c r="CI54" s="60">
        <v>0</v>
      </c>
      <c r="CJ54" s="70"/>
      <c r="CK54" s="60">
        <v>103</v>
      </c>
      <c r="CL54" s="70"/>
      <c r="CM54" s="57">
        <f t="shared" si="156"/>
        <v>-103</v>
      </c>
      <c r="CN54" s="43"/>
      <c r="CP54" s="60">
        <v>0</v>
      </c>
      <c r="CQ54" s="70"/>
      <c r="CR54" s="60">
        <v>103</v>
      </c>
      <c r="CS54" s="70"/>
      <c r="CT54" s="57">
        <f t="shared" si="157"/>
        <v>-103</v>
      </c>
      <c r="CU54" s="43"/>
      <c r="CW54" s="60">
        <v>0</v>
      </c>
      <c r="CX54" s="70"/>
      <c r="CY54" s="60">
        <v>103</v>
      </c>
      <c r="CZ54" s="70"/>
      <c r="DA54" s="57">
        <f t="shared" si="158"/>
        <v>-103</v>
      </c>
      <c r="DB54" s="43"/>
      <c r="DD54" s="60">
        <v>0</v>
      </c>
      <c r="DE54" s="70"/>
      <c r="DF54" s="60">
        <v>103</v>
      </c>
      <c r="DG54" s="70"/>
      <c r="DH54" s="57">
        <f t="shared" si="159"/>
        <v>-103</v>
      </c>
      <c r="DI54" s="43"/>
      <c r="DK54" s="61">
        <f t="shared" si="160"/>
        <v>0</v>
      </c>
      <c r="DL54" s="70"/>
      <c r="DM54" s="61">
        <f t="shared" si="161"/>
        <v>412</v>
      </c>
      <c r="DN54" s="70"/>
      <c r="DO54" s="57">
        <f t="shared" si="162"/>
        <v>-412</v>
      </c>
      <c r="DP54" s="43"/>
      <c r="DR54" s="61">
        <f t="shared" si="163"/>
        <v>0</v>
      </c>
      <c r="DS54" s="33"/>
      <c r="DT54" s="61">
        <f t="shared" si="164"/>
        <v>2235</v>
      </c>
      <c r="DU54" s="33"/>
      <c r="DV54" s="57">
        <f t="shared" si="165"/>
        <v>2235</v>
      </c>
      <c r="DW54" s="39"/>
    </row>
    <row r="55" spans="1:129">
      <c r="A55" s="9" t="s">
        <v>63</v>
      </c>
      <c r="B55" s="9"/>
      <c r="C55" s="60">
        <v>756</v>
      </c>
      <c r="D55" s="33"/>
      <c r="E55" s="60">
        <v>2840</v>
      </c>
      <c r="F55" s="33"/>
      <c r="G55" s="57">
        <f t="shared" si="171"/>
        <v>2084</v>
      </c>
      <c r="H55" s="39"/>
      <c r="J55" s="60">
        <v>1048</v>
      </c>
      <c r="K55" s="33"/>
      <c r="L55" s="60">
        <v>2840</v>
      </c>
      <c r="M55" s="33"/>
      <c r="N55" s="57">
        <f t="shared" si="174"/>
        <v>1792</v>
      </c>
      <c r="O55" s="39"/>
      <c r="Q55" s="60">
        <v>5540</v>
      </c>
      <c r="R55" s="33"/>
      <c r="S55" s="60">
        <v>2840</v>
      </c>
      <c r="T55" s="33"/>
      <c r="U55" s="57">
        <f t="shared" si="175"/>
        <v>-2700</v>
      </c>
      <c r="V55" s="39"/>
      <c r="X55" s="61">
        <f t="shared" si="143"/>
        <v>7344</v>
      </c>
      <c r="Y55" s="33"/>
      <c r="Z55" s="61">
        <f t="shared" si="166"/>
        <v>8520</v>
      </c>
      <c r="AA55" s="33"/>
      <c r="AB55" s="57">
        <f t="shared" si="173"/>
        <v>1176</v>
      </c>
      <c r="AC55" s="39"/>
      <c r="AE55" s="60">
        <v>0</v>
      </c>
      <c r="AF55" s="33"/>
      <c r="AG55" s="60">
        <v>2840</v>
      </c>
      <c r="AH55" s="33"/>
      <c r="AI55" s="57">
        <f t="shared" si="176"/>
        <v>2840</v>
      </c>
      <c r="AJ55" s="39"/>
      <c r="AL55" s="60">
        <v>2932</v>
      </c>
      <c r="AM55" s="33"/>
      <c r="AN55" s="60">
        <v>2840</v>
      </c>
      <c r="AO55" s="33"/>
      <c r="AP55" s="57">
        <f t="shared" si="177"/>
        <v>-92</v>
      </c>
      <c r="AQ55" s="39"/>
      <c r="AS55" s="60">
        <v>720</v>
      </c>
      <c r="AT55" s="33"/>
      <c r="AU55" s="60">
        <v>2840</v>
      </c>
      <c r="AV55" s="33"/>
      <c r="AW55" s="57">
        <f t="shared" si="178"/>
        <v>2120</v>
      </c>
      <c r="AX55" s="39"/>
      <c r="AZ55" s="61">
        <f t="shared" si="147"/>
        <v>3652</v>
      </c>
      <c r="BA55" s="33"/>
      <c r="BB55" s="61">
        <f t="shared" si="148"/>
        <v>8520</v>
      </c>
      <c r="BC55" s="33"/>
      <c r="BD55" s="57">
        <f t="shared" si="149"/>
        <v>4868</v>
      </c>
      <c r="BE55" s="39"/>
      <c r="BG55" s="60">
        <v>272</v>
      </c>
      <c r="BH55" s="70"/>
      <c r="BI55" s="60">
        <v>2840</v>
      </c>
      <c r="BJ55" s="70"/>
      <c r="BK55" s="57">
        <f t="shared" si="150"/>
        <v>-2568</v>
      </c>
      <c r="BL55" s="43"/>
      <c r="BN55" s="60">
        <v>1366.8</v>
      </c>
      <c r="BO55" s="70"/>
      <c r="BP55" s="60">
        <v>2840</v>
      </c>
      <c r="BQ55" s="70"/>
      <c r="BR55" s="57">
        <f t="shared" si="151"/>
        <v>-1473.2</v>
      </c>
      <c r="BS55" s="43"/>
      <c r="BU55" s="60">
        <v>561</v>
      </c>
      <c r="BV55" s="70"/>
      <c r="BW55" s="60">
        <v>969</v>
      </c>
      <c r="BX55" s="70"/>
      <c r="BY55" s="57">
        <f t="shared" si="152"/>
        <v>-408</v>
      </c>
      <c r="BZ55" s="43"/>
      <c r="CB55" s="61">
        <f t="shared" si="153"/>
        <v>2199.8000000000002</v>
      </c>
      <c r="CC55" s="70"/>
      <c r="CD55" s="61">
        <f t="shared" si="154"/>
        <v>6649</v>
      </c>
      <c r="CE55" s="70"/>
      <c r="CF55" s="57">
        <f t="shared" si="155"/>
        <v>-4449.2</v>
      </c>
      <c r="CG55" s="43"/>
      <c r="CI55" s="60">
        <v>0</v>
      </c>
      <c r="CJ55" s="70"/>
      <c r="CK55" s="60">
        <v>969</v>
      </c>
      <c r="CL55" s="70"/>
      <c r="CM55" s="57">
        <f t="shared" si="156"/>
        <v>-969</v>
      </c>
      <c r="CN55" s="43"/>
      <c r="CP55" s="60">
        <v>0</v>
      </c>
      <c r="CQ55" s="70"/>
      <c r="CR55" s="60">
        <v>969</v>
      </c>
      <c r="CS55" s="70"/>
      <c r="CT55" s="57">
        <f t="shared" si="157"/>
        <v>-969</v>
      </c>
      <c r="CU55" s="43"/>
      <c r="CW55" s="60">
        <v>0</v>
      </c>
      <c r="CX55" s="70"/>
      <c r="CY55" s="60">
        <v>969</v>
      </c>
      <c r="CZ55" s="70"/>
      <c r="DA55" s="57">
        <f t="shared" si="158"/>
        <v>-969</v>
      </c>
      <c r="DB55" s="43"/>
      <c r="DD55" s="60">
        <v>4170.93</v>
      </c>
      <c r="DE55" s="70"/>
      <c r="DF55" s="60">
        <v>969</v>
      </c>
      <c r="DG55" s="70"/>
      <c r="DH55" s="57">
        <f t="shared" si="159"/>
        <v>3201.9300000000003</v>
      </c>
      <c r="DI55" s="43"/>
      <c r="DK55" s="61">
        <f t="shared" si="160"/>
        <v>4170.93</v>
      </c>
      <c r="DL55" s="70"/>
      <c r="DM55" s="61">
        <f t="shared" si="161"/>
        <v>3876</v>
      </c>
      <c r="DN55" s="70"/>
      <c r="DO55" s="57">
        <f t="shared" si="162"/>
        <v>294.93000000000029</v>
      </c>
      <c r="DP55" s="43"/>
      <c r="DR55" s="61">
        <f t="shared" si="163"/>
        <v>17366.73</v>
      </c>
      <c r="DS55" s="33"/>
      <c r="DT55" s="61">
        <f t="shared" si="164"/>
        <v>27565</v>
      </c>
      <c r="DU55" s="33"/>
      <c r="DV55" s="57">
        <f t="shared" si="165"/>
        <v>10198.27</v>
      </c>
      <c r="DW55" s="39"/>
    </row>
    <row r="56" spans="1:129">
      <c r="A56" s="9" t="s">
        <v>64</v>
      </c>
      <c r="B56" s="9"/>
      <c r="C56" s="60">
        <v>597</v>
      </c>
      <c r="D56" s="33"/>
      <c r="E56" s="60">
        <v>315</v>
      </c>
      <c r="F56" s="33"/>
      <c r="G56" s="57">
        <f t="shared" si="171"/>
        <v>-282</v>
      </c>
      <c r="H56" s="39"/>
      <c r="J56" s="60">
        <v>823.75</v>
      </c>
      <c r="K56" s="33"/>
      <c r="L56" s="60">
        <v>315</v>
      </c>
      <c r="M56" s="33"/>
      <c r="N56" s="57">
        <f t="shared" si="174"/>
        <v>-508.75</v>
      </c>
      <c r="O56" s="39"/>
      <c r="Q56" s="60">
        <v>280</v>
      </c>
      <c r="R56" s="33"/>
      <c r="S56" s="60">
        <v>315</v>
      </c>
      <c r="T56" s="33"/>
      <c r="U56" s="57">
        <f t="shared" si="175"/>
        <v>35</v>
      </c>
      <c r="V56" s="39"/>
      <c r="X56" s="61">
        <f t="shared" si="143"/>
        <v>1700.75</v>
      </c>
      <c r="Y56" s="33"/>
      <c r="Z56" s="61">
        <f t="shared" si="166"/>
        <v>945</v>
      </c>
      <c r="AA56" s="33"/>
      <c r="AB56" s="57">
        <f t="shared" si="173"/>
        <v>-755.75</v>
      </c>
      <c r="AC56" s="39"/>
      <c r="AE56" s="60">
        <v>0</v>
      </c>
      <c r="AF56" s="33"/>
      <c r="AG56" s="60">
        <v>315</v>
      </c>
      <c r="AH56" s="33"/>
      <c r="AI56" s="57">
        <f t="shared" si="176"/>
        <v>315</v>
      </c>
      <c r="AJ56" s="39"/>
      <c r="AL56" s="60">
        <v>0</v>
      </c>
      <c r="AM56" s="33"/>
      <c r="AN56" s="60">
        <v>315</v>
      </c>
      <c r="AO56" s="33"/>
      <c r="AP56" s="57">
        <f t="shared" si="177"/>
        <v>315</v>
      </c>
      <c r="AQ56" s="39"/>
      <c r="AS56" s="60">
        <v>62.95</v>
      </c>
      <c r="AT56" s="33"/>
      <c r="AU56" s="60">
        <v>315</v>
      </c>
      <c r="AV56" s="33"/>
      <c r="AW56" s="57">
        <f t="shared" si="178"/>
        <v>252.05</v>
      </c>
      <c r="AX56" s="39"/>
      <c r="AZ56" s="61">
        <f t="shared" si="147"/>
        <v>62.95</v>
      </c>
      <c r="BA56" s="33"/>
      <c r="BB56" s="61">
        <f t="shared" si="148"/>
        <v>945</v>
      </c>
      <c r="BC56" s="33"/>
      <c r="BD56" s="57">
        <f t="shared" si="149"/>
        <v>882.05</v>
      </c>
      <c r="BE56" s="39"/>
      <c r="BG56" s="60">
        <v>0</v>
      </c>
      <c r="BH56" s="70"/>
      <c r="BI56" s="60">
        <v>315</v>
      </c>
      <c r="BJ56" s="70"/>
      <c r="BK56" s="57">
        <f t="shared" si="150"/>
        <v>-315</v>
      </c>
      <c r="BL56" s="43"/>
      <c r="BN56" s="60">
        <v>464</v>
      </c>
      <c r="BO56" s="70"/>
      <c r="BP56" s="60">
        <v>315</v>
      </c>
      <c r="BQ56" s="70"/>
      <c r="BR56" s="57">
        <f t="shared" si="151"/>
        <v>149</v>
      </c>
      <c r="BS56" s="43"/>
      <c r="BU56" s="60">
        <v>413</v>
      </c>
      <c r="BV56" s="70"/>
      <c r="BW56" s="60">
        <v>464</v>
      </c>
      <c r="BX56" s="70"/>
      <c r="BY56" s="57">
        <f t="shared" si="152"/>
        <v>-51</v>
      </c>
      <c r="BZ56" s="43"/>
      <c r="CB56" s="61">
        <f t="shared" si="153"/>
        <v>877</v>
      </c>
      <c r="CC56" s="70"/>
      <c r="CD56" s="61">
        <f t="shared" si="154"/>
        <v>1094</v>
      </c>
      <c r="CE56" s="70"/>
      <c r="CF56" s="57">
        <f t="shared" si="155"/>
        <v>-217</v>
      </c>
      <c r="CG56" s="43"/>
      <c r="CI56" s="60">
        <v>515.5</v>
      </c>
      <c r="CJ56" s="70"/>
      <c r="CK56" s="60">
        <v>464</v>
      </c>
      <c r="CL56" s="70"/>
      <c r="CM56" s="57">
        <f t="shared" si="156"/>
        <v>51.5</v>
      </c>
      <c r="CN56" s="43"/>
      <c r="CP56" s="60">
        <v>210</v>
      </c>
      <c r="CQ56" s="70"/>
      <c r="CR56" s="60">
        <v>464</v>
      </c>
      <c r="CS56" s="70"/>
      <c r="CT56" s="57">
        <f t="shared" si="157"/>
        <v>-254</v>
      </c>
      <c r="CU56" s="43"/>
      <c r="CW56" s="60">
        <v>385</v>
      </c>
      <c r="CX56" s="70"/>
      <c r="CY56" s="60">
        <v>464</v>
      </c>
      <c r="CZ56" s="70"/>
      <c r="DA56" s="57">
        <f t="shared" si="158"/>
        <v>-79</v>
      </c>
      <c r="DB56" s="43"/>
      <c r="DD56" s="60">
        <v>493</v>
      </c>
      <c r="DE56" s="70"/>
      <c r="DF56" s="60">
        <v>464</v>
      </c>
      <c r="DG56" s="70"/>
      <c r="DH56" s="57">
        <f t="shared" si="159"/>
        <v>29</v>
      </c>
      <c r="DI56" s="43"/>
      <c r="DK56" s="61">
        <f t="shared" si="160"/>
        <v>1603.5</v>
      </c>
      <c r="DL56" s="70"/>
      <c r="DM56" s="61">
        <f t="shared" si="161"/>
        <v>1856</v>
      </c>
      <c r="DN56" s="70"/>
      <c r="DO56" s="57">
        <f t="shared" si="162"/>
        <v>-252.5</v>
      </c>
      <c r="DP56" s="43"/>
      <c r="DR56" s="61">
        <f t="shared" si="163"/>
        <v>4244.2</v>
      </c>
      <c r="DS56" s="33"/>
      <c r="DT56" s="61">
        <f t="shared" si="164"/>
        <v>4840</v>
      </c>
      <c r="DU56" s="33"/>
      <c r="DV56" s="57">
        <f t="shared" si="165"/>
        <v>595.80000000000018</v>
      </c>
      <c r="DW56" s="39"/>
    </row>
    <row r="57" spans="1:129" hidden="1">
      <c r="A57" s="9" t="s">
        <v>65</v>
      </c>
      <c r="B57" s="9"/>
      <c r="C57" s="60"/>
      <c r="D57" s="33"/>
      <c r="E57" s="60"/>
      <c r="F57" s="33"/>
      <c r="G57" s="57"/>
      <c r="H57" s="39"/>
      <c r="J57" s="60"/>
      <c r="K57" s="33"/>
      <c r="L57" s="60"/>
      <c r="M57" s="33"/>
      <c r="N57" s="57"/>
      <c r="O57" s="39"/>
      <c r="Q57" s="60"/>
      <c r="R57" s="33"/>
      <c r="S57" s="60"/>
      <c r="T57" s="33"/>
      <c r="U57" s="57"/>
      <c r="V57" s="39"/>
      <c r="X57" s="61">
        <v>0</v>
      </c>
      <c r="Y57" s="33"/>
      <c r="Z57" s="61">
        <v>0</v>
      </c>
      <c r="AA57" s="33"/>
      <c r="AB57" s="57"/>
      <c r="AC57" s="39"/>
      <c r="AE57" s="60">
        <v>1968.15</v>
      </c>
      <c r="AF57" s="33"/>
      <c r="AG57" s="60"/>
      <c r="AH57" s="33"/>
      <c r="AI57" s="57"/>
      <c r="AJ57" s="39"/>
      <c r="AL57" s="60">
        <v>1968.15</v>
      </c>
      <c r="AM57" s="33"/>
      <c r="AN57" s="60"/>
      <c r="AO57" s="33"/>
      <c r="AP57" s="57"/>
      <c r="AQ57" s="39"/>
      <c r="AS57" s="60">
        <v>1968.15</v>
      </c>
      <c r="AT57" s="33"/>
      <c r="AU57" s="60"/>
      <c r="AV57" s="33"/>
      <c r="AW57" s="57"/>
      <c r="AX57" s="39"/>
      <c r="AZ57" s="61">
        <f t="shared" si="147"/>
        <v>5904.4500000000007</v>
      </c>
      <c r="BA57" s="33"/>
      <c r="BB57" s="61">
        <f t="shared" si="148"/>
        <v>0</v>
      </c>
      <c r="BC57" s="33"/>
      <c r="BD57" s="57"/>
      <c r="BE57" s="39"/>
      <c r="BG57" s="60">
        <v>2033.8</v>
      </c>
      <c r="BH57" s="70"/>
      <c r="BI57" s="60">
        <v>0</v>
      </c>
      <c r="BJ57" s="70"/>
      <c r="BK57" s="57">
        <f t="shared" si="150"/>
        <v>2033.8</v>
      </c>
      <c r="BL57" s="43"/>
      <c r="BN57" s="60">
        <v>186.83</v>
      </c>
      <c r="BO57" s="70"/>
      <c r="BP57" s="60">
        <v>0</v>
      </c>
      <c r="BQ57" s="70"/>
      <c r="BR57" s="57">
        <f t="shared" si="151"/>
        <v>186.83</v>
      </c>
      <c r="BS57" s="43"/>
      <c r="BU57" s="60">
        <v>186.83</v>
      </c>
      <c r="BV57" s="70"/>
      <c r="BW57" s="60">
        <v>0</v>
      </c>
      <c r="BX57" s="70"/>
      <c r="BY57" s="57">
        <f t="shared" si="152"/>
        <v>186.83</v>
      </c>
      <c r="BZ57" s="43"/>
      <c r="CB57" s="61">
        <f t="shared" si="153"/>
        <v>2407.46</v>
      </c>
      <c r="CC57" s="70"/>
      <c r="CD57" s="61">
        <f t="shared" si="154"/>
        <v>0</v>
      </c>
      <c r="CE57" s="70"/>
      <c r="CF57" s="57">
        <f t="shared" si="155"/>
        <v>2407.46</v>
      </c>
      <c r="CG57" s="43"/>
      <c r="CI57" s="60">
        <v>276.93</v>
      </c>
      <c r="CJ57" s="70"/>
      <c r="CK57" s="60">
        <v>0</v>
      </c>
      <c r="CL57" s="70"/>
      <c r="CM57" s="57">
        <f t="shared" si="156"/>
        <v>276.93</v>
      </c>
      <c r="CN57" s="43"/>
      <c r="CP57" s="60">
        <v>0</v>
      </c>
      <c r="CQ57" s="70"/>
      <c r="CR57" s="60">
        <v>0</v>
      </c>
      <c r="CS57" s="70"/>
      <c r="CT57" s="57">
        <f t="shared" si="157"/>
        <v>0</v>
      </c>
      <c r="CU57" s="43"/>
      <c r="CW57" s="60"/>
      <c r="CX57" s="70"/>
      <c r="CY57" s="60">
        <v>0</v>
      </c>
      <c r="CZ57" s="70"/>
      <c r="DA57" s="57">
        <f t="shared" si="158"/>
        <v>0</v>
      </c>
      <c r="DB57" s="43"/>
      <c r="DD57" s="60"/>
      <c r="DE57" s="70"/>
      <c r="DF57" s="60">
        <v>0</v>
      </c>
      <c r="DG57" s="70"/>
      <c r="DH57" s="57">
        <f t="shared" si="159"/>
        <v>0</v>
      </c>
      <c r="DI57" s="43"/>
      <c r="DK57" s="61">
        <f t="shared" si="160"/>
        <v>276.93</v>
      </c>
      <c r="DL57" s="70"/>
      <c r="DM57" s="61">
        <f t="shared" si="161"/>
        <v>0</v>
      </c>
      <c r="DN57" s="70"/>
      <c r="DO57" s="57">
        <f t="shared" si="162"/>
        <v>276.93</v>
      </c>
      <c r="DP57" s="43"/>
      <c r="DR57" s="61">
        <f>X57+AZ57+CB57+DK57</f>
        <v>8588.84</v>
      </c>
      <c r="DS57" s="33"/>
      <c r="DT57" s="61">
        <f t="shared" si="164"/>
        <v>0</v>
      </c>
      <c r="DU57" s="33"/>
      <c r="DV57" s="57"/>
      <c r="DW57" s="39"/>
    </row>
    <row r="58" spans="1:129" ht="16.7" thickBot="1">
      <c r="A58" s="10" t="s">
        <v>66</v>
      </c>
      <c r="B58" s="8"/>
      <c r="C58" s="59">
        <f>SUM(C40:C56)</f>
        <v>38165.75</v>
      </c>
      <c r="D58" s="36">
        <f>C58/C13</f>
        <v>0.10024490111106413</v>
      </c>
      <c r="E58" s="59">
        <f>SUM(E40:E56)</f>
        <v>38633</v>
      </c>
      <c r="F58" s="36">
        <f>E58/E13</f>
        <v>0.14001268460632418</v>
      </c>
      <c r="G58" s="58">
        <f t="shared" si="171"/>
        <v>467.25</v>
      </c>
      <c r="H58" s="38">
        <f>G58/E58</f>
        <v>1.2094582351875339E-2</v>
      </c>
      <c r="J58" s="59">
        <f>SUM(J40:J56)</f>
        <v>45283.053999999996</v>
      </c>
      <c r="K58" s="36">
        <f>J58/J13</f>
        <v>0.11094052379358171</v>
      </c>
      <c r="L58" s="59">
        <f>SUM(L40:L56)</f>
        <v>41102</v>
      </c>
      <c r="M58" s="36">
        <f>L58/L13</f>
        <v>0.10756278770337145</v>
      </c>
      <c r="N58" s="58">
        <f t="shared" si="174"/>
        <v>-4181.0539999999964</v>
      </c>
      <c r="O58" s="38">
        <f>N58/L58</f>
        <v>-0.1017238577198189</v>
      </c>
      <c r="Q58" s="59">
        <f>SUM(Q40:Q56)</f>
        <v>33369.14</v>
      </c>
      <c r="R58" s="36">
        <f>Q58/Q13</f>
        <v>0.10904781646135714</v>
      </c>
      <c r="S58" s="59">
        <f>SUM(S40:S56)</f>
        <v>43681</v>
      </c>
      <c r="T58" s="36">
        <f>S58/S13</f>
        <v>8.8593987997087495E-2</v>
      </c>
      <c r="U58" s="58">
        <f t="shared" si="175"/>
        <v>10311.86</v>
      </c>
      <c r="V58" s="38">
        <f>U58/S58</f>
        <v>0.23607197637416727</v>
      </c>
      <c r="X58" s="59">
        <f>SUM(X40:X57)</f>
        <v>116817.94399999999</v>
      </c>
      <c r="Y58" s="36">
        <f>X58/X13</f>
        <v>0.10669241650621192</v>
      </c>
      <c r="Z58" s="59">
        <f>SUM(Z40:Z57)</f>
        <v>123416</v>
      </c>
      <c r="AA58" s="36">
        <f>Z58/Z13</f>
        <v>0.10721635871297976</v>
      </c>
      <c r="AB58" s="58">
        <f t="shared" si="173"/>
        <v>6598.0560000000114</v>
      </c>
      <c r="AC58" s="38">
        <f>AB58/Z58</f>
        <v>5.346191741751484E-2</v>
      </c>
      <c r="AE58" s="59">
        <f>SUM(AE40:AE57)</f>
        <v>6840.8700000000008</v>
      </c>
      <c r="AF58" s="36" t="e">
        <f>AE58/AE13</f>
        <v>#DIV/0!</v>
      </c>
      <c r="AG58" s="59">
        <f>SUM(AG40:AG57)</f>
        <v>45836</v>
      </c>
      <c r="AH58" s="36">
        <f>AG58/AG13</f>
        <v>7.8965094864581309E-2</v>
      </c>
      <c r="AI58" s="58">
        <f t="shared" ref="AI58" si="179">AG58-AE58</f>
        <v>38995.129999999997</v>
      </c>
      <c r="AJ58" s="38">
        <f>AI58/AG58</f>
        <v>0.85075333798760788</v>
      </c>
      <c r="AL58" s="59">
        <f>SUM(AL40:AL57)</f>
        <v>8631.34</v>
      </c>
      <c r="AM58" s="36" t="e">
        <f>AL58/AL13</f>
        <v>#DIV/0!</v>
      </c>
      <c r="AN58" s="59">
        <f>SUM(AN40:AN57)</f>
        <v>45348</v>
      </c>
      <c r="AO58" s="36">
        <f>AN58/AN13</f>
        <v>8.1059775954125474E-2</v>
      </c>
      <c r="AP58" s="58">
        <f t="shared" ref="AP58" si="180">AN58-AL58</f>
        <v>36716.660000000003</v>
      </c>
      <c r="AQ58" s="38">
        <f>AP58/AN58</f>
        <v>0.80966437329099417</v>
      </c>
      <c r="AS58" s="59">
        <f>SUM(AS40:AS57)</f>
        <v>10575.340000000002</v>
      </c>
      <c r="AT58" s="36" t="e">
        <f>AS58/AS13</f>
        <v>#DIV/0!</v>
      </c>
      <c r="AU58" s="59">
        <f>SUM(AU40:AU57)</f>
        <v>46456</v>
      </c>
      <c r="AV58" s="36">
        <f>AU58/AU13</f>
        <v>7.6520157863180852E-2</v>
      </c>
      <c r="AW58" s="58">
        <f t="shared" ref="AW58" si="181">AU58-AS58</f>
        <v>35880.659999999996</v>
      </c>
      <c r="AX58" s="38">
        <f>AW58/AU58</f>
        <v>0.77235793008438081</v>
      </c>
      <c r="AZ58" s="59">
        <f>SUM(AZ40:AZ57)</f>
        <v>26047.55</v>
      </c>
      <c r="BA58" s="36" t="e">
        <f>AZ58/AZ13</f>
        <v>#DIV/0!</v>
      </c>
      <c r="BB58" s="59">
        <f>SUM(BB40:BB57)</f>
        <v>137640</v>
      </c>
      <c r="BC58" s="36">
        <f>BB58/BB13</f>
        <v>7.8786220539597454E-2</v>
      </c>
      <c r="BD58" s="58">
        <f t="shared" ref="BD58" si="182">BB58-AZ58</f>
        <v>111592.45</v>
      </c>
      <c r="BE58" s="38">
        <f>BD58/BB58</f>
        <v>0.8107559575704737</v>
      </c>
      <c r="BG58" s="59">
        <f>SUM(BG40:BG57)</f>
        <v>7816.1</v>
      </c>
      <c r="BH58" s="69" t="e">
        <f>BG58/BG13</f>
        <v>#DIV/0!</v>
      </c>
      <c r="BI58" s="59">
        <f>SUM(BI40:BI57)</f>
        <v>46775</v>
      </c>
      <c r="BJ58" s="69">
        <f>BI58/BI13</f>
        <v>7.5342079618578209E-2</v>
      </c>
      <c r="BK58" s="59">
        <f>SUM(BK40:BK57)</f>
        <v>-38958.899999999994</v>
      </c>
      <c r="BL58" s="68">
        <f>BK58/BI58</f>
        <v>-0.83290005344735418</v>
      </c>
      <c r="BN58" s="59">
        <f>SUM(BN40:BN57)</f>
        <v>23856.600000000002</v>
      </c>
      <c r="BO58" s="69">
        <f>BN58/BN13</f>
        <v>0.10796104431219669</v>
      </c>
      <c r="BP58" s="59">
        <f>SUM(BP40:BP57)</f>
        <v>46527</v>
      </c>
      <c r="BQ58" s="69">
        <f>BP58/BP13</f>
        <v>7.6254394375199749E-2</v>
      </c>
      <c r="BR58" s="59">
        <f>SUM(BR40:BR57)</f>
        <v>-22670.399999999998</v>
      </c>
      <c r="BS58" s="68">
        <f>BR58/BP58</f>
        <v>-0.48725256302791925</v>
      </c>
      <c r="BU58" s="59">
        <f>SUM(BU40:BU57)</f>
        <v>20155.010000000002</v>
      </c>
      <c r="BV58" s="69">
        <f>BU58/BU13</f>
        <v>6.1349256838817888E-2</v>
      </c>
      <c r="BW58" s="59">
        <f>SUM(BW40:BW57)</f>
        <v>29563</v>
      </c>
      <c r="BX58" s="69">
        <f>BW58/BW13</f>
        <v>0.10052535831477294</v>
      </c>
      <c r="BY58" s="59">
        <f>SUM(BY40:BY57)</f>
        <v>-9407.99</v>
      </c>
      <c r="BZ58" s="68">
        <f>BY58/BW58</f>
        <v>-0.31823529411764706</v>
      </c>
      <c r="CB58" s="59">
        <f>SUM(CB40:CB57)</f>
        <v>51827.710000000006</v>
      </c>
      <c r="CC58" s="69">
        <f>CB58/CB13</f>
        <v>9.4317402912067028E-2</v>
      </c>
      <c r="CD58" s="59">
        <f>SUM(CD40:CD57)</f>
        <v>122865</v>
      </c>
      <c r="CE58" s="69">
        <f>CD58/CD13</f>
        <v>8.0563250987656349E-2</v>
      </c>
      <c r="CF58" s="59">
        <f>SUM(CF40:CF57)</f>
        <v>-71037.289999999979</v>
      </c>
      <c r="CG58" s="68">
        <f>CF58/CD58</f>
        <v>-0.57817352378626929</v>
      </c>
      <c r="CI58" s="59">
        <f>SUM(CI40:CI57)</f>
        <v>37454.36</v>
      </c>
      <c r="CJ58" s="69">
        <f>CI58/CI13</f>
        <v>0.10315545692465182</v>
      </c>
      <c r="CK58" s="59">
        <f>SUM(CK40:CK57)</f>
        <v>29524</v>
      </c>
      <c r="CL58" s="69">
        <f>CK58/CK13</f>
        <v>9.3867636585614006E-2</v>
      </c>
      <c r="CM58" s="59">
        <f>SUM(CM40:CM57)</f>
        <v>7930.3600000000006</v>
      </c>
      <c r="CN58" s="68">
        <f>CM58/CK58</f>
        <v>0.26860723479203363</v>
      </c>
      <c r="CP58" s="59">
        <f>SUM(CP40:CP57)</f>
        <v>29309.37</v>
      </c>
      <c r="CQ58" s="69">
        <f>CP58/CP13</f>
        <v>8.7581906605559826E-2</v>
      </c>
      <c r="CR58" s="59">
        <f>SUM(CR40:CR57)</f>
        <v>29135</v>
      </c>
      <c r="CS58" s="69">
        <f>CR58/CR13</f>
        <v>9.8064624705486367E-2</v>
      </c>
      <c r="CT58" s="59">
        <f>SUM(CT40:CT57)</f>
        <v>174.36999999999944</v>
      </c>
      <c r="CU58" s="68">
        <f>CT58/CR58</f>
        <v>5.9848978891367576E-3</v>
      </c>
      <c r="CW58" s="59">
        <f>SUM(CW40:CW57)</f>
        <v>25638.670000000002</v>
      </c>
      <c r="CX58" s="69">
        <f>CW58/CW13</f>
        <v>9.6305960224551776E-2</v>
      </c>
      <c r="CY58" s="59">
        <f>SUM(CY40:CY57)</f>
        <v>28580</v>
      </c>
      <c r="CZ58" s="69">
        <f>CY58/CY13</f>
        <v>0.10497665756966916</v>
      </c>
      <c r="DA58" s="59">
        <f>SUM(DA40:DA57)</f>
        <v>-2941.3300000000008</v>
      </c>
      <c r="DB58" s="68">
        <f>DA58/CY58</f>
        <v>-0.1029156752974108</v>
      </c>
      <c r="DD58" s="59">
        <f>SUM(DD40:DD57)</f>
        <v>19837.260000000002</v>
      </c>
      <c r="DE58" s="69">
        <f>DD58/DD13</f>
        <v>0.12777745821843958</v>
      </c>
      <c r="DF58" s="59">
        <f>SUM(DF40:DF57)</f>
        <v>28857</v>
      </c>
      <c r="DG58" s="69">
        <f>DF58/DF13</f>
        <v>0.10138567804768363</v>
      </c>
      <c r="DH58" s="59">
        <f>SUM(DH40:DH57)</f>
        <v>-9019.74</v>
      </c>
      <c r="DI58" s="68">
        <f>DH58/DF58</f>
        <v>-0.31256679488512318</v>
      </c>
      <c r="DK58" s="59">
        <f>SUM(DK40:DK57)</f>
        <v>112239.66</v>
      </c>
      <c r="DL58" s="69">
        <f>DK58/DK13</f>
        <v>0.10028498301543043</v>
      </c>
      <c r="DM58" s="59">
        <f>SUM(DM40:DM57)</f>
        <v>116096</v>
      </c>
      <c r="DN58" s="69">
        <f>DM58/DM13</f>
        <v>9.9354303148039586E-2</v>
      </c>
      <c r="DO58" s="59">
        <f>SUM(DO40:DO57)</f>
        <v>-3856.3400000000006</v>
      </c>
      <c r="DP58" s="68">
        <f>DO58/DM58</f>
        <v>-3.3216820562293282E-2</v>
      </c>
      <c r="DR58" s="59">
        <f>SUM(DR40:DR57)</f>
        <v>306932.864</v>
      </c>
      <c r="DS58" s="36">
        <f>DR58/DR13</f>
        <v>0.11106212799007602</v>
      </c>
      <c r="DT58" s="59">
        <f>SUM(DT40:DT57)</f>
        <v>500017</v>
      </c>
      <c r="DU58" s="36">
        <f>DT58/DT13</f>
        <v>8.9421620947840535E-2</v>
      </c>
      <c r="DV58" s="58">
        <f t="shared" ref="DV58" si="183">DT58-DR58</f>
        <v>193084.136</v>
      </c>
      <c r="DW58" s="38">
        <f>DV58/DT58</f>
        <v>0.38615514272514734</v>
      </c>
      <c r="DX58" s="64"/>
      <c r="DY58" s="64"/>
    </row>
    <row r="59" spans="1:129" ht="16.7" thickTop="1">
      <c r="A59" s="8"/>
      <c r="B59" s="8"/>
      <c r="C59" s="32"/>
      <c r="D59" s="33"/>
      <c r="E59" s="32"/>
      <c r="F59" s="33"/>
      <c r="G59" s="31"/>
      <c r="H59" s="55"/>
      <c r="J59" s="32"/>
      <c r="K59" s="33"/>
      <c r="L59" s="32"/>
      <c r="M59" s="33"/>
      <c r="N59" s="31"/>
      <c r="O59" s="55"/>
      <c r="Q59" s="32"/>
      <c r="R59" s="33"/>
      <c r="S59" s="32"/>
      <c r="T59" s="33"/>
      <c r="U59" s="31"/>
      <c r="V59" s="55"/>
      <c r="X59" s="32"/>
      <c r="Y59" s="33"/>
      <c r="Z59" s="32"/>
      <c r="AA59" s="33"/>
      <c r="AB59" s="31"/>
      <c r="AC59" s="55"/>
      <c r="AE59" s="32"/>
      <c r="AF59" s="33"/>
      <c r="AG59" s="32"/>
      <c r="AH59" s="33"/>
      <c r="AI59" s="31"/>
      <c r="AJ59" s="55"/>
      <c r="AL59" s="32"/>
      <c r="AM59" s="33"/>
      <c r="AN59" s="32"/>
      <c r="AO59" s="33"/>
      <c r="AP59" s="31"/>
      <c r="AQ59" s="55"/>
      <c r="AS59" s="32"/>
      <c r="AT59" s="33"/>
      <c r="AU59" s="32"/>
      <c r="AV59" s="33"/>
      <c r="AW59" s="31"/>
      <c r="AX59" s="55"/>
      <c r="AZ59" s="32"/>
      <c r="BA59" s="33"/>
      <c r="BB59" s="32"/>
      <c r="BC59" s="33"/>
      <c r="BD59" s="31"/>
      <c r="BE59" s="55"/>
      <c r="BG59" s="32"/>
      <c r="BH59" s="70"/>
      <c r="BI59" s="32"/>
      <c r="BJ59" s="70"/>
      <c r="BK59" s="31"/>
      <c r="BL59" s="71"/>
      <c r="BN59" s="32"/>
      <c r="BO59" s="70"/>
      <c r="BP59" s="32"/>
      <c r="BQ59" s="70"/>
      <c r="BR59" s="31"/>
      <c r="BS59" s="71"/>
      <c r="BU59" s="32"/>
      <c r="BV59" s="70"/>
      <c r="BW59" s="32"/>
      <c r="BX59" s="70"/>
      <c r="BY59" s="31"/>
      <c r="BZ59" s="71"/>
      <c r="CB59" s="32"/>
      <c r="CC59" s="70"/>
      <c r="CD59" s="32"/>
      <c r="CE59" s="70"/>
      <c r="CF59" s="31"/>
      <c r="CG59" s="71"/>
      <c r="CI59" s="32"/>
      <c r="CJ59" s="70"/>
      <c r="CK59" s="32"/>
      <c r="CL59" s="70"/>
      <c r="CM59" s="31"/>
      <c r="CN59" s="71"/>
      <c r="CP59" s="32"/>
      <c r="CQ59" s="70"/>
      <c r="CR59" s="32"/>
      <c r="CS59" s="70"/>
      <c r="CT59" s="31"/>
      <c r="CU59" s="71"/>
      <c r="CW59" s="32"/>
      <c r="CX59" s="70"/>
      <c r="CY59" s="32"/>
      <c r="CZ59" s="70"/>
      <c r="DA59" s="31"/>
      <c r="DB59" s="71"/>
      <c r="DD59" s="32"/>
      <c r="DE59" s="70"/>
      <c r="DF59" s="32"/>
      <c r="DG59" s="70"/>
      <c r="DH59" s="31"/>
      <c r="DI59" s="71"/>
      <c r="DK59" s="32"/>
      <c r="DL59" s="70"/>
      <c r="DM59" s="32"/>
      <c r="DN59" s="70"/>
      <c r="DO59" s="31"/>
      <c r="DP59" s="71"/>
      <c r="DR59" s="32"/>
      <c r="DS59" s="33"/>
      <c r="DT59" s="32"/>
      <c r="DU59" s="33"/>
      <c r="DV59" s="31"/>
      <c r="DW59" s="55"/>
    </row>
    <row r="60" spans="1:129">
      <c r="A60" s="8" t="s">
        <v>67</v>
      </c>
      <c r="B60" s="8"/>
      <c r="C60" s="60"/>
      <c r="D60" s="33"/>
      <c r="E60" s="60"/>
      <c r="F60" s="33"/>
      <c r="G60" s="34"/>
      <c r="H60" s="34"/>
      <c r="J60" s="60"/>
      <c r="K60" s="33"/>
      <c r="L60" s="60"/>
      <c r="M60" s="33"/>
      <c r="N60" s="34"/>
      <c r="O60" s="34"/>
      <c r="Q60" s="60"/>
      <c r="R60" s="33"/>
      <c r="S60" s="60"/>
      <c r="T60" s="33"/>
      <c r="U60" s="34"/>
      <c r="V60" s="34"/>
      <c r="X60" s="60"/>
      <c r="Y60" s="33"/>
      <c r="Z60" s="60"/>
      <c r="AA60" s="33"/>
      <c r="AB60" s="34"/>
      <c r="AC60" s="34"/>
      <c r="AE60" s="60"/>
      <c r="AF60" s="33"/>
      <c r="AG60" s="60"/>
      <c r="AH60" s="33"/>
      <c r="AI60" s="34"/>
      <c r="AJ60" s="34"/>
      <c r="AL60" s="60"/>
      <c r="AM60" s="33"/>
      <c r="AN60" s="60"/>
      <c r="AO60" s="33"/>
      <c r="AP60" s="34"/>
      <c r="AQ60" s="34"/>
      <c r="AS60" s="60"/>
      <c r="AT60" s="33"/>
      <c r="AU60" s="60"/>
      <c r="AV60" s="33"/>
      <c r="AW60" s="34"/>
      <c r="AX60" s="34"/>
      <c r="AZ60" s="60"/>
      <c r="BA60" s="33"/>
      <c r="BB60" s="60"/>
      <c r="BC60" s="33"/>
      <c r="BD60" s="34"/>
      <c r="BE60" s="34"/>
      <c r="BG60" s="60"/>
      <c r="BH60" s="70"/>
      <c r="BI60" s="60"/>
      <c r="BJ60" s="70"/>
      <c r="BK60" s="34"/>
      <c r="BL60" s="67"/>
      <c r="BN60" s="60"/>
      <c r="BO60" s="70"/>
      <c r="BP60" s="60"/>
      <c r="BQ60" s="70"/>
      <c r="BR60" s="34"/>
      <c r="BS60" s="67"/>
      <c r="BU60" s="60"/>
      <c r="BV60" s="70"/>
      <c r="BW60" s="60"/>
      <c r="BX60" s="70"/>
      <c r="BY60" s="34"/>
      <c r="BZ60" s="67"/>
      <c r="CB60" s="60"/>
      <c r="CC60" s="70"/>
      <c r="CD60" s="60"/>
      <c r="CE60" s="70"/>
      <c r="CF60" s="34"/>
      <c r="CG60" s="67"/>
      <c r="CI60" s="60"/>
      <c r="CJ60" s="70"/>
      <c r="CK60" s="60"/>
      <c r="CL60" s="70"/>
      <c r="CM60" s="34"/>
      <c r="CN60" s="67"/>
      <c r="CP60" s="60"/>
      <c r="CQ60" s="70"/>
      <c r="CR60" s="60"/>
      <c r="CS60" s="70"/>
      <c r="CT60" s="34"/>
      <c r="CU60" s="67"/>
      <c r="CW60" s="60"/>
      <c r="CX60" s="70"/>
      <c r="CY60" s="60"/>
      <c r="CZ60" s="70"/>
      <c r="DA60" s="34"/>
      <c r="DB60" s="67"/>
      <c r="DD60" s="60"/>
      <c r="DE60" s="70"/>
      <c r="DF60" s="60"/>
      <c r="DG60" s="70"/>
      <c r="DH60" s="34"/>
      <c r="DI60" s="67"/>
      <c r="DK60" s="60"/>
      <c r="DL60" s="70"/>
      <c r="DM60" s="60"/>
      <c r="DN60" s="70"/>
      <c r="DO60" s="34"/>
      <c r="DP60" s="67"/>
      <c r="DR60" s="60"/>
      <c r="DS60" s="33"/>
      <c r="DT60" s="60"/>
      <c r="DU60" s="33"/>
      <c r="DV60" s="34"/>
      <c r="DW60" s="34"/>
    </row>
    <row r="61" spans="1:129">
      <c r="A61" s="9" t="s">
        <v>68</v>
      </c>
      <c r="B61" s="9"/>
      <c r="C61" s="60">
        <v>456.99</v>
      </c>
      <c r="D61" s="33"/>
      <c r="E61" s="60"/>
      <c r="F61" s="33"/>
      <c r="G61" s="57">
        <f t="shared" ref="G61:G82" si="184">E61-C61</f>
        <v>-456.99</v>
      </c>
      <c r="H61" s="39"/>
      <c r="J61" s="60">
        <v>757.97</v>
      </c>
      <c r="K61" s="33"/>
      <c r="L61" s="60"/>
      <c r="M61" s="33"/>
      <c r="N61" s="57">
        <f t="shared" ref="N61" si="185">L61-J61</f>
        <v>-757.97</v>
      </c>
      <c r="O61" s="39"/>
      <c r="Q61" s="60">
        <v>-4307.93</v>
      </c>
      <c r="R61" s="33"/>
      <c r="S61" s="60"/>
      <c r="T61" s="33"/>
      <c r="U61" s="57">
        <f t="shared" ref="U61" si="186">S61-Q61</f>
        <v>4307.93</v>
      </c>
      <c r="V61" s="39"/>
      <c r="X61" s="61">
        <f t="shared" ref="X61:X81" si="187">C61+J61+Q61</f>
        <v>-3092.9700000000003</v>
      </c>
      <c r="Y61" s="33"/>
      <c r="Z61" s="61">
        <f t="shared" ref="Z61:Z81" si="188">E61+L61+S61</f>
        <v>0</v>
      </c>
      <c r="AA61" s="33"/>
      <c r="AB61" s="57">
        <f t="shared" ref="AB61" si="189">Z61-X61</f>
        <v>3092.9700000000003</v>
      </c>
      <c r="AC61" s="39"/>
      <c r="AE61" s="60">
        <v>-58.74</v>
      </c>
      <c r="AF61" s="33"/>
      <c r="AG61" s="60"/>
      <c r="AH61" s="33"/>
      <c r="AI61" s="57">
        <f t="shared" ref="AI61" si="190">AG61-AE61</f>
        <v>58.74</v>
      </c>
      <c r="AJ61" s="39"/>
      <c r="AL61" s="60">
        <v>-465.7</v>
      </c>
      <c r="AM61" s="33"/>
      <c r="AN61" s="60"/>
      <c r="AO61" s="33"/>
      <c r="AP61" s="57">
        <f t="shared" ref="AP61" si="191">AN61-AL61</f>
        <v>465.7</v>
      </c>
      <c r="AQ61" s="39"/>
      <c r="AS61" s="60">
        <v>-144.49</v>
      </c>
      <c r="AT61" s="33"/>
      <c r="AU61" s="60"/>
      <c r="AV61" s="33"/>
      <c r="AW61" s="57">
        <f t="shared" ref="AW61" si="192">AU61-AS61</f>
        <v>144.49</v>
      </c>
      <c r="AX61" s="39"/>
      <c r="AZ61" s="61">
        <f t="shared" ref="AZ61:AZ81" si="193">AE61+AL61+AS61</f>
        <v>-668.93</v>
      </c>
      <c r="BA61" s="33"/>
      <c r="BB61" s="61">
        <f t="shared" ref="BB61:BB81" si="194">AG61+AN61+AU61</f>
        <v>0</v>
      </c>
      <c r="BC61" s="33"/>
      <c r="BD61" s="57">
        <f t="shared" ref="BD61" si="195">BB61-AZ61</f>
        <v>668.93</v>
      </c>
      <c r="BE61" s="39"/>
      <c r="BG61" s="60">
        <v>-589.09</v>
      </c>
      <c r="BH61" s="70"/>
      <c r="BI61" s="60">
        <v>0</v>
      </c>
      <c r="BJ61" s="70"/>
      <c r="BK61" s="57">
        <f t="shared" ref="BK61:BK81" si="196">BG61-BI61</f>
        <v>-589.09</v>
      </c>
      <c r="BL61" s="43"/>
      <c r="BN61" s="60">
        <f>2893.72</f>
        <v>2893.72</v>
      </c>
      <c r="BO61" s="70"/>
      <c r="BP61" s="60"/>
      <c r="BQ61" s="70"/>
      <c r="BR61" s="57">
        <f t="shared" ref="BR61:BR81" si="197">BN61-BP61</f>
        <v>2893.72</v>
      </c>
      <c r="BS61" s="43"/>
      <c r="BU61" s="60">
        <f>22-776.34</f>
        <v>-754.34</v>
      </c>
      <c r="BV61" s="70"/>
      <c r="BW61" s="60">
        <v>0</v>
      </c>
      <c r="BX61" s="70"/>
      <c r="BY61" s="57">
        <f t="shared" ref="BY61:BY81" si="198">BU61-BW61</f>
        <v>-754.34</v>
      </c>
      <c r="BZ61" s="43"/>
      <c r="CB61" s="61">
        <f t="shared" ref="CB61:CB81" si="199">BG61+BN61+BU61</f>
        <v>1550.2899999999995</v>
      </c>
      <c r="CC61" s="70"/>
      <c r="CD61" s="61">
        <f t="shared" ref="CD61:CD81" si="200">BI61+BP61+BW61</f>
        <v>0</v>
      </c>
      <c r="CE61" s="70"/>
      <c r="CF61" s="57">
        <f t="shared" ref="CF61:CF81" si="201">CB61-CD61</f>
        <v>1550.2899999999995</v>
      </c>
      <c r="CG61" s="43"/>
      <c r="CI61" s="83">
        <f>273.83+32.56</f>
        <v>306.39</v>
      </c>
      <c r="CJ61" s="70"/>
      <c r="CK61" s="60"/>
      <c r="CL61" s="70"/>
      <c r="CM61" s="57">
        <f t="shared" ref="CM61:CM81" si="202">CI61-CK61</f>
        <v>306.39</v>
      </c>
      <c r="CN61" s="43"/>
      <c r="CP61" s="83">
        <f>384.39+178.78</f>
        <v>563.16999999999996</v>
      </c>
      <c r="CQ61" s="70"/>
      <c r="CR61" s="60"/>
      <c r="CS61" s="70"/>
      <c r="CT61" s="57">
        <f t="shared" ref="CT61:CT81" si="203">CP61-CR61</f>
        <v>563.16999999999996</v>
      </c>
      <c r="CU61" s="43"/>
      <c r="CW61" s="60">
        <v>396.45</v>
      </c>
      <c r="CX61" s="70"/>
      <c r="CY61" s="60"/>
      <c r="CZ61" s="70"/>
      <c r="DA61" s="57">
        <f t="shared" ref="DA61:DA81" si="204">CW61-CY61</f>
        <v>396.45</v>
      </c>
      <c r="DB61" s="43"/>
      <c r="DD61" s="60">
        <v>63.39</v>
      </c>
      <c r="DE61" s="70"/>
      <c r="DF61" s="60"/>
      <c r="DG61" s="70"/>
      <c r="DH61" s="57">
        <f t="shared" ref="DH61:DH81" si="205">DD61-DF61</f>
        <v>63.39</v>
      </c>
      <c r="DI61" s="43"/>
      <c r="DK61" s="61">
        <f t="shared" ref="DK61:DK81" si="206">CI61+CP61+CW61+DD61</f>
        <v>1329.4</v>
      </c>
      <c r="DL61" s="70"/>
      <c r="DM61" s="61">
        <f t="shared" ref="DM61:DM81" si="207">CK61+CR61+CY61+DF61</f>
        <v>0</v>
      </c>
      <c r="DN61" s="70"/>
      <c r="DO61" s="57">
        <f t="shared" ref="DO61:DO81" si="208">DK61-DM61</f>
        <v>1329.4</v>
      </c>
      <c r="DP61" s="43"/>
      <c r="DR61" s="61">
        <f t="shared" ref="DR61:DR81" si="209">X61+AZ61+CB61+DK61</f>
        <v>-882.21000000000049</v>
      </c>
      <c r="DS61" s="33"/>
      <c r="DT61" s="61">
        <f t="shared" ref="DT61:DT81" si="210">Z61+BB61+CD61+DM61</f>
        <v>0</v>
      </c>
      <c r="DU61" s="33"/>
      <c r="DV61" s="57">
        <f t="shared" ref="DV61" si="211">DT61-DR61</f>
        <v>882.21000000000049</v>
      </c>
      <c r="DW61" s="39"/>
      <c r="DY61" s="64"/>
    </row>
    <row r="62" spans="1:129">
      <c r="A62" s="9" t="s">
        <v>69</v>
      </c>
      <c r="B62" s="9"/>
      <c r="C62" s="60">
        <v>3298.15</v>
      </c>
      <c r="D62" s="33"/>
      <c r="E62" s="60">
        <v>3147</v>
      </c>
      <c r="F62" s="33"/>
      <c r="G62" s="57">
        <f>E62-C62</f>
        <v>-151.15000000000009</v>
      </c>
      <c r="H62" s="39"/>
      <c r="J62" s="60">
        <v>3964.25</v>
      </c>
      <c r="K62" s="33"/>
      <c r="L62" s="60">
        <v>3147</v>
      </c>
      <c r="M62" s="33"/>
      <c r="N62" s="57">
        <f>L62-J62</f>
        <v>-817.25</v>
      </c>
      <c r="O62" s="39"/>
      <c r="Q62" s="60">
        <v>3137.86</v>
      </c>
      <c r="R62" s="33"/>
      <c r="S62" s="60">
        <v>3147</v>
      </c>
      <c r="T62" s="33"/>
      <c r="U62" s="57">
        <f>S62-Q62</f>
        <v>9.1399999999998727</v>
      </c>
      <c r="V62" s="39"/>
      <c r="X62" s="61">
        <f t="shared" si="187"/>
        <v>10400.26</v>
      </c>
      <c r="Y62" s="33"/>
      <c r="Z62" s="61">
        <f t="shared" si="188"/>
        <v>9441</v>
      </c>
      <c r="AA62" s="33"/>
      <c r="AB62" s="57">
        <f>Z62-X62</f>
        <v>-959.26000000000022</v>
      </c>
      <c r="AC62" s="39"/>
      <c r="AE62" s="60">
        <v>1538.54</v>
      </c>
      <c r="AF62" s="33"/>
      <c r="AG62" s="60">
        <v>3147</v>
      </c>
      <c r="AH62" s="33"/>
      <c r="AI62" s="57">
        <f>AG62-AE62</f>
        <v>1608.46</v>
      </c>
      <c r="AJ62" s="39"/>
      <c r="AL62" s="60">
        <v>-159.81</v>
      </c>
      <c r="AM62" s="33"/>
      <c r="AN62" s="60">
        <v>3147</v>
      </c>
      <c r="AO62" s="33"/>
      <c r="AP62" s="57">
        <f>AN62-AL62</f>
        <v>3306.81</v>
      </c>
      <c r="AQ62" s="39"/>
      <c r="AS62" s="60">
        <v>0</v>
      </c>
      <c r="AT62" s="33"/>
      <c r="AU62" s="60">
        <v>3147</v>
      </c>
      <c r="AV62" s="33"/>
      <c r="AW62" s="57">
        <f>AU62-AS62</f>
        <v>3147</v>
      </c>
      <c r="AX62" s="39"/>
      <c r="AZ62" s="61">
        <f t="shared" si="193"/>
        <v>1378.73</v>
      </c>
      <c r="BA62" s="33"/>
      <c r="BB62" s="61">
        <f t="shared" si="194"/>
        <v>9441</v>
      </c>
      <c r="BC62" s="33"/>
      <c r="BD62" s="57">
        <f>BB62-AZ62</f>
        <v>8062.27</v>
      </c>
      <c r="BE62" s="39"/>
      <c r="BG62" s="60">
        <v>2978.95</v>
      </c>
      <c r="BH62" s="70"/>
      <c r="BI62" s="60">
        <v>3147</v>
      </c>
      <c r="BJ62" s="70"/>
      <c r="BK62" s="57">
        <f t="shared" si="196"/>
        <v>-168.05000000000018</v>
      </c>
      <c r="BL62" s="43"/>
      <c r="BN62" s="60">
        <v>5070.018</v>
      </c>
      <c r="BO62" s="70"/>
      <c r="BP62" s="60">
        <v>3147</v>
      </c>
      <c r="BQ62" s="70"/>
      <c r="BR62" s="57">
        <f t="shared" si="197"/>
        <v>1923.018</v>
      </c>
      <c r="BS62" s="43"/>
      <c r="BU62" s="60">
        <v>851.18</v>
      </c>
      <c r="BV62" s="70"/>
      <c r="BW62" s="60">
        <v>2904</v>
      </c>
      <c r="BX62" s="70"/>
      <c r="BY62" s="57">
        <f t="shared" si="198"/>
        <v>-2052.8200000000002</v>
      </c>
      <c r="BZ62" s="43"/>
      <c r="CB62" s="61">
        <f t="shared" si="199"/>
        <v>8900.1479999999992</v>
      </c>
      <c r="CC62" s="70"/>
      <c r="CD62" s="61">
        <f t="shared" si="200"/>
        <v>9198</v>
      </c>
      <c r="CE62" s="70"/>
      <c r="CF62" s="57">
        <f t="shared" si="201"/>
        <v>-297.85200000000077</v>
      </c>
      <c r="CG62" s="43"/>
      <c r="CI62" s="60">
        <v>4118.66</v>
      </c>
      <c r="CJ62" s="70"/>
      <c r="CK62" s="60">
        <v>2904</v>
      </c>
      <c r="CL62" s="70"/>
      <c r="CM62" s="57">
        <f t="shared" si="202"/>
        <v>1214.6599999999999</v>
      </c>
      <c r="CN62" s="43"/>
      <c r="CP62" s="60">
        <v>2490</v>
      </c>
      <c r="CQ62" s="70"/>
      <c r="CR62" s="60">
        <v>2904</v>
      </c>
      <c r="CS62" s="70"/>
      <c r="CT62" s="57">
        <f t="shared" si="203"/>
        <v>-414</v>
      </c>
      <c r="CU62" s="43"/>
      <c r="CW62" s="60">
        <v>1785.25</v>
      </c>
      <c r="CX62" s="70"/>
      <c r="CY62" s="60">
        <v>2904</v>
      </c>
      <c r="CZ62" s="70"/>
      <c r="DA62" s="57">
        <f t="shared" si="204"/>
        <v>-1118.75</v>
      </c>
      <c r="DB62" s="43"/>
      <c r="DD62" s="60">
        <v>417.86</v>
      </c>
      <c r="DE62" s="70"/>
      <c r="DF62" s="60">
        <v>2904</v>
      </c>
      <c r="DG62" s="70"/>
      <c r="DH62" s="57">
        <f t="shared" si="205"/>
        <v>-2486.14</v>
      </c>
      <c r="DI62" s="43"/>
      <c r="DK62" s="61">
        <f t="shared" si="206"/>
        <v>8811.77</v>
      </c>
      <c r="DL62" s="70"/>
      <c r="DM62" s="61">
        <f t="shared" si="207"/>
        <v>11616</v>
      </c>
      <c r="DN62" s="70"/>
      <c r="DO62" s="57">
        <f t="shared" si="208"/>
        <v>-2804.2299999999996</v>
      </c>
      <c r="DP62" s="43"/>
      <c r="DR62" s="61">
        <f t="shared" si="209"/>
        <v>29490.907999999999</v>
      </c>
      <c r="DS62" s="33"/>
      <c r="DT62" s="61">
        <f t="shared" si="210"/>
        <v>39696</v>
      </c>
      <c r="DU62" s="33"/>
      <c r="DV62" s="57">
        <f>DT62-DR62</f>
        <v>10205.092000000001</v>
      </c>
      <c r="DW62" s="41"/>
    </row>
    <row r="63" spans="1:129">
      <c r="A63" s="9" t="s">
        <v>70</v>
      </c>
      <c r="B63" s="9"/>
      <c r="C63" s="60">
        <v>4007.32</v>
      </c>
      <c r="D63" s="33"/>
      <c r="E63" s="60">
        <v>2511</v>
      </c>
      <c r="F63" s="33"/>
      <c r="G63" s="57"/>
      <c r="H63" s="39"/>
      <c r="J63" s="60">
        <v>4881.59</v>
      </c>
      <c r="K63" s="33"/>
      <c r="L63" s="60">
        <v>3477</v>
      </c>
      <c r="M63" s="33"/>
      <c r="N63" s="57"/>
      <c r="O63" s="39"/>
      <c r="Q63" s="60">
        <f>-955.13+2381.52</f>
        <v>1426.3899999999999</v>
      </c>
      <c r="R63" s="33"/>
      <c r="S63" s="60">
        <v>4487</v>
      </c>
      <c r="T63" s="33"/>
      <c r="U63" s="57"/>
      <c r="V63" s="39"/>
      <c r="X63" s="61">
        <f t="shared" si="187"/>
        <v>10315.299999999999</v>
      </c>
      <c r="Y63" s="33"/>
      <c r="Z63" s="61">
        <f t="shared" si="188"/>
        <v>10475</v>
      </c>
      <c r="AA63" s="33"/>
      <c r="AB63" s="57"/>
      <c r="AC63" s="39"/>
      <c r="AE63" s="60">
        <v>0</v>
      </c>
      <c r="AF63" s="33"/>
      <c r="AG63" s="60">
        <v>5282</v>
      </c>
      <c r="AH63" s="33"/>
      <c r="AI63" s="57">
        <f>AG63-AE63</f>
        <v>5282</v>
      </c>
      <c r="AJ63" s="39"/>
      <c r="AL63" s="60">
        <v>0</v>
      </c>
      <c r="AM63" s="33"/>
      <c r="AN63" s="60">
        <v>5091</v>
      </c>
      <c r="AO63" s="33"/>
      <c r="AP63" s="57">
        <f>AN63-AL63</f>
        <v>5091</v>
      </c>
      <c r="AQ63" s="39"/>
      <c r="AS63" s="60">
        <v>60.98</v>
      </c>
      <c r="AT63" s="33"/>
      <c r="AU63" s="60">
        <v>5525</v>
      </c>
      <c r="AV63" s="33"/>
      <c r="AW63" s="57">
        <f>AU63-AS63</f>
        <v>5464.02</v>
      </c>
      <c r="AX63" s="39"/>
      <c r="AZ63" s="61">
        <f t="shared" si="193"/>
        <v>60.98</v>
      </c>
      <c r="BA63" s="33"/>
      <c r="BB63" s="61">
        <f t="shared" si="194"/>
        <v>15898</v>
      </c>
      <c r="BC63" s="33"/>
      <c r="BD63" s="57">
        <f>BB63-AZ63</f>
        <v>15837.02</v>
      </c>
      <c r="BE63" s="39"/>
      <c r="BG63" s="60">
        <v>370.98</v>
      </c>
      <c r="BH63" s="70"/>
      <c r="BI63" s="60">
        <v>5650</v>
      </c>
      <c r="BJ63" s="70"/>
      <c r="BK63" s="57">
        <f t="shared" si="196"/>
        <v>-5279.02</v>
      </c>
      <c r="BL63" s="43"/>
      <c r="BN63" s="60">
        <v>3504.24</v>
      </c>
      <c r="BO63" s="70"/>
      <c r="BP63" s="60">
        <v>5552</v>
      </c>
      <c r="BQ63" s="70"/>
      <c r="BR63" s="57">
        <f t="shared" si="197"/>
        <v>-2047.7600000000002</v>
      </c>
      <c r="BS63" s="43"/>
      <c r="BU63" s="60">
        <v>4918.4399999999996</v>
      </c>
      <c r="BV63" s="70"/>
      <c r="BW63" s="60">
        <v>3823</v>
      </c>
      <c r="BX63" s="70"/>
      <c r="BY63" s="57">
        <f t="shared" si="198"/>
        <v>1095.4399999999996</v>
      </c>
      <c r="BZ63" s="43"/>
      <c r="CB63" s="61">
        <f t="shared" si="199"/>
        <v>8793.66</v>
      </c>
      <c r="CC63" s="70"/>
      <c r="CD63" s="61">
        <f t="shared" si="200"/>
        <v>15025</v>
      </c>
      <c r="CE63" s="70"/>
      <c r="CF63" s="57">
        <f t="shared" si="201"/>
        <v>-6231.34</v>
      </c>
      <c r="CG63" s="43"/>
      <c r="CI63" s="60">
        <v>2278.08</v>
      </c>
      <c r="CJ63" s="70"/>
      <c r="CK63" s="60">
        <v>4089</v>
      </c>
      <c r="CL63" s="70"/>
      <c r="CM63" s="57">
        <f t="shared" si="202"/>
        <v>-1810.92</v>
      </c>
      <c r="CN63" s="43"/>
      <c r="CP63" s="60">
        <v>3199.74</v>
      </c>
      <c r="CQ63" s="70"/>
      <c r="CR63" s="60">
        <v>3862</v>
      </c>
      <c r="CS63" s="70"/>
      <c r="CT63" s="57">
        <f t="shared" si="203"/>
        <v>-662.26000000000022</v>
      </c>
      <c r="CU63" s="43"/>
      <c r="CW63" s="60">
        <v>4786.2700000000004</v>
      </c>
      <c r="CX63" s="70"/>
      <c r="CY63" s="60">
        <v>3539</v>
      </c>
      <c r="CZ63" s="70"/>
      <c r="DA63" s="57">
        <f t="shared" si="204"/>
        <v>1247.2700000000004</v>
      </c>
      <c r="DB63" s="43"/>
      <c r="DD63" s="60">
        <v>2783.21</v>
      </c>
      <c r="DE63" s="70"/>
      <c r="DF63" s="60">
        <v>3700</v>
      </c>
      <c r="DG63" s="70"/>
      <c r="DH63" s="57">
        <f t="shared" si="205"/>
        <v>-916.79</v>
      </c>
      <c r="DI63" s="43"/>
      <c r="DK63" s="61">
        <f t="shared" si="206"/>
        <v>13047.3</v>
      </c>
      <c r="DL63" s="70"/>
      <c r="DM63" s="61">
        <f t="shared" si="207"/>
        <v>15190</v>
      </c>
      <c r="DN63" s="70"/>
      <c r="DO63" s="57">
        <f t="shared" si="208"/>
        <v>-2142.7000000000007</v>
      </c>
      <c r="DP63" s="43"/>
      <c r="DR63" s="61">
        <f t="shared" si="209"/>
        <v>32217.239999999998</v>
      </c>
      <c r="DS63" s="33"/>
      <c r="DT63" s="61">
        <f t="shared" si="210"/>
        <v>56588</v>
      </c>
      <c r="DU63" s="33"/>
      <c r="DV63" s="57">
        <f>DT63-DR63</f>
        <v>24370.760000000002</v>
      </c>
      <c r="DW63" s="41"/>
    </row>
    <row r="64" spans="1:129">
      <c r="A64" s="9" t="s">
        <v>71</v>
      </c>
      <c r="B64" s="9"/>
      <c r="C64" s="60">
        <v>0</v>
      </c>
      <c r="D64" s="33"/>
      <c r="E64" s="60">
        <v>184</v>
      </c>
      <c r="F64" s="33"/>
      <c r="G64" s="57">
        <f t="shared" si="184"/>
        <v>184</v>
      </c>
      <c r="H64" s="39"/>
      <c r="J64" s="60">
        <v>0</v>
      </c>
      <c r="K64" s="33"/>
      <c r="L64" s="60">
        <v>184</v>
      </c>
      <c r="M64" s="33"/>
      <c r="N64" s="57">
        <f t="shared" ref="N64:N79" si="212">L64-J64</f>
        <v>184</v>
      </c>
      <c r="O64" s="39"/>
      <c r="Q64" s="60">
        <v>0</v>
      </c>
      <c r="R64" s="33"/>
      <c r="S64" s="60">
        <v>184</v>
      </c>
      <c r="T64" s="33"/>
      <c r="U64" s="57">
        <f t="shared" ref="U64:U79" si="213">S64-Q64</f>
        <v>184</v>
      </c>
      <c r="V64" s="39"/>
      <c r="X64" s="61">
        <f t="shared" si="187"/>
        <v>0</v>
      </c>
      <c r="Y64" s="33"/>
      <c r="Z64" s="61">
        <f t="shared" si="188"/>
        <v>552</v>
      </c>
      <c r="AA64" s="33"/>
      <c r="AB64" s="57">
        <f t="shared" ref="AB64:AB78" si="214">Z64-X64</f>
        <v>552</v>
      </c>
      <c r="AC64" s="39"/>
      <c r="AE64" s="60">
        <v>0</v>
      </c>
      <c r="AF64" s="33"/>
      <c r="AG64" s="60">
        <v>184</v>
      </c>
      <c r="AH64" s="33"/>
      <c r="AI64" s="57">
        <f t="shared" ref="AI64:AI79" si="215">AG64-AE64</f>
        <v>184</v>
      </c>
      <c r="AJ64" s="39"/>
      <c r="AL64" s="60">
        <v>0</v>
      </c>
      <c r="AM64" s="33"/>
      <c r="AN64" s="60">
        <v>184</v>
      </c>
      <c r="AO64" s="33"/>
      <c r="AP64" s="57">
        <f t="shared" ref="AP64:AP78" si="216">AN64-AL64</f>
        <v>184</v>
      </c>
      <c r="AQ64" s="39"/>
      <c r="AS64" s="60">
        <v>0</v>
      </c>
      <c r="AT64" s="33"/>
      <c r="AU64" s="60">
        <v>184</v>
      </c>
      <c r="AV64" s="33"/>
      <c r="AW64" s="57">
        <f t="shared" ref="AW64:AW79" si="217">AU64-AS64</f>
        <v>184</v>
      </c>
      <c r="AX64" s="39"/>
      <c r="AZ64" s="61">
        <f t="shared" si="193"/>
        <v>0</v>
      </c>
      <c r="BA64" s="33"/>
      <c r="BB64" s="61">
        <f t="shared" si="194"/>
        <v>552</v>
      </c>
      <c r="BC64" s="33"/>
      <c r="BD64" s="57">
        <f t="shared" ref="BD64:BD78" si="218">BB64-AZ64</f>
        <v>552</v>
      </c>
      <c r="BE64" s="39"/>
      <c r="BG64" s="60">
        <v>0</v>
      </c>
      <c r="BH64" s="70"/>
      <c r="BI64" s="60">
        <v>184</v>
      </c>
      <c r="BJ64" s="70"/>
      <c r="BK64" s="57">
        <f t="shared" si="196"/>
        <v>-184</v>
      </c>
      <c r="BL64" s="43"/>
      <c r="BN64" s="60">
        <v>304.92</v>
      </c>
      <c r="BO64" s="70"/>
      <c r="BP64" s="60">
        <v>184</v>
      </c>
      <c r="BQ64" s="70"/>
      <c r="BR64" s="57">
        <f t="shared" si="197"/>
        <v>120.92000000000002</v>
      </c>
      <c r="BS64" s="43"/>
      <c r="BU64" s="60">
        <v>0</v>
      </c>
      <c r="BV64" s="70"/>
      <c r="BW64" s="60">
        <v>742</v>
      </c>
      <c r="BX64" s="70"/>
      <c r="BY64" s="57">
        <f t="shared" si="198"/>
        <v>-742</v>
      </c>
      <c r="BZ64" s="43"/>
      <c r="CB64" s="61">
        <f t="shared" si="199"/>
        <v>304.92</v>
      </c>
      <c r="CC64" s="70"/>
      <c r="CD64" s="61">
        <f t="shared" si="200"/>
        <v>1110</v>
      </c>
      <c r="CE64" s="70"/>
      <c r="CF64" s="57">
        <f t="shared" si="201"/>
        <v>-805.07999999999993</v>
      </c>
      <c r="CG64" s="43"/>
      <c r="CI64" s="60">
        <v>0</v>
      </c>
      <c r="CJ64" s="70"/>
      <c r="CK64" s="60">
        <v>742</v>
      </c>
      <c r="CL64" s="70"/>
      <c r="CM64" s="57">
        <f t="shared" si="202"/>
        <v>-742</v>
      </c>
      <c r="CN64" s="43"/>
      <c r="CP64" s="60">
        <v>66.73</v>
      </c>
      <c r="CQ64" s="70"/>
      <c r="CR64" s="60">
        <v>742</v>
      </c>
      <c r="CS64" s="70"/>
      <c r="CT64" s="57">
        <f t="shared" si="203"/>
        <v>-675.27</v>
      </c>
      <c r="CU64" s="43"/>
      <c r="CW64" s="60">
        <v>825</v>
      </c>
      <c r="CX64" s="70"/>
      <c r="CY64" s="60">
        <v>742</v>
      </c>
      <c r="CZ64" s="70"/>
      <c r="DA64" s="57">
        <f t="shared" si="204"/>
        <v>83</v>
      </c>
      <c r="DB64" s="43"/>
      <c r="DD64" s="60">
        <v>1091.26</v>
      </c>
      <c r="DE64" s="70"/>
      <c r="DF64" s="60">
        <v>742</v>
      </c>
      <c r="DG64" s="70"/>
      <c r="DH64" s="57">
        <f t="shared" si="205"/>
        <v>349.26</v>
      </c>
      <c r="DI64" s="43"/>
      <c r="DK64" s="61">
        <f t="shared" si="206"/>
        <v>1982.99</v>
      </c>
      <c r="DL64" s="70"/>
      <c r="DM64" s="61">
        <f t="shared" si="207"/>
        <v>2968</v>
      </c>
      <c r="DN64" s="70"/>
      <c r="DO64" s="57">
        <f t="shared" si="208"/>
        <v>-985.01</v>
      </c>
      <c r="DP64" s="43"/>
      <c r="DR64" s="61">
        <f t="shared" si="209"/>
        <v>2287.91</v>
      </c>
      <c r="DS64" s="33"/>
      <c r="DT64" s="61">
        <f t="shared" si="210"/>
        <v>5182</v>
      </c>
      <c r="DU64" s="33"/>
      <c r="DV64" s="57">
        <f t="shared" ref="DV64:DV78" si="219">DT64-DR64</f>
        <v>2894.09</v>
      </c>
      <c r="DW64" s="39"/>
    </row>
    <row r="65" spans="1:129" hidden="1">
      <c r="A65" s="9" t="s">
        <v>72</v>
      </c>
      <c r="B65" s="9"/>
      <c r="C65" s="60">
        <v>0</v>
      </c>
      <c r="D65" s="33"/>
      <c r="E65" s="60">
        <v>0</v>
      </c>
      <c r="F65" s="33"/>
      <c r="G65" s="57">
        <f t="shared" si="184"/>
        <v>0</v>
      </c>
      <c r="H65" s="39"/>
      <c r="J65" s="60">
        <v>0</v>
      </c>
      <c r="K65" s="33"/>
      <c r="L65" s="60">
        <v>0</v>
      </c>
      <c r="M65" s="33"/>
      <c r="N65" s="57">
        <f t="shared" si="212"/>
        <v>0</v>
      </c>
      <c r="O65" s="39"/>
      <c r="Q65" s="60">
        <v>0</v>
      </c>
      <c r="R65" s="33"/>
      <c r="S65" s="60">
        <v>0</v>
      </c>
      <c r="T65" s="33"/>
      <c r="U65" s="57">
        <f t="shared" si="213"/>
        <v>0</v>
      </c>
      <c r="V65" s="39"/>
      <c r="X65" s="61">
        <f t="shared" si="187"/>
        <v>0</v>
      </c>
      <c r="Y65" s="33"/>
      <c r="Z65" s="61">
        <f t="shared" si="188"/>
        <v>0</v>
      </c>
      <c r="AA65" s="33"/>
      <c r="AB65" s="57">
        <f t="shared" si="214"/>
        <v>0</v>
      </c>
      <c r="AC65" s="39"/>
      <c r="AE65" s="60">
        <v>0</v>
      </c>
      <c r="AF65" s="33"/>
      <c r="AG65" s="60">
        <v>0</v>
      </c>
      <c r="AH65" s="33"/>
      <c r="AI65" s="57">
        <f t="shared" si="215"/>
        <v>0</v>
      </c>
      <c r="AJ65" s="39"/>
      <c r="AL65" s="60">
        <v>0</v>
      </c>
      <c r="AM65" s="33"/>
      <c r="AN65" s="60">
        <v>0</v>
      </c>
      <c r="AO65" s="33"/>
      <c r="AP65" s="57">
        <f t="shared" si="216"/>
        <v>0</v>
      </c>
      <c r="AQ65" s="39"/>
      <c r="AS65" s="60">
        <v>0</v>
      </c>
      <c r="AT65" s="33"/>
      <c r="AU65" s="60">
        <v>0</v>
      </c>
      <c r="AV65" s="33"/>
      <c r="AW65" s="57">
        <f t="shared" si="217"/>
        <v>0</v>
      </c>
      <c r="AX65" s="39"/>
      <c r="AZ65" s="61">
        <f t="shared" si="193"/>
        <v>0</v>
      </c>
      <c r="BA65" s="33"/>
      <c r="BB65" s="61">
        <f t="shared" si="194"/>
        <v>0</v>
      </c>
      <c r="BC65" s="33"/>
      <c r="BD65" s="57">
        <f t="shared" si="218"/>
        <v>0</v>
      </c>
      <c r="BE65" s="39"/>
      <c r="BG65" s="60">
        <v>0</v>
      </c>
      <c r="BH65" s="70"/>
      <c r="BI65" s="60">
        <v>0</v>
      </c>
      <c r="BJ65" s="70"/>
      <c r="BK65" s="57">
        <f t="shared" si="196"/>
        <v>0</v>
      </c>
      <c r="BL65" s="43"/>
      <c r="BN65" s="60">
        <v>0</v>
      </c>
      <c r="BO65" s="70"/>
      <c r="BP65" s="60">
        <v>0</v>
      </c>
      <c r="BQ65" s="70"/>
      <c r="BR65" s="57">
        <f t="shared" si="197"/>
        <v>0</v>
      </c>
      <c r="BS65" s="43"/>
      <c r="BU65" s="60">
        <v>0</v>
      </c>
      <c r="BV65" s="70"/>
      <c r="BW65" s="60">
        <v>0</v>
      </c>
      <c r="BX65" s="70"/>
      <c r="BY65" s="57">
        <f t="shared" si="198"/>
        <v>0</v>
      </c>
      <c r="BZ65" s="43"/>
      <c r="CB65" s="61">
        <f t="shared" si="199"/>
        <v>0</v>
      </c>
      <c r="CC65" s="70"/>
      <c r="CD65" s="61">
        <f t="shared" si="200"/>
        <v>0</v>
      </c>
      <c r="CE65" s="70"/>
      <c r="CF65" s="57">
        <f t="shared" si="201"/>
        <v>0</v>
      </c>
      <c r="CG65" s="43"/>
      <c r="CI65" s="60">
        <v>0</v>
      </c>
      <c r="CJ65" s="70"/>
      <c r="CK65" s="60">
        <v>0</v>
      </c>
      <c r="CL65" s="70"/>
      <c r="CM65" s="57">
        <f t="shared" si="202"/>
        <v>0</v>
      </c>
      <c r="CN65" s="43"/>
      <c r="CP65" s="60">
        <v>0</v>
      </c>
      <c r="CQ65" s="70"/>
      <c r="CR65" s="60">
        <v>0</v>
      </c>
      <c r="CS65" s="70"/>
      <c r="CT65" s="57">
        <f t="shared" si="203"/>
        <v>0</v>
      </c>
      <c r="CU65" s="43"/>
      <c r="CW65" s="60"/>
      <c r="CX65" s="70"/>
      <c r="CY65" s="60">
        <v>0</v>
      </c>
      <c r="CZ65" s="70"/>
      <c r="DA65" s="57">
        <f t="shared" si="204"/>
        <v>0</v>
      </c>
      <c r="DB65" s="43"/>
      <c r="DD65" s="60"/>
      <c r="DE65" s="70"/>
      <c r="DF65" s="60">
        <v>0</v>
      </c>
      <c r="DG65" s="70"/>
      <c r="DH65" s="57">
        <f t="shared" si="205"/>
        <v>0</v>
      </c>
      <c r="DI65" s="43"/>
      <c r="DK65" s="61">
        <f t="shared" si="206"/>
        <v>0</v>
      </c>
      <c r="DL65" s="70"/>
      <c r="DM65" s="61">
        <f t="shared" si="207"/>
        <v>0</v>
      </c>
      <c r="DN65" s="70"/>
      <c r="DO65" s="57">
        <f t="shared" si="208"/>
        <v>0</v>
      </c>
      <c r="DP65" s="43"/>
      <c r="DR65" s="61">
        <f t="shared" si="209"/>
        <v>0</v>
      </c>
      <c r="DS65" s="33"/>
      <c r="DT65" s="61">
        <f t="shared" si="210"/>
        <v>0</v>
      </c>
      <c r="DU65" s="33"/>
      <c r="DV65" s="57">
        <f t="shared" si="219"/>
        <v>0</v>
      </c>
      <c r="DW65" s="39"/>
    </row>
    <row r="66" spans="1:129">
      <c r="A66" s="9" t="s">
        <v>73</v>
      </c>
      <c r="B66" s="9"/>
      <c r="C66" s="60">
        <v>0</v>
      </c>
      <c r="D66" s="33"/>
      <c r="E66" s="60">
        <v>491</v>
      </c>
      <c r="F66" s="33"/>
      <c r="G66" s="57">
        <f t="shared" si="184"/>
        <v>491</v>
      </c>
      <c r="H66" s="39"/>
      <c r="J66" s="60">
        <v>0</v>
      </c>
      <c r="K66" s="33"/>
      <c r="L66" s="60">
        <v>680</v>
      </c>
      <c r="M66" s="33"/>
      <c r="N66" s="57">
        <f t="shared" si="212"/>
        <v>680</v>
      </c>
      <c r="O66" s="39"/>
      <c r="Q66" s="60">
        <v>0</v>
      </c>
      <c r="R66" s="33"/>
      <c r="S66" s="60">
        <v>877</v>
      </c>
      <c r="T66" s="33"/>
      <c r="U66" s="57">
        <f t="shared" si="213"/>
        <v>877</v>
      </c>
      <c r="V66" s="39"/>
      <c r="X66" s="61">
        <f t="shared" si="187"/>
        <v>0</v>
      </c>
      <c r="Y66" s="33"/>
      <c r="Z66" s="61">
        <f t="shared" si="188"/>
        <v>2048</v>
      </c>
      <c r="AA66" s="33"/>
      <c r="AB66" s="57">
        <f t="shared" si="214"/>
        <v>2048</v>
      </c>
      <c r="AC66" s="39"/>
      <c r="AE66" s="60">
        <v>0</v>
      </c>
      <c r="AF66" s="33"/>
      <c r="AG66" s="60">
        <v>1033</v>
      </c>
      <c r="AH66" s="33"/>
      <c r="AI66" s="57">
        <f t="shared" si="215"/>
        <v>1033</v>
      </c>
      <c r="AJ66" s="39"/>
      <c r="AL66" s="60">
        <v>0</v>
      </c>
      <c r="AM66" s="33"/>
      <c r="AN66" s="60">
        <v>995</v>
      </c>
      <c r="AO66" s="33"/>
      <c r="AP66" s="57">
        <f t="shared" si="216"/>
        <v>995</v>
      </c>
      <c r="AQ66" s="39"/>
      <c r="AS66" s="60">
        <v>0</v>
      </c>
      <c r="AT66" s="33"/>
      <c r="AU66" s="60">
        <v>1080</v>
      </c>
      <c r="AV66" s="33"/>
      <c r="AW66" s="57">
        <f t="shared" si="217"/>
        <v>1080</v>
      </c>
      <c r="AX66" s="39"/>
      <c r="AZ66" s="61">
        <f t="shared" si="193"/>
        <v>0</v>
      </c>
      <c r="BA66" s="33"/>
      <c r="BB66" s="61">
        <f t="shared" si="194"/>
        <v>3108</v>
      </c>
      <c r="BC66" s="33"/>
      <c r="BD66" s="57">
        <f t="shared" si="218"/>
        <v>3108</v>
      </c>
      <c r="BE66" s="39"/>
      <c r="BG66" s="60">
        <v>0</v>
      </c>
      <c r="BH66" s="70"/>
      <c r="BI66" s="60">
        <v>1105</v>
      </c>
      <c r="BJ66" s="70"/>
      <c r="BK66" s="57">
        <f t="shared" si="196"/>
        <v>-1105</v>
      </c>
      <c r="BL66" s="43"/>
      <c r="BN66" s="60">
        <v>0</v>
      </c>
      <c r="BO66" s="70"/>
      <c r="BP66" s="60">
        <v>1086</v>
      </c>
      <c r="BQ66" s="70"/>
      <c r="BR66" s="57">
        <f t="shared" si="197"/>
        <v>-1086</v>
      </c>
      <c r="BS66" s="43"/>
      <c r="BU66" s="60">
        <v>0</v>
      </c>
      <c r="BV66" s="70"/>
      <c r="BW66" s="60">
        <v>250</v>
      </c>
      <c r="BX66" s="70"/>
      <c r="BY66" s="57">
        <f t="shared" si="198"/>
        <v>-250</v>
      </c>
      <c r="BZ66" s="43"/>
      <c r="CB66" s="61">
        <f t="shared" si="199"/>
        <v>0</v>
      </c>
      <c r="CC66" s="70"/>
      <c r="CD66" s="61">
        <f t="shared" si="200"/>
        <v>2441</v>
      </c>
      <c r="CE66" s="70"/>
      <c r="CF66" s="57">
        <f t="shared" si="201"/>
        <v>-2441</v>
      </c>
      <c r="CG66" s="43"/>
      <c r="CI66" s="60">
        <v>0</v>
      </c>
      <c r="CJ66" s="70"/>
      <c r="CK66" s="60">
        <v>250</v>
      </c>
      <c r="CL66" s="70"/>
      <c r="CM66" s="57">
        <f t="shared" si="202"/>
        <v>-250</v>
      </c>
      <c r="CN66" s="43"/>
      <c r="CP66" s="60">
        <v>0</v>
      </c>
      <c r="CQ66" s="70"/>
      <c r="CR66" s="60">
        <v>250</v>
      </c>
      <c r="CS66" s="70"/>
      <c r="CT66" s="57">
        <f t="shared" si="203"/>
        <v>-250</v>
      </c>
      <c r="CU66" s="43"/>
      <c r="CW66" s="60">
        <v>0</v>
      </c>
      <c r="CX66" s="70"/>
      <c r="CY66" s="60">
        <v>250</v>
      </c>
      <c r="CZ66" s="70"/>
      <c r="DA66" s="57">
        <f t="shared" si="204"/>
        <v>-250</v>
      </c>
      <c r="DB66" s="43"/>
      <c r="DD66" s="60">
        <v>0</v>
      </c>
      <c r="DE66" s="70"/>
      <c r="DF66" s="60">
        <v>250</v>
      </c>
      <c r="DG66" s="70"/>
      <c r="DH66" s="57">
        <f t="shared" si="205"/>
        <v>-250</v>
      </c>
      <c r="DI66" s="43"/>
      <c r="DK66" s="61">
        <f t="shared" si="206"/>
        <v>0</v>
      </c>
      <c r="DL66" s="70"/>
      <c r="DM66" s="61">
        <f t="shared" si="207"/>
        <v>1000</v>
      </c>
      <c r="DN66" s="70"/>
      <c r="DO66" s="57">
        <f t="shared" si="208"/>
        <v>-1000</v>
      </c>
      <c r="DP66" s="43"/>
      <c r="DR66" s="61">
        <f t="shared" si="209"/>
        <v>0</v>
      </c>
      <c r="DS66" s="33"/>
      <c r="DT66" s="61">
        <f t="shared" si="210"/>
        <v>8597</v>
      </c>
      <c r="DU66" s="33"/>
      <c r="DV66" s="57">
        <f t="shared" si="219"/>
        <v>8597</v>
      </c>
      <c r="DW66" s="39"/>
    </row>
    <row r="67" spans="1:129">
      <c r="A67" s="9" t="s">
        <v>74</v>
      </c>
      <c r="B67" s="9"/>
      <c r="C67" s="60">
        <v>1906.11</v>
      </c>
      <c r="D67" s="33"/>
      <c r="E67" s="60">
        <v>833</v>
      </c>
      <c r="F67" s="33"/>
      <c r="G67" s="57">
        <f t="shared" si="184"/>
        <v>-1073.1099999999999</v>
      </c>
      <c r="H67" s="39"/>
      <c r="J67" s="60">
        <v>3480.14</v>
      </c>
      <c r="K67" s="33"/>
      <c r="L67" s="60">
        <v>1154</v>
      </c>
      <c r="M67" s="33"/>
      <c r="N67" s="57">
        <f t="shared" si="212"/>
        <v>-2326.14</v>
      </c>
      <c r="O67" s="39"/>
      <c r="Q67" s="60">
        <v>2276.69</v>
      </c>
      <c r="R67" s="33"/>
      <c r="S67" s="60">
        <v>1489</v>
      </c>
      <c r="T67" s="33"/>
      <c r="U67" s="57">
        <f t="shared" si="213"/>
        <v>-787.69</v>
      </c>
      <c r="V67" s="39"/>
      <c r="X67" s="61">
        <f t="shared" si="187"/>
        <v>7662.9400000000005</v>
      </c>
      <c r="Y67" s="33"/>
      <c r="Z67" s="61">
        <f t="shared" si="188"/>
        <v>3476</v>
      </c>
      <c r="AA67" s="33"/>
      <c r="AB67" s="57">
        <f t="shared" si="214"/>
        <v>-4186.9400000000005</v>
      </c>
      <c r="AC67" s="39"/>
      <c r="AE67" s="60">
        <v>226.78</v>
      </c>
      <c r="AF67" s="33"/>
      <c r="AG67" s="60">
        <v>1753</v>
      </c>
      <c r="AH67" s="33"/>
      <c r="AI67" s="57">
        <f t="shared" si="215"/>
        <v>1526.22</v>
      </c>
      <c r="AJ67" s="39"/>
      <c r="AL67" s="60">
        <v>0</v>
      </c>
      <c r="AM67" s="33"/>
      <c r="AN67" s="60">
        <v>1690</v>
      </c>
      <c r="AO67" s="33"/>
      <c r="AP67" s="57">
        <f t="shared" si="216"/>
        <v>1690</v>
      </c>
      <c r="AQ67" s="39"/>
      <c r="AS67" s="60">
        <v>0</v>
      </c>
      <c r="AT67" s="33"/>
      <c r="AU67" s="60">
        <v>1834</v>
      </c>
      <c r="AV67" s="33"/>
      <c r="AW67" s="57">
        <f t="shared" si="217"/>
        <v>1834</v>
      </c>
      <c r="AX67" s="39"/>
      <c r="AZ67" s="61">
        <f t="shared" si="193"/>
        <v>226.78</v>
      </c>
      <c r="BA67" s="33"/>
      <c r="BB67" s="61">
        <f t="shared" si="194"/>
        <v>5277</v>
      </c>
      <c r="BC67" s="33"/>
      <c r="BD67" s="57">
        <f t="shared" si="218"/>
        <v>5050.22</v>
      </c>
      <c r="BE67" s="39"/>
      <c r="BG67" s="60">
        <v>0</v>
      </c>
      <c r="BH67" s="70"/>
      <c r="BI67" s="60">
        <v>1875</v>
      </c>
      <c r="BJ67" s="70"/>
      <c r="BK67" s="57">
        <f t="shared" si="196"/>
        <v>-1875</v>
      </c>
      <c r="BL67" s="43"/>
      <c r="BN67" s="60">
        <v>2982.71</v>
      </c>
      <c r="BO67" s="70"/>
      <c r="BP67" s="60">
        <v>1843</v>
      </c>
      <c r="BQ67" s="70"/>
      <c r="BR67" s="57">
        <f t="shared" si="197"/>
        <v>1139.71</v>
      </c>
      <c r="BS67" s="43"/>
      <c r="BU67" s="60">
        <v>766.52</v>
      </c>
      <c r="BV67" s="70"/>
      <c r="BW67" s="60">
        <v>0</v>
      </c>
      <c r="BX67" s="70"/>
      <c r="BY67" s="57">
        <f t="shared" si="198"/>
        <v>766.52</v>
      </c>
      <c r="BZ67" s="43"/>
      <c r="CB67" s="61">
        <f t="shared" si="199"/>
        <v>3749.23</v>
      </c>
      <c r="CC67" s="70"/>
      <c r="CD67" s="61">
        <f t="shared" si="200"/>
        <v>3718</v>
      </c>
      <c r="CE67" s="70"/>
      <c r="CF67" s="57">
        <f t="shared" si="201"/>
        <v>31.230000000000018</v>
      </c>
      <c r="CG67" s="43"/>
      <c r="CI67" s="60">
        <v>-11.62</v>
      </c>
      <c r="CJ67" s="70"/>
      <c r="CK67" s="60">
        <v>0</v>
      </c>
      <c r="CL67" s="70"/>
      <c r="CM67" s="57">
        <f t="shared" si="202"/>
        <v>-11.62</v>
      </c>
      <c r="CN67" s="43"/>
      <c r="CP67" s="60">
        <v>1551.9</v>
      </c>
      <c r="CQ67" s="70"/>
      <c r="CR67" s="60">
        <v>0</v>
      </c>
      <c r="CS67" s="70"/>
      <c r="CT67" s="57">
        <f t="shared" si="203"/>
        <v>1551.9</v>
      </c>
      <c r="CU67" s="43"/>
      <c r="CW67" s="60">
        <v>807.17</v>
      </c>
      <c r="CX67" s="70"/>
      <c r="CY67" s="60">
        <v>0</v>
      </c>
      <c r="CZ67" s="70"/>
      <c r="DA67" s="57">
        <f t="shared" si="204"/>
        <v>807.17</v>
      </c>
      <c r="DB67" s="43"/>
      <c r="DD67" s="60">
        <v>517.94000000000005</v>
      </c>
      <c r="DE67" s="70"/>
      <c r="DF67" s="60">
        <v>0</v>
      </c>
      <c r="DG67" s="70"/>
      <c r="DH67" s="57">
        <f t="shared" si="205"/>
        <v>517.94000000000005</v>
      </c>
      <c r="DI67" s="43"/>
      <c r="DK67" s="61">
        <f t="shared" si="206"/>
        <v>2865.3900000000003</v>
      </c>
      <c r="DL67" s="70"/>
      <c r="DM67" s="61">
        <f t="shared" si="207"/>
        <v>0</v>
      </c>
      <c r="DN67" s="70"/>
      <c r="DO67" s="57">
        <f t="shared" si="208"/>
        <v>2865.3900000000003</v>
      </c>
      <c r="DP67" s="43"/>
      <c r="DR67" s="61">
        <f t="shared" si="209"/>
        <v>14504.34</v>
      </c>
      <c r="DS67" s="33"/>
      <c r="DT67" s="61">
        <f t="shared" si="210"/>
        <v>12471</v>
      </c>
      <c r="DU67" s="33"/>
      <c r="DV67" s="57"/>
      <c r="DW67" s="39"/>
    </row>
    <row r="68" spans="1:129">
      <c r="A68" s="9" t="s">
        <v>75</v>
      </c>
      <c r="B68" s="9"/>
      <c r="C68" s="60">
        <v>0</v>
      </c>
      <c r="D68" s="33"/>
      <c r="E68" s="60">
        <v>71</v>
      </c>
      <c r="F68" s="33"/>
      <c r="G68" s="57">
        <f t="shared" si="184"/>
        <v>71</v>
      </c>
      <c r="H68" s="39"/>
      <c r="J68" s="60">
        <v>0</v>
      </c>
      <c r="K68" s="33"/>
      <c r="L68" s="60">
        <v>71</v>
      </c>
      <c r="M68" s="33"/>
      <c r="N68" s="57">
        <f t="shared" si="212"/>
        <v>71</v>
      </c>
      <c r="O68" s="39"/>
      <c r="Q68" s="60">
        <v>0</v>
      </c>
      <c r="R68" s="33"/>
      <c r="S68" s="60">
        <v>71</v>
      </c>
      <c r="T68" s="33"/>
      <c r="U68" s="57">
        <f t="shared" si="213"/>
        <v>71</v>
      </c>
      <c r="V68" s="39"/>
      <c r="X68" s="61">
        <f t="shared" si="187"/>
        <v>0</v>
      </c>
      <c r="Y68" s="33"/>
      <c r="Z68" s="61">
        <f t="shared" si="188"/>
        <v>213</v>
      </c>
      <c r="AA68" s="33"/>
      <c r="AB68" s="57">
        <f t="shared" si="214"/>
        <v>213</v>
      </c>
      <c r="AC68" s="39"/>
      <c r="AE68" s="60">
        <v>0</v>
      </c>
      <c r="AF68" s="33"/>
      <c r="AG68" s="60">
        <v>71</v>
      </c>
      <c r="AH68" s="33"/>
      <c r="AI68" s="57">
        <f t="shared" si="215"/>
        <v>71</v>
      </c>
      <c r="AJ68" s="39"/>
      <c r="AL68" s="60">
        <v>0</v>
      </c>
      <c r="AM68" s="33"/>
      <c r="AN68" s="60">
        <v>71</v>
      </c>
      <c r="AO68" s="33"/>
      <c r="AP68" s="57">
        <f t="shared" si="216"/>
        <v>71</v>
      </c>
      <c r="AQ68" s="39"/>
      <c r="AS68" s="60">
        <v>0</v>
      </c>
      <c r="AT68" s="33"/>
      <c r="AU68" s="60">
        <v>71</v>
      </c>
      <c r="AV68" s="33"/>
      <c r="AW68" s="57">
        <f t="shared" si="217"/>
        <v>71</v>
      </c>
      <c r="AX68" s="39"/>
      <c r="AZ68" s="61">
        <f t="shared" si="193"/>
        <v>0</v>
      </c>
      <c r="BA68" s="33"/>
      <c r="BB68" s="61">
        <f t="shared" si="194"/>
        <v>213</v>
      </c>
      <c r="BC68" s="33"/>
      <c r="BD68" s="57">
        <f t="shared" si="218"/>
        <v>213</v>
      </c>
      <c r="BE68" s="39"/>
      <c r="BG68" s="60">
        <v>0</v>
      </c>
      <c r="BH68" s="70"/>
      <c r="BI68" s="60">
        <v>71</v>
      </c>
      <c r="BJ68" s="70"/>
      <c r="BK68" s="57">
        <f t="shared" si="196"/>
        <v>-71</v>
      </c>
      <c r="BL68" s="43"/>
      <c r="BN68" s="60">
        <v>0</v>
      </c>
      <c r="BO68" s="70"/>
      <c r="BP68" s="60">
        <v>71</v>
      </c>
      <c r="BQ68" s="70"/>
      <c r="BR68" s="57">
        <f t="shared" si="197"/>
        <v>-71</v>
      </c>
      <c r="BS68" s="43"/>
      <c r="BU68" s="60">
        <v>0</v>
      </c>
      <c r="BV68" s="70"/>
      <c r="BW68" s="60">
        <v>0</v>
      </c>
      <c r="BX68" s="70"/>
      <c r="BY68" s="57">
        <f t="shared" si="198"/>
        <v>0</v>
      </c>
      <c r="BZ68" s="43"/>
      <c r="CB68" s="61">
        <f t="shared" si="199"/>
        <v>0</v>
      </c>
      <c r="CC68" s="70"/>
      <c r="CD68" s="61">
        <f t="shared" si="200"/>
        <v>142</v>
      </c>
      <c r="CE68" s="70"/>
      <c r="CF68" s="57">
        <f t="shared" si="201"/>
        <v>-142</v>
      </c>
      <c r="CG68" s="43"/>
      <c r="CI68" s="60">
        <v>0</v>
      </c>
      <c r="CJ68" s="70"/>
      <c r="CK68" s="60">
        <v>0</v>
      </c>
      <c r="CL68" s="70"/>
      <c r="CM68" s="57">
        <f t="shared" si="202"/>
        <v>0</v>
      </c>
      <c r="CN68" s="43"/>
      <c r="CP68" s="60">
        <v>0</v>
      </c>
      <c r="CQ68" s="70"/>
      <c r="CR68" s="60">
        <v>0</v>
      </c>
      <c r="CS68" s="70"/>
      <c r="CT68" s="57">
        <f t="shared" si="203"/>
        <v>0</v>
      </c>
      <c r="CU68" s="43"/>
      <c r="CW68" s="60">
        <v>0</v>
      </c>
      <c r="CX68" s="70"/>
      <c r="CY68" s="60">
        <v>0</v>
      </c>
      <c r="CZ68" s="70"/>
      <c r="DA68" s="57">
        <f t="shared" si="204"/>
        <v>0</v>
      </c>
      <c r="DB68" s="43"/>
      <c r="DD68" s="60">
        <v>0</v>
      </c>
      <c r="DE68" s="70"/>
      <c r="DF68" s="60">
        <v>0</v>
      </c>
      <c r="DG68" s="70"/>
      <c r="DH68" s="57">
        <f t="shared" si="205"/>
        <v>0</v>
      </c>
      <c r="DI68" s="43"/>
      <c r="DK68" s="61">
        <f t="shared" si="206"/>
        <v>0</v>
      </c>
      <c r="DL68" s="70"/>
      <c r="DM68" s="61">
        <f t="shared" si="207"/>
        <v>0</v>
      </c>
      <c r="DN68" s="70"/>
      <c r="DO68" s="57">
        <f t="shared" si="208"/>
        <v>0</v>
      </c>
      <c r="DP68" s="43"/>
      <c r="DR68" s="61">
        <f t="shared" si="209"/>
        <v>0</v>
      </c>
      <c r="DS68" s="33"/>
      <c r="DT68" s="61">
        <f t="shared" si="210"/>
        <v>568</v>
      </c>
      <c r="DU68" s="33"/>
      <c r="DV68" s="57">
        <f t="shared" si="219"/>
        <v>568</v>
      </c>
      <c r="DW68" s="39"/>
    </row>
    <row r="69" spans="1:129">
      <c r="A69" s="9" t="s">
        <v>76</v>
      </c>
      <c r="B69" s="9"/>
      <c r="C69" s="60">
        <v>0</v>
      </c>
      <c r="D69" s="33"/>
      <c r="E69" s="60"/>
      <c r="F69" s="33"/>
      <c r="G69" s="57">
        <f t="shared" si="184"/>
        <v>0</v>
      </c>
      <c r="H69" s="39"/>
      <c r="J69" s="60">
        <v>0</v>
      </c>
      <c r="K69" s="33"/>
      <c r="L69" s="60"/>
      <c r="M69" s="33"/>
      <c r="N69" s="57">
        <f t="shared" si="212"/>
        <v>0</v>
      </c>
      <c r="O69" s="39"/>
      <c r="Q69" s="60">
        <v>0</v>
      </c>
      <c r="R69" s="33"/>
      <c r="S69" s="60"/>
      <c r="T69" s="33"/>
      <c r="U69" s="57">
        <f t="shared" si="213"/>
        <v>0</v>
      </c>
      <c r="V69" s="39"/>
      <c r="X69" s="61">
        <f t="shared" si="187"/>
        <v>0</v>
      </c>
      <c r="Y69" s="33"/>
      <c r="Z69" s="61">
        <f t="shared" si="188"/>
        <v>0</v>
      </c>
      <c r="AA69" s="33"/>
      <c r="AB69" s="57">
        <f t="shared" si="214"/>
        <v>0</v>
      </c>
      <c r="AC69" s="39"/>
      <c r="AE69" s="60">
        <v>0</v>
      </c>
      <c r="AF69" s="33"/>
      <c r="AG69" s="60"/>
      <c r="AH69" s="33"/>
      <c r="AI69" s="57">
        <f t="shared" si="215"/>
        <v>0</v>
      </c>
      <c r="AJ69" s="39"/>
      <c r="AL69" s="60">
        <v>0</v>
      </c>
      <c r="AM69" s="33"/>
      <c r="AN69" s="60"/>
      <c r="AO69" s="33"/>
      <c r="AP69" s="57">
        <f t="shared" si="216"/>
        <v>0</v>
      </c>
      <c r="AQ69" s="39"/>
      <c r="AS69" s="60">
        <v>0</v>
      </c>
      <c r="AT69" s="33"/>
      <c r="AU69" s="60"/>
      <c r="AV69" s="33"/>
      <c r="AW69" s="57">
        <f t="shared" si="217"/>
        <v>0</v>
      </c>
      <c r="AX69" s="39"/>
      <c r="AZ69" s="61">
        <f t="shared" si="193"/>
        <v>0</v>
      </c>
      <c r="BA69" s="33"/>
      <c r="BB69" s="61">
        <f t="shared" si="194"/>
        <v>0</v>
      </c>
      <c r="BC69" s="33"/>
      <c r="BD69" s="57">
        <f t="shared" si="218"/>
        <v>0</v>
      </c>
      <c r="BE69" s="39"/>
      <c r="BG69" s="60">
        <v>0</v>
      </c>
      <c r="BH69" s="70"/>
      <c r="BI69" s="60">
        <v>0</v>
      </c>
      <c r="BJ69" s="70"/>
      <c r="BK69" s="57">
        <f t="shared" si="196"/>
        <v>0</v>
      </c>
      <c r="BL69" s="43"/>
      <c r="BN69" s="60">
        <v>0</v>
      </c>
      <c r="BO69" s="70"/>
      <c r="BP69" s="60">
        <v>0</v>
      </c>
      <c r="BQ69" s="70"/>
      <c r="BR69" s="57">
        <f t="shared" si="197"/>
        <v>0</v>
      </c>
      <c r="BS69" s="43"/>
      <c r="BU69" s="60">
        <v>0</v>
      </c>
      <c r="BV69" s="70"/>
      <c r="BW69" s="60">
        <v>0</v>
      </c>
      <c r="BX69" s="70"/>
      <c r="BY69" s="57">
        <f t="shared" si="198"/>
        <v>0</v>
      </c>
      <c r="BZ69" s="43"/>
      <c r="CB69" s="61">
        <f t="shared" si="199"/>
        <v>0</v>
      </c>
      <c r="CC69" s="70"/>
      <c r="CD69" s="61">
        <f t="shared" si="200"/>
        <v>0</v>
      </c>
      <c r="CE69" s="70"/>
      <c r="CF69" s="57">
        <f t="shared" si="201"/>
        <v>0</v>
      </c>
      <c r="CG69" s="43"/>
      <c r="CI69" s="60">
        <v>0</v>
      </c>
      <c r="CJ69" s="70"/>
      <c r="CK69" s="60">
        <v>0</v>
      </c>
      <c r="CL69" s="70"/>
      <c r="CM69" s="57">
        <f t="shared" si="202"/>
        <v>0</v>
      </c>
      <c r="CN69" s="43"/>
      <c r="CP69" s="60">
        <v>0</v>
      </c>
      <c r="CQ69" s="70"/>
      <c r="CR69" s="60">
        <v>0</v>
      </c>
      <c r="CS69" s="70"/>
      <c r="CT69" s="57">
        <f t="shared" si="203"/>
        <v>0</v>
      </c>
      <c r="CU69" s="43"/>
      <c r="CW69" s="60">
        <v>0</v>
      </c>
      <c r="CX69" s="70"/>
      <c r="CY69" s="60">
        <v>0</v>
      </c>
      <c r="CZ69" s="70"/>
      <c r="DA69" s="57">
        <f t="shared" si="204"/>
        <v>0</v>
      </c>
      <c r="DB69" s="43"/>
      <c r="DD69" s="60">
        <v>0</v>
      </c>
      <c r="DE69" s="70"/>
      <c r="DF69" s="60">
        <v>0</v>
      </c>
      <c r="DG69" s="70"/>
      <c r="DH69" s="57">
        <f t="shared" si="205"/>
        <v>0</v>
      </c>
      <c r="DI69" s="43"/>
      <c r="DK69" s="61">
        <f t="shared" si="206"/>
        <v>0</v>
      </c>
      <c r="DL69" s="70"/>
      <c r="DM69" s="61">
        <f t="shared" si="207"/>
        <v>0</v>
      </c>
      <c r="DN69" s="70"/>
      <c r="DO69" s="57">
        <f t="shared" si="208"/>
        <v>0</v>
      </c>
      <c r="DP69" s="43"/>
      <c r="DR69" s="61">
        <f t="shared" si="209"/>
        <v>0</v>
      </c>
      <c r="DS69" s="33"/>
      <c r="DT69" s="61">
        <f t="shared" si="210"/>
        <v>0</v>
      </c>
      <c r="DU69" s="33"/>
      <c r="DV69" s="57">
        <f t="shared" si="219"/>
        <v>0</v>
      </c>
      <c r="DW69" s="39"/>
    </row>
    <row r="70" spans="1:129">
      <c r="A70" s="9" t="s">
        <v>77</v>
      </c>
      <c r="B70" s="9"/>
      <c r="C70" s="60">
        <v>0</v>
      </c>
      <c r="D70" s="33"/>
      <c r="E70" s="60">
        <v>2207</v>
      </c>
      <c r="F70" s="33"/>
      <c r="G70" s="57">
        <f t="shared" si="184"/>
        <v>2207</v>
      </c>
      <c r="H70" s="39"/>
      <c r="J70" s="60">
        <v>0</v>
      </c>
      <c r="K70" s="33"/>
      <c r="L70" s="60">
        <v>3057</v>
      </c>
      <c r="M70" s="33"/>
      <c r="N70" s="57">
        <f t="shared" si="212"/>
        <v>3057</v>
      </c>
      <c r="O70" s="39"/>
      <c r="Q70" s="60">
        <v>232.8</v>
      </c>
      <c r="R70" s="33"/>
      <c r="S70" s="60">
        <v>3944</v>
      </c>
      <c r="T70" s="33"/>
      <c r="U70" s="57">
        <f t="shared" si="213"/>
        <v>3711.2</v>
      </c>
      <c r="V70" s="39"/>
      <c r="X70" s="61">
        <f t="shared" si="187"/>
        <v>232.8</v>
      </c>
      <c r="Y70" s="33"/>
      <c r="Z70" s="61">
        <f t="shared" si="188"/>
        <v>9208</v>
      </c>
      <c r="AA70" s="33"/>
      <c r="AB70" s="57">
        <f t="shared" si="214"/>
        <v>8975.2000000000007</v>
      </c>
      <c r="AC70" s="39"/>
      <c r="AE70" s="60">
        <v>0</v>
      </c>
      <c r="AF70" s="33"/>
      <c r="AG70" s="60">
        <v>4644</v>
      </c>
      <c r="AH70" s="33"/>
      <c r="AI70" s="57">
        <f t="shared" si="215"/>
        <v>4644</v>
      </c>
      <c r="AJ70" s="39"/>
      <c r="AL70" s="60">
        <v>0</v>
      </c>
      <c r="AM70" s="33"/>
      <c r="AN70" s="60">
        <v>4476</v>
      </c>
      <c r="AO70" s="33"/>
      <c r="AP70" s="57">
        <f t="shared" si="216"/>
        <v>4476</v>
      </c>
      <c r="AQ70" s="39"/>
      <c r="AS70" s="60">
        <v>0</v>
      </c>
      <c r="AT70" s="33"/>
      <c r="AU70" s="60">
        <v>4857</v>
      </c>
      <c r="AV70" s="33"/>
      <c r="AW70" s="57">
        <f t="shared" si="217"/>
        <v>4857</v>
      </c>
      <c r="AX70" s="39"/>
      <c r="AZ70" s="61">
        <f t="shared" si="193"/>
        <v>0</v>
      </c>
      <c r="BA70" s="33"/>
      <c r="BB70" s="61">
        <f t="shared" si="194"/>
        <v>13977</v>
      </c>
      <c r="BC70" s="33"/>
      <c r="BD70" s="57">
        <f t="shared" si="218"/>
        <v>13977</v>
      </c>
      <c r="BE70" s="39"/>
      <c r="BG70" s="60">
        <v>0</v>
      </c>
      <c r="BH70" s="70"/>
      <c r="BI70" s="60">
        <v>4967</v>
      </c>
      <c r="BJ70" s="70"/>
      <c r="BK70" s="57">
        <f t="shared" si="196"/>
        <v>-4967</v>
      </c>
      <c r="BL70" s="43"/>
      <c r="BN70" s="60">
        <v>0</v>
      </c>
      <c r="BO70" s="70"/>
      <c r="BP70" s="60">
        <v>4881</v>
      </c>
      <c r="BQ70" s="70"/>
      <c r="BR70" s="57">
        <f t="shared" si="197"/>
        <v>-4881</v>
      </c>
      <c r="BS70" s="43"/>
      <c r="BU70" s="60">
        <v>184.14</v>
      </c>
      <c r="BV70" s="70"/>
      <c r="BW70" s="60">
        <v>735</v>
      </c>
      <c r="BX70" s="70"/>
      <c r="BY70" s="57">
        <f t="shared" si="198"/>
        <v>-550.86</v>
      </c>
      <c r="BZ70" s="43"/>
      <c r="CB70" s="61">
        <f t="shared" si="199"/>
        <v>184.14</v>
      </c>
      <c r="CC70" s="70"/>
      <c r="CD70" s="61">
        <f t="shared" si="200"/>
        <v>10583</v>
      </c>
      <c r="CE70" s="70"/>
      <c r="CF70" s="57">
        <f t="shared" si="201"/>
        <v>-10398.86</v>
      </c>
      <c r="CG70" s="43"/>
      <c r="CI70" s="60">
        <f>894.05+163.78</f>
        <v>1057.83</v>
      </c>
      <c r="CJ70" s="70"/>
      <c r="CK70" s="60">
        <v>786</v>
      </c>
      <c r="CL70" s="70"/>
      <c r="CM70" s="57">
        <f t="shared" si="202"/>
        <v>271.82999999999993</v>
      </c>
      <c r="CN70" s="43"/>
      <c r="CP70" s="60">
        <v>0</v>
      </c>
      <c r="CQ70" s="70"/>
      <c r="CR70" s="60">
        <v>743</v>
      </c>
      <c r="CS70" s="70"/>
      <c r="CT70" s="57">
        <f t="shared" si="203"/>
        <v>-743</v>
      </c>
      <c r="CU70" s="43"/>
      <c r="CW70" s="60">
        <v>0</v>
      </c>
      <c r="CX70" s="70"/>
      <c r="CY70" s="60">
        <v>681</v>
      </c>
      <c r="CZ70" s="70"/>
      <c r="DA70" s="57">
        <f t="shared" si="204"/>
        <v>-681</v>
      </c>
      <c r="DB70" s="43"/>
      <c r="DD70" s="60">
        <f>71.24+0</f>
        <v>71.239999999999995</v>
      </c>
      <c r="DE70" s="70"/>
      <c r="DF70" s="60">
        <v>712</v>
      </c>
      <c r="DG70" s="70"/>
      <c r="DH70" s="57">
        <f t="shared" si="205"/>
        <v>-640.76</v>
      </c>
      <c r="DI70" s="43"/>
      <c r="DK70" s="61">
        <f t="shared" si="206"/>
        <v>1129.07</v>
      </c>
      <c r="DL70" s="70"/>
      <c r="DM70" s="61">
        <f t="shared" si="207"/>
        <v>2922</v>
      </c>
      <c r="DN70" s="70"/>
      <c r="DO70" s="57">
        <f t="shared" si="208"/>
        <v>-1792.93</v>
      </c>
      <c r="DP70" s="43"/>
      <c r="DR70" s="61">
        <f t="shared" si="209"/>
        <v>1546.01</v>
      </c>
      <c r="DS70" s="33"/>
      <c r="DT70" s="61">
        <f t="shared" si="210"/>
        <v>36690</v>
      </c>
      <c r="DU70" s="33"/>
      <c r="DV70" s="57">
        <f t="shared" si="219"/>
        <v>35143.99</v>
      </c>
      <c r="DW70" s="39"/>
      <c r="DY70" s="64"/>
    </row>
    <row r="71" spans="1:129">
      <c r="A71" s="9" t="s">
        <v>78</v>
      </c>
      <c r="B71" s="9"/>
      <c r="C71" s="60">
        <v>1622.85</v>
      </c>
      <c r="D71" s="33"/>
      <c r="E71" s="60"/>
      <c r="F71" s="33"/>
      <c r="G71" s="57">
        <f t="shared" si="184"/>
        <v>-1622.85</v>
      </c>
      <c r="H71" s="39"/>
      <c r="J71" s="60">
        <v>311</v>
      </c>
      <c r="K71" s="33"/>
      <c r="L71" s="60"/>
      <c r="M71" s="33"/>
      <c r="N71" s="57">
        <f t="shared" si="212"/>
        <v>-311</v>
      </c>
      <c r="O71" s="39"/>
      <c r="Q71" s="60">
        <v>525.88</v>
      </c>
      <c r="R71" s="33"/>
      <c r="S71" s="60"/>
      <c r="T71" s="33"/>
      <c r="U71" s="57">
        <f t="shared" si="213"/>
        <v>-525.88</v>
      </c>
      <c r="V71" s="39"/>
      <c r="X71" s="61">
        <f t="shared" si="187"/>
        <v>2459.73</v>
      </c>
      <c r="Y71" s="33"/>
      <c r="Z71" s="61">
        <f t="shared" si="188"/>
        <v>0</v>
      </c>
      <c r="AA71" s="33"/>
      <c r="AB71" s="57">
        <f t="shared" si="214"/>
        <v>-2459.73</v>
      </c>
      <c r="AC71" s="39"/>
      <c r="AE71" s="60">
        <v>54</v>
      </c>
      <c r="AF71" s="33"/>
      <c r="AG71" s="60"/>
      <c r="AH71" s="33"/>
      <c r="AI71" s="57">
        <f t="shared" si="215"/>
        <v>-54</v>
      </c>
      <c r="AJ71" s="39"/>
      <c r="AL71" s="60">
        <v>0</v>
      </c>
      <c r="AM71" s="33"/>
      <c r="AN71" s="60"/>
      <c r="AO71" s="33"/>
      <c r="AP71" s="57">
        <f t="shared" si="216"/>
        <v>0</v>
      </c>
      <c r="AQ71" s="39"/>
      <c r="AS71" s="60">
        <v>0</v>
      </c>
      <c r="AT71" s="33"/>
      <c r="AU71" s="60"/>
      <c r="AV71" s="33"/>
      <c r="AW71" s="57">
        <f t="shared" si="217"/>
        <v>0</v>
      </c>
      <c r="AX71" s="39"/>
      <c r="AZ71" s="61">
        <f t="shared" si="193"/>
        <v>54</v>
      </c>
      <c r="BA71" s="33"/>
      <c r="BB71" s="61">
        <f t="shared" si="194"/>
        <v>0</v>
      </c>
      <c r="BC71" s="33"/>
      <c r="BD71" s="57">
        <f t="shared" si="218"/>
        <v>-54</v>
      </c>
      <c r="BE71" s="39"/>
      <c r="BG71" s="60">
        <v>787.86</v>
      </c>
      <c r="BH71" s="70"/>
      <c r="BI71" s="60">
        <v>0</v>
      </c>
      <c r="BJ71" s="70"/>
      <c r="BK71" s="57">
        <f t="shared" si="196"/>
        <v>787.86</v>
      </c>
      <c r="BL71" s="43"/>
      <c r="BN71" s="60">
        <v>4287.3</v>
      </c>
      <c r="BO71" s="70"/>
      <c r="BP71" s="60">
        <v>0</v>
      </c>
      <c r="BQ71" s="70"/>
      <c r="BR71" s="57">
        <f t="shared" si="197"/>
        <v>4287.3</v>
      </c>
      <c r="BS71" s="43"/>
      <c r="BU71" s="60">
        <v>481.98</v>
      </c>
      <c r="BV71" s="70"/>
      <c r="BW71" s="60">
        <v>0</v>
      </c>
      <c r="BX71" s="70"/>
      <c r="BY71" s="57">
        <f t="shared" si="198"/>
        <v>481.98</v>
      </c>
      <c r="BZ71" s="43"/>
      <c r="CB71" s="61">
        <f t="shared" si="199"/>
        <v>5557.1399999999994</v>
      </c>
      <c r="CC71" s="70"/>
      <c r="CD71" s="61">
        <f t="shared" si="200"/>
        <v>0</v>
      </c>
      <c r="CE71" s="70"/>
      <c r="CF71" s="57">
        <f t="shared" si="201"/>
        <v>5557.1399999999994</v>
      </c>
      <c r="CG71" s="43"/>
      <c r="CI71" s="60">
        <v>1759.06</v>
      </c>
      <c r="CJ71" s="70"/>
      <c r="CK71" s="60">
        <v>0</v>
      </c>
      <c r="CL71" s="70"/>
      <c r="CM71" s="57">
        <f t="shared" si="202"/>
        <v>1759.06</v>
      </c>
      <c r="CN71" s="43"/>
      <c r="CP71" s="60">
        <f>1352.07+45.36</f>
        <v>1397.4299999999998</v>
      </c>
      <c r="CQ71" s="70"/>
      <c r="CR71" s="60">
        <v>0</v>
      </c>
      <c r="CS71" s="70"/>
      <c r="CT71" s="57">
        <f t="shared" si="203"/>
        <v>1397.4299999999998</v>
      </c>
      <c r="CU71" s="43"/>
      <c r="CW71" s="60">
        <v>835.51</v>
      </c>
      <c r="CX71" s="70"/>
      <c r="CY71" s="60">
        <v>0</v>
      </c>
      <c r="CZ71" s="70"/>
      <c r="DA71" s="57">
        <f t="shared" si="204"/>
        <v>835.51</v>
      </c>
      <c r="DB71" s="43"/>
      <c r="DD71" s="60">
        <v>618.09</v>
      </c>
      <c r="DE71" s="70"/>
      <c r="DF71" s="60">
        <v>0</v>
      </c>
      <c r="DG71" s="70"/>
      <c r="DH71" s="57">
        <f t="shared" si="205"/>
        <v>618.09</v>
      </c>
      <c r="DI71" s="43"/>
      <c r="DK71" s="61">
        <f t="shared" si="206"/>
        <v>4610.09</v>
      </c>
      <c r="DL71" s="70"/>
      <c r="DM71" s="61">
        <f t="shared" si="207"/>
        <v>0</v>
      </c>
      <c r="DN71" s="70"/>
      <c r="DO71" s="57">
        <f t="shared" si="208"/>
        <v>4610.09</v>
      </c>
      <c r="DP71" s="43"/>
      <c r="DR71" s="61">
        <f t="shared" si="209"/>
        <v>12680.96</v>
      </c>
      <c r="DS71" s="33"/>
      <c r="DT71" s="61">
        <f t="shared" si="210"/>
        <v>0</v>
      </c>
      <c r="DU71" s="33"/>
      <c r="DV71" s="57">
        <f t="shared" si="219"/>
        <v>-12680.96</v>
      </c>
      <c r="DW71" s="39"/>
      <c r="DY71" s="64"/>
    </row>
    <row r="72" spans="1:129">
      <c r="A72" s="9" t="s">
        <v>79</v>
      </c>
      <c r="B72" s="9"/>
      <c r="C72" s="60">
        <v>1548.03</v>
      </c>
      <c r="D72" s="33"/>
      <c r="E72" s="60"/>
      <c r="F72" s="33"/>
      <c r="G72" s="57">
        <f t="shared" si="184"/>
        <v>-1548.03</v>
      </c>
      <c r="H72" s="39"/>
      <c r="J72" s="60">
        <v>902.1</v>
      </c>
      <c r="K72" s="33"/>
      <c r="L72" s="60"/>
      <c r="M72" s="33"/>
      <c r="N72" s="57">
        <f t="shared" si="212"/>
        <v>-902.1</v>
      </c>
      <c r="O72" s="39"/>
      <c r="Q72" s="60">
        <v>675.27</v>
      </c>
      <c r="R72" s="33"/>
      <c r="S72" s="60"/>
      <c r="T72" s="33"/>
      <c r="U72" s="57">
        <f t="shared" si="213"/>
        <v>-675.27</v>
      </c>
      <c r="V72" s="39"/>
      <c r="X72" s="61">
        <f t="shared" si="187"/>
        <v>3125.4</v>
      </c>
      <c r="Y72" s="33"/>
      <c r="Z72" s="61">
        <f t="shared" si="188"/>
        <v>0</v>
      </c>
      <c r="AA72" s="33"/>
      <c r="AB72" s="57">
        <f t="shared" si="214"/>
        <v>-3125.4</v>
      </c>
      <c r="AC72" s="39"/>
      <c r="AE72" s="60">
        <v>0</v>
      </c>
      <c r="AF72" s="33"/>
      <c r="AG72" s="60"/>
      <c r="AH72" s="33"/>
      <c r="AI72" s="57">
        <f t="shared" si="215"/>
        <v>0</v>
      </c>
      <c r="AJ72" s="39"/>
      <c r="AL72" s="60">
        <v>0</v>
      </c>
      <c r="AM72" s="33"/>
      <c r="AN72" s="60"/>
      <c r="AO72" s="33"/>
      <c r="AP72" s="57">
        <f t="shared" si="216"/>
        <v>0</v>
      </c>
      <c r="AQ72" s="39"/>
      <c r="AS72" s="60">
        <v>0</v>
      </c>
      <c r="AT72" s="33"/>
      <c r="AU72" s="60"/>
      <c r="AV72" s="33"/>
      <c r="AW72" s="57">
        <f t="shared" si="217"/>
        <v>0</v>
      </c>
      <c r="AX72" s="39"/>
      <c r="AZ72" s="61">
        <f t="shared" si="193"/>
        <v>0</v>
      </c>
      <c r="BA72" s="33"/>
      <c r="BB72" s="61">
        <f t="shared" si="194"/>
        <v>0</v>
      </c>
      <c r="BC72" s="33"/>
      <c r="BD72" s="57">
        <f t="shared" si="218"/>
        <v>0</v>
      </c>
      <c r="BE72" s="39"/>
      <c r="BG72" s="60">
        <v>0</v>
      </c>
      <c r="BH72" s="70"/>
      <c r="BI72" s="60">
        <v>0</v>
      </c>
      <c r="BJ72" s="70"/>
      <c r="BK72" s="57">
        <f t="shared" si="196"/>
        <v>0</v>
      </c>
      <c r="BL72" s="43"/>
      <c r="BN72" s="60">
        <v>121.82</v>
      </c>
      <c r="BO72" s="70"/>
      <c r="BP72" s="60">
        <v>0</v>
      </c>
      <c r="BQ72" s="70"/>
      <c r="BR72" s="57">
        <f t="shared" si="197"/>
        <v>121.82</v>
      </c>
      <c r="BS72" s="43"/>
      <c r="BU72" s="60">
        <v>803.84</v>
      </c>
      <c r="BV72" s="70"/>
      <c r="BW72" s="60">
        <v>0</v>
      </c>
      <c r="BX72" s="70"/>
      <c r="BY72" s="57">
        <f t="shared" si="198"/>
        <v>803.84</v>
      </c>
      <c r="BZ72" s="43"/>
      <c r="CB72" s="61">
        <f t="shared" si="199"/>
        <v>925.66000000000008</v>
      </c>
      <c r="CC72" s="70"/>
      <c r="CD72" s="61">
        <f t="shared" si="200"/>
        <v>0</v>
      </c>
      <c r="CE72" s="70"/>
      <c r="CF72" s="57">
        <f t="shared" si="201"/>
        <v>925.66000000000008</v>
      </c>
      <c r="CG72" s="43"/>
      <c r="CI72" s="60">
        <v>1169.3499999999999</v>
      </c>
      <c r="CJ72" s="70"/>
      <c r="CK72" s="60">
        <v>0</v>
      </c>
      <c r="CL72" s="70"/>
      <c r="CM72" s="57">
        <f t="shared" si="202"/>
        <v>1169.3499999999999</v>
      </c>
      <c r="CN72" s="43"/>
      <c r="CP72" s="60">
        <f>1889+562.95</f>
        <v>2451.9499999999998</v>
      </c>
      <c r="CQ72" s="70"/>
      <c r="CR72" s="60">
        <v>0</v>
      </c>
      <c r="CS72" s="70"/>
      <c r="CT72" s="57">
        <f t="shared" si="203"/>
        <v>2451.9499999999998</v>
      </c>
      <c r="CU72" s="43"/>
      <c r="CW72" s="60">
        <f>84.2+620.39</f>
        <v>704.59</v>
      </c>
      <c r="CX72" s="70"/>
      <c r="CY72" s="60">
        <v>0</v>
      </c>
      <c r="CZ72" s="70"/>
      <c r="DA72" s="57">
        <f t="shared" si="204"/>
        <v>704.59</v>
      </c>
      <c r="DB72" s="43"/>
      <c r="DD72" s="60">
        <f>77.7+1825.97</f>
        <v>1903.67</v>
      </c>
      <c r="DE72" s="70"/>
      <c r="DF72" s="60">
        <v>0</v>
      </c>
      <c r="DG72" s="70"/>
      <c r="DH72" s="57">
        <f t="shared" si="205"/>
        <v>1903.67</v>
      </c>
      <c r="DI72" s="43"/>
      <c r="DK72" s="61">
        <f t="shared" si="206"/>
        <v>6229.5599999999995</v>
      </c>
      <c r="DL72" s="70"/>
      <c r="DM72" s="61">
        <f t="shared" si="207"/>
        <v>0</v>
      </c>
      <c r="DN72" s="70"/>
      <c r="DO72" s="57">
        <f t="shared" si="208"/>
        <v>6229.5599999999995</v>
      </c>
      <c r="DP72" s="43"/>
      <c r="DR72" s="61">
        <f t="shared" si="209"/>
        <v>10280.619999999999</v>
      </c>
      <c r="DS72" s="33"/>
      <c r="DT72" s="61">
        <f t="shared" si="210"/>
        <v>0</v>
      </c>
      <c r="DU72" s="33"/>
      <c r="DV72" s="57">
        <f t="shared" si="219"/>
        <v>-10280.619999999999</v>
      </c>
      <c r="DW72" s="39"/>
      <c r="DY72" s="64"/>
    </row>
    <row r="73" spans="1:129">
      <c r="A73" s="9" t="s">
        <v>80</v>
      </c>
      <c r="B73" s="9"/>
      <c r="C73" s="60">
        <v>0</v>
      </c>
      <c r="D73" s="33"/>
      <c r="E73" s="60">
        <v>216</v>
      </c>
      <c r="F73" s="33"/>
      <c r="G73" s="57">
        <f t="shared" si="184"/>
        <v>216</v>
      </c>
      <c r="H73" s="39"/>
      <c r="J73" s="60">
        <v>64.489999999999995</v>
      </c>
      <c r="K73" s="33"/>
      <c r="L73" s="60">
        <v>216</v>
      </c>
      <c r="M73" s="33"/>
      <c r="N73" s="57">
        <f t="shared" si="212"/>
        <v>151.51</v>
      </c>
      <c r="O73" s="39"/>
      <c r="Q73" s="60">
        <v>0</v>
      </c>
      <c r="R73" s="33"/>
      <c r="S73" s="60">
        <v>216</v>
      </c>
      <c r="T73" s="33"/>
      <c r="U73" s="57">
        <f t="shared" si="213"/>
        <v>216</v>
      </c>
      <c r="V73" s="39"/>
      <c r="X73" s="61">
        <f t="shared" si="187"/>
        <v>64.489999999999995</v>
      </c>
      <c r="Y73" s="33"/>
      <c r="Z73" s="61">
        <f t="shared" si="188"/>
        <v>648</v>
      </c>
      <c r="AA73" s="33"/>
      <c r="AB73" s="57">
        <f t="shared" si="214"/>
        <v>583.51</v>
      </c>
      <c r="AC73" s="39"/>
      <c r="AE73" s="60">
        <v>0</v>
      </c>
      <c r="AF73" s="33"/>
      <c r="AG73" s="60">
        <v>216</v>
      </c>
      <c r="AH73" s="33"/>
      <c r="AI73" s="57">
        <f t="shared" si="215"/>
        <v>216</v>
      </c>
      <c r="AJ73" s="39"/>
      <c r="AL73" s="60">
        <v>0</v>
      </c>
      <c r="AM73" s="33"/>
      <c r="AN73" s="60">
        <v>216</v>
      </c>
      <c r="AO73" s="33"/>
      <c r="AP73" s="57">
        <f t="shared" si="216"/>
        <v>216</v>
      </c>
      <c r="AQ73" s="39"/>
      <c r="AS73" s="60">
        <v>106.64</v>
      </c>
      <c r="AT73" s="33"/>
      <c r="AU73" s="60">
        <v>216</v>
      </c>
      <c r="AV73" s="33"/>
      <c r="AW73" s="57">
        <f t="shared" si="217"/>
        <v>109.36</v>
      </c>
      <c r="AX73" s="39"/>
      <c r="AZ73" s="61">
        <f t="shared" si="193"/>
        <v>106.64</v>
      </c>
      <c r="BA73" s="33"/>
      <c r="BB73" s="61">
        <f t="shared" si="194"/>
        <v>648</v>
      </c>
      <c r="BC73" s="33"/>
      <c r="BD73" s="57">
        <f t="shared" si="218"/>
        <v>541.36</v>
      </c>
      <c r="BE73" s="39"/>
      <c r="BG73" s="60">
        <v>0</v>
      </c>
      <c r="BH73" s="70"/>
      <c r="BI73" s="60">
        <v>216</v>
      </c>
      <c r="BJ73" s="70"/>
      <c r="BK73" s="57">
        <f t="shared" si="196"/>
        <v>-216</v>
      </c>
      <c r="BL73" s="43"/>
      <c r="BN73" s="60">
        <v>-6.47</v>
      </c>
      <c r="BO73" s="70"/>
      <c r="BP73" s="60">
        <v>216</v>
      </c>
      <c r="BQ73" s="70"/>
      <c r="BR73" s="57">
        <f t="shared" si="197"/>
        <v>-222.47</v>
      </c>
      <c r="BS73" s="43"/>
      <c r="BU73" s="60">
        <v>7.41</v>
      </c>
      <c r="BV73" s="70"/>
      <c r="BW73" s="60">
        <v>90</v>
      </c>
      <c r="BX73" s="70"/>
      <c r="BY73" s="57">
        <f t="shared" si="198"/>
        <v>-82.59</v>
      </c>
      <c r="BZ73" s="43"/>
      <c r="CB73" s="61">
        <f t="shared" si="199"/>
        <v>0.94000000000000039</v>
      </c>
      <c r="CC73" s="70"/>
      <c r="CD73" s="61">
        <f t="shared" si="200"/>
        <v>522</v>
      </c>
      <c r="CE73" s="70"/>
      <c r="CF73" s="57">
        <f t="shared" si="201"/>
        <v>-521.05999999999995</v>
      </c>
      <c r="CG73" s="43"/>
      <c r="CI73" s="60">
        <v>198.32</v>
      </c>
      <c r="CJ73" s="70"/>
      <c r="CK73" s="60">
        <v>90</v>
      </c>
      <c r="CL73" s="70"/>
      <c r="CM73" s="57">
        <f t="shared" si="202"/>
        <v>108.32</v>
      </c>
      <c r="CN73" s="43"/>
      <c r="CP73" s="60">
        <v>0</v>
      </c>
      <c r="CQ73" s="70"/>
      <c r="CR73" s="60">
        <v>90</v>
      </c>
      <c r="CS73" s="70"/>
      <c r="CT73" s="57">
        <f t="shared" si="203"/>
        <v>-90</v>
      </c>
      <c r="CU73" s="43"/>
      <c r="CW73" s="60">
        <v>47.16</v>
      </c>
      <c r="CX73" s="70"/>
      <c r="CY73" s="60">
        <v>90</v>
      </c>
      <c r="CZ73" s="70"/>
      <c r="DA73" s="57">
        <f t="shared" si="204"/>
        <v>-42.84</v>
      </c>
      <c r="DB73" s="43"/>
      <c r="DD73" s="60">
        <v>0</v>
      </c>
      <c r="DE73" s="70"/>
      <c r="DF73" s="60">
        <v>90</v>
      </c>
      <c r="DG73" s="70"/>
      <c r="DH73" s="57">
        <f t="shared" si="205"/>
        <v>-90</v>
      </c>
      <c r="DI73" s="43"/>
      <c r="DK73" s="61">
        <f t="shared" si="206"/>
        <v>245.48</v>
      </c>
      <c r="DL73" s="70"/>
      <c r="DM73" s="61">
        <f t="shared" si="207"/>
        <v>360</v>
      </c>
      <c r="DN73" s="70"/>
      <c r="DO73" s="57">
        <f t="shared" si="208"/>
        <v>-114.52000000000001</v>
      </c>
      <c r="DP73" s="43"/>
      <c r="DR73" s="61">
        <f t="shared" si="209"/>
        <v>417.54999999999995</v>
      </c>
      <c r="DS73" s="33"/>
      <c r="DT73" s="61">
        <f t="shared" si="210"/>
        <v>2178</v>
      </c>
      <c r="DU73" s="33"/>
      <c r="DV73" s="57">
        <f t="shared" si="219"/>
        <v>1760.45</v>
      </c>
      <c r="DW73" s="39"/>
    </row>
    <row r="74" spans="1:129">
      <c r="A74" s="9" t="s">
        <v>81</v>
      </c>
      <c r="B74" s="9"/>
      <c r="C74" s="60">
        <v>3307.2</v>
      </c>
      <c r="D74" s="33"/>
      <c r="E74" s="60">
        <v>3035</v>
      </c>
      <c r="F74" s="33"/>
      <c r="G74" s="57">
        <f t="shared" si="184"/>
        <v>-272.19999999999982</v>
      </c>
      <c r="H74" s="39"/>
      <c r="J74" s="60">
        <v>5595.58</v>
      </c>
      <c r="K74" s="33"/>
      <c r="L74" s="60">
        <v>4203</v>
      </c>
      <c r="M74" s="33"/>
      <c r="N74" s="57">
        <f t="shared" si="212"/>
        <v>-1392.58</v>
      </c>
      <c r="O74" s="39"/>
      <c r="Q74" s="60">
        <v>3911.1</v>
      </c>
      <c r="R74" s="33"/>
      <c r="S74" s="60">
        <v>5424</v>
      </c>
      <c r="T74" s="33"/>
      <c r="U74" s="57">
        <f t="shared" si="213"/>
        <v>1512.9</v>
      </c>
      <c r="V74" s="39"/>
      <c r="X74" s="61">
        <f t="shared" si="187"/>
        <v>12813.88</v>
      </c>
      <c r="Y74" s="33"/>
      <c r="Z74" s="61">
        <f t="shared" si="188"/>
        <v>12662</v>
      </c>
      <c r="AA74" s="33"/>
      <c r="AB74" s="57">
        <f t="shared" si="214"/>
        <v>-151.8799999999992</v>
      </c>
      <c r="AC74" s="39"/>
      <c r="AE74" s="60">
        <v>0</v>
      </c>
      <c r="AF74" s="33"/>
      <c r="AG74" s="60">
        <v>6385</v>
      </c>
      <c r="AH74" s="33"/>
      <c r="AI74" s="57">
        <f t="shared" si="215"/>
        <v>6385</v>
      </c>
      <c r="AJ74" s="39"/>
      <c r="AL74" s="60">
        <v>0</v>
      </c>
      <c r="AM74" s="33"/>
      <c r="AN74" s="60">
        <v>6154</v>
      </c>
      <c r="AO74" s="33"/>
      <c r="AP74" s="57">
        <f t="shared" si="216"/>
        <v>6154</v>
      </c>
      <c r="AQ74" s="39"/>
      <c r="AS74" s="60">
        <v>0</v>
      </c>
      <c r="AT74" s="33"/>
      <c r="AU74" s="60">
        <v>6678</v>
      </c>
      <c r="AV74" s="33"/>
      <c r="AW74" s="57">
        <f t="shared" si="217"/>
        <v>6678</v>
      </c>
      <c r="AX74" s="39"/>
      <c r="AZ74" s="61">
        <f t="shared" si="193"/>
        <v>0</v>
      </c>
      <c r="BA74" s="33"/>
      <c r="BB74" s="61">
        <f t="shared" si="194"/>
        <v>19217</v>
      </c>
      <c r="BC74" s="33"/>
      <c r="BD74" s="57">
        <f t="shared" si="218"/>
        <v>19217</v>
      </c>
      <c r="BE74" s="39"/>
      <c r="BG74" s="60">
        <v>-32.79</v>
      </c>
      <c r="BH74" s="70"/>
      <c r="BI74" s="60">
        <v>6829</v>
      </c>
      <c r="BJ74" s="70"/>
      <c r="BK74" s="57">
        <f t="shared" si="196"/>
        <v>-6861.79</v>
      </c>
      <c r="BL74" s="43"/>
      <c r="BN74" s="60">
        <v>821.42</v>
      </c>
      <c r="BO74" s="70"/>
      <c r="BP74" s="60">
        <v>6712</v>
      </c>
      <c r="BQ74" s="70"/>
      <c r="BR74" s="57">
        <f t="shared" si="197"/>
        <v>-5890.58</v>
      </c>
      <c r="BS74" s="43"/>
      <c r="BU74" s="60">
        <v>1684.76</v>
      </c>
      <c r="BV74" s="70"/>
      <c r="BW74" s="60">
        <v>2941</v>
      </c>
      <c r="BX74" s="70"/>
      <c r="BY74" s="57">
        <f t="shared" si="198"/>
        <v>-1256.24</v>
      </c>
      <c r="BZ74" s="43"/>
      <c r="CB74" s="61">
        <f t="shared" si="199"/>
        <v>2473.39</v>
      </c>
      <c r="CC74" s="70"/>
      <c r="CD74" s="61">
        <f t="shared" si="200"/>
        <v>16482</v>
      </c>
      <c r="CE74" s="70"/>
      <c r="CF74" s="57">
        <f t="shared" si="201"/>
        <v>-14008.61</v>
      </c>
      <c r="CG74" s="43"/>
      <c r="CI74" s="60">
        <v>2263.73</v>
      </c>
      <c r="CJ74" s="70"/>
      <c r="CK74" s="60">
        <v>2359</v>
      </c>
      <c r="CL74" s="70"/>
      <c r="CM74" s="57">
        <f t="shared" si="202"/>
        <v>-95.269999999999982</v>
      </c>
      <c r="CN74" s="43"/>
      <c r="CP74" s="60">
        <v>2313.85</v>
      </c>
      <c r="CQ74" s="70"/>
      <c r="CR74" s="60">
        <v>2228</v>
      </c>
      <c r="CS74" s="70"/>
      <c r="CT74" s="57">
        <f t="shared" si="203"/>
        <v>85.849999999999909</v>
      </c>
      <c r="CU74" s="43"/>
      <c r="CW74" s="60">
        <v>1554.11</v>
      </c>
      <c r="CX74" s="70"/>
      <c r="CY74" s="60">
        <v>2042</v>
      </c>
      <c r="CZ74" s="70"/>
      <c r="DA74" s="57">
        <f t="shared" si="204"/>
        <v>-487.8900000000001</v>
      </c>
      <c r="DB74" s="43"/>
      <c r="DD74" s="60">
        <v>1219.0899999999999</v>
      </c>
      <c r="DE74" s="70"/>
      <c r="DF74" s="60">
        <v>2135</v>
      </c>
      <c r="DG74" s="70"/>
      <c r="DH74" s="57">
        <f t="shared" si="205"/>
        <v>-915.91000000000008</v>
      </c>
      <c r="DI74" s="43"/>
      <c r="DK74" s="61">
        <f t="shared" si="206"/>
        <v>7350.78</v>
      </c>
      <c r="DL74" s="70"/>
      <c r="DM74" s="61">
        <f t="shared" si="207"/>
        <v>8764</v>
      </c>
      <c r="DN74" s="70"/>
      <c r="DO74" s="57">
        <f t="shared" si="208"/>
        <v>-1413.2200000000003</v>
      </c>
      <c r="DP74" s="43"/>
      <c r="DR74" s="61">
        <f t="shared" si="209"/>
        <v>22638.05</v>
      </c>
      <c r="DS74" s="33"/>
      <c r="DT74" s="61">
        <f t="shared" si="210"/>
        <v>57125</v>
      </c>
      <c r="DU74" s="33"/>
      <c r="DV74" s="57">
        <f t="shared" si="219"/>
        <v>34486.949999999997</v>
      </c>
      <c r="DW74" s="39"/>
    </row>
    <row r="75" spans="1:129">
      <c r="A75" s="9" t="s">
        <v>82</v>
      </c>
      <c r="B75" s="9"/>
      <c r="C75" s="60">
        <v>0</v>
      </c>
      <c r="D75" s="33"/>
      <c r="E75" s="60">
        <v>335</v>
      </c>
      <c r="F75" s="33"/>
      <c r="G75" s="57">
        <f t="shared" si="184"/>
        <v>335</v>
      </c>
      <c r="H75" s="39"/>
      <c r="J75" s="60">
        <v>0</v>
      </c>
      <c r="K75" s="33"/>
      <c r="L75" s="60">
        <v>335</v>
      </c>
      <c r="M75" s="33"/>
      <c r="N75" s="57">
        <f t="shared" si="212"/>
        <v>335</v>
      </c>
      <c r="O75" s="39"/>
      <c r="Q75" s="60">
        <v>0</v>
      </c>
      <c r="R75" s="33"/>
      <c r="S75" s="60">
        <v>335</v>
      </c>
      <c r="T75" s="33"/>
      <c r="U75" s="57">
        <f t="shared" si="213"/>
        <v>335</v>
      </c>
      <c r="V75" s="39"/>
      <c r="X75" s="61">
        <f t="shared" si="187"/>
        <v>0</v>
      </c>
      <c r="Y75" s="33"/>
      <c r="Z75" s="61">
        <f t="shared" si="188"/>
        <v>1005</v>
      </c>
      <c r="AA75" s="33"/>
      <c r="AB75" s="57">
        <f t="shared" si="214"/>
        <v>1005</v>
      </c>
      <c r="AC75" s="39"/>
      <c r="AE75" s="60">
        <v>0</v>
      </c>
      <c r="AF75" s="33"/>
      <c r="AG75" s="60">
        <v>335</v>
      </c>
      <c r="AH75" s="33"/>
      <c r="AI75" s="57">
        <f t="shared" si="215"/>
        <v>335</v>
      </c>
      <c r="AJ75" s="39"/>
      <c r="AL75" s="60">
        <v>0</v>
      </c>
      <c r="AM75" s="33"/>
      <c r="AN75" s="60">
        <v>335</v>
      </c>
      <c r="AO75" s="33"/>
      <c r="AP75" s="57">
        <f t="shared" si="216"/>
        <v>335</v>
      </c>
      <c r="AQ75" s="39"/>
      <c r="AS75" s="60">
        <v>0</v>
      </c>
      <c r="AT75" s="33"/>
      <c r="AU75" s="60">
        <v>335</v>
      </c>
      <c r="AV75" s="33"/>
      <c r="AW75" s="57">
        <f t="shared" si="217"/>
        <v>335</v>
      </c>
      <c r="AX75" s="39"/>
      <c r="AZ75" s="61">
        <f t="shared" si="193"/>
        <v>0</v>
      </c>
      <c r="BA75" s="33"/>
      <c r="BB75" s="61">
        <f t="shared" si="194"/>
        <v>1005</v>
      </c>
      <c r="BC75" s="33"/>
      <c r="BD75" s="57">
        <f t="shared" si="218"/>
        <v>1005</v>
      </c>
      <c r="BE75" s="39"/>
      <c r="BG75" s="60">
        <v>0</v>
      </c>
      <c r="BH75" s="70"/>
      <c r="BI75" s="60">
        <v>335</v>
      </c>
      <c r="BJ75" s="70"/>
      <c r="BK75" s="57">
        <f t="shared" si="196"/>
        <v>-335</v>
      </c>
      <c r="BL75" s="43"/>
      <c r="BN75" s="60">
        <v>65.73</v>
      </c>
      <c r="BO75" s="70"/>
      <c r="BP75" s="60">
        <v>335</v>
      </c>
      <c r="BQ75" s="70"/>
      <c r="BR75" s="57">
        <f t="shared" si="197"/>
        <v>-269.27</v>
      </c>
      <c r="BS75" s="43"/>
      <c r="BU75" s="60">
        <v>50</v>
      </c>
      <c r="BV75" s="70"/>
      <c r="BW75" s="60">
        <v>497</v>
      </c>
      <c r="BX75" s="70"/>
      <c r="BY75" s="57">
        <f t="shared" si="198"/>
        <v>-447</v>
      </c>
      <c r="BZ75" s="43"/>
      <c r="CB75" s="61">
        <f t="shared" si="199"/>
        <v>115.73</v>
      </c>
      <c r="CC75" s="70"/>
      <c r="CD75" s="61">
        <f t="shared" si="200"/>
        <v>1167</v>
      </c>
      <c r="CE75" s="70"/>
      <c r="CF75" s="57">
        <f t="shared" si="201"/>
        <v>-1051.27</v>
      </c>
      <c r="CG75" s="43"/>
      <c r="CI75" s="60">
        <v>1036.31</v>
      </c>
      <c r="CJ75" s="70"/>
      <c r="CK75" s="60">
        <v>497</v>
      </c>
      <c r="CL75" s="70"/>
      <c r="CM75" s="57">
        <f t="shared" si="202"/>
        <v>539.30999999999995</v>
      </c>
      <c r="CN75" s="43"/>
      <c r="CP75" s="60">
        <v>0</v>
      </c>
      <c r="CQ75" s="70"/>
      <c r="CR75" s="60">
        <v>497</v>
      </c>
      <c r="CS75" s="70"/>
      <c r="CT75" s="57">
        <f t="shared" si="203"/>
        <v>-497</v>
      </c>
      <c r="CU75" s="43"/>
      <c r="CW75" s="60">
        <v>0</v>
      </c>
      <c r="CX75" s="70"/>
      <c r="CY75" s="60">
        <v>497</v>
      </c>
      <c r="CZ75" s="70"/>
      <c r="DA75" s="57">
        <f t="shared" si="204"/>
        <v>-497</v>
      </c>
      <c r="DB75" s="43"/>
      <c r="DD75" s="60">
        <v>-1054.33</v>
      </c>
      <c r="DE75" s="70"/>
      <c r="DF75" s="60">
        <v>497</v>
      </c>
      <c r="DG75" s="70"/>
      <c r="DH75" s="57">
        <f t="shared" si="205"/>
        <v>-1551.33</v>
      </c>
      <c r="DI75" s="43"/>
      <c r="DK75" s="61">
        <f t="shared" si="206"/>
        <v>-18.019999999999982</v>
      </c>
      <c r="DL75" s="70"/>
      <c r="DM75" s="61">
        <f t="shared" si="207"/>
        <v>1988</v>
      </c>
      <c r="DN75" s="70"/>
      <c r="DO75" s="57">
        <f t="shared" si="208"/>
        <v>-2006.02</v>
      </c>
      <c r="DP75" s="43"/>
      <c r="DR75" s="61">
        <f t="shared" si="209"/>
        <v>97.710000000000022</v>
      </c>
      <c r="DS75" s="33"/>
      <c r="DT75" s="61">
        <f t="shared" si="210"/>
        <v>5165</v>
      </c>
      <c r="DU75" s="33"/>
      <c r="DV75" s="57">
        <f t="shared" si="219"/>
        <v>5067.29</v>
      </c>
      <c r="DW75" s="39"/>
    </row>
    <row r="76" spans="1:129">
      <c r="A76" s="9" t="s">
        <v>83</v>
      </c>
      <c r="B76" s="9"/>
      <c r="C76" s="60">
        <v>0</v>
      </c>
      <c r="D76" s="33"/>
      <c r="E76" s="60">
        <v>650</v>
      </c>
      <c r="F76" s="33"/>
      <c r="G76" s="57">
        <f t="shared" si="184"/>
        <v>650</v>
      </c>
      <c r="H76" s="39"/>
      <c r="J76" s="60">
        <v>0</v>
      </c>
      <c r="K76" s="33"/>
      <c r="L76" s="60">
        <v>650</v>
      </c>
      <c r="M76" s="33"/>
      <c r="N76" s="57">
        <f t="shared" si="212"/>
        <v>650</v>
      </c>
      <c r="O76" s="39"/>
      <c r="Q76" s="60">
        <v>0</v>
      </c>
      <c r="R76" s="33"/>
      <c r="S76" s="60">
        <v>650</v>
      </c>
      <c r="T76" s="33"/>
      <c r="U76" s="57">
        <f t="shared" si="213"/>
        <v>650</v>
      </c>
      <c r="V76" s="39"/>
      <c r="X76" s="61">
        <f t="shared" si="187"/>
        <v>0</v>
      </c>
      <c r="Y76" s="33"/>
      <c r="Z76" s="61">
        <f t="shared" si="188"/>
        <v>1950</v>
      </c>
      <c r="AA76" s="33"/>
      <c r="AB76" s="57">
        <f t="shared" si="214"/>
        <v>1950</v>
      </c>
      <c r="AC76" s="39"/>
      <c r="AE76" s="60">
        <v>0</v>
      </c>
      <c r="AF76" s="33"/>
      <c r="AG76" s="60">
        <v>650</v>
      </c>
      <c r="AH76" s="33"/>
      <c r="AI76" s="57">
        <f t="shared" si="215"/>
        <v>650</v>
      </c>
      <c r="AJ76" s="39"/>
      <c r="AL76" s="60">
        <v>0</v>
      </c>
      <c r="AM76" s="33"/>
      <c r="AN76" s="60">
        <v>650</v>
      </c>
      <c r="AO76" s="33"/>
      <c r="AP76" s="57">
        <f t="shared" si="216"/>
        <v>650</v>
      </c>
      <c r="AQ76" s="39"/>
      <c r="AS76" s="60">
        <v>0</v>
      </c>
      <c r="AT76" s="33"/>
      <c r="AU76" s="60">
        <v>650</v>
      </c>
      <c r="AV76" s="33"/>
      <c r="AW76" s="57">
        <f t="shared" si="217"/>
        <v>650</v>
      </c>
      <c r="AX76" s="39"/>
      <c r="AZ76" s="61">
        <f t="shared" si="193"/>
        <v>0</v>
      </c>
      <c r="BA76" s="33"/>
      <c r="BB76" s="61">
        <f t="shared" si="194"/>
        <v>1950</v>
      </c>
      <c r="BC76" s="33"/>
      <c r="BD76" s="57">
        <f t="shared" si="218"/>
        <v>1950</v>
      </c>
      <c r="BE76" s="39"/>
      <c r="BG76" s="60">
        <v>0</v>
      </c>
      <c r="BH76" s="70"/>
      <c r="BI76" s="60">
        <v>650</v>
      </c>
      <c r="BJ76" s="70"/>
      <c r="BK76" s="57">
        <f t="shared" si="196"/>
        <v>-650</v>
      </c>
      <c r="BL76" s="43"/>
      <c r="BN76" s="60">
        <v>0</v>
      </c>
      <c r="BO76" s="70"/>
      <c r="BP76" s="60">
        <v>650</v>
      </c>
      <c r="BQ76" s="70"/>
      <c r="BR76" s="57">
        <f t="shared" si="197"/>
        <v>-650</v>
      </c>
      <c r="BS76" s="43"/>
      <c r="BU76" s="60">
        <v>0</v>
      </c>
      <c r="BV76" s="70"/>
      <c r="BW76" s="60">
        <v>250</v>
      </c>
      <c r="BX76" s="70"/>
      <c r="BY76" s="57">
        <f t="shared" si="198"/>
        <v>-250</v>
      </c>
      <c r="BZ76" s="43"/>
      <c r="CB76" s="61">
        <f t="shared" si="199"/>
        <v>0</v>
      </c>
      <c r="CC76" s="70"/>
      <c r="CD76" s="61">
        <f t="shared" si="200"/>
        <v>1550</v>
      </c>
      <c r="CE76" s="70"/>
      <c r="CF76" s="57">
        <f t="shared" si="201"/>
        <v>-1550</v>
      </c>
      <c r="CG76" s="43"/>
      <c r="CI76" s="60">
        <v>29.85</v>
      </c>
      <c r="CJ76" s="70"/>
      <c r="CK76" s="60">
        <v>250</v>
      </c>
      <c r="CL76" s="70"/>
      <c r="CM76" s="57">
        <f t="shared" si="202"/>
        <v>-220.15</v>
      </c>
      <c r="CN76" s="43"/>
      <c r="CP76" s="60">
        <v>424.07</v>
      </c>
      <c r="CQ76" s="70"/>
      <c r="CR76" s="60">
        <v>250</v>
      </c>
      <c r="CS76" s="70"/>
      <c r="CT76" s="57">
        <f t="shared" si="203"/>
        <v>174.07</v>
      </c>
      <c r="CU76" s="43"/>
      <c r="CW76" s="60">
        <v>297</v>
      </c>
      <c r="CX76" s="70"/>
      <c r="CY76" s="60">
        <v>250</v>
      </c>
      <c r="CZ76" s="70"/>
      <c r="DA76" s="57">
        <f t="shared" si="204"/>
        <v>47</v>
      </c>
      <c r="DB76" s="43"/>
      <c r="DD76" s="60">
        <v>0</v>
      </c>
      <c r="DE76" s="70"/>
      <c r="DF76" s="60">
        <v>250</v>
      </c>
      <c r="DG76" s="70"/>
      <c r="DH76" s="57">
        <f t="shared" si="205"/>
        <v>-250</v>
      </c>
      <c r="DI76" s="43"/>
      <c r="DK76" s="61">
        <f t="shared" si="206"/>
        <v>750.92000000000007</v>
      </c>
      <c r="DL76" s="70"/>
      <c r="DM76" s="61">
        <f t="shared" si="207"/>
        <v>1000</v>
      </c>
      <c r="DN76" s="70"/>
      <c r="DO76" s="57">
        <f t="shared" si="208"/>
        <v>-249.07999999999993</v>
      </c>
      <c r="DP76" s="43"/>
      <c r="DR76" s="61">
        <f t="shared" si="209"/>
        <v>750.92000000000007</v>
      </c>
      <c r="DS76" s="33"/>
      <c r="DT76" s="61">
        <f t="shared" si="210"/>
        <v>6450</v>
      </c>
      <c r="DU76" s="33"/>
      <c r="DV76" s="57">
        <f t="shared" si="219"/>
        <v>5699.08</v>
      </c>
      <c r="DW76" s="39"/>
      <c r="DY76" s="64"/>
    </row>
    <row r="77" spans="1:129">
      <c r="A77" s="9" t="s">
        <v>84</v>
      </c>
      <c r="B77" s="9"/>
      <c r="C77" s="60">
        <v>4458.8</v>
      </c>
      <c r="D77" s="33"/>
      <c r="E77" s="60">
        <v>2759</v>
      </c>
      <c r="F77" s="33"/>
      <c r="G77" s="57">
        <f t="shared" si="184"/>
        <v>-1699.8000000000002</v>
      </c>
      <c r="H77" s="39"/>
      <c r="J77" s="60">
        <v>6582.97</v>
      </c>
      <c r="K77" s="33"/>
      <c r="L77" s="60">
        <v>3821</v>
      </c>
      <c r="M77" s="33"/>
      <c r="N77" s="57">
        <f t="shared" si="212"/>
        <v>-2761.9700000000003</v>
      </c>
      <c r="O77" s="39"/>
      <c r="Q77" s="60">
        <v>4697.2299999999996</v>
      </c>
      <c r="R77" s="33"/>
      <c r="S77" s="60">
        <v>4930</v>
      </c>
      <c r="T77" s="33"/>
      <c r="U77" s="57">
        <f t="shared" si="213"/>
        <v>232.77000000000044</v>
      </c>
      <c r="V77" s="39"/>
      <c r="X77" s="61">
        <f t="shared" si="187"/>
        <v>15739</v>
      </c>
      <c r="Y77" s="33"/>
      <c r="Z77" s="61">
        <f t="shared" si="188"/>
        <v>11510</v>
      </c>
      <c r="AA77" s="33"/>
      <c r="AB77" s="57">
        <f t="shared" si="214"/>
        <v>-4229</v>
      </c>
      <c r="AC77" s="39"/>
      <c r="AE77" s="60">
        <v>0</v>
      </c>
      <c r="AF77" s="33"/>
      <c r="AG77" s="60">
        <v>5805</v>
      </c>
      <c r="AH77" s="33"/>
      <c r="AI77" s="57">
        <f t="shared" si="215"/>
        <v>5805</v>
      </c>
      <c r="AJ77" s="39"/>
      <c r="AL77" s="60">
        <v>0</v>
      </c>
      <c r="AM77" s="33"/>
      <c r="AN77" s="60">
        <v>5594</v>
      </c>
      <c r="AO77" s="33"/>
      <c r="AP77" s="57">
        <f t="shared" si="216"/>
        <v>5594</v>
      </c>
      <c r="AQ77" s="39"/>
      <c r="AS77" s="60">
        <v>0</v>
      </c>
      <c r="AT77" s="33"/>
      <c r="AU77" s="60">
        <v>6071</v>
      </c>
      <c r="AV77" s="33"/>
      <c r="AW77" s="57">
        <f t="shared" si="217"/>
        <v>6071</v>
      </c>
      <c r="AX77" s="39"/>
      <c r="AZ77" s="61">
        <f t="shared" si="193"/>
        <v>0</v>
      </c>
      <c r="BA77" s="33"/>
      <c r="BB77" s="61">
        <f t="shared" si="194"/>
        <v>17470</v>
      </c>
      <c r="BC77" s="33"/>
      <c r="BD77" s="57">
        <f t="shared" si="218"/>
        <v>17470</v>
      </c>
      <c r="BE77" s="39"/>
      <c r="BG77" s="60">
        <v>0</v>
      </c>
      <c r="BH77" s="70"/>
      <c r="BI77" s="60">
        <v>6208</v>
      </c>
      <c r="BJ77" s="70"/>
      <c r="BK77" s="57">
        <f t="shared" si="196"/>
        <v>-6208</v>
      </c>
      <c r="BL77" s="43"/>
      <c r="BN77" s="60">
        <v>4493.66</v>
      </c>
      <c r="BO77" s="70"/>
      <c r="BP77" s="60">
        <v>6102</v>
      </c>
      <c r="BQ77" s="70"/>
      <c r="BR77" s="57">
        <f t="shared" si="197"/>
        <v>-1608.3400000000001</v>
      </c>
      <c r="BS77" s="43"/>
      <c r="BU77" s="60">
        <v>6274.68</v>
      </c>
      <c r="BV77" s="70"/>
      <c r="BW77" s="60">
        <v>5882</v>
      </c>
      <c r="BX77" s="70"/>
      <c r="BY77" s="57">
        <f t="shared" si="198"/>
        <v>392.68000000000029</v>
      </c>
      <c r="BZ77" s="43"/>
      <c r="CB77" s="61">
        <f t="shared" si="199"/>
        <v>10768.34</v>
      </c>
      <c r="CC77" s="70"/>
      <c r="CD77" s="61">
        <f t="shared" si="200"/>
        <v>18192</v>
      </c>
      <c r="CE77" s="70"/>
      <c r="CF77" s="57">
        <f t="shared" si="201"/>
        <v>-7423.66</v>
      </c>
      <c r="CG77" s="43"/>
      <c r="CI77" s="60">
        <v>6457.1</v>
      </c>
      <c r="CJ77" s="70"/>
      <c r="CK77" s="60">
        <v>6291</v>
      </c>
      <c r="CL77" s="70"/>
      <c r="CM77" s="57">
        <f t="shared" si="202"/>
        <v>166.10000000000036</v>
      </c>
      <c r="CN77" s="43"/>
      <c r="CP77" s="60">
        <v>6226.6</v>
      </c>
      <c r="CQ77" s="70"/>
      <c r="CR77" s="60">
        <v>5942</v>
      </c>
      <c r="CS77" s="70"/>
      <c r="CT77" s="57">
        <f t="shared" si="203"/>
        <v>284.60000000000036</v>
      </c>
      <c r="CU77" s="43"/>
      <c r="CW77" s="60">
        <v>3713.88</v>
      </c>
      <c r="CX77" s="70"/>
      <c r="CY77" s="60">
        <v>5445</v>
      </c>
      <c r="CZ77" s="70"/>
      <c r="DA77" s="57">
        <f t="shared" si="204"/>
        <v>-1731.12</v>
      </c>
      <c r="DB77" s="43"/>
      <c r="DD77" s="60">
        <v>2392.6999999999998</v>
      </c>
      <c r="DE77" s="70"/>
      <c r="DF77" s="60">
        <v>5693</v>
      </c>
      <c r="DG77" s="70"/>
      <c r="DH77" s="57">
        <f t="shared" si="205"/>
        <v>-3300.3</v>
      </c>
      <c r="DI77" s="43"/>
      <c r="DK77" s="61">
        <f t="shared" si="206"/>
        <v>18790.280000000002</v>
      </c>
      <c r="DL77" s="70"/>
      <c r="DM77" s="61">
        <f t="shared" si="207"/>
        <v>23371</v>
      </c>
      <c r="DN77" s="70"/>
      <c r="DO77" s="57">
        <f t="shared" si="208"/>
        <v>-4580.7199999999975</v>
      </c>
      <c r="DP77" s="43"/>
      <c r="DR77" s="61">
        <f t="shared" si="209"/>
        <v>45297.62</v>
      </c>
      <c r="DS77" s="33"/>
      <c r="DT77" s="61">
        <f t="shared" si="210"/>
        <v>70543</v>
      </c>
      <c r="DU77" s="33"/>
      <c r="DV77" s="57">
        <f t="shared" si="219"/>
        <v>25245.379999999997</v>
      </c>
      <c r="DW77" s="39"/>
    </row>
    <row r="78" spans="1:129">
      <c r="A78" s="9" t="s">
        <v>85</v>
      </c>
      <c r="B78" s="9"/>
      <c r="C78" s="60">
        <v>250</v>
      </c>
      <c r="D78" s="33"/>
      <c r="E78" s="60">
        <v>231</v>
      </c>
      <c r="F78" s="33"/>
      <c r="G78" s="57">
        <f t="shared" si="184"/>
        <v>-19</v>
      </c>
      <c r="H78" s="39"/>
      <c r="J78" s="60">
        <v>500</v>
      </c>
      <c r="K78" s="33"/>
      <c r="L78" s="60">
        <v>231</v>
      </c>
      <c r="M78" s="33"/>
      <c r="N78" s="57">
        <f t="shared" si="212"/>
        <v>-269</v>
      </c>
      <c r="O78" s="39"/>
      <c r="Q78" s="60">
        <v>-250</v>
      </c>
      <c r="R78" s="33"/>
      <c r="S78" s="60">
        <v>231</v>
      </c>
      <c r="T78" s="33"/>
      <c r="U78" s="57">
        <f t="shared" si="213"/>
        <v>481</v>
      </c>
      <c r="V78" s="39"/>
      <c r="X78" s="61">
        <f t="shared" si="187"/>
        <v>500</v>
      </c>
      <c r="Y78" s="33"/>
      <c r="Z78" s="61">
        <f t="shared" si="188"/>
        <v>693</v>
      </c>
      <c r="AA78" s="33"/>
      <c r="AB78" s="57">
        <f t="shared" si="214"/>
        <v>193</v>
      </c>
      <c r="AC78" s="39"/>
      <c r="AE78" s="60">
        <v>0</v>
      </c>
      <c r="AF78" s="33"/>
      <c r="AG78" s="60">
        <v>231</v>
      </c>
      <c r="AH78" s="33"/>
      <c r="AI78" s="57">
        <f t="shared" si="215"/>
        <v>231</v>
      </c>
      <c r="AJ78" s="39"/>
      <c r="AL78" s="60">
        <v>0</v>
      </c>
      <c r="AM78" s="33"/>
      <c r="AN78" s="60">
        <v>231</v>
      </c>
      <c r="AO78" s="33"/>
      <c r="AP78" s="57">
        <f t="shared" si="216"/>
        <v>231</v>
      </c>
      <c r="AQ78" s="39"/>
      <c r="AS78" s="60">
        <v>201.23</v>
      </c>
      <c r="AT78" s="33"/>
      <c r="AU78" s="60">
        <v>231</v>
      </c>
      <c r="AV78" s="33"/>
      <c r="AW78" s="57">
        <f t="shared" si="217"/>
        <v>29.77000000000001</v>
      </c>
      <c r="AX78" s="39"/>
      <c r="AZ78" s="61">
        <f t="shared" si="193"/>
        <v>201.23</v>
      </c>
      <c r="BA78" s="33"/>
      <c r="BB78" s="61">
        <f t="shared" si="194"/>
        <v>693</v>
      </c>
      <c r="BC78" s="33"/>
      <c r="BD78" s="57">
        <f t="shared" si="218"/>
        <v>491.77</v>
      </c>
      <c r="BE78" s="39"/>
      <c r="BG78" s="60">
        <v>84.7</v>
      </c>
      <c r="BH78" s="70"/>
      <c r="BI78" s="60">
        <v>231</v>
      </c>
      <c r="BJ78" s="70"/>
      <c r="BK78" s="57">
        <f t="shared" si="196"/>
        <v>-146.30000000000001</v>
      </c>
      <c r="BL78" s="43"/>
      <c r="BN78" s="60">
        <v>107.34</v>
      </c>
      <c r="BO78" s="70"/>
      <c r="BP78" s="60">
        <v>231</v>
      </c>
      <c r="BQ78" s="70"/>
      <c r="BR78" s="57">
        <f t="shared" si="197"/>
        <v>-123.66</v>
      </c>
      <c r="BS78" s="43"/>
      <c r="BU78" s="60">
        <v>0</v>
      </c>
      <c r="BV78" s="70"/>
      <c r="BW78" s="60">
        <v>231</v>
      </c>
      <c r="BX78" s="70"/>
      <c r="BY78" s="57">
        <f t="shared" si="198"/>
        <v>-231</v>
      </c>
      <c r="BZ78" s="43"/>
      <c r="CB78" s="61">
        <f t="shared" si="199"/>
        <v>192.04000000000002</v>
      </c>
      <c r="CC78" s="70"/>
      <c r="CD78" s="61">
        <f t="shared" si="200"/>
        <v>693</v>
      </c>
      <c r="CE78" s="70"/>
      <c r="CF78" s="57">
        <f t="shared" si="201"/>
        <v>-500.96</v>
      </c>
      <c r="CG78" s="43"/>
      <c r="CI78" s="60">
        <v>250</v>
      </c>
      <c r="CJ78" s="70"/>
      <c r="CK78" s="60">
        <v>231</v>
      </c>
      <c r="CL78" s="70"/>
      <c r="CM78" s="57">
        <f t="shared" si="202"/>
        <v>19</v>
      </c>
      <c r="CN78" s="43"/>
      <c r="CP78" s="60">
        <v>0</v>
      </c>
      <c r="CQ78" s="70"/>
      <c r="CR78" s="60">
        <v>231</v>
      </c>
      <c r="CS78" s="70"/>
      <c r="CT78" s="57">
        <f t="shared" si="203"/>
        <v>-231</v>
      </c>
      <c r="CU78" s="43"/>
      <c r="CW78" s="60">
        <v>0</v>
      </c>
      <c r="CX78" s="70"/>
      <c r="CY78" s="60">
        <v>231</v>
      </c>
      <c r="CZ78" s="70"/>
      <c r="DA78" s="57">
        <f t="shared" si="204"/>
        <v>-231</v>
      </c>
      <c r="DB78" s="43"/>
      <c r="DD78" s="60">
        <f>24.97</f>
        <v>24.97</v>
      </c>
      <c r="DE78" s="70"/>
      <c r="DF78" s="60">
        <v>231</v>
      </c>
      <c r="DG78" s="70"/>
      <c r="DH78" s="57">
        <f t="shared" si="205"/>
        <v>-206.03</v>
      </c>
      <c r="DI78" s="43"/>
      <c r="DK78" s="61">
        <f t="shared" si="206"/>
        <v>274.97000000000003</v>
      </c>
      <c r="DL78" s="70"/>
      <c r="DM78" s="61">
        <f t="shared" si="207"/>
        <v>924</v>
      </c>
      <c r="DN78" s="70"/>
      <c r="DO78" s="57">
        <f t="shared" si="208"/>
        <v>-649.03</v>
      </c>
      <c r="DP78" s="43"/>
      <c r="DR78" s="61">
        <f t="shared" si="209"/>
        <v>1168.24</v>
      </c>
      <c r="DS78" s="33"/>
      <c r="DT78" s="61">
        <f t="shared" si="210"/>
        <v>3003</v>
      </c>
      <c r="DU78" s="33"/>
      <c r="DV78" s="57">
        <f t="shared" si="219"/>
        <v>1834.76</v>
      </c>
      <c r="DW78" s="39"/>
      <c r="DY78" s="64"/>
    </row>
    <row r="79" spans="1:129">
      <c r="A79" s="9" t="s">
        <v>86</v>
      </c>
      <c r="B79" s="9"/>
      <c r="C79" s="60">
        <v>165</v>
      </c>
      <c r="D79" s="33"/>
      <c r="E79" s="60">
        <v>365</v>
      </c>
      <c r="F79" s="33"/>
      <c r="G79" s="57">
        <f t="shared" si="184"/>
        <v>200</v>
      </c>
      <c r="H79" s="39"/>
      <c r="J79" s="60">
        <v>330</v>
      </c>
      <c r="K79" s="33"/>
      <c r="L79" s="60">
        <v>365</v>
      </c>
      <c r="M79" s="33"/>
      <c r="N79" s="57">
        <f t="shared" si="212"/>
        <v>35</v>
      </c>
      <c r="O79" s="39"/>
      <c r="Q79" s="60">
        <v>623.01</v>
      </c>
      <c r="R79" s="33"/>
      <c r="S79" s="60">
        <v>365</v>
      </c>
      <c r="T79" s="33"/>
      <c r="U79" s="57">
        <f t="shared" si="213"/>
        <v>-258.01</v>
      </c>
      <c r="V79" s="39"/>
      <c r="X79" s="61">
        <f t="shared" si="187"/>
        <v>1118.01</v>
      </c>
      <c r="Y79" s="33"/>
      <c r="Z79" s="61">
        <f t="shared" si="188"/>
        <v>1095</v>
      </c>
      <c r="AA79" s="33"/>
      <c r="AB79" s="57"/>
      <c r="AC79" s="39"/>
      <c r="AE79" s="60">
        <v>0</v>
      </c>
      <c r="AF79" s="33"/>
      <c r="AG79" s="60">
        <v>365</v>
      </c>
      <c r="AH79" s="33"/>
      <c r="AI79" s="57">
        <f t="shared" si="215"/>
        <v>365</v>
      </c>
      <c r="AJ79" s="39"/>
      <c r="AL79" s="60">
        <v>0</v>
      </c>
      <c r="AM79" s="33"/>
      <c r="AN79" s="60">
        <v>365</v>
      </c>
      <c r="AO79" s="33"/>
      <c r="AP79" s="57"/>
      <c r="AQ79" s="39"/>
      <c r="AS79" s="60">
        <v>0</v>
      </c>
      <c r="AT79" s="33"/>
      <c r="AU79" s="60">
        <v>365</v>
      </c>
      <c r="AV79" s="33"/>
      <c r="AW79" s="57">
        <f t="shared" si="217"/>
        <v>365</v>
      </c>
      <c r="AX79" s="39"/>
      <c r="AZ79" s="61">
        <f t="shared" si="193"/>
        <v>0</v>
      </c>
      <c r="BA79" s="33"/>
      <c r="BB79" s="61">
        <f t="shared" si="194"/>
        <v>1095</v>
      </c>
      <c r="BC79" s="33"/>
      <c r="BD79" s="57"/>
      <c r="BE79" s="39"/>
      <c r="BG79" s="60">
        <v>0</v>
      </c>
      <c r="BH79" s="70"/>
      <c r="BI79" s="60">
        <v>365</v>
      </c>
      <c r="BJ79" s="70"/>
      <c r="BK79" s="57">
        <f t="shared" si="196"/>
        <v>-365</v>
      </c>
      <c r="BL79" s="43"/>
      <c r="BN79" s="60">
        <v>0</v>
      </c>
      <c r="BO79" s="70"/>
      <c r="BP79" s="60">
        <v>365</v>
      </c>
      <c r="BQ79" s="70"/>
      <c r="BR79" s="57">
        <f t="shared" si="197"/>
        <v>-365</v>
      </c>
      <c r="BS79" s="43"/>
      <c r="BU79" s="60">
        <v>519</v>
      </c>
      <c r="BV79" s="70"/>
      <c r="BW79" s="60">
        <v>365</v>
      </c>
      <c r="BX79" s="70"/>
      <c r="BY79" s="57">
        <f t="shared" si="198"/>
        <v>154</v>
      </c>
      <c r="BZ79" s="43"/>
      <c r="CB79" s="61">
        <f t="shared" si="199"/>
        <v>519</v>
      </c>
      <c r="CC79" s="70"/>
      <c r="CD79" s="61">
        <f t="shared" si="200"/>
        <v>1095</v>
      </c>
      <c r="CE79" s="70"/>
      <c r="CF79" s="57">
        <f t="shared" si="201"/>
        <v>-576</v>
      </c>
      <c r="CG79" s="43"/>
      <c r="CI79" s="60">
        <v>447</v>
      </c>
      <c r="CJ79" s="70"/>
      <c r="CK79" s="60">
        <v>365</v>
      </c>
      <c r="CL79" s="70"/>
      <c r="CM79" s="57">
        <f t="shared" si="202"/>
        <v>82</v>
      </c>
      <c r="CN79" s="43"/>
      <c r="CP79" s="60">
        <v>-112.01</v>
      </c>
      <c r="CQ79" s="70"/>
      <c r="CR79" s="60">
        <v>365</v>
      </c>
      <c r="CS79" s="70"/>
      <c r="CT79" s="57">
        <f t="shared" si="203"/>
        <v>-477.01</v>
      </c>
      <c r="CU79" s="43"/>
      <c r="CW79" s="60">
        <v>217.99</v>
      </c>
      <c r="CX79" s="70"/>
      <c r="CY79" s="60">
        <v>365</v>
      </c>
      <c r="CZ79" s="70"/>
      <c r="DA79" s="57">
        <f t="shared" si="204"/>
        <v>-147.01</v>
      </c>
      <c r="DB79" s="43"/>
      <c r="DD79" s="60">
        <v>330</v>
      </c>
      <c r="DE79" s="70"/>
      <c r="DF79" s="60">
        <v>365</v>
      </c>
      <c r="DG79" s="70"/>
      <c r="DH79" s="57">
        <f t="shared" si="205"/>
        <v>-35</v>
      </c>
      <c r="DI79" s="43"/>
      <c r="DK79" s="61">
        <f t="shared" si="206"/>
        <v>882.98</v>
      </c>
      <c r="DL79" s="70"/>
      <c r="DM79" s="61">
        <f t="shared" si="207"/>
        <v>1460</v>
      </c>
      <c r="DN79" s="70"/>
      <c r="DO79" s="57">
        <f t="shared" si="208"/>
        <v>-577.02</v>
      </c>
      <c r="DP79" s="43"/>
      <c r="DR79" s="61">
        <f t="shared" si="209"/>
        <v>2519.9899999999998</v>
      </c>
      <c r="DS79" s="33"/>
      <c r="DT79" s="61">
        <f t="shared" si="210"/>
        <v>4745</v>
      </c>
      <c r="DU79" s="33"/>
      <c r="DV79" s="57"/>
      <c r="DW79" s="39"/>
    </row>
    <row r="80" spans="1:129">
      <c r="A80" s="9" t="s">
        <v>87</v>
      </c>
      <c r="B80" s="9"/>
      <c r="C80" s="60">
        <v>32.9</v>
      </c>
      <c r="D80" s="33"/>
      <c r="E80" s="60"/>
      <c r="F80" s="33"/>
      <c r="G80" s="57"/>
      <c r="H80" s="39"/>
      <c r="J80" s="60">
        <v>24.35</v>
      </c>
      <c r="K80" s="33"/>
      <c r="L80" s="60"/>
      <c r="M80" s="33"/>
      <c r="N80" s="57"/>
      <c r="O80" s="39"/>
      <c r="Q80" s="60">
        <f>47.67+44.9</f>
        <v>92.57</v>
      </c>
      <c r="R80" s="33"/>
      <c r="S80" s="60"/>
      <c r="T80" s="33"/>
      <c r="U80" s="57"/>
      <c r="V80" s="39"/>
      <c r="X80" s="61">
        <f t="shared" si="187"/>
        <v>149.82</v>
      </c>
      <c r="Y80" s="33"/>
      <c r="Z80" s="61">
        <f t="shared" si="188"/>
        <v>0</v>
      </c>
      <c r="AA80" s="33"/>
      <c r="AB80" s="57"/>
      <c r="AC80" s="39"/>
      <c r="AE80" s="60">
        <v>0</v>
      </c>
      <c r="AF80" s="33"/>
      <c r="AG80" s="60"/>
      <c r="AH80" s="33"/>
      <c r="AI80" s="57"/>
      <c r="AJ80" s="39"/>
      <c r="AL80" s="60">
        <v>0</v>
      </c>
      <c r="AM80" s="33"/>
      <c r="AN80" s="60"/>
      <c r="AO80" s="33"/>
      <c r="AP80" s="57"/>
      <c r="AQ80" s="39"/>
      <c r="AS80" s="60">
        <v>0</v>
      </c>
      <c r="AT80" s="33"/>
      <c r="AU80" s="60"/>
      <c r="AV80" s="33"/>
      <c r="AW80" s="57"/>
      <c r="AX80" s="39"/>
      <c r="AZ80" s="61">
        <f t="shared" si="193"/>
        <v>0</v>
      </c>
      <c r="BA80" s="33"/>
      <c r="BB80" s="61">
        <f t="shared" si="194"/>
        <v>0</v>
      </c>
      <c r="BC80" s="33"/>
      <c r="BD80" s="57"/>
      <c r="BE80" s="39"/>
      <c r="BG80" s="60">
        <v>0</v>
      </c>
      <c r="BH80" s="70"/>
      <c r="BI80" s="60">
        <v>0</v>
      </c>
      <c r="BJ80" s="70"/>
      <c r="BK80" s="57">
        <f t="shared" si="196"/>
        <v>0</v>
      </c>
      <c r="BL80" s="43"/>
      <c r="BN80" s="60">
        <v>0</v>
      </c>
      <c r="BO80" s="70"/>
      <c r="BP80" s="60">
        <v>0</v>
      </c>
      <c r="BQ80" s="70"/>
      <c r="BR80" s="57">
        <f t="shared" si="197"/>
        <v>0</v>
      </c>
      <c r="BS80" s="43"/>
      <c r="BU80" s="60">
        <v>75.39</v>
      </c>
      <c r="BV80" s="70"/>
      <c r="BW80" s="60">
        <v>0</v>
      </c>
      <c r="BX80" s="70"/>
      <c r="BY80" s="57">
        <f t="shared" si="198"/>
        <v>75.39</v>
      </c>
      <c r="BZ80" s="43"/>
      <c r="CB80" s="61">
        <f t="shared" si="199"/>
        <v>75.39</v>
      </c>
      <c r="CC80" s="70"/>
      <c r="CD80" s="61">
        <f t="shared" si="200"/>
        <v>0</v>
      </c>
      <c r="CE80" s="70"/>
      <c r="CF80" s="57">
        <f t="shared" si="201"/>
        <v>75.39</v>
      </c>
      <c r="CG80" s="43"/>
      <c r="CI80" s="60">
        <v>114.3</v>
      </c>
      <c r="CJ80" s="70"/>
      <c r="CK80" s="60">
        <v>0</v>
      </c>
      <c r="CL80" s="70"/>
      <c r="CM80" s="57">
        <f t="shared" si="202"/>
        <v>114.3</v>
      </c>
      <c r="CN80" s="43"/>
      <c r="CP80" s="60">
        <v>80.89</v>
      </c>
      <c r="CQ80" s="70"/>
      <c r="CR80" s="60">
        <v>0</v>
      </c>
      <c r="CS80" s="70"/>
      <c r="CT80" s="57">
        <f t="shared" si="203"/>
        <v>80.89</v>
      </c>
      <c r="CU80" s="43"/>
      <c r="CW80" s="60">
        <v>32</v>
      </c>
      <c r="CX80" s="70"/>
      <c r="CY80" s="60">
        <v>0</v>
      </c>
      <c r="CZ80" s="70"/>
      <c r="DA80" s="57">
        <f t="shared" si="204"/>
        <v>32</v>
      </c>
      <c r="DB80" s="43"/>
      <c r="DD80" s="60">
        <v>89.5</v>
      </c>
      <c r="DE80" s="70"/>
      <c r="DF80" s="60">
        <v>0</v>
      </c>
      <c r="DG80" s="70"/>
      <c r="DH80" s="57">
        <f t="shared" si="205"/>
        <v>89.5</v>
      </c>
      <c r="DI80" s="43"/>
      <c r="DK80" s="61">
        <f t="shared" si="206"/>
        <v>316.69</v>
      </c>
      <c r="DL80" s="70"/>
      <c r="DM80" s="61">
        <f t="shared" si="207"/>
        <v>0</v>
      </c>
      <c r="DN80" s="70"/>
      <c r="DO80" s="57">
        <f t="shared" si="208"/>
        <v>316.69</v>
      </c>
      <c r="DP80" s="43"/>
      <c r="DR80" s="61">
        <f t="shared" si="209"/>
        <v>541.9</v>
      </c>
      <c r="DS80" s="33"/>
      <c r="DT80" s="61">
        <f t="shared" si="210"/>
        <v>0</v>
      </c>
      <c r="DU80" s="33"/>
      <c r="DV80" s="57"/>
      <c r="DW80" s="39"/>
      <c r="DY80" s="64"/>
    </row>
    <row r="81" spans="1:129">
      <c r="A81" s="9" t="s">
        <v>88</v>
      </c>
      <c r="B81" s="9"/>
      <c r="C81" s="60">
        <v>126.44</v>
      </c>
      <c r="D81" s="33"/>
      <c r="E81" s="60">
        <v>428</v>
      </c>
      <c r="F81" s="33"/>
      <c r="G81" s="57"/>
      <c r="H81" s="39"/>
      <c r="J81" s="60">
        <v>279.42</v>
      </c>
      <c r="K81" s="33"/>
      <c r="L81" s="60">
        <v>592</v>
      </c>
      <c r="M81" s="33"/>
      <c r="N81" s="57"/>
      <c r="O81" s="39"/>
      <c r="Q81" s="60">
        <v>1073.26</v>
      </c>
      <c r="R81" s="33"/>
      <c r="S81" s="60">
        <v>764</v>
      </c>
      <c r="T81" s="33"/>
      <c r="U81" s="57"/>
      <c r="V81" s="39"/>
      <c r="X81" s="61">
        <f t="shared" si="187"/>
        <v>1479.12</v>
      </c>
      <c r="Y81" s="33"/>
      <c r="Z81" s="61">
        <f t="shared" si="188"/>
        <v>1784</v>
      </c>
      <c r="AA81" s="33"/>
      <c r="AB81" s="57"/>
      <c r="AC81" s="39"/>
      <c r="AE81" s="60">
        <v>0</v>
      </c>
      <c r="AF81" s="33"/>
      <c r="AG81" s="60">
        <v>900</v>
      </c>
      <c r="AH81" s="33"/>
      <c r="AI81" s="57"/>
      <c r="AJ81" s="39"/>
      <c r="AL81" s="60">
        <v>0</v>
      </c>
      <c r="AM81" s="33"/>
      <c r="AN81" s="60">
        <v>867</v>
      </c>
      <c r="AO81" s="33"/>
      <c r="AP81" s="57"/>
      <c r="AQ81" s="39"/>
      <c r="AS81" s="60">
        <v>0</v>
      </c>
      <c r="AT81" s="33"/>
      <c r="AU81" s="60">
        <v>941</v>
      </c>
      <c r="AV81" s="33"/>
      <c r="AW81" s="57"/>
      <c r="AX81" s="39"/>
      <c r="AZ81" s="61">
        <f t="shared" si="193"/>
        <v>0</v>
      </c>
      <c r="BA81" s="33"/>
      <c r="BB81" s="61">
        <f t="shared" si="194"/>
        <v>2708</v>
      </c>
      <c r="BC81" s="33"/>
      <c r="BD81" s="57"/>
      <c r="BE81" s="39"/>
      <c r="BG81" s="60">
        <v>90.87</v>
      </c>
      <c r="BH81" s="70"/>
      <c r="BI81" s="60">
        <v>963</v>
      </c>
      <c r="BJ81" s="70"/>
      <c r="BK81" s="57">
        <f t="shared" si="196"/>
        <v>-872.13</v>
      </c>
      <c r="BL81" s="43"/>
      <c r="BN81" s="60">
        <v>24</v>
      </c>
      <c r="BO81" s="70"/>
      <c r="BP81" s="60">
        <v>946</v>
      </c>
      <c r="BQ81" s="70"/>
      <c r="BR81" s="57">
        <f t="shared" si="197"/>
        <v>-922</v>
      </c>
      <c r="BS81" s="43"/>
      <c r="BU81" s="60">
        <v>374.78</v>
      </c>
      <c r="BV81" s="70"/>
      <c r="BW81" s="60">
        <v>550</v>
      </c>
      <c r="BX81" s="70"/>
      <c r="BY81" s="57">
        <f t="shared" si="198"/>
        <v>-175.22000000000003</v>
      </c>
      <c r="BZ81" s="43"/>
      <c r="CB81" s="61">
        <f t="shared" si="199"/>
        <v>489.65</v>
      </c>
      <c r="CC81" s="70"/>
      <c r="CD81" s="61">
        <f t="shared" si="200"/>
        <v>2459</v>
      </c>
      <c r="CE81" s="70"/>
      <c r="CF81" s="57">
        <f t="shared" si="201"/>
        <v>-1969.35</v>
      </c>
      <c r="CG81" s="43"/>
      <c r="CI81" s="60">
        <v>25</v>
      </c>
      <c r="CJ81" s="70"/>
      <c r="CK81" s="60">
        <v>550</v>
      </c>
      <c r="CL81" s="70"/>
      <c r="CM81" s="57">
        <f t="shared" si="202"/>
        <v>-525</v>
      </c>
      <c r="CN81" s="43"/>
      <c r="CP81" s="60">
        <v>793.79</v>
      </c>
      <c r="CQ81" s="70"/>
      <c r="CR81" s="60">
        <v>550</v>
      </c>
      <c r="CS81" s="70"/>
      <c r="CT81" s="57">
        <f t="shared" si="203"/>
        <v>243.78999999999996</v>
      </c>
      <c r="CU81" s="43"/>
      <c r="CW81" s="60">
        <v>967.46</v>
      </c>
      <c r="CX81" s="70"/>
      <c r="CY81" s="60">
        <v>550</v>
      </c>
      <c r="CZ81" s="70"/>
      <c r="DA81" s="57">
        <f t="shared" si="204"/>
        <v>417.46000000000004</v>
      </c>
      <c r="DB81" s="43"/>
      <c r="DD81" s="60">
        <v>-461.87</v>
      </c>
      <c r="DE81" s="70"/>
      <c r="DF81" s="60">
        <v>550</v>
      </c>
      <c r="DG81" s="70"/>
      <c r="DH81" s="57">
        <f t="shared" si="205"/>
        <v>-1011.87</v>
      </c>
      <c r="DI81" s="43"/>
      <c r="DK81" s="61">
        <f t="shared" si="206"/>
        <v>1324.38</v>
      </c>
      <c r="DL81" s="70"/>
      <c r="DM81" s="61">
        <f t="shared" si="207"/>
        <v>2200</v>
      </c>
      <c r="DN81" s="70"/>
      <c r="DO81" s="57">
        <f t="shared" si="208"/>
        <v>-875.61999999999989</v>
      </c>
      <c r="DP81" s="43"/>
      <c r="DR81" s="61">
        <f t="shared" si="209"/>
        <v>3293.15</v>
      </c>
      <c r="DS81" s="33"/>
      <c r="DT81" s="61">
        <f t="shared" si="210"/>
        <v>9151</v>
      </c>
      <c r="DU81" s="33"/>
      <c r="DV81" s="57"/>
      <c r="DW81" s="39"/>
      <c r="DY81" s="64"/>
    </row>
    <row r="82" spans="1:129" ht="16.7" thickBot="1">
      <c r="A82" s="10" t="s">
        <v>89</v>
      </c>
      <c r="B82" s="8"/>
      <c r="C82" s="59">
        <f>SUM(C61:C81)</f>
        <v>21179.79</v>
      </c>
      <c r="D82" s="36">
        <f>C82/C13</f>
        <v>5.5630138385937784E-2</v>
      </c>
      <c r="E82" s="59">
        <f>SUM(E61:E81)</f>
        <v>17463</v>
      </c>
      <c r="F82" s="36">
        <f>E82/E13</f>
        <v>6.3288937211198701E-2</v>
      </c>
      <c r="G82" s="58">
        <f t="shared" si="184"/>
        <v>-3716.7900000000009</v>
      </c>
      <c r="H82" s="38">
        <f>G82/E82</f>
        <v>-0.21283800034358363</v>
      </c>
      <c r="J82" s="59">
        <f>SUM(J61:J81)</f>
        <v>27673.86</v>
      </c>
      <c r="K82" s="36">
        <f>J82/J13</f>
        <v>6.7799148966194947E-2</v>
      </c>
      <c r="L82" s="59">
        <f>SUM(L61:L81)</f>
        <v>22183</v>
      </c>
      <c r="M82" s="36">
        <f>L82/L13</f>
        <v>5.8052292336720566E-2</v>
      </c>
      <c r="N82" s="58">
        <f t="shared" ref="N82" si="220">L82-J82</f>
        <v>-5490.8600000000006</v>
      </c>
      <c r="O82" s="38">
        <f>N82/L82</f>
        <v>-0.24752558265338326</v>
      </c>
      <c r="Q82" s="59">
        <f>SUM(Q61:Q81)</f>
        <v>14114.13</v>
      </c>
      <c r="R82" s="36">
        <f>Q82/Q13</f>
        <v>4.6123905433335548E-2</v>
      </c>
      <c r="S82" s="59">
        <f>SUM(S61:S81)</f>
        <v>27114</v>
      </c>
      <c r="T82" s="36">
        <f>S82/S13</f>
        <v>5.499272888791535E-2</v>
      </c>
      <c r="U82" s="58">
        <f t="shared" ref="U82" si="221">S82-Q82</f>
        <v>12999.87</v>
      </c>
      <c r="V82" s="38">
        <f>U82/S82</f>
        <v>0.47945231245850856</v>
      </c>
      <c r="X82" s="59">
        <f>SUM(X61:X81)</f>
        <v>62967.780000000006</v>
      </c>
      <c r="Y82" s="36">
        <f>X82/X13</f>
        <v>5.7509868605729972E-2</v>
      </c>
      <c r="Z82" s="59">
        <f>SUM(Z61:Z81)</f>
        <v>66760</v>
      </c>
      <c r="AA82" s="36">
        <f>Z82/Z13</f>
        <v>5.7997051498011022E-2</v>
      </c>
      <c r="AB82" s="58">
        <f t="shared" ref="AB82" si="222">Z82-X82</f>
        <v>3792.2199999999939</v>
      </c>
      <c r="AC82" s="38">
        <f>AB82/Z82</f>
        <v>5.6803774715398353E-2</v>
      </c>
      <c r="AE82" s="59">
        <f>SUM(AE61:AE81)</f>
        <v>1760.58</v>
      </c>
      <c r="AF82" s="36" t="e">
        <f>AE82/AE13</f>
        <v>#DIV/0!</v>
      </c>
      <c r="AG82" s="59">
        <f>SUM(AG61:AG81)</f>
        <v>31001</v>
      </c>
      <c r="AH82" s="36">
        <f>AG82/AG13</f>
        <v>5.3407734224122635E-2</v>
      </c>
      <c r="AI82" s="58">
        <f t="shared" ref="AI82" si="223">AG82-AE82</f>
        <v>29240.42</v>
      </c>
      <c r="AJ82" s="38">
        <f>AI82/AG82</f>
        <v>0.94320892874423401</v>
      </c>
      <c r="AL82" s="59">
        <f>SUM(AL61:AL81)</f>
        <v>-625.51</v>
      </c>
      <c r="AM82" s="36" t="e">
        <f>AL82/AL13</f>
        <v>#DIV/0!</v>
      </c>
      <c r="AN82" s="59">
        <f>SUM(AN61:AN81)</f>
        <v>30066</v>
      </c>
      <c r="AO82" s="36">
        <f>AN82/AN13</f>
        <v>5.3743124808960402E-2</v>
      </c>
      <c r="AP82" s="58">
        <f t="shared" ref="AP82" si="224">AN82-AL82</f>
        <v>30691.51</v>
      </c>
      <c r="AQ82" s="38">
        <f>AP82/AN82</f>
        <v>1.0208045632940863</v>
      </c>
      <c r="AS82" s="59">
        <f>SUM(AS61:AS81)</f>
        <v>224.35999999999996</v>
      </c>
      <c r="AT82" s="36" t="e">
        <f>AS82/AS13</f>
        <v>#DIV/0!</v>
      </c>
      <c r="AU82" s="59">
        <f>SUM(AU61:AU81)</f>
        <v>32185</v>
      </c>
      <c r="AV82" s="36">
        <f>AU82/AU13</f>
        <v>5.3013631841451601E-2</v>
      </c>
      <c r="AW82" s="58">
        <f t="shared" ref="AW82" si="225">AU82-AS82</f>
        <v>31960.639999999999</v>
      </c>
      <c r="AX82" s="38">
        <f>AW82/AU82</f>
        <v>0.9930290508000621</v>
      </c>
      <c r="AZ82" s="59">
        <f>SUM(AZ61:AZ81)</f>
        <v>1359.43</v>
      </c>
      <c r="BA82" s="36" t="e">
        <f>AZ82/AZ13</f>
        <v>#DIV/0!</v>
      </c>
      <c r="BB82" s="59">
        <f>SUM(BB61:BB81)</f>
        <v>93252</v>
      </c>
      <c r="BC82" s="36">
        <f>BB82/BB13</f>
        <v>5.3378179582668862E-2</v>
      </c>
      <c r="BD82" s="58">
        <f t="shared" ref="BD82" si="226">BB82-AZ82</f>
        <v>91892.57</v>
      </c>
      <c r="BE82" s="38">
        <f>BD82/BB82</f>
        <v>0.98542197486381</v>
      </c>
      <c r="BG82" s="59">
        <f>SUM(BG61:BG81)</f>
        <v>3691.4799999999996</v>
      </c>
      <c r="BH82" s="69" t="e">
        <f>BG82/BG13</f>
        <v>#DIV/0!</v>
      </c>
      <c r="BI82" s="59">
        <f>SUM(BI61:BI81)</f>
        <v>32796</v>
      </c>
      <c r="BJ82" s="69">
        <f>BI82/BI13</f>
        <v>5.2825629998308726E-2</v>
      </c>
      <c r="BK82" s="59">
        <f>SUM(BK61:BK81)</f>
        <v>-29104.52</v>
      </c>
      <c r="BL82" s="68">
        <f>BK82/BI82</f>
        <v>-0.88744115135992196</v>
      </c>
      <c r="BN82" s="59">
        <f>SUM(BN61:BN81)</f>
        <v>24670.407999999996</v>
      </c>
      <c r="BO82" s="69">
        <f>BN82/BN13</f>
        <v>0.11164386422574764</v>
      </c>
      <c r="BP82" s="59">
        <f>SUM(BP61:BP81)</f>
        <v>32321</v>
      </c>
      <c r="BQ82" s="69">
        <f>BP82/BP13</f>
        <v>5.2971785857691897E-2</v>
      </c>
      <c r="BR82" s="59">
        <f>SUM(BR61:BR81)</f>
        <v>-7650.5920000000006</v>
      </c>
      <c r="BS82" s="68">
        <f>BR82/BP82</f>
        <v>-0.23670653754524923</v>
      </c>
      <c r="BU82" s="59">
        <f>SUM(BU61:BU81)</f>
        <v>16237.78</v>
      </c>
      <c r="BV82" s="69">
        <f>BU82/BU13</f>
        <v>4.9425712798565731E-2</v>
      </c>
      <c r="BW82" s="59">
        <f>SUM(BW61:BW81)</f>
        <v>19260</v>
      </c>
      <c r="BX82" s="69">
        <f>BW82/BW13</f>
        <v>6.5491269530917925E-2</v>
      </c>
      <c r="BY82" s="59">
        <f>SUM(BY61:BY81)</f>
        <v>-3022.2200000000003</v>
      </c>
      <c r="BZ82" s="68">
        <f>BY82/BW82</f>
        <v>-0.15691692627206646</v>
      </c>
      <c r="CB82" s="59">
        <f>SUM(CB61:CB81)</f>
        <v>44599.667999999991</v>
      </c>
      <c r="CC82" s="69">
        <f>CB82/CB13</f>
        <v>8.1163625722618676E-2</v>
      </c>
      <c r="CD82" s="59">
        <f>SUM(CD61:CD81)</f>
        <v>84377</v>
      </c>
      <c r="CE82" s="69">
        <f>CD82/CD13</f>
        <v>5.5326459354457978E-2</v>
      </c>
      <c r="CF82" s="59">
        <f>SUM(CF61:CF81)</f>
        <v>-39777.332000000002</v>
      </c>
      <c r="CG82" s="68">
        <f>CF82/CD82</f>
        <v>-0.47142387143415865</v>
      </c>
      <c r="CI82" s="59">
        <f>SUM(CI61:CI81)</f>
        <v>21499.359999999997</v>
      </c>
      <c r="CJ82" s="69">
        <f>CI82/CI13</f>
        <v>5.921276733570089E-2</v>
      </c>
      <c r="CK82" s="59">
        <f>SUM(CK61:CK81)</f>
        <v>19404</v>
      </c>
      <c r="CL82" s="69">
        <f>CK82/CK13</f>
        <v>6.1692440736595786E-2</v>
      </c>
      <c r="CM82" s="59">
        <f>SUM(CM61:CM81)</f>
        <v>2095.36</v>
      </c>
      <c r="CN82" s="68">
        <f>CM82/CK82</f>
        <v>0.10798598227169656</v>
      </c>
      <c r="CP82" s="59">
        <f>SUM(CP61:CP81)</f>
        <v>21448.11</v>
      </c>
      <c r="CQ82" s="69">
        <f>CP82/CP13</f>
        <v>6.4090984108009619E-2</v>
      </c>
      <c r="CR82" s="59">
        <f>SUM(CR61:CR81)</f>
        <v>18654</v>
      </c>
      <c r="CS82" s="69">
        <f>CR82/CR13</f>
        <v>6.278694042409963E-2</v>
      </c>
      <c r="CT82" s="59">
        <f>SUM(CT61:CT81)</f>
        <v>2794.11</v>
      </c>
      <c r="CU82" s="68">
        <f>CT82/CR82</f>
        <v>0.14978610485686716</v>
      </c>
      <c r="CW82" s="59">
        <f>SUM(CW61:CW81)</f>
        <v>16969.84</v>
      </c>
      <c r="CX82" s="69">
        <f>CW82/CW13</f>
        <v>6.3743428815028536E-2</v>
      </c>
      <c r="CY82" s="59">
        <f>SUM(CY61:CY81)</f>
        <v>17586</v>
      </c>
      <c r="CZ82" s="69">
        <f>CY82/CY13</f>
        <v>6.4594804059489225E-2</v>
      </c>
      <c r="DA82" s="59">
        <f>SUM(DA61:DA81)</f>
        <v>-616.15999999999963</v>
      </c>
      <c r="DB82" s="68">
        <f>DA82/CY82</f>
        <v>-3.5036961219151577E-2</v>
      </c>
      <c r="DD82" s="59">
        <f>SUM(DD61:DD81)</f>
        <v>10006.719999999998</v>
      </c>
      <c r="DE82" s="69">
        <f>DD82/DD13</f>
        <v>6.4456141962328642E-2</v>
      </c>
      <c r="DF82" s="59">
        <f>SUM(DF61:DF81)</f>
        <v>18119</v>
      </c>
      <c r="DG82" s="69">
        <f>DF82/DF13</f>
        <v>6.3658977043558912E-2</v>
      </c>
      <c r="DH82" s="59">
        <f>SUM(DH61:DH81)</f>
        <v>-8112.2799999999988</v>
      </c>
      <c r="DI82" s="68">
        <f>DH82/DF82</f>
        <v>-0.44772228047905505</v>
      </c>
      <c r="DK82" s="59">
        <f>SUM(DK61:DK81)</f>
        <v>69924.030000000013</v>
      </c>
      <c r="DL82" s="69">
        <f>DK82/DK13</f>
        <v>6.2476402377915692E-2</v>
      </c>
      <c r="DM82" s="59">
        <f>SUM(DM61:DM81)</f>
        <v>73763</v>
      </c>
      <c r="DN82" s="69">
        <f>DM82/DM13</f>
        <v>6.3125960094308542E-2</v>
      </c>
      <c r="DO82" s="59">
        <f>SUM(DO61:DO81)</f>
        <v>-3838.9699999999984</v>
      </c>
      <c r="DP82" s="68">
        <f>DO82/DM82</f>
        <v>-5.2044656535119214E-2</v>
      </c>
      <c r="DR82" s="59">
        <f>SUM(DR61:DR81)</f>
        <v>178850.90799999997</v>
      </c>
      <c r="DS82" s="36">
        <f>DR82/DR13</f>
        <v>6.4716310194262244E-2</v>
      </c>
      <c r="DT82" s="59">
        <f>SUM(DT61:DT81)</f>
        <v>318152</v>
      </c>
      <c r="DU82" s="36">
        <f>DT82/DT13</f>
        <v>5.6897400583974869E-2</v>
      </c>
      <c r="DV82" s="58">
        <f t="shared" ref="DV82" si="227">DT82-DR82</f>
        <v>139301.09200000003</v>
      </c>
      <c r="DW82" s="38">
        <f>DV82/DT82</f>
        <v>0.4378444642812242</v>
      </c>
      <c r="DX82" s="64"/>
      <c r="DY82" s="64"/>
    </row>
    <row r="83" spans="1:129" ht="16.7" thickTop="1">
      <c r="A83" s="9"/>
      <c r="B83" s="9"/>
      <c r="C83" s="60"/>
      <c r="D83" s="33"/>
      <c r="E83" s="60"/>
      <c r="F83" s="33"/>
      <c r="G83" s="55"/>
      <c r="H83" s="55"/>
      <c r="J83" s="60"/>
      <c r="K83" s="33"/>
      <c r="L83" s="60"/>
      <c r="M83" s="33"/>
      <c r="N83" s="55"/>
      <c r="O83" s="55"/>
      <c r="Q83" s="60"/>
      <c r="R83" s="33"/>
      <c r="S83" s="60"/>
      <c r="T83" s="33"/>
      <c r="U83" s="55"/>
      <c r="V83" s="55"/>
      <c r="X83" s="60"/>
      <c r="Y83" s="33"/>
      <c r="Z83" s="60"/>
      <c r="AA83" s="33"/>
      <c r="AB83" s="55"/>
      <c r="AC83" s="55"/>
      <c r="AE83" s="60"/>
      <c r="AF83" s="33"/>
      <c r="AG83" s="60"/>
      <c r="AH83" s="33"/>
      <c r="AI83" s="55"/>
      <c r="AJ83" s="55"/>
      <c r="AL83" s="60"/>
      <c r="AM83" s="33"/>
      <c r="AN83" s="60"/>
      <c r="AO83" s="33"/>
      <c r="AP83" s="55"/>
      <c r="AQ83" s="55"/>
      <c r="AS83" s="60"/>
      <c r="AT83" s="33"/>
      <c r="AU83" s="60"/>
      <c r="AV83" s="33"/>
      <c r="AW83" s="55"/>
      <c r="AX83" s="55"/>
      <c r="AZ83" s="60"/>
      <c r="BA83" s="33"/>
      <c r="BB83" s="60"/>
      <c r="BC83" s="33"/>
      <c r="BD83" s="55"/>
      <c r="BE83" s="55"/>
      <c r="BG83" s="60"/>
      <c r="BH83" s="70"/>
      <c r="BI83" s="60"/>
      <c r="BJ83" s="70"/>
      <c r="BK83" s="55"/>
      <c r="BL83" s="71"/>
      <c r="BN83" s="60"/>
      <c r="BO83" s="70"/>
      <c r="BP83" s="60"/>
      <c r="BQ83" s="70"/>
      <c r="BR83" s="55"/>
      <c r="BS83" s="71"/>
      <c r="BU83" s="60"/>
      <c r="BV83" s="70"/>
      <c r="BW83" s="60"/>
      <c r="BX83" s="70"/>
      <c r="BY83" s="55"/>
      <c r="BZ83" s="71"/>
      <c r="CB83" s="60"/>
      <c r="CC83" s="70"/>
      <c r="CD83" s="60"/>
      <c r="CE83" s="70"/>
      <c r="CF83" s="55"/>
      <c r="CG83" s="71"/>
      <c r="CI83" s="60"/>
      <c r="CJ83" s="70"/>
      <c r="CK83" s="60"/>
      <c r="CL83" s="70"/>
      <c r="CM83" s="55"/>
      <c r="CN83" s="71"/>
      <c r="CP83" s="60"/>
      <c r="CQ83" s="70"/>
      <c r="CR83" s="60"/>
      <c r="CS83" s="70"/>
      <c r="CT83" s="55"/>
      <c r="CU83" s="71"/>
      <c r="CW83" s="60"/>
      <c r="CX83" s="70"/>
      <c r="CY83" s="60"/>
      <c r="CZ83" s="70"/>
      <c r="DA83" s="55"/>
      <c r="DB83" s="71"/>
      <c r="DD83" s="60"/>
      <c r="DE83" s="70"/>
      <c r="DF83" s="60"/>
      <c r="DG83" s="70"/>
      <c r="DH83" s="55"/>
      <c r="DI83" s="71"/>
      <c r="DK83" s="60"/>
      <c r="DL83" s="70"/>
      <c r="DM83" s="60"/>
      <c r="DN83" s="70"/>
      <c r="DO83" s="55"/>
      <c r="DP83" s="71"/>
      <c r="DR83" s="60"/>
      <c r="DS83" s="33"/>
      <c r="DT83" s="60"/>
      <c r="DU83" s="33"/>
      <c r="DV83" s="55"/>
      <c r="DW83" s="55"/>
    </row>
    <row r="84" spans="1:129">
      <c r="A84" s="8" t="s">
        <v>90</v>
      </c>
      <c r="B84" s="9"/>
      <c r="C84" s="60"/>
      <c r="D84" s="33"/>
      <c r="E84" s="60"/>
      <c r="F84" s="33"/>
      <c r="G84" s="55"/>
      <c r="H84" s="55"/>
      <c r="J84" s="60"/>
      <c r="K84" s="33"/>
      <c r="L84" s="60"/>
      <c r="M84" s="33"/>
      <c r="N84" s="55"/>
      <c r="O84" s="55"/>
      <c r="Q84" s="60"/>
      <c r="R84" s="33"/>
      <c r="S84" s="60"/>
      <c r="T84" s="33"/>
      <c r="U84" s="55"/>
      <c r="V84" s="55"/>
      <c r="X84" s="60"/>
      <c r="Y84" s="33"/>
      <c r="Z84" s="60"/>
      <c r="AA84" s="33"/>
      <c r="AB84" s="55"/>
      <c r="AC84" s="55"/>
      <c r="AE84" s="60"/>
      <c r="AF84" s="33"/>
      <c r="AG84" s="60"/>
      <c r="AH84" s="33"/>
      <c r="AI84" s="55"/>
      <c r="AJ84" s="55"/>
      <c r="AL84" s="60"/>
      <c r="AM84" s="33"/>
      <c r="AN84" s="60"/>
      <c r="AO84" s="33"/>
      <c r="AP84" s="55"/>
      <c r="AQ84" s="55"/>
      <c r="AS84" s="60"/>
      <c r="AT84" s="33"/>
      <c r="AU84" s="60"/>
      <c r="AV84" s="33"/>
      <c r="AW84" s="55"/>
      <c r="AX84" s="55"/>
      <c r="AZ84" s="60"/>
      <c r="BA84" s="33"/>
      <c r="BB84" s="60"/>
      <c r="BC84" s="33"/>
      <c r="BD84" s="55"/>
      <c r="BE84" s="55"/>
      <c r="BG84" s="60"/>
      <c r="BH84" s="70"/>
      <c r="BI84" s="60"/>
      <c r="BJ84" s="70"/>
      <c r="BK84" s="55"/>
      <c r="BL84" s="71"/>
      <c r="BN84" s="60"/>
      <c r="BO84" s="70"/>
      <c r="BP84" s="60"/>
      <c r="BQ84" s="70"/>
      <c r="BR84" s="55"/>
      <c r="BS84" s="71"/>
      <c r="BU84" s="60"/>
      <c r="BV84" s="70"/>
      <c r="BW84" s="60"/>
      <c r="BX84" s="70"/>
      <c r="BY84" s="55"/>
      <c r="BZ84" s="71"/>
      <c r="CB84" s="60"/>
      <c r="CC84" s="70"/>
      <c r="CD84" s="60"/>
      <c r="CE84" s="70"/>
      <c r="CF84" s="55"/>
      <c r="CG84" s="71"/>
      <c r="CI84" s="60"/>
      <c r="CJ84" s="70"/>
      <c r="CK84" s="60"/>
      <c r="CL84" s="70"/>
      <c r="CM84" s="55"/>
      <c r="CN84" s="71"/>
      <c r="CP84" s="60"/>
      <c r="CQ84" s="70"/>
      <c r="CR84" s="60"/>
      <c r="CS84" s="70"/>
      <c r="CT84" s="55"/>
      <c r="CU84" s="71"/>
      <c r="CW84" s="60"/>
      <c r="CX84" s="70"/>
      <c r="CY84" s="60"/>
      <c r="CZ84" s="70"/>
      <c r="DA84" s="55"/>
      <c r="DB84" s="71"/>
      <c r="DD84" s="60"/>
      <c r="DE84" s="70"/>
      <c r="DF84" s="60"/>
      <c r="DG84" s="70"/>
      <c r="DH84" s="55"/>
      <c r="DI84" s="71"/>
      <c r="DK84" s="60"/>
      <c r="DL84" s="70"/>
      <c r="DM84" s="60"/>
      <c r="DN84" s="70"/>
      <c r="DO84" s="55"/>
      <c r="DP84" s="71"/>
      <c r="DR84" s="60"/>
      <c r="DS84" s="33"/>
      <c r="DT84" s="60"/>
      <c r="DU84" s="33"/>
      <c r="DV84" s="55"/>
      <c r="DW84" s="55"/>
    </row>
    <row r="85" spans="1:129">
      <c r="A85" s="9" t="s">
        <v>91</v>
      </c>
      <c r="B85" s="9"/>
      <c r="C85" s="60">
        <f>849.26+326.98+409.43+243.45</f>
        <v>1829.1200000000001</v>
      </c>
      <c r="D85" s="33"/>
      <c r="E85" s="60">
        <v>1603</v>
      </c>
      <c r="F85" s="33"/>
      <c r="G85" s="55"/>
      <c r="H85" s="55"/>
      <c r="J85" s="60">
        <f>1459.04+655.74+101.75+202.53</f>
        <v>2419.06</v>
      </c>
      <c r="K85" s="33"/>
      <c r="L85" s="60">
        <v>1603</v>
      </c>
      <c r="M85" s="33"/>
      <c r="N85" s="55"/>
      <c r="O85" s="55"/>
      <c r="Q85" s="60">
        <f>1163.41+644.3+934.7</f>
        <v>2742.41</v>
      </c>
      <c r="R85" s="33"/>
      <c r="S85" s="60">
        <v>1603</v>
      </c>
      <c r="T85" s="33"/>
      <c r="U85" s="55"/>
      <c r="V85" s="55"/>
      <c r="X85" s="61">
        <f t="shared" ref="X85:X87" si="228">C85+J85+Q85</f>
        <v>6990.59</v>
      </c>
      <c r="Y85" s="33"/>
      <c r="Z85" s="61">
        <f t="shared" ref="Z85" si="229">E85+L85+S85</f>
        <v>4809</v>
      </c>
      <c r="AA85" s="33"/>
      <c r="AB85" s="55"/>
      <c r="AC85" s="55"/>
      <c r="AE85" s="60">
        <v>0</v>
      </c>
      <c r="AF85" s="33"/>
      <c r="AG85" s="60">
        <v>1603</v>
      </c>
      <c r="AH85" s="33"/>
      <c r="AI85" s="55"/>
      <c r="AJ85" s="55"/>
      <c r="AL85" s="60">
        <v>0</v>
      </c>
      <c r="AM85" s="33"/>
      <c r="AN85" s="60">
        <v>1603</v>
      </c>
      <c r="AO85" s="33"/>
      <c r="AP85" s="55"/>
      <c r="AQ85" s="55"/>
      <c r="AS85" s="60">
        <v>0</v>
      </c>
      <c r="AT85" s="33"/>
      <c r="AU85" s="60">
        <v>1603</v>
      </c>
      <c r="AV85" s="33"/>
      <c r="AW85" s="55"/>
      <c r="AX85" s="55"/>
      <c r="AZ85" s="61">
        <f t="shared" ref="AZ85:AZ87" si="230">AE85+AL85+AS85</f>
        <v>0</v>
      </c>
      <c r="BA85" s="33"/>
      <c r="BB85" s="61">
        <f t="shared" ref="BB85:BB87" si="231">AG85+AN85+AU85</f>
        <v>4809</v>
      </c>
      <c r="BC85" s="33"/>
      <c r="BD85" s="55"/>
      <c r="BE85" s="55"/>
      <c r="BG85" s="60">
        <v>0</v>
      </c>
      <c r="BH85" s="70"/>
      <c r="BI85" s="60">
        <v>1603</v>
      </c>
      <c r="BJ85" s="70"/>
      <c r="BK85" s="57">
        <f t="shared" ref="BK85:BK87" si="232">BG85-BI85</f>
        <v>-1603</v>
      </c>
      <c r="BL85" s="71"/>
      <c r="BN85" s="60">
        <f>2789.36+892.32</f>
        <v>3681.6800000000003</v>
      </c>
      <c r="BO85" s="70"/>
      <c r="BP85" s="60">
        <v>1603</v>
      </c>
      <c r="BQ85" s="70"/>
      <c r="BR85" s="57">
        <f t="shared" ref="BR85:BR87" si="233">BN85-BP85</f>
        <v>2078.6800000000003</v>
      </c>
      <c r="BS85" s="71"/>
      <c r="BU85" s="60">
        <f>3407.14+538.84</f>
        <v>3945.98</v>
      </c>
      <c r="BV85" s="70"/>
      <c r="BW85" s="60">
        <v>5294</v>
      </c>
      <c r="BX85" s="70"/>
      <c r="BY85" s="57">
        <f t="shared" ref="BY85:BY87" si="234">BU85-BW85</f>
        <v>-1348.02</v>
      </c>
      <c r="BZ85" s="71"/>
      <c r="CB85" s="61">
        <f t="shared" ref="CB85:CB87" si="235">BG85+BN85+BU85</f>
        <v>7627.66</v>
      </c>
      <c r="CC85" s="70"/>
      <c r="CD85" s="61">
        <f t="shared" ref="CD85" si="236">BI85+BP85+BW85</f>
        <v>8500</v>
      </c>
      <c r="CE85" s="70"/>
      <c r="CF85" s="57">
        <f t="shared" ref="CF85:CF87" si="237">CB85-CD85</f>
        <v>-872.34000000000015</v>
      </c>
      <c r="CG85" s="71"/>
      <c r="CI85" s="60">
        <f>2560.61+176.5</f>
        <v>2737.11</v>
      </c>
      <c r="CJ85" s="70"/>
      <c r="CK85" s="60">
        <v>5661</v>
      </c>
      <c r="CL85" s="70"/>
      <c r="CM85" s="57">
        <f t="shared" ref="CM85:CM87" si="238">CI85-CK85</f>
        <v>-2923.89</v>
      </c>
      <c r="CN85" s="71"/>
      <c r="CP85" s="60">
        <f>2305.79</f>
        <v>2305.79</v>
      </c>
      <c r="CQ85" s="70"/>
      <c r="CR85" s="60">
        <v>5348</v>
      </c>
      <c r="CS85" s="70"/>
      <c r="CT85" s="57">
        <f t="shared" ref="CT85:CT87" si="239">CP85-CR85</f>
        <v>-3042.21</v>
      </c>
      <c r="CU85" s="71"/>
      <c r="CW85" s="60">
        <f>1961.25+1010.73</f>
        <v>2971.98</v>
      </c>
      <c r="CX85" s="70"/>
      <c r="CY85" s="60">
        <v>4901</v>
      </c>
      <c r="CZ85" s="70"/>
      <c r="DA85" s="57">
        <f t="shared" ref="DA85:DA87" si="240">CW85-CY85</f>
        <v>-1929.02</v>
      </c>
      <c r="DB85" s="71"/>
      <c r="DD85" s="60">
        <f>798.92+521.92</f>
        <v>1320.84</v>
      </c>
      <c r="DE85" s="70"/>
      <c r="DF85" s="60">
        <v>5123</v>
      </c>
      <c r="DG85" s="70"/>
      <c r="DH85" s="57">
        <f t="shared" ref="DH85:DH87" si="241">DD85-DF85</f>
        <v>-3802.16</v>
      </c>
      <c r="DI85" s="71"/>
      <c r="DK85" s="61">
        <f>CI85+CP85+CW85+DD85</f>
        <v>9335.7199999999993</v>
      </c>
      <c r="DL85" s="70"/>
      <c r="DM85" s="61">
        <f t="shared" ref="DM85" si="242">CK85+CR85+CY85+DF85</f>
        <v>21033</v>
      </c>
      <c r="DN85" s="70"/>
      <c r="DO85" s="57">
        <f t="shared" ref="DO85:DO87" si="243">DK85-DM85</f>
        <v>-11697.28</v>
      </c>
      <c r="DP85" s="43"/>
      <c r="DR85" s="61">
        <f t="shared" ref="DR85:DR87" si="244">X85+AZ85+CB85+DK85</f>
        <v>23953.97</v>
      </c>
      <c r="DS85" s="33"/>
      <c r="DT85" s="61">
        <f>Z85+BB85+CD85+DM85</f>
        <v>39151</v>
      </c>
      <c r="DU85" s="33"/>
      <c r="DV85" s="55"/>
      <c r="DW85" s="55"/>
    </row>
    <row r="86" spans="1:129">
      <c r="A86" s="9" t="s">
        <v>92</v>
      </c>
      <c r="B86" s="9"/>
      <c r="C86" s="60"/>
      <c r="D86" s="33"/>
      <c r="E86" s="60"/>
      <c r="F86" s="33"/>
      <c r="G86" s="55"/>
      <c r="H86" s="55"/>
      <c r="J86" s="60"/>
      <c r="K86" s="33"/>
      <c r="L86" s="60"/>
      <c r="M86" s="33"/>
      <c r="N86" s="55"/>
      <c r="O86" s="55"/>
      <c r="Q86" s="60"/>
      <c r="R86" s="33"/>
      <c r="S86" s="60"/>
      <c r="T86" s="33"/>
      <c r="U86" s="55"/>
      <c r="V86" s="55"/>
      <c r="X86" s="61"/>
      <c r="Y86" s="33"/>
      <c r="Z86" s="61"/>
      <c r="AA86" s="33"/>
      <c r="AB86" s="55"/>
      <c r="AC86" s="55"/>
      <c r="AE86" s="60"/>
      <c r="AF86" s="33"/>
      <c r="AG86" s="60"/>
      <c r="AH86" s="33"/>
      <c r="AI86" s="55"/>
      <c r="AJ86" s="55"/>
      <c r="AL86" s="60"/>
      <c r="AM86" s="33"/>
      <c r="AN86" s="60"/>
      <c r="AO86" s="33"/>
      <c r="AP86" s="55"/>
      <c r="AQ86" s="55"/>
      <c r="AS86" s="60"/>
      <c r="AT86" s="33"/>
      <c r="AU86" s="60"/>
      <c r="AV86" s="33"/>
      <c r="AW86" s="55"/>
      <c r="AX86" s="55"/>
      <c r="AZ86" s="61"/>
      <c r="BA86" s="33"/>
      <c r="BB86" s="61"/>
      <c r="BC86" s="33"/>
      <c r="BD86" s="55"/>
      <c r="BE86" s="55"/>
      <c r="BG86" s="60"/>
      <c r="BH86" s="70"/>
      <c r="BI86" s="60"/>
      <c r="BJ86" s="70"/>
      <c r="BK86" s="57"/>
      <c r="BL86" s="71"/>
      <c r="BN86" s="60"/>
      <c r="BO86" s="70"/>
      <c r="BP86" s="60"/>
      <c r="BQ86" s="70"/>
      <c r="BR86" s="57"/>
      <c r="BS86" s="71"/>
      <c r="BU86" s="60"/>
      <c r="BV86" s="70"/>
      <c r="BW86" s="60"/>
      <c r="BX86" s="70"/>
      <c r="BY86" s="57"/>
      <c r="BZ86" s="71"/>
      <c r="CB86" s="61"/>
      <c r="CC86" s="70"/>
      <c r="CD86" s="61"/>
      <c r="CE86" s="70"/>
      <c r="CF86" s="57"/>
      <c r="CG86" s="71"/>
      <c r="CI86" s="60"/>
      <c r="CJ86" s="70"/>
      <c r="CK86" s="60"/>
      <c r="CL86" s="70"/>
      <c r="CM86" s="57"/>
      <c r="CN86" s="71"/>
      <c r="CP86" s="60">
        <v>57.78</v>
      </c>
      <c r="CQ86" s="70"/>
      <c r="CR86" s="60"/>
      <c r="CS86" s="70"/>
      <c r="CT86" s="57"/>
      <c r="CU86" s="71"/>
      <c r="CW86" s="60">
        <v>346.1</v>
      </c>
      <c r="CX86" s="70"/>
      <c r="CY86" s="60"/>
      <c r="CZ86" s="70"/>
      <c r="DA86" s="57"/>
      <c r="DB86" s="71"/>
      <c r="DD86" s="60">
        <v>248.54</v>
      </c>
      <c r="DE86" s="70"/>
      <c r="DF86" s="60"/>
      <c r="DG86" s="70"/>
      <c r="DH86" s="57"/>
      <c r="DI86" s="71"/>
      <c r="DK86" s="61">
        <f t="shared" ref="DK86:DK87" si="245">CI86+CP86+CW86+DD86</f>
        <v>652.41999999999996</v>
      </c>
      <c r="DL86" s="70"/>
      <c r="DM86" s="61"/>
      <c r="DN86" s="70"/>
      <c r="DO86" s="57"/>
      <c r="DP86" s="43"/>
      <c r="DR86" s="61">
        <f t="shared" si="244"/>
        <v>652.41999999999996</v>
      </c>
      <c r="DS86" s="33"/>
      <c r="DT86" s="61"/>
      <c r="DU86" s="33"/>
      <c r="DV86" s="55"/>
      <c r="DW86" s="55"/>
    </row>
    <row r="87" spans="1:129">
      <c r="A87" s="9" t="s">
        <v>93</v>
      </c>
      <c r="B87" s="9"/>
      <c r="C87" s="60">
        <v>521.96</v>
      </c>
      <c r="D87" s="33"/>
      <c r="E87" s="60">
        <v>0</v>
      </c>
      <c r="F87" s="33"/>
      <c r="G87" s="55"/>
      <c r="H87" s="55"/>
      <c r="J87" s="60">
        <v>17.420000000000002</v>
      </c>
      <c r="K87" s="33"/>
      <c r="L87" s="60">
        <v>0</v>
      </c>
      <c r="M87" s="33"/>
      <c r="N87" s="55"/>
      <c r="O87" s="55"/>
      <c r="Q87" s="60">
        <v>63.25</v>
      </c>
      <c r="R87" s="33"/>
      <c r="S87" s="60"/>
      <c r="T87" s="33"/>
      <c r="U87" s="55"/>
      <c r="V87" s="55"/>
      <c r="X87" s="61">
        <f t="shared" si="228"/>
        <v>602.63</v>
      </c>
      <c r="Y87" s="33"/>
      <c r="Z87" s="61">
        <v>0</v>
      </c>
      <c r="AA87" s="33"/>
      <c r="AB87" s="55"/>
      <c r="AC87" s="55"/>
      <c r="AE87" s="60">
        <v>0</v>
      </c>
      <c r="AF87" s="33"/>
      <c r="AG87" s="60">
        <v>0</v>
      </c>
      <c r="AH87" s="33"/>
      <c r="AI87" s="55"/>
      <c r="AJ87" s="55"/>
      <c r="AL87" s="60">
        <v>0</v>
      </c>
      <c r="AM87" s="33"/>
      <c r="AN87" s="60">
        <v>0</v>
      </c>
      <c r="AO87" s="33"/>
      <c r="AP87" s="55"/>
      <c r="AQ87" s="55"/>
      <c r="AS87" s="60">
        <v>0</v>
      </c>
      <c r="AT87" s="33"/>
      <c r="AU87" s="60">
        <v>0</v>
      </c>
      <c r="AV87" s="33"/>
      <c r="AW87" s="55"/>
      <c r="AX87" s="55"/>
      <c r="AZ87" s="61">
        <f t="shared" si="230"/>
        <v>0</v>
      </c>
      <c r="BA87" s="33"/>
      <c r="BB87" s="61">
        <f t="shared" si="231"/>
        <v>0</v>
      </c>
      <c r="BC87" s="33"/>
      <c r="BD87" s="55"/>
      <c r="BE87" s="55"/>
      <c r="BG87" s="60">
        <v>0</v>
      </c>
      <c r="BH87" s="70"/>
      <c r="BI87" s="60"/>
      <c r="BJ87" s="70"/>
      <c r="BK87" s="57">
        <f t="shared" si="232"/>
        <v>0</v>
      </c>
      <c r="BL87" s="71"/>
      <c r="BN87" s="60">
        <v>433.7</v>
      </c>
      <c r="BO87" s="70"/>
      <c r="BP87" s="60"/>
      <c r="BQ87" s="70"/>
      <c r="BR87" s="57">
        <f t="shared" si="233"/>
        <v>433.7</v>
      </c>
      <c r="BS87" s="71"/>
      <c r="BU87" s="60">
        <v>333.26</v>
      </c>
      <c r="BV87" s="70"/>
      <c r="BW87" s="60">
        <v>0</v>
      </c>
      <c r="BX87" s="70"/>
      <c r="BY87" s="57">
        <f t="shared" si="234"/>
        <v>333.26</v>
      </c>
      <c r="BZ87" s="71"/>
      <c r="CB87" s="61">
        <f t="shared" si="235"/>
        <v>766.96</v>
      </c>
      <c r="CC87" s="70"/>
      <c r="CD87" s="61">
        <v>0</v>
      </c>
      <c r="CE87" s="70"/>
      <c r="CF87" s="57">
        <f t="shared" si="237"/>
        <v>766.96</v>
      </c>
      <c r="CG87" s="71"/>
      <c r="CI87" s="60">
        <v>179.34</v>
      </c>
      <c r="CJ87" s="70"/>
      <c r="CK87" s="60">
        <v>0</v>
      </c>
      <c r="CL87" s="70"/>
      <c r="CM87" s="57">
        <f t="shared" si="238"/>
        <v>179.34</v>
      </c>
      <c r="CN87" s="71"/>
      <c r="CP87" s="60">
        <v>396.6</v>
      </c>
      <c r="CQ87" s="70"/>
      <c r="CR87" s="60"/>
      <c r="CS87" s="70"/>
      <c r="CT87" s="57">
        <f t="shared" si="239"/>
        <v>396.6</v>
      </c>
      <c r="CU87" s="71"/>
      <c r="CW87" s="60">
        <v>229.87</v>
      </c>
      <c r="CX87" s="70"/>
      <c r="CY87" s="60">
        <v>0</v>
      </c>
      <c r="CZ87" s="70"/>
      <c r="DA87" s="57">
        <f t="shared" si="240"/>
        <v>229.87</v>
      </c>
      <c r="DB87" s="71"/>
      <c r="DD87" s="60">
        <v>85.94</v>
      </c>
      <c r="DE87" s="70"/>
      <c r="DF87" s="60"/>
      <c r="DG87" s="70"/>
      <c r="DH87" s="57">
        <f t="shared" si="241"/>
        <v>85.94</v>
      </c>
      <c r="DI87" s="71"/>
      <c r="DK87" s="61">
        <f t="shared" si="245"/>
        <v>891.75</v>
      </c>
      <c r="DL87" s="70"/>
      <c r="DM87" s="61"/>
      <c r="DN87" s="70"/>
      <c r="DO87" s="57">
        <f t="shared" si="243"/>
        <v>891.75</v>
      </c>
      <c r="DP87" s="43"/>
      <c r="DR87" s="61">
        <f t="shared" si="244"/>
        <v>2261.34</v>
      </c>
      <c r="DS87" s="33"/>
      <c r="DT87" s="61"/>
      <c r="DU87" s="33"/>
      <c r="DV87" s="55"/>
      <c r="DW87" s="55"/>
    </row>
    <row r="88" spans="1:129" ht="16.7" thickBot="1">
      <c r="A88" s="10" t="s">
        <v>90</v>
      </c>
      <c r="B88" s="8"/>
      <c r="C88" s="59">
        <f>+C85+C87</f>
        <v>2351.08</v>
      </c>
      <c r="D88" s="36">
        <f>+C88/C13</f>
        <v>6.1752692428211327E-3</v>
      </c>
      <c r="E88" s="59">
        <f>+E85+E87</f>
        <v>1603</v>
      </c>
      <c r="F88" s="36">
        <f>+E88/E13</f>
        <v>5.8095496964754917E-3</v>
      </c>
      <c r="G88" s="58"/>
      <c r="H88" s="38">
        <f>G88/E88</f>
        <v>0</v>
      </c>
      <c r="J88" s="59">
        <f>+J85+J87</f>
        <v>2436.48</v>
      </c>
      <c r="K88" s="63">
        <f>+J88/J13</f>
        <v>5.9692168159105616E-3</v>
      </c>
      <c r="L88" s="59">
        <f>+L85</f>
        <v>1603</v>
      </c>
      <c r="M88" s="36">
        <f>+L88/L13</f>
        <v>4.1950062938179268E-3</v>
      </c>
      <c r="N88" s="58"/>
      <c r="O88" s="38">
        <f>N88/L88</f>
        <v>0</v>
      </c>
      <c r="Q88" s="59">
        <f>SUM(Q85:Q87)</f>
        <v>2805.66</v>
      </c>
      <c r="R88" s="36">
        <f>+Q88/Q13</f>
        <v>9.1686839017418864E-3</v>
      </c>
      <c r="S88" s="59">
        <f>+S85</f>
        <v>1603</v>
      </c>
      <c r="T88" s="36">
        <f>+S88/S13</f>
        <v>3.2512113449630563E-3</v>
      </c>
      <c r="U88" s="58"/>
      <c r="V88" s="38">
        <f>U88/S88</f>
        <v>0</v>
      </c>
      <c r="X88" s="59">
        <f>+X85+X87</f>
        <v>7593.22</v>
      </c>
      <c r="Y88" s="36">
        <f>+X88/X13</f>
        <v>6.9350560635042385E-3</v>
      </c>
      <c r="Z88" s="59">
        <f>SUM(Z85:Z87)</f>
        <v>4809</v>
      </c>
      <c r="AA88" s="36">
        <f>+Z88/Z13</f>
        <v>4.1777684340014226E-3</v>
      </c>
      <c r="AB88" s="58"/>
      <c r="AC88" s="38">
        <f>AB88/Z88</f>
        <v>0</v>
      </c>
      <c r="AE88" s="59">
        <f>+AE85</f>
        <v>0</v>
      </c>
      <c r="AF88" s="63" t="e">
        <f>+AE88/AE13</f>
        <v>#DIV/0!</v>
      </c>
      <c r="AG88" s="59">
        <f>+AG85</f>
        <v>1603</v>
      </c>
      <c r="AH88" s="36">
        <f>+AG88/AG13</f>
        <v>2.7616076243111055E-3</v>
      </c>
      <c r="AI88" s="58"/>
      <c r="AJ88" s="38">
        <f>AI88/AG88</f>
        <v>0</v>
      </c>
      <c r="AL88" s="59">
        <f>+AL85</f>
        <v>0</v>
      </c>
      <c r="AM88" s="63" t="e">
        <f>+AL88/AL13</f>
        <v>#DIV/0!</v>
      </c>
      <c r="AN88" s="59">
        <f>+AN85</f>
        <v>1603</v>
      </c>
      <c r="AO88" s="36">
        <f>+AN88/AN13</f>
        <v>2.8653704872202332E-3</v>
      </c>
      <c r="AP88" s="58"/>
      <c r="AQ88" s="38">
        <f>AP88/AN88</f>
        <v>0</v>
      </c>
      <c r="AS88" s="59">
        <f>+AS85</f>
        <v>0</v>
      </c>
      <c r="AT88" s="63" t="e">
        <f>+AS88/AS13</f>
        <v>#DIV/0!</v>
      </c>
      <c r="AU88" s="59">
        <f>+AU85</f>
        <v>1603</v>
      </c>
      <c r="AV88" s="36">
        <f>+AU88/AU13</f>
        <v>2.6403868833881285E-3</v>
      </c>
      <c r="AW88" s="58"/>
      <c r="AX88" s="38">
        <f>AW88/AU88</f>
        <v>0</v>
      </c>
      <c r="AZ88" s="59">
        <f>+AZ85</f>
        <v>0</v>
      </c>
      <c r="BA88" s="63" t="e">
        <f>+AZ88/AZ13</f>
        <v>#DIV/0!</v>
      </c>
      <c r="BB88" s="59">
        <f>+BB85</f>
        <v>4809</v>
      </c>
      <c r="BC88" s="36">
        <f>+BB88/BB13</f>
        <v>2.7527094926977926E-3</v>
      </c>
      <c r="BD88" s="58"/>
      <c r="BE88" s="38">
        <f>BD88/BB88</f>
        <v>0</v>
      </c>
      <c r="BG88" s="59">
        <f>+BG87+BG85</f>
        <v>0</v>
      </c>
      <c r="BH88" s="69" t="e">
        <f>+BG88/BG13</f>
        <v>#DIV/0!</v>
      </c>
      <c r="BI88" s="59">
        <f>+BI87+BI85</f>
        <v>1603</v>
      </c>
      <c r="BJ88" s="69">
        <f>+BI88/BI13</f>
        <v>2.5820064912577415E-3</v>
      </c>
      <c r="BK88" s="59">
        <f>+BK87+BK85</f>
        <v>-1603</v>
      </c>
      <c r="BL88" s="68">
        <f>BK88/BI88</f>
        <v>-1</v>
      </c>
      <c r="BN88" s="59">
        <f>+BN87+BN85</f>
        <v>4115.38</v>
      </c>
      <c r="BO88" s="69">
        <f>+BN88/BN13</f>
        <v>1.8623807354842183E-2</v>
      </c>
      <c r="BP88" s="59">
        <f>+BP87+BP85</f>
        <v>1603</v>
      </c>
      <c r="BQ88" s="69">
        <f>+BP88/BP13</f>
        <v>2.6272012849194058E-3</v>
      </c>
      <c r="BR88" s="59">
        <f>+BR87+BR85</f>
        <v>2512.38</v>
      </c>
      <c r="BS88" s="68">
        <f>BR88/BP88</f>
        <v>1.5672988147223956</v>
      </c>
      <c r="BU88" s="59">
        <f>+BU87+BU85</f>
        <v>4279.24</v>
      </c>
      <c r="BV88" s="69">
        <f>+BU88/BU13</f>
        <v>1.3025455895826547E-2</v>
      </c>
      <c r="BW88" s="59">
        <f>+BW87+BW85</f>
        <v>5294</v>
      </c>
      <c r="BX88" s="69">
        <f>+BW88/BW13</f>
        <v>1.8001598177397691E-2</v>
      </c>
      <c r="BY88" s="59">
        <f>+BY87+BY85</f>
        <v>-1014.76</v>
      </c>
      <c r="BZ88" s="68">
        <f>BY88/BW88</f>
        <v>-0.19168114846996601</v>
      </c>
      <c r="CB88" s="59">
        <f>+CB87+CB85</f>
        <v>8394.619999999999</v>
      </c>
      <c r="CC88" s="69">
        <f>+CB88/CB13</f>
        <v>1.5276745911283673E-2</v>
      </c>
      <c r="CD88" s="59">
        <f>+CD87+CD85</f>
        <v>8500</v>
      </c>
      <c r="CE88" s="69">
        <f>+CD88/CD13</f>
        <v>5.5734963854236676E-3</v>
      </c>
      <c r="CF88" s="59">
        <f>+CF87+CF85</f>
        <v>-105.38000000000011</v>
      </c>
      <c r="CG88" s="68">
        <f>CF88/CD88</f>
        <v>-1.2397647058823543E-2</v>
      </c>
      <c r="CI88" s="59">
        <f>+CI87+CI85</f>
        <v>2916.4500000000003</v>
      </c>
      <c r="CJ88" s="69">
        <f>+CI88/CI13</f>
        <v>8.0323821405011535E-3</v>
      </c>
      <c r="CK88" s="59">
        <f>+CK87+CK85</f>
        <v>5661</v>
      </c>
      <c r="CL88" s="69">
        <f>+CK88/CK13</f>
        <v>1.7998397598941906E-2</v>
      </c>
      <c r="CM88" s="59">
        <f>+CM87+CM85</f>
        <v>-2744.5499999999997</v>
      </c>
      <c r="CN88" s="68">
        <f>CM88/CK88</f>
        <v>-0.48481717011128772</v>
      </c>
      <c r="CP88" s="59">
        <f>+CP87+CP85+CP86</f>
        <v>2760.17</v>
      </c>
      <c r="CQ88" s="69">
        <f>+CP88/CP13</f>
        <v>8.2479067668622032E-3</v>
      </c>
      <c r="CR88" s="59">
        <f>+CR87+CR85</f>
        <v>5348</v>
      </c>
      <c r="CS88" s="69">
        <f>+CR88/CR13</f>
        <v>1.8000673174015484E-2</v>
      </c>
      <c r="CT88" s="59">
        <f>+CT87+CT85</f>
        <v>-2645.61</v>
      </c>
      <c r="CU88" s="68">
        <f>CT88/CR88</f>
        <v>-0.49469147344801795</v>
      </c>
      <c r="CW88" s="59">
        <f>+CW87+CW85+CW86</f>
        <v>3547.95</v>
      </c>
      <c r="CX88" s="69">
        <f>+CW88/CW13</f>
        <v>1.3327084890858163E-2</v>
      </c>
      <c r="CY88" s="59">
        <f>+CY87+CY85</f>
        <v>4901</v>
      </c>
      <c r="CZ88" s="69">
        <f>+CY88/CY13</f>
        <v>1.8001770425085675E-2</v>
      </c>
      <c r="DA88" s="59">
        <f>+DA87+DA85</f>
        <v>-1699.15</v>
      </c>
      <c r="DB88" s="68">
        <f>DA88/CY88</f>
        <v>-0.34669455213221795</v>
      </c>
      <c r="DD88" s="59">
        <f>+DD87+DD85+DD86</f>
        <v>1655.32</v>
      </c>
      <c r="DE88" s="69">
        <f>+DD88/DD13</f>
        <v>1.0662388965923086E-2</v>
      </c>
      <c r="DF88" s="59">
        <f>+DF87+DF85</f>
        <v>5123</v>
      </c>
      <c r="DG88" s="69">
        <f>+DF88/DF13</f>
        <v>1.7999058413497009E-2</v>
      </c>
      <c r="DH88" s="59">
        <f>+DH87+DH85</f>
        <v>-3716.22</v>
      </c>
      <c r="DI88" s="68">
        <f>DH88/DF88</f>
        <v>-0.72539918016787031</v>
      </c>
      <c r="DK88" s="59">
        <f>+DK87+DK85+DK86</f>
        <v>10879.89</v>
      </c>
      <c r="DL88" s="69">
        <f>+DK88/DK13</f>
        <v>9.7210699307156787E-3</v>
      </c>
      <c r="DM88" s="59">
        <f>+DM87+DM85</f>
        <v>21033</v>
      </c>
      <c r="DN88" s="69">
        <f>+DM88/DM13</f>
        <v>1.7999922978506725E-2</v>
      </c>
      <c r="DO88" s="59">
        <f>+DO87+DO85</f>
        <v>-10805.53</v>
      </c>
      <c r="DP88" s="68">
        <f>DO88/DM88</f>
        <v>-0.51374173917177768</v>
      </c>
      <c r="DR88" s="59">
        <f>+DR85+DR87+DR86</f>
        <v>26867.73</v>
      </c>
      <c r="DS88" s="36">
        <f>+DR88/DR13</f>
        <v>9.7219542709600665E-3</v>
      </c>
      <c r="DT88" s="59">
        <f>+DT85</f>
        <v>39151</v>
      </c>
      <c r="DU88" s="36">
        <f>+DT88/DT13</f>
        <v>7.0016537072317636E-3</v>
      </c>
      <c r="DV88" s="58"/>
      <c r="DW88" s="38">
        <f>DV88/DT88</f>
        <v>0</v>
      </c>
      <c r="DX88" s="64"/>
    </row>
    <row r="89" spans="1:129" ht="16.7" thickTop="1">
      <c r="A89" s="9"/>
      <c r="B89" s="9"/>
      <c r="C89" s="60"/>
      <c r="D89" s="33"/>
      <c r="E89" s="60"/>
      <c r="F89" s="33"/>
      <c r="G89" s="55"/>
      <c r="H89" s="55"/>
      <c r="J89" s="60"/>
      <c r="K89" s="33"/>
      <c r="L89" s="60"/>
      <c r="M89" s="33"/>
      <c r="N89" s="55"/>
      <c r="O89" s="55"/>
      <c r="Q89" s="60"/>
      <c r="R89" s="33"/>
      <c r="S89" s="60"/>
      <c r="T89" s="33"/>
      <c r="U89" s="55"/>
      <c r="V89" s="55"/>
      <c r="X89" s="60"/>
      <c r="Y89" s="33"/>
      <c r="Z89" s="60"/>
      <c r="AA89" s="33"/>
      <c r="AB89" s="55"/>
      <c r="AC89" s="55"/>
      <c r="AE89" s="60"/>
      <c r="AF89" s="33"/>
      <c r="AG89" s="60"/>
      <c r="AH89" s="33"/>
      <c r="AI89" s="55"/>
      <c r="AJ89" s="55"/>
      <c r="AL89" s="60"/>
      <c r="AM89" s="33"/>
      <c r="AN89" s="60"/>
      <c r="AO89" s="33"/>
      <c r="AP89" s="55"/>
      <c r="AQ89" s="55"/>
      <c r="AS89" s="60"/>
      <c r="AT89" s="33"/>
      <c r="AU89" s="60"/>
      <c r="AV89" s="33"/>
      <c r="AW89" s="55"/>
      <c r="AX89" s="55"/>
      <c r="AZ89" s="60"/>
      <c r="BA89" s="33"/>
      <c r="BB89" s="60"/>
      <c r="BC89" s="33"/>
      <c r="BD89" s="55"/>
      <c r="BE89" s="55"/>
      <c r="BG89" s="60"/>
      <c r="BH89" s="70"/>
      <c r="BI89" s="60"/>
      <c r="BJ89" s="70"/>
      <c r="BK89" s="55"/>
      <c r="BL89" s="71"/>
      <c r="BN89" s="60"/>
      <c r="BO89" s="70"/>
      <c r="BP89" s="60"/>
      <c r="BQ89" s="70"/>
      <c r="BR89" s="55"/>
      <c r="BS89" s="71"/>
      <c r="BU89" s="60"/>
      <c r="BV89" s="70"/>
      <c r="BW89" s="60"/>
      <c r="BX89" s="70"/>
      <c r="BY89" s="55"/>
      <c r="BZ89" s="71"/>
      <c r="CB89" s="60"/>
      <c r="CC89" s="70"/>
      <c r="CD89" s="60"/>
      <c r="CE89" s="70"/>
      <c r="CF89" s="55"/>
      <c r="CG89" s="71"/>
      <c r="CI89" s="60"/>
      <c r="CJ89" s="70"/>
      <c r="CK89" s="60"/>
      <c r="CL89" s="70"/>
      <c r="CM89" s="55"/>
      <c r="CN89" s="71"/>
      <c r="CP89" s="60"/>
      <c r="CQ89" s="70"/>
      <c r="CR89" s="60"/>
      <c r="CS89" s="70"/>
      <c r="CT89" s="55"/>
      <c r="CU89" s="71"/>
      <c r="CW89" s="60"/>
      <c r="CX89" s="70"/>
      <c r="CY89" s="60"/>
      <c r="CZ89" s="70"/>
      <c r="DA89" s="55"/>
      <c r="DB89" s="71"/>
      <c r="DD89" s="60"/>
      <c r="DE89" s="70"/>
      <c r="DF89" s="60"/>
      <c r="DG89" s="70"/>
      <c r="DH89" s="55"/>
      <c r="DI89" s="71"/>
      <c r="DK89" s="60"/>
      <c r="DL89" s="70"/>
      <c r="DM89" s="60"/>
      <c r="DN89" s="70"/>
      <c r="DO89" s="55"/>
      <c r="DP89" s="71"/>
      <c r="DR89" s="60"/>
      <c r="DS89" s="33"/>
      <c r="DT89" s="60"/>
      <c r="DU89" s="33"/>
      <c r="DV89" s="55"/>
      <c r="DW89" s="55"/>
    </row>
    <row r="90" spans="1:129">
      <c r="A90" s="8" t="s">
        <v>94</v>
      </c>
      <c r="B90" s="8"/>
      <c r="C90" s="60"/>
      <c r="D90" s="33"/>
      <c r="E90" s="60"/>
      <c r="F90" s="33"/>
      <c r="G90" s="55"/>
      <c r="H90" s="55"/>
      <c r="J90" s="60"/>
      <c r="K90" s="33"/>
      <c r="L90" s="60"/>
      <c r="M90" s="33"/>
      <c r="N90" s="55"/>
      <c r="O90" s="55"/>
      <c r="Q90" s="60"/>
      <c r="R90" s="33"/>
      <c r="S90" s="60"/>
      <c r="T90" s="33"/>
      <c r="U90" s="55"/>
      <c r="V90" s="55"/>
      <c r="X90" s="60"/>
      <c r="Y90" s="33"/>
      <c r="Z90" s="60"/>
      <c r="AA90" s="33"/>
      <c r="AB90" s="55"/>
      <c r="AC90" s="55"/>
      <c r="AE90" s="60"/>
      <c r="AF90" s="33"/>
      <c r="AG90" s="60"/>
      <c r="AH90" s="33"/>
      <c r="AI90" s="55"/>
      <c r="AJ90" s="55"/>
      <c r="AL90" s="60"/>
      <c r="AM90" s="33"/>
      <c r="AN90" s="60"/>
      <c r="AO90" s="33"/>
      <c r="AP90" s="55"/>
      <c r="AQ90" s="55"/>
      <c r="AS90" s="60"/>
      <c r="AT90" s="33"/>
      <c r="AU90" s="60"/>
      <c r="AV90" s="33"/>
      <c r="AW90" s="55"/>
      <c r="AX90" s="55"/>
      <c r="AZ90" s="60"/>
      <c r="BA90" s="33"/>
      <c r="BB90" s="60"/>
      <c r="BC90" s="33"/>
      <c r="BD90" s="55"/>
      <c r="BE90" s="55"/>
      <c r="BG90" s="60"/>
      <c r="BH90" s="70"/>
      <c r="BI90" s="60"/>
      <c r="BJ90" s="70"/>
      <c r="BK90" s="55"/>
      <c r="BL90" s="71"/>
      <c r="BN90" s="60"/>
      <c r="BO90" s="70"/>
      <c r="BP90" s="60"/>
      <c r="BQ90" s="70"/>
      <c r="BR90" s="55"/>
      <c r="BS90" s="71"/>
      <c r="BU90" s="60"/>
      <c r="BV90" s="70"/>
      <c r="BW90" s="60"/>
      <c r="BX90" s="70"/>
      <c r="BY90" s="55"/>
      <c r="BZ90" s="71"/>
      <c r="CB90" s="60"/>
      <c r="CC90" s="70"/>
      <c r="CD90" s="60"/>
      <c r="CE90" s="70"/>
      <c r="CF90" s="55"/>
      <c r="CG90" s="71"/>
      <c r="CI90" s="60"/>
      <c r="CJ90" s="70"/>
      <c r="CK90" s="60"/>
      <c r="CL90" s="70"/>
      <c r="CM90" s="55"/>
      <c r="CN90" s="71"/>
      <c r="CP90" s="60"/>
      <c r="CQ90" s="70"/>
      <c r="CR90" s="60"/>
      <c r="CS90" s="70"/>
      <c r="CT90" s="55"/>
      <c r="CU90" s="71"/>
      <c r="CW90" s="60"/>
      <c r="CX90" s="70"/>
      <c r="CY90" s="60"/>
      <c r="CZ90" s="70"/>
      <c r="DA90" s="55"/>
      <c r="DB90" s="71"/>
      <c r="DD90" s="60"/>
      <c r="DE90" s="70"/>
      <c r="DF90" s="60"/>
      <c r="DG90" s="70"/>
      <c r="DH90" s="55"/>
      <c r="DI90" s="71"/>
      <c r="DK90" s="60"/>
      <c r="DL90" s="70"/>
      <c r="DM90" s="60"/>
      <c r="DN90" s="70"/>
      <c r="DO90" s="55"/>
      <c r="DP90" s="71"/>
      <c r="DR90" s="60"/>
      <c r="DS90" s="33"/>
      <c r="DT90" s="60"/>
      <c r="DU90" s="33"/>
      <c r="DV90" s="55"/>
      <c r="DW90" s="55"/>
    </row>
    <row r="91" spans="1:129">
      <c r="A91" s="9" t="s">
        <v>95</v>
      </c>
      <c r="B91" s="9"/>
      <c r="C91" s="60">
        <f>243.95+120+1172.5+83+85.85</f>
        <v>1705.3</v>
      </c>
      <c r="D91" s="33"/>
      <c r="E91" s="60">
        <v>587</v>
      </c>
      <c r="F91" s="33"/>
      <c r="G91" s="57">
        <f t="shared" ref="G91:G99" si="246">E91-C91</f>
        <v>-1118.3</v>
      </c>
      <c r="H91" s="39"/>
      <c r="J91" s="60">
        <f>1110+20.9+1045+361</f>
        <v>2536.9</v>
      </c>
      <c r="K91" s="33"/>
      <c r="L91" s="60">
        <v>587</v>
      </c>
      <c r="M91" s="33"/>
      <c r="N91" s="57">
        <f t="shared" ref="N91:N99" si="247">L91-J91</f>
        <v>-1949.9</v>
      </c>
      <c r="O91" s="39"/>
      <c r="Q91" s="60">
        <f>300+1135+26.6</f>
        <v>1461.6</v>
      </c>
      <c r="R91" s="33"/>
      <c r="S91" s="60">
        <v>587</v>
      </c>
      <c r="T91" s="33"/>
      <c r="U91" s="57">
        <f t="shared" ref="U91:U99" si="248">S91-Q91</f>
        <v>-874.59999999999991</v>
      </c>
      <c r="V91" s="39"/>
      <c r="X91" s="61">
        <f t="shared" ref="X91:X99" si="249">C91+J91+Q91</f>
        <v>5703.7999999999993</v>
      </c>
      <c r="Y91" s="33"/>
      <c r="Z91" s="61">
        <f t="shared" ref="Z91:Z99" si="250">E91+L91+S91</f>
        <v>1761</v>
      </c>
      <c r="AA91" s="33"/>
      <c r="AB91" s="57">
        <f t="shared" ref="AB91:AB99" si="251">Z91-X91</f>
        <v>-3942.7999999999993</v>
      </c>
      <c r="AC91" s="39"/>
      <c r="AE91" s="60">
        <f>29.6+75</f>
        <v>104.6</v>
      </c>
      <c r="AF91" s="33"/>
      <c r="AG91" s="60">
        <v>587</v>
      </c>
      <c r="AH91" s="33"/>
      <c r="AI91" s="57">
        <f t="shared" ref="AI91:AI100" si="252">AG91-AE91</f>
        <v>482.4</v>
      </c>
      <c r="AJ91" s="39"/>
      <c r="AL91" s="60">
        <f>75+24.7</f>
        <v>99.7</v>
      </c>
      <c r="AM91" s="33"/>
      <c r="AN91" s="60">
        <v>587</v>
      </c>
      <c r="AO91" s="33"/>
      <c r="AP91" s="57">
        <f t="shared" ref="AP91:AP100" si="253">AN91-AL91</f>
        <v>487.3</v>
      </c>
      <c r="AQ91" s="39"/>
      <c r="AS91" s="60">
        <f>75+26.6</f>
        <v>101.6</v>
      </c>
      <c r="AT91" s="33"/>
      <c r="AU91" s="60">
        <v>587</v>
      </c>
      <c r="AV91" s="33"/>
      <c r="AW91" s="57">
        <f t="shared" ref="AW91:AW100" si="254">AU91-AS91</f>
        <v>485.4</v>
      </c>
      <c r="AX91" s="39"/>
      <c r="AZ91" s="61">
        <f t="shared" ref="AZ91:AZ99" si="255">AE91+AL91+AS91</f>
        <v>305.89999999999998</v>
      </c>
      <c r="BA91" s="33"/>
      <c r="BB91" s="61">
        <f t="shared" ref="BB91:BB99" si="256">AG91+AN91+AU91</f>
        <v>1761</v>
      </c>
      <c r="BC91" s="33"/>
      <c r="BD91" s="57">
        <f t="shared" ref="BD91:BD99" si="257">BB91-AZ91</f>
        <v>1455.1</v>
      </c>
      <c r="BE91" s="39"/>
      <c r="BG91" s="60">
        <v>224.45</v>
      </c>
      <c r="BH91" s="70"/>
      <c r="BI91" s="60">
        <v>587</v>
      </c>
      <c r="BJ91" s="70"/>
      <c r="BK91" s="57">
        <f t="shared" ref="BK91:BK99" si="258">BG91-BI91</f>
        <v>-362.55</v>
      </c>
      <c r="BL91" s="43"/>
      <c r="BN91" s="60">
        <f>270+75+595+120</f>
        <v>1060</v>
      </c>
      <c r="BO91" s="70"/>
      <c r="BP91" s="60">
        <v>587</v>
      </c>
      <c r="BQ91" s="70"/>
      <c r="BR91" s="57">
        <f t="shared" ref="BR91:BR99" si="259">BN91-BP91</f>
        <v>473</v>
      </c>
      <c r="BS91" s="43"/>
      <c r="BU91" s="60">
        <f>1125+0.95+109</f>
        <v>1234.95</v>
      </c>
      <c r="BV91" s="70"/>
      <c r="BW91" s="60">
        <v>500</v>
      </c>
      <c r="BX91" s="70"/>
      <c r="BY91" s="57">
        <f t="shared" ref="BY91:BY99" si="260">BU91-BW91</f>
        <v>734.95</v>
      </c>
      <c r="BZ91" s="43"/>
      <c r="CB91" s="61">
        <f t="shared" ref="CB91:CB99" si="261">BG91+BN91+BU91</f>
        <v>2519.4</v>
      </c>
      <c r="CC91" s="70"/>
      <c r="CD91" s="61">
        <f t="shared" ref="CD91:CD99" si="262">BI91+BP91+BW91</f>
        <v>1674</v>
      </c>
      <c r="CE91" s="70"/>
      <c r="CF91" s="57">
        <f t="shared" ref="CF91:CF99" si="263">CB91-CD91</f>
        <v>845.40000000000009</v>
      </c>
      <c r="CG91" s="43"/>
      <c r="CI91" s="60">
        <f>263.94+182.83+1036.99+1092.86+149+315.5</f>
        <v>3041.12</v>
      </c>
      <c r="CJ91" s="70"/>
      <c r="CK91" s="60">
        <v>500</v>
      </c>
      <c r="CL91" s="70"/>
      <c r="CM91" s="57">
        <f t="shared" ref="CM91:CM99" si="264">CI91-CK91</f>
        <v>2541.12</v>
      </c>
      <c r="CN91" s="43"/>
      <c r="CP91" s="60">
        <f>574.98+65+668.97</f>
        <v>1308.95</v>
      </c>
      <c r="CQ91" s="70"/>
      <c r="CR91" s="60">
        <v>500</v>
      </c>
      <c r="CS91" s="70"/>
      <c r="CT91" s="57">
        <f t="shared" ref="CT91:CT99" si="265">CP91-CR91</f>
        <v>808.95</v>
      </c>
      <c r="CU91" s="43"/>
      <c r="CW91" s="60">
        <v>1425.15</v>
      </c>
      <c r="CX91" s="70"/>
      <c r="CY91" s="60">
        <v>500</v>
      </c>
      <c r="CZ91" s="70"/>
      <c r="DA91" s="57">
        <f t="shared" ref="DA91:DA99" si="266">CW91-CY91</f>
        <v>925.15000000000009</v>
      </c>
      <c r="DB91" s="43"/>
      <c r="DD91" s="60">
        <f>483.03</f>
        <v>483.03</v>
      </c>
      <c r="DE91" s="70"/>
      <c r="DF91" s="60">
        <v>500</v>
      </c>
      <c r="DG91" s="70"/>
      <c r="DH91" s="57">
        <f t="shared" ref="DH91:DH99" si="267">DD91-DF91</f>
        <v>-16.970000000000027</v>
      </c>
      <c r="DI91" s="43"/>
      <c r="DK91" s="61">
        <f t="shared" ref="DK91:DK99" si="268">CI91+CP91+CW91+DD91</f>
        <v>6258.2499999999991</v>
      </c>
      <c r="DL91" s="70"/>
      <c r="DM91" s="61">
        <f t="shared" ref="DM91:DM99" si="269">CK91+CR91+CY91+DF91</f>
        <v>2000</v>
      </c>
      <c r="DN91" s="70"/>
      <c r="DO91" s="57">
        <f t="shared" ref="DO91:DO99" si="270">DK91-DM91</f>
        <v>4258.2499999999991</v>
      </c>
      <c r="DP91" s="43"/>
      <c r="DR91" s="61">
        <f t="shared" ref="DR91:DR99" si="271">X91+AZ91+CB91+DK91</f>
        <v>14787.349999999999</v>
      </c>
      <c r="DS91" s="33"/>
      <c r="DT91" s="61">
        <f t="shared" ref="DT91:DT99" si="272">Z91+BB91+CD91+DM91</f>
        <v>7196</v>
      </c>
      <c r="DU91" s="33"/>
      <c r="DV91" s="57">
        <f t="shared" ref="DV91:DV99" si="273">DT91-DR91</f>
        <v>-7591.3499999999985</v>
      </c>
      <c r="DW91" s="39"/>
    </row>
    <row r="92" spans="1:129">
      <c r="A92" s="9" t="s">
        <v>96</v>
      </c>
      <c r="B92" s="9"/>
      <c r="C92" s="60">
        <v>0</v>
      </c>
      <c r="D92" s="33"/>
      <c r="E92" s="60">
        <v>0</v>
      </c>
      <c r="F92" s="33"/>
      <c r="G92" s="57">
        <f t="shared" si="246"/>
        <v>0</v>
      </c>
      <c r="H92" s="39"/>
      <c r="J92" s="60">
        <v>0</v>
      </c>
      <c r="K92" s="33"/>
      <c r="L92" s="60">
        <v>0</v>
      </c>
      <c r="M92" s="33"/>
      <c r="N92" s="57">
        <f t="shared" si="247"/>
        <v>0</v>
      </c>
      <c r="O92" s="39"/>
      <c r="Q92" s="60">
        <v>0</v>
      </c>
      <c r="R92" s="33"/>
      <c r="S92" s="60">
        <v>0</v>
      </c>
      <c r="T92" s="33"/>
      <c r="U92" s="57">
        <f t="shared" si="248"/>
        <v>0</v>
      </c>
      <c r="V92" s="39"/>
      <c r="X92" s="61">
        <f t="shared" si="249"/>
        <v>0</v>
      </c>
      <c r="Y92" s="33"/>
      <c r="Z92" s="61">
        <f t="shared" si="250"/>
        <v>0</v>
      </c>
      <c r="AA92" s="33"/>
      <c r="AB92" s="57">
        <f t="shared" si="251"/>
        <v>0</v>
      </c>
      <c r="AC92" s="39"/>
      <c r="AE92" s="60">
        <v>0</v>
      </c>
      <c r="AF92" s="33"/>
      <c r="AG92" s="60">
        <v>0</v>
      </c>
      <c r="AH92" s="33"/>
      <c r="AI92" s="57">
        <f t="shared" si="252"/>
        <v>0</v>
      </c>
      <c r="AJ92" s="39"/>
      <c r="AL92" s="60">
        <v>0</v>
      </c>
      <c r="AM92" s="33"/>
      <c r="AN92" s="60">
        <v>0</v>
      </c>
      <c r="AO92" s="33"/>
      <c r="AP92" s="57">
        <f t="shared" si="253"/>
        <v>0</v>
      </c>
      <c r="AQ92" s="39"/>
      <c r="AS92" s="60">
        <v>0</v>
      </c>
      <c r="AT92" s="33"/>
      <c r="AU92" s="60">
        <v>0</v>
      </c>
      <c r="AV92" s="33"/>
      <c r="AW92" s="57">
        <f t="shared" si="254"/>
        <v>0</v>
      </c>
      <c r="AX92" s="39"/>
      <c r="AZ92" s="61">
        <f t="shared" si="255"/>
        <v>0</v>
      </c>
      <c r="BA92" s="33"/>
      <c r="BB92" s="61">
        <f t="shared" si="256"/>
        <v>0</v>
      </c>
      <c r="BC92" s="33"/>
      <c r="BD92" s="57">
        <f t="shared" si="257"/>
        <v>0</v>
      </c>
      <c r="BE92" s="39"/>
      <c r="BG92" s="60">
        <v>0</v>
      </c>
      <c r="BH92" s="70"/>
      <c r="BI92" s="60">
        <v>0</v>
      </c>
      <c r="BJ92" s="70"/>
      <c r="BK92" s="57">
        <f t="shared" si="258"/>
        <v>0</v>
      </c>
      <c r="BL92" s="43"/>
      <c r="BN92" s="60">
        <v>0</v>
      </c>
      <c r="BO92" s="70"/>
      <c r="BP92" s="60">
        <v>0</v>
      </c>
      <c r="BQ92" s="70"/>
      <c r="BR92" s="57">
        <f t="shared" si="259"/>
        <v>0</v>
      </c>
      <c r="BS92" s="43"/>
      <c r="BU92" s="60">
        <v>0</v>
      </c>
      <c r="BV92" s="70"/>
      <c r="BW92" s="60">
        <v>0</v>
      </c>
      <c r="BX92" s="70"/>
      <c r="BY92" s="57">
        <f t="shared" si="260"/>
        <v>0</v>
      </c>
      <c r="BZ92" s="43"/>
      <c r="CB92" s="61">
        <f t="shared" si="261"/>
        <v>0</v>
      </c>
      <c r="CC92" s="70"/>
      <c r="CD92" s="61">
        <f t="shared" si="262"/>
        <v>0</v>
      </c>
      <c r="CE92" s="70"/>
      <c r="CF92" s="57">
        <f t="shared" si="263"/>
        <v>0</v>
      </c>
      <c r="CG92" s="43"/>
      <c r="CI92" s="60">
        <v>0</v>
      </c>
      <c r="CJ92" s="70"/>
      <c r="CK92" s="60">
        <v>0</v>
      </c>
      <c r="CL92" s="70"/>
      <c r="CM92" s="57">
        <f t="shared" si="264"/>
        <v>0</v>
      </c>
      <c r="CN92" s="43"/>
      <c r="CP92" s="60"/>
      <c r="CQ92" s="70"/>
      <c r="CR92" s="60">
        <v>0</v>
      </c>
      <c r="CS92" s="70"/>
      <c r="CT92" s="57">
        <f t="shared" si="265"/>
        <v>0</v>
      </c>
      <c r="CU92" s="43"/>
      <c r="CW92" s="60"/>
      <c r="CX92" s="70"/>
      <c r="CY92" s="60">
        <v>0</v>
      </c>
      <c r="CZ92" s="70"/>
      <c r="DA92" s="57">
        <f t="shared" si="266"/>
        <v>0</v>
      </c>
      <c r="DB92" s="43"/>
      <c r="DD92" s="60">
        <v>0</v>
      </c>
      <c r="DE92" s="70"/>
      <c r="DF92" s="60">
        <v>0</v>
      </c>
      <c r="DG92" s="70"/>
      <c r="DH92" s="57">
        <f t="shared" si="267"/>
        <v>0</v>
      </c>
      <c r="DI92" s="43"/>
      <c r="DK92" s="61">
        <f t="shared" si="268"/>
        <v>0</v>
      </c>
      <c r="DL92" s="70"/>
      <c r="DM92" s="61">
        <f t="shared" si="269"/>
        <v>0</v>
      </c>
      <c r="DN92" s="70"/>
      <c r="DO92" s="57">
        <f t="shared" si="270"/>
        <v>0</v>
      </c>
      <c r="DP92" s="43"/>
      <c r="DR92" s="61">
        <f t="shared" si="271"/>
        <v>0</v>
      </c>
      <c r="DS92" s="33"/>
      <c r="DT92" s="61">
        <f t="shared" si="272"/>
        <v>0</v>
      </c>
      <c r="DU92" s="33"/>
      <c r="DV92" s="57">
        <f t="shared" si="273"/>
        <v>0</v>
      </c>
      <c r="DW92" s="39"/>
    </row>
    <row r="93" spans="1:129">
      <c r="A93" s="9" t="s">
        <v>97</v>
      </c>
      <c r="B93" s="9"/>
      <c r="C93" s="60">
        <v>1035</v>
      </c>
      <c r="D93" s="33"/>
      <c r="E93" s="60">
        <v>923</v>
      </c>
      <c r="F93" s="33"/>
      <c r="G93" s="57">
        <f t="shared" si="246"/>
        <v>-112</v>
      </c>
      <c r="H93" s="39"/>
      <c r="J93" s="60">
        <v>0</v>
      </c>
      <c r="K93" s="33"/>
      <c r="L93" s="60">
        <v>923</v>
      </c>
      <c r="M93" s="33"/>
      <c r="N93" s="57">
        <f t="shared" si="247"/>
        <v>923</v>
      </c>
      <c r="O93" s="39"/>
      <c r="Q93" s="60">
        <v>1387.5</v>
      </c>
      <c r="R93" s="33"/>
      <c r="S93" s="60">
        <v>923</v>
      </c>
      <c r="T93" s="33"/>
      <c r="U93" s="57">
        <f t="shared" si="248"/>
        <v>-464.5</v>
      </c>
      <c r="V93" s="39"/>
      <c r="X93" s="61">
        <f t="shared" si="249"/>
        <v>2422.5</v>
      </c>
      <c r="Y93" s="33"/>
      <c r="Z93" s="61">
        <f t="shared" si="250"/>
        <v>2769</v>
      </c>
      <c r="AA93" s="33"/>
      <c r="AB93" s="57">
        <f t="shared" si="251"/>
        <v>346.5</v>
      </c>
      <c r="AC93" s="39"/>
      <c r="AE93" s="60">
        <v>120</v>
      </c>
      <c r="AF93" s="33"/>
      <c r="AG93" s="60">
        <v>923</v>
      </c>
      <c r="AH93" s="33"/>
      <c r="AI93" s="57">
        <f t="shared" si="252"/>
        <v>803</v>
      </c>
      <c r="AJ93" s="39"/>
      <c r="AL93" s="50">
        <v>120</v>
      </c>
      <c r="AM93" s="33"/>
      <c r="AN93" s="60">
        <v>923</v>
      </c>
      <c r="AO93" s="33"/>
      <c r="AP93" s="57">
        <f t="shared" si="253"/>
        <v>803</v>
      </c>
      <c r="AQ93" s="39"/>
      <c r="AS93" s="50">
        <v>120</v>
      </c>
      <c r="AT93" s="33"/>
      <c r="AU93" s="60">
        <v>923</v>
      </c>
      <c r="AV93" s="33"/>
      <c r="AW93" s="57">
        <f t="shared" si="254"/>
        <v>803</v>
      </c>
      <c r="AX93" s="39"/>
      <c r="AZ93" s="61">
        <f t="shared" si="255"/>
        <v>360</v>
      </c>
      <c r="BA93" s="33"/>
      <c r="BB93" s="61">
        <f t="shared" si="256"/>
        <v>2769</v>
      </c>
      <c r="BC93" s="33"/>
      <c r="BD93" s="57">
        <f t="shared" si="257"/>
        <v>2409</v>
      </c>
      <c r="BE93" s="39"/>
      <c r="BG93" s="60">
        <v>0</v>
      </c>
      <c r="BH93" s="70"/>
      <c r="BI93" s="60">
        <v>923</v>
      </c>
      <c r="BJ93" s="70"/>
      <c r="BK93" s="57">
        <f t="shared" si="258"/>
        <v>-923</v>
      </c>
      <c r="BL93" s="43"/>
      <c r="BN93" s="60">
        <v>1063.5</v>
      </c>
      <c r="BO93" s="70"/>
      <c r="BP93" s="60">
        <v>923</v>
      </c>
      <c r="BQ93" s="70"/>
      <c r="BR93" s="57">
        <f t="shared" si="259"/>
        <v>140.5</v>
      </c>
      <c r="BS93" s="43"/>
      <c r="BU93" s="60">
        <v>1322.5</v>
      </c>
      <c r="BV93" s="70"/>
      <c r="BW93" s="60">
        <v>950</v>
      </c>
      <c r="BX93" s="70"/>
      <c r="BY93" s="57">
        <f t="shared" si="260"/>
        <v>372.5</v>
      </c>
      <c r="BZ93" s="43"/>
      <c r="CB93" s="61">
        <f t="shared" si="261"/>
        <v>2386</v>
      </c>
      <c r="CC93" s="70"/>
      <c r="CD93" s="61">
        <f t="shared" si="262"/>
        <v>2796</v>
      </c>
      <c r="CE93" s="70"/>
      <c r="CF93" s="57">
        <f t="shared" si="263"/>
        <v>-410</v>
      </c>
      <c r="CG93" s="43"/>
      <c r="CI93" s="60">
        <v>1488.08</v>
      </c>
      <c r="CJ93" s="70"/>
      <c r="CK93" s="60">
        <v>950</v>
      </c>
      <c r="CL93" s="70"/>
      <c r="CM93" s="57">
        <f t="shared" si="264"/>
        <v>538.07999999999993</v>
      </c>
      <c r="CN93" s="43"/>
      <c r="CP93" s="60">
        <f>1503.75-CP98</f>
        <v>1003.75</v>
      </c>
      <c r="CQ93" s="70"/>
      <c r="CR93" s="60">
        <v>950</v>
      </c>
      <c r="CS93" s="70"/>
      <c r="CT93" s="57">
        <f t="shared" si="265"/>
        <v>53.75</v>
      </c>
      <c r="CU93" s="43"/>
      <c r="CW93" s="60">
        <v>903.75</v>
      </c>
      <c r="CX93" s="70"/>
      <c r="CY93" s="60">
        <v>950</v>
      </c>
      <c r="CZ93" s="70"/>
      <c r="DA93" s="57">
        <f t="shared" si="266"/>
        <v>-46.25</v>
      </c>
      <c r="DB93" s="43"/>
      <c r="DD93" s="60">
        <v>886.25</v>
      </c>
      <c r="DE93" s="70"/>
      <c r="DF93" s="60">
        <v>950</v>
      </c>
      <c r="DG93" s="70"/>
      <c r="DH93" s="57">
        <f t="shared" si="267"/>
        <v>-63.75</v>
      </c>
      <c r="DI93" s="43"/>
      <c r="DK93" s="61">
        <f t="shared" si="268"/>
        <v>4281.83</v>
      </c>
      <c r="DL93" s="70"/>
      <c r="DM93" s="61">
        <f t="shared" si="269"/>
        <v>3800</v>
      </c>
      <c r="DN93" s="70"/>
      <c r="DO93" s="57">
        <f t="shared" si="270"/>
        <v>481.82999999999993</v>
      </c>
      <c r="DP93" s="43"/>
      <c r="DR93" s="61">
        <f t="shared" si="271"/>
        <v>9450.33</v>
      </c>
      <c r="DS93" s="33"/>
      <c r="DT93" s="61">
        <f t="shared" si="272"/>
        <v>12134</v>
      </c>
      <c r="DU93" s="33"/>
      <c r="DV93" s="57">
        <f t="shared" si="273"/>
        <v>2683.67</v>
      </c>
      <c r="DW93" s="39"/>
    </row>
    <row r="94" spans="1:129">
      <c r="A94" s="9" t="s">
        <v>98</v>
      </c>
      <c r="B94" s="9"/>
      <c r="C94" s="60">
        <v>0</v>
      </c>
      <c r="D94" s="33"/>
      <c r="E94" s="60">
        <v>1122</v>
      </c>
      <c r="F94" s="33"/>
      <c r="G94" s="57">
        <f t="shared" si="246"/>
        <v>1122</v>
      </c>
      <c r="H94" s="39"/>
      <c r="J94" s="60">
        <v>0</v>
      </c>
      <c r="K94" s="33"/>
      <c r="L94" s="60">
        <v>1122</v>
      </c>
      <c r="M94" s="33"/>
      <c r="N94" s="57">
        <f t="shared" si="247"/>
        <v>1122</v>
      </c>
      <c r="O94" s="39"/>
      <c r="Q94" s="60">
        <v>0</v>
      </c>
      <c r="R94" s="33"/>
      <c r="S94" s="60">
        <v>1122</v>
      </c>
      <c r="T94" s="33"/>
      <c r="U94" s="57">
        <f t="shared" si="248"/>
        <v>1122</v>
      </c>
      <c r="V94" s="39"/>
      <c r="X94" s="61">
        <f t="shared" si="249"/>
        <v>0</v>
      </c>
      <c r="Y94" s="33"/>
      <c r="Z94" s="61">
        <f t="shared" si="250"/>
        <v>3366</v>
      </c>
      <c r="AA94" s="33"/>
      <c r="AB94" s="57">
        <f t="shared" si="251"/>
        <v>3366</v>
      </c>
      <c r="AC94" s="39"/>
      <c r="AE94" s="60">
        <v>0</v>
      </c>
      <c r="AF94" s="33"/>
      <c r="AG94" s="60">
        <v>1122</v>
      </c>
      <c r="AH94" s="33"/>
      <c r="AI94" s="57">
        <f t="shared" si="252"/>
        <v>1122</v>
      </c>
      <c r="AJ94" s="39"/>
      <c r="AL94" s="60">
        <v>0</v>
      </c>
      <c r="AM94" s="33"/>
      <c r="AN94" s="60">
        <v>1122</v>
      </c>
      <c r="AO94" s="33"/>
      <c r="AP94" s="57">
        <f t="shared" si="253"/>
        <v>1122</v>
      </c>
      <c r="AQ94" s="39"/>
      <c r="AS94" s="60">
        <v>0</v>
      </c>
      <c r="AT94" s="33"/>
      <c r="AU94" s="60">
        <v>1122</v>
      </c>
      <c r="AV94" s="33"/>
      <c r="AW94" s="57">
        <f t="shared" si="254"/>
        <v>1122</v>
      </c>
      <c r="AX94" s="39"/>
      <c r="AZ94" s="61">
        <f t="shared" si="255"/>
        <v>0</v>
      </c>
      <c r="BA94" s="33"/>
      <c r="BB94" s="61">
        <f t="shared" si="256"/>
        <v>3366</v>
      </c>
      <c r="BC94" s="33"/>
      <c r="BD94" s="57">
        <f t="shared" si="257"/>
        <v>3366</v>
      </c>
      <c r="BE94" s="39"/>
      <c r="BG94" s="60">
        <v>0</v>
      </c>
      <c r="BH94" s="70"/>
      <c r="BI94" s="60">
        <v>1122</v>
      </c>
      <c r="BJ94" s="70"/>
      <c r="BK94" s="57">
        <f t="shared" si="258"/>
        <v>-1122</v>
      </c>
      <c r="BL94" s="43"/>
      <c r="BN94" s="60">
        <v>3420.2</v>
      </c>
      <c r="BO94" s="70"/>
      <c r="BP94" s="60">
        <v>1122</v>
      </c>
      <c r="BQ94" s="70"/>
      <c r="BR94" s="57">
        <f t="shared" si="259"/>
        <v>2298.1999999999998</v>
      </c>
      <c r="BS94" s="43"/>
      <c r="BU94" s="60">
        <f>181.05</f>
        <v>181.05</v>
      </c>
      <c r="BV94" s="70"/>
      <c r="BW94" s="60">
        <v>500</v>
      </c>
      <c r="BX94" s="70"/>
      <c r="BY94" s="57">
        <f t="shared" si="260"/>
        <v>-318.95</v>
      </c>
      <c r="BZ94" s="43"/>
      <c r="CB94" s="61">
        <f t="shared" si="261"/>
        <v>3601.25</v>
      </c>
      <c r="CC94" s="70"/>
      <c r="CD94" s="61">
        <f t="shared" si="262"/>
        <v>2744</v>
      </c>
      <c r="CE94" s="70"/>
      <c r="CF94" s="57">
        <f t="shared" si="263"/>
        <v>857.25</v>
      </c>
      <c r="CG94" s="43"/>
      <c r="CI94" s="60">
        <v>-1177.98</v>
      </c>
      <c r="CJ94" s="70"/>
      <c r="CK94" s="60">
        <v>500</v>
      </c>
      <c r="CL94" s="70"/>
      <c r="CM94" s="57">
        <f t="shared" si="264"/>
        <v>-1677.98</v>
      </c>
      <c r="CN94" s="43"/>
      <c r="CP94" s="60">
        <v>723.74</v>
      </c>
      <c r="CQ94" s="70"/>
      <c r="CR94" s="60">
        <v>500</v>
      </c>
      <c r="CS94" s="70"/>
      <c r="CT94" s="57">
        <f t="shared" si="265"/>
        <v>223.74</v>
      </c>
      <c r="CU94" s="43"/>
      <c r="CW94" s="60">
        <f>39.1+131.64</f>
        <v>170.73999999999998</v>
      </c>
      <c r="CX94" s="70"/>
      <c r="CY94" s="60">
        <v>500</v>
      </c>
      <c r="CZ94" s="70"/>
      <c r="DA94" s="57">
        <f t="shared" si="266"/>
        <v>-329.26</v>
      </c>
      <c r="DB94" s="43"/>
      <c r="DD94" s="60">
        <f>782.23+267.82</f>
        <v>1050.05</v>
      </c>
      <c r="DE94" s="70"/>
      <c r="DF94" s="60">
        <v>500</v>
      </c>
      <c r="DG94" s="70"/>
      <c r="DH94" s="57">
        <f t="shared" si="267"/>
        <v>550.04999999999995</v>
      </c>
      <c r="DI94" s="43"/>
      <c r="DK94" s="61">
        <f t="shared" si="268"/>
        <v>766.55</v>
      </c>
      <c r="DL94" s="70"/>
      <c r="DM94" s="61">
        <f t="shared" si="269"/>
        <v>2000</v>
      </c>
      <c r="DN94" s="70"/>
      <c r="DO94" s="57">
        <f t="shared" si="270"/>
        <v>-1233.45</v>
      </c>
      <c r="DP94" s="43"/>
      <c r="DR94" s="61">
        <f t="shared" si="271"/>
        <v>4367.8</v>
      </c>
      <c r="DS94" s="33"/>
      <c r="DT94" s="61">
        <f t="shared" si="272"/>
        <v>11476</v>
      </c>
      <c r="DU94" s="33"/>
      <c r="DV94" s="57">
        <f t="shared" si="273"/>
        <v>7108.2</v>
      </c>
      <c r="DW94" s="39"/>
    </row>
    <row r="95" spans="1:129">
      <c r="A95" s="9" t="s">
        <v>99</v>
      </c>
      <c r="B95" s="9"/>
      <c r="C95" s="60">
        <v>263.94</v>
      </c>
      <c r="D95" s="33"/>
      <c r="E95" s="60">
        <v>243</v>
      </c>
      <c r="F95" s="33"/>
      <c r="G95" s="57">
        <f t="shared" si="246"/>
        <v>-20.939999999999998</v>
      </c>
      <c r="H95" s="39"/>
      <c r="J95" s="60">
        <v>363.94</v>
      </c>
      <c r="K95" s="33"/>
      <c r="L95" s="60">
        <v>243</v>
      </c>
      <c r="M95" s="33"/>
      <c r="N95" s="57">
        <f t="shared" si="247"/>
        <v>-120.94</v>
      </c>
      <c r="O95" s="39"/>
      <c r="Q95" s="60">
        <v>263.94</v>
      </c>
      <c r="R95" s="33"/>
      <c r="S95" s="60">
        <v>243</v>
      </c>
      <c r="T95" s="33"/>
      <c r="U95" s="57">
        <f t="shared" si="248"/>
        <v>-20.939999999999998</v>
      </c>
      <c r="V95" s="39"/>
      <c r="X95" s="61">
        <f t="shared" si="249"/>
        <v>891.81999999999994</v>
      </c>
      <c r="Y95" s="33"/>
      <c r="Z95" s="61">
        <f t="shared" si="250"/>
        <v>729</v>
      </c>
      <c r="AA95" s="33"/>
      <c r="AB95" s="57">
        <f t="shared" si="251"/>
        <v>-162.81999999999994</v>
      </c>
      <c r="AC95" s="39"/>
      <c r="AE95" s="60">
        <v>293.49</v>
      </c>
      <c r="AF95" s="33"/>
      <c r="AG95" s="60">
        <v>243</v>
      </c>
      <c r="AH95" s="33"/>
      <c r="AI95" s="57">
        <f t="shared" si="252"/>
        <v>-50.490000000000009</v>
      </c>
      <c r="AJ95" s="39"/>
      <c r="AL95" s="60"/>
      <c r="AM95" s="33"/>
      <c r="AN95" s="60">
        <v>243</v>
      </c>
      <c r="AO95" s="33"/>
      <c r="AP95" s="57">
        <f t="shared" si="253"/>
        <v>243</v>
      </c>
      <c r="AQ95" s="39"/>
      <c r="AS95" s="60">
        <v>6.74</v>
      </c>
      <c r="AT95" s="33"/>
      <c r="AU95" s="60">
        <v>243</v>
      </c>
      <c r="AV95" s="33"/>
      <c r="AW95" s="57">
        <f t="shared" si="254"/>
        <v>236.26</v>
      </c>
      <c r="AX95" s="39"/>
      <c r="AZ95" s="61">
        <f t="shared" si="255"/>
        <v>300.23</v>
      </c>
      <c r="BA95" s="33"/>
      <c r="BB95" s="61">
        <f t="shared" si="256"/>
        <v>729</v>
      </c>
      <c r="BC95" s="33"/>
      <c r="BD95" s="57">
        <f t="shared" si="257"/>
        <v>428.77</v>
      </c>
      <c r="BE95" s="39"/>
      <c r="BG95" s="60">
        <v>0</v>
      </c>
      <c r="BH95" s="70"/>
      <c r="BI95" s="60">
        <v>243</v>
      </c>
      <c r="BJ95" s="70"/>
      <c r="BK95" s="57">
        <f t="shared" si="258"/>
        <v>-243</v>
      </c>
      <c r="BL95" s="43"/>
      <c r="BN95" s="60">
        <v>307.56</v>
      </c>
      <c r="BO95" s="70"/>
      <c r="BP95" s="60">
        <v>243</v>
      </c>
      <c r="BQ95" s="70"/>
      <c r="BR95" s="57">
        <f t="shared" si="259"/>
        <v>64.56</v>
      </c>
      <c r="BS95" s="43"/>
      <c r="BU95" s="60">
        <v>943.94</v>
      </c>
      <c r="BV95" s="70"/>
      <c r="BW95" s="60">
        <v>250</v>
      </c>
      <c r="BX95" s="70"/>
      <c r="BY95" s="57">
        <f t="shared" si="260"/>
        <v>693.94</v>
      </c>
      <c r="BZ95" s="43"/>
      <c r="CB95" s="61">
        <f t="shared" si="261"/>
        <v>1251.5</v>
      </c>
      <c r="CC95" s="70"/>
      <c r="CD95" s="61">
        <f t="shared" si="262"/>
        <v>736</v>
      </c>
      <c r="CE95" s="70"/>
      <c r="CF95" s="57">
        <f t="shared" si="263"/>
        <v>515.5</v>
      </c>
      <c r="CG95" s="43"/>
      <c r="CI95" s="60">
        <v>0</v>
      </c>
      <c r="CJ95" s="70"/>
      <c r="CK95" s="60">
        <v>250</v>
      </c>
      <c r="CL95" s="70"/>
      <c r="CM95" s="57">
        <f t="shared" si="264"/>
        <v>-250</v>
      </c>
      <c r="CN95" s="43"/>
      <c r="CP95" s="60">
        <v>0</v>
      </c>
      <c r="CQ95" s="70"/>
      <c r="CR95" s="60">
        <v>250</v>
      </c>
      <c r="CS95" s="70"/>
      <c r="CT95" s="57">
        <f t="shared" si="265"/>
        <v>-250</v>
      </c>
      <c r="CU95" s="43"/>
      <c r="CW95" s="60">
        <v>0</v>
      </c>
      <c r="CX95" s="70"/>
      <c r="CY95" s="60">
        <v>250</v>
      </c>
      <c r="CZ95" s="70"/>
      <c r="DA95" s="57">
        <f t="shared" si="266"/>
        <v>-250</v>
      </c>
      <c r="DB95" s="43"/>
      <c r="DD95" s="60">
        <v>513.94000000000005</v>
      </c>
      <c r="DE95" s="70"/>
      <c r="DF95" s="60">
        <v>250</v>
      </c>
      <c r="DG95" s="70"/>
      <c r="DH95" s="57">
        <f t="shared" si="267"/>
        <v>263.94000000000005</v>
      </c>
      <c r="DI95" s="43"/>
      <c r="DK95" s="61">
        <f t="shared" si="268"/>
        <v>513.94000000000005</v>
      </c>
      <c r="DL95" s="70"/>
      <c r="DM95" s="61">
        <f t="shared" si="269"/>
        <v>1000</v>
      </c>
      <c r="DN95" s="70"/>
      <c r="DO95" s="57">
        <f t="shared" si="270"/>
        <v>-486.05999999999995</v>
      </c>
      <c r="DP95" s="43"/>
      <c r="DR95" s="61">
        <f t="shared" si="271"/>
        <v>2957.4900000000002</v>
      </c>
      <c r="DS95" s="33"/>
      <c r="DT95" s="61">
        <f t="shared" si="272"/>
        <v>3194</v>
      </c>
      <c r="DU95" s="33"/>
      <c r="DV95" s="57">
        <f t="shared" si="273"/>
        <v>236.50999999999976</v>
      </c>
      <c r="DW95" s="39"/>
    </row>
    <row r="96" spans="1:129">
      <c r="A96" s="9" t="s">
        <v>100</v>
      </c>
      <c r="B96" s="9"/>
      <c r="C96" s="60">
        <v>622.4</v>
      </c>
      <c r="D96" s="33"/>
      <c r="E96" s="60"/>
      <c r="F96" s="33"/>
      <c r="G96" s="57"/>
      <c r="H96" s="39"/>
      <c r="J96" s="60"/>
      <c r="K96" s="33"/>
      <c r="L96" s="60"/>
      <c r="M96" s="33"/>
      <c r="N96" s="57"/>
      <c r="O96" s="39"/>
      <c r="Q96" s="60"/>
      <c r="R96" s="33"/>
      <c r="S96" s="60"/>
      <c r="T96" s="33"/>
      <c r="U96" s="57"/>
      <c r="V96" s="39"/>
      <c r="X96" s="61">
        <f>C96+J96+Q96</f>
        <v>622.4</v>
      </c>
      <c r="Y96" s="33"/>
      <c r="Z96" s="61"/>
      <c r="AA96" s="33"/>
      <c r="AB96" s="57"/>
      <c r="AC96" s="39"/>
      <c r="AE96" s="60"/>
      <c r="AF96" s="33"/>
      <c r="AG96" s="60"/>
      <c r="AH96" s="33"/>
      <c r="AI96" s="57"/>
      <c r="AJ96" s="39"/>
      <c r="AL96" s="60"/>
      <c r="AM96" s="33"/>
      <c r="AN96" s="60"/>
      <c r="AO96" s="33"/>
      <c r="AP96" s="57"/>
      <c r="AQ96" s="39"/>
      <c r="AS96" s="60"/>
      <c r="AT96" s="33"/>
      <c r="AU96" s="60"/>
      <c r="AV96" s="33"/>
      <c r="AW96" s="57"/>
      <c r="AX96" s="39"/>
      <c r="AZ96" s="61"/>
      <c r="BA96" s="33"/>
      <c r="BB96" s="61"/>
      <c r="BC96" s="33"/>
      <c r="BD96" s="57"/>
      <c r="BE96" s="39"/>
      <c r="BG96" s="60"/>
      <c r="BH96" s="70"/>
      <c r="BI96" s="60"/>
      <c r="BJ96" s="70"/>
      <c r="BK96" s="57"/>
      <c r="BL96" s="43"/>
      <c r="BN96" s="60"/>
      <c r="BO96" s="70"/>
      <c r="BP96" s="60"/>
      <c r="BQ96" s="70"/>
      <c r="BR96" s="57"/>
      <c r="BS96" s="43"/>
      <c r="BU96" s="60"/>
      <c r="BV96" s="70"/>
      <c r="BW96" s="60"/>
      <c r="BX96" s="70"/>
      <c r="BY96" s="57"/>
      <c r="BZ96" s="43"/>
      <c r="CB96" s="61"/>
      <c r="CC96" s="70"/>
      <c r="CD96" s="61"/>
      <c r="CE96" s="70"/>
      <c r="CF96" s="57"/>
      <c r="CG96" s="43"/>
      <c r="CI96" s="60">
        <v>0</v>
      </c>
      <c r="CJ96" s="70"/>
      <c r="CK96" s="60"/>
      <c r="CL96" s="70"/>
      <c r="CM96" s="57"/>
      <c r="CN96" s="43"/>
      <c r="CP96" s="60">
        <v>0</v>
      </c>
      <c r="CQ96" s="70"/>
      <c r="CR96" s="60"/>
      <c r="CS96" s="70"/>
      <c r="CT96" s="57"/>
      <c r="CU96" s="43"/>
      <c r="CW96" s="60">
        <v>0</v>
      </c>
      <c r="CX96" s="70"/>
      <c r="CY96" s="60"/>
      <c r="CZ96" s="70"/>
      <c r="DA96" s="57"/>
      <c r="DB96" s="43"/>
      <c r="DD96" s="60">
        <v>0</v>
      </c>
      <c r="DE96" s="70"/>
      <c r="DF96" s="60"/>
      <c r="DG96" s="70"/>
      <c r="DH96" s="57"/>
      <c r="DI96" s="43"/>
      <c r="DK96" s="61">
        <f t="shared" si="268"/>
        <v>0</v>
      </c>
      <c r="DL96" s="70"/>
      <c r="DM96" s="61"/>
      <c r="DN96" s="70"/>
      <c r="DO96" s="57"/>
      <c r="DP96" s="43"/>
      <c r="DR96" s="61">
        <f t="shared" si="271"/>
        <v>622.4</v>
      </c>
      <c r="DS96" s="33"/>
      <c r="DT96" s="61"/>
      <c r="DU96" s="33"/>
      <c r="DV96" s="57"/>
      <c r="DW96" s="39"/>
    </row>
    <row r="97" spans="1:130">
      <c r="A97" s="9" t="s">
        <v>101</v>
      </c>
      <c r="B97" s="9"/>
      <c r="C97" s="60">
        <v>0</v>
      </c>
      <c r="D97" s="33"/>
      <c r="E97" s="60">
        <v>112</v>
      </c>
      <c r="F97" s="33"/>
      <c r="G97" s="57">
        <f t="shared" si="246"/>
        <v>112</v>
      </c>
      <c r="H97" s="39"/>
      <c r="J97" s="60">
        <v>0</v>
      </c>
      <c r="K97" s="33"/>
      <c r="L97" s="60">
        <v>112</v>
      </c>
      <c r="M97" s="33"/>
      <c r="N97" s="57">
        <f t="shared" si="247"/>
        <v>112</v>
      </c>
      <c r="O97" s="39"/>
      <c r="Q97" s="60">
        <v>0</v>
      </c>
      <c r="R97" s="33"/>
      <c r="S97" s="60">
        <v>112</v>
      </c>
      <c r="T97" s="33"/>
      <c r="U97" s="57">
        <f t="shared" si="248"/>
        <v>112</v>
      </c>
      <c r="V97" s="39"/>
      <c r="X97" s="61">
        <f t="shared" si="249"/>
        <v>0</v>
      </c>
      <c r="Y97" s="33"/>
      <c r="Z97" s="61">
        <f t="shared" si="250"/>
        <v>336</v>
      </c>
      <c r="AA97" s="33"/>
      <c r="AB97" s="57">
        <f t="shared" si="251"/>
        <v>336</v>
      </c>
      <c r="AC97" s="39"/>
      <c r="AE97" s="60">
        <v>0</v>
      </c>
      <c r="AF97" s="33"/>
      <c r="AG97" s="60">
        <v>112</v>
      </c>
      <c r="AH97" s="33"/>
      <c r="AI97" s="57">
        <f t="shared" si="252"/>
        <v>112</v>
      </c>
      <c r="AJ97" s="39"/>
      <c r="AL97" s="60">
        <v>0</v>
      </c>
      <c r="AM97" s="33"/>
      <c r="AN97" s="60">
        <v>112</v>
      </c>
      <c r="AO97" s="33"/>
      <c r="AP97" s="57">
        <f t="shared" si="253"/>
        <v>112</v>
      </c>
      <c r="AQ97" s="39"/>
      <c r="AS97" s="60">
        <v>0</v>
      </c>
      <c r="AT97" s="33"/>
      <c r="AU97" s="60">
        <v>112</v>
      </c>
      <c r="AV97" s="33"/>
      <c r="AW97" s="57">
        <f t="shared" si="254"/>
        <v>112</v>
      </c>
      <c r="AX97" s="39"/>
      <c r="AZ97" s="61">
        <f t="shared" si="255"/>
        <v>0</v>
      </c>
      <c r="BA97" s="33"/>
      <c r="BB97" s="61">
        <f t="shared" si="256"/>
        <v>336</v>
      </c>
      <c r="BC97" s="33"/>
      <c r="BD97" s="57">
        <f t="shared" si="257"/>
        <v>336</v>
      </c>
      <c r="BE97" s="39"/>
      <c r="BG97" s="60">
        <v>0</v>
      </c>
      <c r="BH97" s="70"/>
      <c r="BI97" s="60">
        <v>112</v>
      </c>
      <c r="BJ97" s="70"/>
      <c r="BK97" s="57">
        <f t="shared" si="258"/>
        <v>-112</v>
      </c>
      <c r="BL97" s="43"/>
      <c r="BN97" s="60">
        <v>0</v>
      </c>
      <c r="BO97" s="70"/>
      <c r="BP97" s="60">
        <v>112</v>
      </c>
      <c r="BQ97" s="70"/>
      <c r="BR97" s="57">
        <f t="shared" si="259"/>
        <v>-112</v>
      </c>
      <c r="BS97" s="43"/>
      <c r="BU97" s="60">
        <v>120</v>
      </c>
      <c r="BV97" s="70"/>
      <c r="BW97" s="60">
        <v>0</v>
      </c>
      <c r="BX97" s="70"/>
      <c r="BY97" s="57">
        <f t="shared" si="260"/>
        <v>120</v>
      </c>
      <c r="BZ97" s="43"/>
      <c r="CB97" s="61">
        <f t="shared" si="261"/>
        <v>120</v>
      </c>
      <c r="CC97" s="70"/>
      <c r="CD97" s="61">
        <f t="shared" si="262"/>
        <v>224</v>
      </c>
      <c r="CE97" s="70"/>
      <c r="CF97" s="57">
        <f t="shared" si="263"/>
        <v>-104</v>
      </c>
      <c r="CG97" s="43"/>
      <c r="CI97" s="60">
        <v>0</v>
      </c>
      <c r="CJ97" s="70"/>
      <c r="CK97" s="60">
        <v>0</v>
      </c>
      <c r="CL97" s="70"/>
      <c r="CM97" s="57">
        <f t="shared" si="264"/>
        <v>0</v>
      </c>
      <c r="CN97" s="43"/>
      <c r="CP97" s="60">
        <v>0</v>
      </c>
      <c r="CQ97" s="70"/>
      <c r="CR97" s="60">
        <v>0</v>
      </c>
      <c r="CS97" s="70"/>
      <c r="CT97" s="57">
        <f t="shared" si="265"/>
        <v>0</v>
      </c>
      <c r="CU97" s="43"/>
      <c r="CW97" s="60">
        <v>0</v>
      </c>
      <c r="CX97" s="70"/>
      <c r="CY97" s="60">
        <v>0</v>
      </c>
      <c r="CZ97" s="70"/>
      <c r="DA97" s="57">
        <f t="shared" si="266"/>
        <v>0</v>
      </c>
      <c r="DB97" s="43"/>
      <c r="DD97" s="60">
        <v>18.170000000000002</v>
      </c>
      <c r="DE97" s="70"/>
      <c r="DF97" s="60">
        <v>0</v>
      </c>
      <c r="DG97" s="70"/>
      <c r="DH97" s="57">
        <f t="shared" si="267"/>
        <v>18.170000000000002</v>
      </c>
      <c r="DI97" s="43"/>
      <c r="DK97" s="61">
        <f t="shared" si="268"/>
        <v>18.170000000000002</v>
      </c>
      <c r="DL97" s="70"/>
      <c r="DM97" s="61">
        <f t="shared" si="269"/>
        <v>0</v>
      </c>
      <c r="DN97" s="70"/>
      <c r="DO97" s="57">
        <f t="shared" si="270"/>
        <v>18.170000000000002</v>
      </c>
      <c r="DP97" s="43"/>
      <c r="DR97" s="61">
        <f t="shared" si="271"/>
        <v>138.17000000000002</v>
      </c>
      <c r="DS97" s="33"/>
      <c r="DT97" s="61">
        <f t="shared" si="272"/>
        <v>896</v>
      </c>
      <c r="DU97" s="33"/>
      <c r="DV97" s="57">
        <f t="shared" si="273"/>
        <v>757.82999999999993</v>
      </c>
      <c r="DW97" s="39"/>
    </row>
    <row r="98" spans="1:130">
      <c r="A98" s="9" t="s">
        <v>102</v>
      </c>
      <c r="B98" s="9"/>
      <c r="C98" s="60"/>
      <c r="D98" s="33"/>
      <c r="E98" s="60"/>
      <c r="F98" s="33"/>
      <c r="G98" s="57"/>
      <c r="H98" s="39"/>
      <c r="J98" s="60"/>
      <c r="K98" s="33"/>
      <c r="L98" s="60"/>
      <c r="M98" s="33"/>
      <c r="N98" s="57"/>
      <c r="O98" s="39"/>
      <c r="Q98" s="60"/>
      <c r="R98" s="33"/>
      <c r="S98" s="60"/>
      <c r="T98" s="33"/>
      <c r="U98" s="57"/>
      <c r="V98" s="39"/>
      <c r="X98" s="61"/>
      <c r="Y98" s="33"/>
      <c r="Z98" s="61"/>
      <c r="AA98" s="33"/>
      <c r="AB98" s="57"/>
      <c r="AC98" s="39"/>
      <c r="AE98" s="60"/>
      <c r="AF98" s="33"/>
      <c r="AG98" s="60"/>
      <c r="AH98" s="33"/>
      <c r="AI98" s="57"/>
      <c r="AJ98" s="39"/>
      <c r="AL98" s="60"/>
      <c r="AM98" s="33"/>
      <c r="AN98" s="60"/>
      <c r="AO98" s="33"/>
      <c r="AP98" s="57"/>
      <c r="AQ98" s="39"/>
      <c r="AS98" s="60"/>
      <c r="AT98" s="33"/>
      <c r="AU98" s="60"/>
      <c r="AV98" s="33"/>
      <c r="AW98" s="57"/>
      <c r="AX98" s="39"/>
      <c r="AZ98" s="61"/>
      <c r="BA98" s="33"/>
      <c r="BB98" s="61"/>
      <c r="BC98" s="33"/>
      <c r="BD98" s="57"/>
      <c r="BE98" s="39"/>
      <c r="BG98" s="60"/>
      <c r="BH98" s="70"/>
      <c r="BI98" s="60"/>
      <c r="BJ98" s="70"/>
      <c r="BK98" s="57"/>
      <c r="BL98" s="43"/>
      <c r="BN98" s="60"/>
      <c r="BO98" s="70"/>
      <c r="BP98" s="60"/>
      <c r="BQ98" s="70"/>
      <c r="BR98" s="57"/>
      <c r="BS98" s="43"/>
      <c r="BU98" s="60"/>
      <c r="BV98" s="70"/>
      <c r="BW98" s="60"/>
      <c r="BX98" s="70"/>
      <c r="BY98" s="57"/>
      <c r="BZ98" s="43"/>
      <c r="CB98" s="61"/>
      <c r="CC98" s="70"/>
      <c r="CD98" s="61"/>
      <c r="CE98" s="70"/>
      <c r="CF98" s="57"/>
      <c r="CG98" s="43"/>
      <c r="CI98" s="60">
        <v>500</v>
      </c>
      <c r="CJ98" s="70"/>
      <c r="CK98" s="60"/>
      <c r="CL98" s="70"/>
      <c r="CM98" s="57"/>
      <c r="CN98" s="43"/>
      <c r="CP98" s="60">
        <v>500</v>
      </c>
      <c r="CQ98" s="70"/>
      <c r="CR98" s="60"/>
      <c r="CS98" s="70"/>
      <c r="CT98" s="57"/>
      <c r="CU98" s="43"/>
      <c r="CW98" s="60">
        <v>500</v>
      </c>
      <c r="CX98" s="70"/>
      <c r="CY98" s="60"/>
      <c r="CZ98" s="70"/>
      <c r="DA98" s="57"/>
      <c r="DB98" s="43"/>
      <c r="DD98" s="60">
        <v>500</v>
      </c>
      <c r="DE98" s="70"/>
      <c r="DF98" s="60"/>
      <c r="DG98" s="70"/>
      <c r="DH98" s="57"/>
      <c r="DI98" s="43"/>
      <c r="DK98" s="61">
        <f>CI98+CP98+CW98+DD98-500</f>
        <v>1500</v>
      </c>
      <c r="DL98" s="70"/>
      <c r="DM98" s="61"/>
      <c r="DN98" s="70"/>
      <c r="DO98" s="57"/>
      <c r="DP98" s="43"/>
      <c r="DR98" s="61">
        <f t="shared" si="271"/>
        <v>1500</v>
      </c>
      <c r="DS98" s="33"/>
      <c r="DT98" s="61"/>
      <c r="DU98" s="33"/>
      <c r="DV98" s="57"/>
      <c r="DW98" s="39"/>
    </row>
    <row r="99" spans="1:130">
      <c r="A99" s="9" t="s">
        <v>103</v>
      </c>
      <c r="B99" s="9"/>
      <c r="C99" s="60">
        <v>1275</v>
      </c>
      <c r="D99" s="33"/>
      <c r="E99" s="60">
        <v>620</v>
      </c>
      <c r="F99" s="33"/>
      <c r="G99" s="57">
        <f t="shared" si="246"/>
        <v>-655</v>
      </c>
      <c r="H99" s="39"/>
      <c r="J99" s="60">
        <v>1107</v>
      </c>
      <c r="K99" s="33"/>
      <c r="L99" s="60">
        <v>620</v>
      </c>
      <c r="M99" s="33"/>
      <c r="N99" s="57">
        <f t="shared" si="247"/>
        <v>-487</v>
      </c>
      <c r="O99" s="39"/>
      <c r="Q99" s="60">
        <v>800</v>
      </c>
      <c r="R99" s="33"/>
      <c r="S99" s="60">
        <v>620</v>
      </c>
      <c r="T99" s="33"/>
      <c r="U99" s="57">
        <f t="shared" si="248"/>
        <v>-180</v>
      </c>
      <c r="V99" s="39"/>
      <c r="X99" s="61">
        <f t="shared" si="249"/>
        <v>3182</v>
      </c>
      <c r="Y99" s="33"/>
      <c r="Z99" s="61">
        <f t="shared" si="250"/>
        <v>1860</v>
      </c>
      <c r="AA99" s="33"/>
      <c r="AB99" s="57">
        <f t="shared" si="251"/>
        <v>-1322</v>
      </c>
      <c r="AC99" s="39"/>
      <c r="AE99" s="60">
        <v>0</v>
      </c>
      <c r="AF99" s="33"/>
      <c r="AG99" s="60">
        <v>620</v>
      </c>
      <c r="AH99" s="33"/>
      <c r="AI99" s="57">
        <f t="shared" si="252"/>
        <v>620</v>
      </c>
      <c r="AJ99" s="39"/>
      <c r="AL99" s="60">
        <v>0</v>
      </c>
      <c r="AM99" s="33"/>
      <c r="AN99" s="60">
        <v>620</v>
      </c>
      <c r="AO99" s="33"/>
      <c r="AP99" s="57">
        <f t="shared" si="253"/>
        <v>620</v>
      </c>
      <c r="AQ99" s="39"/>
      <c r="AS99" s="60">
        <v>0</v>
      </c>
      <c r="AT99" s="33"/>
      <c r="AU99" s="60">
        <v>620</v>
      </c>
      <c r="AV99" s="33"/>
      <c r="AW99" s="57">
        <f t="shared" si="254"/>
        <v>620</v>
      </c>
      <c r="AX99" s="39"/>
      <c r="AZ99" s="61">
        <f t="shared" si="255"/>
        <v>0</v>
      </c>
      <c r="BA99" s="33"/>
      <c r="BB99" s="61">
        <f t="shared" si="256"/>
        <v>1860</v>
      </c>
      <c r="BC99" s="33"/>
      <c r="BD99" s="57">
        <f t="shared" si="257"/>
        <v>1860</v>
      </c>
      <c r="BE99" s="39"/>
      <c r="BG99" s="60">
        <v>0</v>
      </c>
      <c r="BH99" s="70"/>
      <c r="BI99" s="60">
        <v>620</v>
      </c>
      <c r="BJ99" s="70"/>
      <c r="BK99" s="57">
        <f t="shared" si="258"/>
        <v>-620</v>
      </c>
      <c r="BL99" s="43"/>
      <c r="BN99" s="60">
        <v>0</v>
      </c>
      <c r="BO99" s="70"/>
      <c r="BP99" s="60">
        <v>620</v>
      </c>
      <c r="BQ99" s="70"/>
      <c r="BR99" s="57">
        <f t="shared" si="259"/>
        <v>-620</v>
      </c>
      <c r="BS99" s="43"/>
      <c r="BU99" s="60">
        <v>0</v>
      </c>
      <c r="BV99" s="70"/>
      <c r="BW99" s="60">
        <v>200</v>
      </c>
      <c r="BX99" s="70"/>
      <c r="BY99" s="57">
        <f t="shared" si="260"/>
        <v>-200</v>
      </c>
      <c r="BZ99" s="43"/>
      <c r="CB99" s="61">
        <f t="shared" si="261"/>
        <v>0</v>
      </c>
      <c r="CC99" s="70"/>
      <c r="CD99" s="61">
        <f t="shared" si="262"/>
        <v>1440</v>
      </c>
      <c r="CE99" s="70"/>
      <c r="CF99" s="57">
        <f t="shared" si="263"/>
        <v>-1440</v>
      </c>
      <c r="CG99" s="43"/>
      <c r="CI99" s="60">
        <v>0</v>
      </c>
      <c r="CJ99" s="70"/>
      <c r="CK99" s="60">
        <v>200</v>
      </c>
      <c r="CL99" s="70"/>
      <c r="CM99" s="57">
        <f t="shared" si="264"/>
        <v>-200</v>
      </c>
      <c r="CN99" s="43"/>
      <c r="CP99" s="60">
        <v>0</v>
      </c>
      <c r="CQ99" s="70"/>
      <c r="CR99" s="60">
        <v>200</v>
      </c>
      <c r="CS99" s="70"/>
      <c r="CT99" s="57">
        <f t="shared" si="265"/>
        <v>-200</v>
      </c>
      <c r="CU99" s="43"/>
      <c r="CW99" s="60">
        <v>75</v>
      </c>
      <c r="CX99" s="70"/>
      <c r="CY99" s="60">
        <v>200</v>
      </c>
      <c r="CZ99" s="70"/>
      <c r="DA99" s="57">
        <f t="shared" si="266"/>
        <v>-125</v>
      </c>
      <c r="DB99" s="43"/>
      <c r="DD99" s="60">
        <v>108</v>
      </c>
      <c r="DE99" s="70"/>
      <c r="DF99" s="60">
        <v>200</v>
      </c>
      <c r="DG99" s="70"/>
      <c r="DH99" s="57">
        <f t="shared" si="267"/>
        <v>-92</v>
      </c>
      <c r="DI99" s="43"/>
      <c r="DK99" s="61">
        <f t="shared" si="268"/>
        <v>183</v>
      </c>
      <c r="DL99" s="70"/>
      <c r="DM99" s="61">
        <f t="shared" si="269"/>
        <v>800</v>
      </c>
      <c r="DN99" s="70"/>
      <c r="DO99" s="57">
        <f t="shared" si="270"/>
        <v>-617</v>
      </c>
      <c r="DP99" s="43"/>
      <c r="DR99" s="61">
        <f t="shared" si="271"/>
        <v>3365</v>
      </c>
      <c r="DS99" s="33"/>
      <c r="DT99" s="61">
        <f t="shared" si="272"/>
        <v>5960</v>
      </c>
      <c r="DU99" s="33"/>
      <c r="DV99" s="57">
        <f t="shared" si="273"/>
        <v>2595</v>
      </c>
      <c r="DW99" s="39"/>
    </row>
    <row r="100" spans="1:130" ht="16.7" thickBot="1">
      <c r="A100" s="10" t="s">
        <v>104</v>
      </c>
      <c r="B100" s="8"/>
      <c r="C100" s="59">
        <f>SUM(C91:C99)</f>
        <v>4901.6400000000003</v>
      </c>
      <c r="D100" s="36">
        <f>C100/C13</f>
        <v>1.2874486079326003E-2</v>
      </c>
      <c r="E100" s="59">
        <f>SUM(E91:E99)</f>
        <v>3607</v>
      </c>
      <c r="F100" s="36">
        <f>E100/E13</f>
        <v>1.3072392860378725E-2</v>
      </c>
      <c r="G100" s="58">
        <f>E100-C100</f>
        <v>-1294.6400000000003</v>
      </c>
      <c r="H100" s="38">
        <f>G100/E100</f>
        <v>-0.35892431383421136</v>
      </c>
      <c r="J100" s="59">
        <f>SUM(J91:J99)</f>
        <v>4007.84</v>
      </c>
      <c r="K100" s="36">
        <f>J100/J13</f>
        <v>9.8189461532534571E-3</v>
      </c>
      <c r="L100" s="59">
        <f>SUM(L91:L99)</f>
        <v>3607</v>
      </c>
      <c r="M100" s="36">
        <f>L100/L13</f>
        <v>9.4394184041180669E-3</v>
      </c>
      <c r="N100" s="58">
        <f>L100-J100</f>
        <v>-400.84000000000015</v>
      </c>
      <c r="O100" s="38">
        <f>N100/L100</f>
        <v>-0.11112836151926812</v>
      </c>
      <c r="Q100" s="59">
        <f>SUM(Q91:Q99)</f>
        <v>3913.04</v>
      </c>
      <c r="R100" s="36">
        <f>Q100/Q13</f>
        <v>1.2787517680286305E-2</v>
      </c>
      <c r="S100" s="59">
        <f>SUM(S91:S99)</f>
        <v>3607</v>
      </c>
      <c r="T100" s="36">
        <f>S100/S13</f>
        <v>7.315732577218805E-3</v>
      </c>
      <c r="U100" s="58">
        <f>S100-Q100</f>
        <v>-306.03999999999996</v>
      </c>
      <c r="V100" s="38">
        <f>U100/S100</f>
        <v>-8.4846132520099801E-2</v>
      </c>
      <c r="X100" s="59">
        <f>SUM(X91:X99)</f>
        <v>12822.519999999999</v>
      </c>
      <c r="Y100" s="36">
        <f>X100/X13</f>
        <v>1.171109161533636E-2</v>
      </c>
      <c r="Z100" s="59">
        <f>SUM(Z91:Z99)</f>
        <v>10821</v>
      </c>
      <c r="AA100" s="36">
        <f>Z100/Z13</f>
        <v>9.4006305311560411E-3</v>
      </c>
      <c r="AB100" s="58">
        <f>Z100-X100</f>
        <v>-2001.5199999999986</v>
      </c>
      <c r="AC100" s="38">
        <f>AB100/Z100</f>
        <v>-0.18496626929119292</v>
      </c>
      <c r="AE100" s="59">
        <f>SUM(AE91:AE99)</f>
        <v>518.09</v>
      </c>
      <c r="AF100" s="36" t="e">
        <f>AE100/AE13</f>
        <v>#DIV/0!</v>
      </c>
      <c r="AG100" s="59">
        <f>SUM(AG91:AG99)</f>
        <v>3607</v>
      </c>
      <c r="AH100" s="36">
        <f>AG100/AG13</f>
        <v>6.2140478483407096E-3</v>
      </c>
      <c r="AI100" s="58">
        <f t="shared" si="252"/>
        <v>3088.91</v>
      </c>
      <c r="AJ100" s="38">
        <f>AI100/AG100</f>
        <v>0.85636540060992505</v>
      </c>
      <c r="AL100" s="59">
        <f>SUM(AL91:AL99)</f>
        <v>219.7</v>
      </c>
      <c r="AM100" s="36" t="e">
        <f>AL100/AL13</f>
        <v>#DIV/0!</v>
      </c>
      <c r="AN100" s="59">
        <f>SUM(AN91:AN99)</f>
        <v>3607</v>
      </c>
      <c r="AO100" s="36">
        <f>AN100/AN13</f>
        <v>6.4475304724911919E-3</v>
      </c>
      <c r="AP100" s="58">
        <f t="shared" si="253"/>
        <v>3387.3</v>
      </c>
      <c r="AQ100" s="38">
        <f>AP100/AN100</f>
        <v>0.93909065705572503</v>
      </c>
      <c r="AS100" s="59">
        <f>SUM(AS91:AS99)</f>
        <v>228.34</v>
      </c>
      <c r="AT100" s="36" t="e">
        <f>AS100/AS13</f>
        <v>#DIV/0!</v>
      </c>
      <c r="AU100" s="59">
        <f>SUM(AU91:AU99)</f>
        <v>3607</v>
      </c>
      <c r="AV100" s="36">
        <f>AU100/AU13</f>
        <v>5.9412822759706673E-3</v>
      </c>
      <c r="AW100" s="58">
        <f t="shared" si="254"/>
        <v>3378.66</v>
      </c>
      <c r="AX100" s="38">
        <f>AW100/AU100</f>
        <v>0.93669531466592737</v>
      </c>
      <c r="AZ100" s="59">
        <f>SUM(AZ91:AZ99)</f>
        <v>966.13</v>
      </c>
      <c r="BA100" s="36" t="e">
        <f>AZ100/AZ13</f>
        <v>#DIV/0!</v>
      </c>
      <c r="BB100" s="59">
        <f>SUM(BB91:BB99)</f>
        <v>10821</v>
      </c>
      <c r="BC100" s="36">
        <f>BB100/BB13</f>
        <v>6.1940256644796871E-3</v>
      </c>
      <c r="BD100" s="58">
        <f>BB100-AZ100</f>
        <v>9854.8700000000008</v>
      </c>
      <c r="BE100" s="38">
        <f>BD100/BB100</f>
        <v>0.91071712411052586</v>
      </c>
      <c r="BG100" s="59">
        <f>SUM(BG91:BG99)</f>
        <v>224.45</v>
      </c>
      <c r="BH100" s="69" t="e">
        <f>BG100/BG13</f>
        <v>#DIV/0!</v>
      </c>
      <c r="BI100" s="59">
        <f>SUM(BI91:BI99)</f>
        <v>3607</v>
      </c>
      <c r="BJ100" s="69">
        <f>BI100/BI13</f>
        <v>5.8099172888126478E-3</v>
      </c>
      <c r="BK100" s="59">
        <f>SUM(BK91:BK99)</f>
        <v>-3382.55</v>
      </c>
      <c r="BL100" s="68">
        <f>BK100/BI100</f>
        <v>-0.93777377321874134</v>
      </c>
      <c r="BN100" s="59">
        <f>SUM(BN91:BN99)</f>
        <v>5851.26</v>
      </c>
      <c r="BO100" s="69">
        <f>BN100/BN13</f>
        <v>2.6479386842307117E-2</v>
      </c>
      <c r="BP100" s="59">
        <f>SUM(BP91:BP99)</f>
        <v>3607</v>
      </c>
      <c r="BQ100" s="69">
        <f>BP100/BP13</f>
        <v>5.9116126230220186E-3</v>
      </c>
      <c r="BR100" s="59">
        <f>SUM(BR91:BR99)</f>
        <v>2244.2599999999998</v>
      </c>
      <c r="BS100" s="68">
        <f>BR100/BP100</f>
        <v>0.62219573052398103</v>
      </c>
      <c r="BU100" s="59">
        <f>SUM(BU91:BU99)</f>
        <v>3802.44</v>
      </c>
      <c r="BV100" s="69">
        <f>BU100/BU13</f>
        <v>1.1574138051739725E-2</v>
      </c>
      <c r="BW100" s="59">
        <f>SUM(BW91:BW99)</f>
        <v>2400</v>
      </c>
      <c r="BX100" s="69">
        <f>BW100/BW13</f>
        <v>8.160905860550521E-3</v>
      </c>
      <c r="BY100" s="59">
        <f>SUM(BY91:BY99)</f>
        <v>1402.44</v>
      </c>
      <c r="BZ100" s="68">
        <f>BY100/BW100</f>
        <v>0.58435000000000004</v>
      </c>
      <c r="CB100" s="59">
        <f>SUM(CB91:CB99)</f>
        <v>9878.15</v>
      </c>
      <c r="CC100" s="69">
        <f>CB100/CB13</f>
        <v>1.7976512054571479E-2</v>
      </c>
      <c r="CD100" s="59">
        <f>SUM(CD91:CD99)</f>
        <v>9614</v>
      </c>
      <c r="CE100" s="69">
        <f>CD100/CD13</f>
        <v>6.3039522646427225E-3</v>
      </c>
      <c r="CF100" s="59">
        <f>SUM(CF91:CF99)</f>
        <v>264.15000000000009</v>
      </c>
      <c r="CG100" s="68">
        <f>CF100/CD100</f>
        <v>2.747555648013315E-2</v>
      </c>
      <c r="CI100" s="59">
        <f>SUM(CI91:CI99)-500</f>
        <v>3351.22</v>
      </c>
      <c r="CJ100" s="69">
        <f>CI100/CI13</f>
        <v>9.2298101036843681E-3</v>
      </c>
      <c r="CK100" s="59">
        <f>SUM(CK91:CK99)</f>
        <v>2400</v>
      </c>
      <c r="CL100" s="69">
        <f>CK100/CK13</f>
        <v>7.6304812290161764E-3</v>
      </c>
      <c r="CM100" s="59">
        <f>SUM(CM91:CM99)</f>
        <v>951.2199999999998</v>
      </c>
      <c r="CN100" s="68">
        <f>CM100/CK100</f>
        <v>0.39634166666666659</v>
      </c>
      <c r="CP100" s="59">
        <f>SUM(CP91:CP99)</f>
        <v>3536.4399999999996</v>
      </c>
      <c r="CQ100" s="69">
        <f>CP100/CP13</f>
        <v>1.0567547436064506E-2</v>
      </c>
      <c r="CR100" s="59">
        <f>SUM(CR91:CR99)</f>
        <v>2400</v>
      </c>
      <c r="CS100" s="69">
        <f>CR100/CR13</f>
        <v>8.0780881857960285E-3</v>
      </c>
      <c r="CT100" s="59">
        <f>SUM(CT91:CT99)</f>
        <v>636.44000000000005</v>
      </c>
      <c r="CU100" s="68">
        <f>CT100/CR100</f>
        <v>0.26518333333333338</v>
      </c>
      <c r="CW100" s="59">
        <f>SUM(CW91:CW99)</f>
        <v>3074.64</v>
      </c>
      <c r="CX100" s="69">
        <f>CW100/CW13</f>
        <v>1.1549201169359247E-2</v>
      </c>
      <c r="CY100" s="59">
        <f>SUM(CY91:CY99)</f>
        <v>2400</v>
      </c>
      <c r="CZ100" s="69">
        <f>CY100/CY13</f>
        <v>8.8153946174669706E-3</v>
      </c>
      <c r="DA100" s="59">
        <f>SUM(DA91:DA99)</f>
        <v>174.6400000000001</v>
      </c>
      <c r="DB100" s="68">
        <f>DA100/CY100</f>
        <v>7.2766666666666702E-2</v>
      </c>
      <c r="DD100" s="59">
        <f>SUM(DD91:DD99)</f>
        <v>3559.44</v>
      </c>
      <c r="DE100" s="69">
        <f>DD100/DD13</f>
        <v>2.2927369802132079E-2</v>
      </c>
      <c r="DF100" s="59">
        <f>SUM(DF91:DF99)</f>
        <v>2400</v>
      </c>
      <c r="DG100" s="69">
        <f>DF100/DF13</f>
        <v>8.432117937222882E-3</v>
      </c>
      <c r="DH100" s="59">
        <f>SUM(DH91:DH99)</f>
        <v>659.43999999999994</v>
      </c>
      <c r="DI100" s="68">
        <f>DH100/DF100</f>
        <v>0.27476666666666666</v>
      </c>
      <c r="DK100" s="59">
        <f>SUM(DK91:DK99)</f>
        <v>13521.739999999998</v>
      </c>
      <c r="DL100" s="69">
        <f>DK100/DK13</f>
        <v>1.2081535762305999E-2</v>
      </c>
      <c r="DM100" s="59">
        <f>SUM(DM91:DM99)</f>
        <v>9600</v>
      </c>
      <c r="DN100" s="69">
        <f>DM100/DM13</f>
        <v>8.2156259493968795E-3</v>
      </c>
      <c r="DO100" s="59">
        <f>SUM(DO91:DO99)</f>
        <v>2421.7399999999993</v>
      </c>
      <c r="DP100" s="68">
        <f>DO100/DM100</f>
        <v>0.25226458333333324</v>
      </c>
      <c r="DR100" s="59">
        <f>SUM(DR91:DR99)</f>
        <v>37188.54</v>
      </c>
      <c r="DS100" s="36">
        <f>DR100/DR13</f>
        <v>1.3456487960976579E-2</v>
      </c>
      <c r="DT100" s="59">
        <f>SUM(DT91:DT99)</f>
        <v>40856</v>
      </c>
      <c r="DU100" s="36">
        <f>DT100/DT13</f>
        <v>7.3065710674736512E-3</v>
      </c>
      <c r="DV100" s="58">
        <f>DT100-DR100</f>
        <v>3667.4599999999991</v>
      </c>
      <c r="DW100" s="38">
        <f>DV100/DT100</f>
        <v>8.9765517916585061E-2</v>
      </c>
      <c r="DX100" s="64"/>
      <c r="DZ100" s="64"/>
    </row>
    <row r="101" spans="1:130" ht="16.7" thickTop="1">
      <c r="A101" s="9"/>
      <c r="B101" s="9"/>
      <c r="C101" s="60"/>
      <c r="D101" s="33"/>
      <c r="E101" s="60"/>
      <c r="F101" s="33"/>
      <c r="G101" s="55"/>
      <c r="H101" s="55"/>
      <c r="J101" s="60"/>
      <c r="K101" s="33"/>
      <c r="L101" s="60"/>
      <c r="M101" s="33"/>
      <c r="N101" s="55"/>
      <c r="O101" s="55"/>
      <c r="Q101" s="60"/>
      <c r="R101" s="33"/>
      <c r="S101" s="60"/>
      <c r="T101" s="33"/>
      <c r="U101" s="55"/>
      <c r="V101" s="55"/>
      <c r="X101" s="60"/>
      <c r="Y101" s="33"/>
      <c r="Z101" s="60"/>
      <c r="AA101" s="33"/>
      <c r="AB101" s="55"/>
      <c r="AC101" s="55"/>
      <c r="AE101" s="60"/>
      <c r="AF101" s="33"/>
      <c r="AG101" s="60"/>
      <c r="AH101" s="33"/>
      <c r="AI101" s="55"/>
      <c r="AJ101" s="55"/>
      <c r="AL101" s="60"/>
      <c r="AM101" s="33"/>
      <c r="AN101" s="60"/>
      <c r="AO101" s="33"/>
      <c r="AP101" s="55"/>
      <c r="AQ101" s="55"/>
      <c r="AS101" s="60"/>
      <c r="AT101" s="33"/>
      <c r="AU101" s="60"/>
      <c r="AV101" s="33"/>
      <c r="AW101" s="55"/>
      <c r="AX101" s="55"/>
      <c r="AZ101" s="60"/>
      <c r="BA101" s="33"/>
      <c r="BB101" s="60"/>
      <c r="BC101" s="33"/>
      <c r="BD101" s="55"/>
      <c r="BE101" s="55"/>
      <c r="BG101" s="60"/>
      <c r="BH101" s="70"/>
      <c r="BI101" s="60"/>
      <c r="BJ101" s="70"/>
      <c r="BK101" s="55"/>
      <c r="BL101" s="71"/>
      <c r="BN101" s="60"/>
      <c r="BO101" s="70"/>
      <c r="BP101" s="60"/>
      <c r="BQ101" s="70"/>
      <c r="BR101" s="55"/>
      <c r="BS101" s="71"/>
      <c r="BU101" s="60"/>
      <c r="BV101" s="70"/>
      <c r="BW101" s="60"/>
      <c r="BX101" s="70"/>
      <c r="BY101" s="55"/>
      <c r="BZ101" s="71"/>
      <c r="CB101" s="60"/>
      <c r="CC101" s="70"/>
      <c r="CD101" s="60"/>
      <c r="CE101" s="70"/>
      <c r="CF101" s="55"/>
      <c r="CG101" s="71"/>
      <c r="CI101" s="60"/>
      <c r="CJ101" s="70"/>
      <c r="CK101" s="60"/>
      <c r="CL101" s="70"/>
      <c r="CM101" s="55"/>
      <c r="CN101" s="71"/>
      <c r="CP101" s="60"/>
      <c r="CQ101" s="70"/>
      <c r="CR101" s="60"/>
      <c r="CS101" s="70"/>
      <c r="CT101" s="55"/>
      <c r="CU101" s="71"/>
      <c r="CW101" s="60"/>
      <c r="CX101" s="70"/>
      <c r="CY101" s="60"/>
      <c r="CZ101" s="70"/>
      <c r="DA101" s="55"/>
      <c r="DB101" s="71"/>
      <c r="DD101" s="60"/>
      <c r="DE101" s="70"/>
      <c r="DF101" s="60"/>
      <c r="DG101" s="70"/>
      <c r="DH101" s="55"/>
      <c r="DI101" s="71"/>
      <c r="DK101" s="60"/>
      <c r="DL101" s="70"/>
      <c r="DM101" s="60"/>
      <c r="DN101" s="70"/>
      <c r="DO101" s="55"/>
      <c r="DP101" s="71"/>
      <c r="DR101" s="60"/>
      <c r="DS101" s="33"/>
      <c r="DT101" s="60"/>
      <c r="DU101" s="33"/>
      <c r="DV101" s="55"/>
      <c r="DW101" s="55"/>
    </row>
    <row r="102" spans="1:130">
      <c r="A102" s="8" t="s">
        <v>105</v>
      </c>
      <c r="B102" s="8"/>
      <c r="C102" s="60"/>
      <c r="D102" s="33"/>
      <c r="E102" s="60"/>
      <c r="F102" s="33"/>
      <c r="G102" s="57"/>
      <c r="H102" s="39"/>
      <c r="J102" s="60"/>
      <c r="K102" s="33"/>
      <c r="L102" s="60"/>
      <c r="M102" s="33"/>
      <c r="N102" s="57"/>
      <c r="O102" s="39"/>
      <c r="Q102" s="60"/>
      <c r="R102" s="33"/>
      <c r="S102" s="60"/>
      <c r="T102" s="33"/>
      <c r="U102" s="57"/>
      <c r="V102" s="39"/>
      <c r="X102" s="60"/>
      <c r="Y102" s="33"/>
      <c r="Z102" s="60"/>
      <c r="AA102" s="33"/>
      <c r="AB102" s="57"/>
      <c r="AC102" s="39"/>
      <c r="AE102" s="60"/>
      <c r="AF102" s="33"/>
      <c r="AG102" s="60"/>
      <c r="AH102" s="33"/>
      <c r="AI102" s="57"/>
      <c r="AJ102" s="39"/>
      <c r="AL102" s="60"/>
      <c r="AM102" s="33"/>
      <c r="AN102" s="60"/>
      <c r="AO102" s="33"/>
      <c r="AP102" s="57"/>
      <c r="AQ102" s="39"/>
      <c r="AS102" s="60"/>
      <c r="AT102" s="33"/>
      <c r="AU102" s="60"/>
      <c r="AV102" s="33"/>
      <c r="AW102" s="57"/>
      <c r="AX102" s="39"/>
      <c r="AZ102" s="60"/>
      <c r="BA102" s="33"/>
      <c r="BB102" s="60"/>
      <c r="BC102" s="33"/>
      <c r="BD102" s="57"/>
      <c r="BE102" s="39"/>
      <c r="BG102" s="60"/>
      <c r="BH102" s="70"/>
      <c r="BI102" s="60"/>
      <c r="BJ102" s="70"/>
      <c r="BK102" s="57"/>
      <c r="BL102" s="43"/>
      <c r="BN102" s="60"/>
      <c r="BO102" s="70"/>
      <c r="BP102" s="60"/>
      <c r="BQ102" s="70"/>
      <c r="BR102" s="57"/>
      <c r="BS102" s="43"/>
      <c r="BU102" s="60"/>
      <c r="BV102" s="70"/>
      <c r="BW102" s="60"/>
      <c r="BX102" s="70"/>
      <c r="BY102" s="57"/>
      <c r="BZ102" s="43"/>
      <c r="CB102" s="60"/>
      <c r="CC102" s="70"/>
      <c r="CD102" s="60"/>
      <c r="CE102" s="70"/>
      <c r="CF102" s="57"/>
      <c r="CG102" s="43"/>
      <c r="CI102" s="60"/>
      <c r="CJ102" s="70"/>
      <c r="CK102" s="60"/>
      <c r="CL102" s="70"/>
      <c r="CM102" s="57"/>
      <c r="CN102" s="43"/>
      <c r="CP102" s="60"/>
      <c r="CQ102" s="70"/>
      <c r="CR102" s="60"/>
      <c r="CS102" s="70"/>
      <c r="CT102" s="57"/>
      <c r="CU102" s="43"/>
      <c r="CW102" s="60"/>
      <c r="CX102" s="70"/>
      <c r="CY102" s="60"/>
      <c r="CZ102" s="70"/>
      <c r="DA102" s="57"/>
      <c r="DB102" s="43"/>
      <c r="DD102" s="60"/>
      <c r="DE102" s="70"/>
      <c r="DF102" s="60"/>
      <c r="DG102" s="70"/>
      <c r="DH102" s="57"/>
      <c r="DI102" s="43"/>
      <c r="DK102" s="60"/>
      <c r="DL102" s="70"/>
      <c r="DM102" s="60"/>
      <c r="DN102" s="70"/>
      <c r="DO102" s="57"/>
      <c r="DP102" s="43"/>
      <c r="DR102" s="60"/>
      <c r="DS102" s="33"/>
      <c r="DT102" s="60"/>
      <c r="DU102" s="33"/>
      <c r="DV102" s="57"/>
      <c r="DW102" s="39"/>
    </row>
    <row r="103" spans="1:130">
      <c r="A103" s="9" t="s">
        <v>106</v>
      </c>
      <c r="B103" s="9"/>
      <c r="C103" s="60">
        <v>2993</v>
      </c>
      <c r="D103" s="33"/>
      <c r="E103" s="60">
        <v>651</v>
      </c>
      <c r="F103" s="33"/>
      <c r="G103" s="57">
        <f t="shared" ref="G103:G106" si="274">E103-C103</f>
        <v>-2342</v>
      </c>
      <c r="H103" s="39"/>
      <c r="J103" s="60">
        <v>2961.5</v>
      </c>
      <c r="K103" s="33"/>
      <c r="L103" s="60">
        <v>651.15384615384619</v>
      </c>
      <c r="M103" s="33"/>
      <c r="N103" s="57">
        <f t="shared" ref="N103:N106" si="275">L103-J103</f>
        <v>-2310.3461538461538</v>
      </c>
      <c r="O103" s="39"/>
      <c r="Q103" s="60">
        <v>2055</v>
      </c>
      <c r="R103" s="33"/>
      <c r="S103" s="60">
        <v>651.15384615384619</v>
      </c>
      <c r="T103" s="33"/>
      <c r="U103" s="57">
        <f t="shared" ref="U103:U106" si="276">S103-Q103</f>
        <v>-1403.8461538461538</v>
      </c>
      <c r="V103" s="39"/>
      <c r="X103" s="61">
        <f t="shared" ref="X103:X107" si="277">C103+J103+Q103</f>
        <v>8009.5</v>
      </c>
      <c r="Y103" s="33"/>
      <c r="Z103" s="61">
        <f t="shared" ref="Z103:Z107" si="278">E103+L103+S103</f>
        <v>1953.3076923076924</v>
      </c>
      <c r="AA103" s="33"/>
      <c r="AB103" s="57">
        <f t="shared" ref="AB103:AB106" si="279">Z103-X103</f>
        <v>-6056.1923076923076</v>
      </c>
      <c r="AC103" s="39"/>
      <c r="AE103" s="60">
        <v>0</v>
      </c>
      <c r="AF103" s="33"/>
      <c r="AG103" s="60">
        <v>651.15384615384619</v>
      </c>
      <c r="AH103" s="33"/>
      <c r="AI103" s="57">
        <f t="shared" ref="AI103:AI106" si="280">AG103-AE103</f>
        <v>651.15384615384619</v>
      </c>
      <c r="AJ103" s="39"/>
      <c r="AL103" s="60">
        <v>0</v>
      </c>
      <c r="AM103" s="33"/>
      <c r="AN103" s="60">
        <v>651.15384615384619</v>
      </c>
      <c r="AO103" s="33"/>
      <c r="AP103" s="57">
        <f t="shared" ref="AP103:AP106" si="281">AN103-AL103</f>
        <v>651.15384615384619</v>
      </c>
      <c r="AQ103" s="39"/>
      <c r="AS103" s="60">
        <v>0</v>
      </c>
      <c r="AT103" s="33"/>
      <c r="AU103" s="60">
        <v>651.15384615384619</v>
      </c>
      <c r="AV103" s="33"/>
      <c r="AW103" s="57">
        <f t="shared" ref="AW103:AW106" si="282">AU103-AS103</f>
        <v>651.15384615384619</v>
      </c>
      <c r="AX103" s="39"/>
      <c r="AZ103" s="61">
        <f>AE103+AL103+AS103</f>
        <v>0</v>
      </c>
      <c r="BA103" s="33"/>
      <c r="BB103" s="61">
        <f t="shared" ref="BB103:BB106" si="283">AG103+AN103+AU103</f>
        <v>1953.4615384615386</v>
      </c>
      <c r="BC103" s="33"/>
      <c r="BD103" s="57">
        <f t="shared" ref="BD103:BD106" si="284">BB103-AZ103</f>
        <v>1953.4615384615386</v>
      </c>
      <c r="BE103" s="39"/>
      <c r="BG103" s="60">
        <v>0</v>
      </c>
      <c r="BH103" s="70"/>
      <c r="BI103" s="60">
        <v>651.15384615384619</v>
      </c>
      <c r="BJ103" s="70"/>
      <c r="BK103" s="57">
        <f t="shared" ref="BK103:BK107" si="285">BG103-BI103</f>
        <v>-651.15384615384619</v>
      </c>
      <c r="BL103" s="43"/>
      <c r="BN103" s="60">
        <v>822</v>
      </c>
      <c r="BO103" s="70"/>
      <c r="BP103" s="60">
        <v>651.15384615384619</v>
      </c>
      <c r="BQ103" s="70"/>
      <c r="BR103" s="57">
        <f t="shared" ref="BR103:BR107" si="286">BN103-BP103</f>
        <v>170.84615384615381</v>
      </c>
      <c r="BS103" s="43"/>
      <c r="BU103" s="60">
        <v>877</v>
      </c>
      <c r="BV103" s="70"/>
      <c r="BW103" s="60">
        <v>551</v>
      </c>
      <c r="BX103" s="70"/>
      <c r="BY103" s="57">
        <f t="shared" ref="BY103:BY107" si="287">BU103-BW103</f>
        <v>326</v>
      </c>
      <c r="BZ103" s="43"/>
      <c r="CB103" s="61">
        <f>BG103+BN103+BU103</f>
        <v>1699</v>
      </c>
      <c r="CC103" s="70"/>
      <c r="CD103" s="61">
        <f t="shared" ref="CD103:CD106" si="288">BI103+BP103+BW103</f>
        <v>1853.3076923076924</v>
      </c>
      <c r="CE103" s="70"/>
      <c r="CF103" s="57">
        <f t="shared" ref="CF103:CF107" si="289">CB103-CD103</f>
        <v>-154.30769230769238</v>
      </c>
      <c r="CG103" s="43"/>
      <c r="CI103" s="60">
        <v>852.5</v>
      </c>
      <c r="CJ103" s="70"/>
      <c r="CK103" s="60">
        <v>590</v>
      </c>
      <c r="CL103" s="70"/>
      <c r="CM103" s="57">
        <f t="shared" ref="CM103:CM107" si="290">CI103-CK103</f>
        <v>262.5</v>
      </c>
      <c r="CN103" s="43"/>
      <c r="CP103" s="60">
        <v>279.5</v>
      </c>
      <c r="CQ103" s="70"/>
      <c r="CR103" s="60">
        <v>557</v>
      </c>
      <c r="CS103" s="70"/>
      <c r="CT103" s="57">
        <f t="shared" ref="CT103:CT107" si="291">CP103-CR103</f>
        <v>-277.5</v>
      </c>
      <c r="CU103" s="43"/>
      <c r="CW103" s="60">
        <v>348.5</v>
      </c>
      <c r="CX103" s="70"/>
      <c r="CY103" s="60">
        <v>510</v>
      </c>
      <c r="CZ103" s="70"/>
      <c r="DA103" s="57">
        <f t="shared" ref="DA103:DA107" si="292">CW103-CY103</f>
        <v>-161.5</v>
      </c>
      <c r="DB103" s="43"/>
      <c r="DD103" s="60">
        <v>550</v>
      </c>
      <c r="DE103" s="70"/>
      <c r="DF103" s="60">
        <v>534</v>
      </c>
      <c r="DG103" s="70"/>
      <c r="DH103" s="57">
        <f t="shared" ref="DH103:DH107" si="293">DD103-DF103</f>
        <v>16</v>
      </c>
      <c r="DI103" s="43"/>
      <c r="DK103" s="61">
        <f t="shared" ref="DK103:DK107" si="294">CI103+CP103+CW103+DD103</f>
        <v>2030.5</v>
      </c>
      <c r="DL103" s="70"/>
      <c r="DM103" s="61">
        <f t="shared" ref="DM103:DM106" si="295">CK103+CR103+CY103+DF103</f>
        <v>2191</v>
      </c>
      <c r="DN103" s="70"/>
      <c r="DO103" s="57">
        <f t="shared" ref="DO103:DO107" si="296">DK103-DM103</f>
        <v>-160.5</v>
      </c>
      <c r="DP103" s="43"/>
      <c r="DR103" s="61">
        <f t="shared" ref="DR103:DR107" si="297">X103+AZ103+CB103+DK103</f>
        <v>11739</v>
      </c>
      <c r="DS103" s="33"/>
      <c r="DT103" s="61">
        <f t="shared" ref="DT103:DT106" si="298">Z103+BB103+CD103+DM103</f>
        <v>7951.0769230769238</v>
      </c>
      <c r="DU103" s="33"/>
      <c r="DV103" s="57">
        <f t="shared" ref="DV103:DV106" si="299">DT103-DR103</f>
        <v>-3787.9230769230762</v>
      </c>
      <c r="DW103" s="39"/>
    </row>
    <row r="104" spans="1:130">
      <c r="A104" s="9" t="s">
        <v>107</v>
      </c>
      <c r="B104" s="9"/>
      <c r="C104" s="60">
        <v>6216.29</v>
      </c>
      <c r="D104" s="33"/>
      <c r="E104" s="60">
        <v>1229</v>
      </c>
      <c r="F104" s="33"/>
      <c r="G104" s="57">
        <f t="shared" si="274"/>
        <v>-4987.29</v>
      </c>
      <c r="H104" s="39"/>
      <c r="J104" s="60">
        <v>6441.43</v>
      </c>
      <c r="K104" s="33"/>
      <c r="L104" s="60">
        <v>1702.0605746252122</v>
      </c>
      <c r="M104" s="33"/>
      <c r="N104" s="57">
        <f t="shared" si="275"/>
        <v>-4739.3694253747881</v>
      </c>
      <c r="O104" s="39"/>
      <c r="Q104" s="60">
        <v>4471</v>
      </c>
      <c r="R104" s="33"/>
      <c r="S104" s="60">
        <v>2196.1551113784872</v>
      </c>
      <c r="T104" s="33"/>
      <c r="U104" s="57">
        <f t="shared" si="276"/>
        <v>-2274.8448886215128</v>
      </c>
      <c r="V104" s="39"/>
      <c r="X104" s="61">
        <f t="shared" si="277"/>
        <v>17128.72</v>
      </c>
      <c r="Y104" s="33"/>
      <c r="Z104" s="61">
        <f t="shared" si="278"/>
        <v>5127.2156860036994</v>
      </c>
      <c r="AA104" s="33"/>
      <c r="AB104" s="57">
        <f t="shared" si="279"/>
        <v>-12001.504313996302</v>
      </c>
      <c r="AC104" s="39"/>
      <c r="AE104" s="60">
        <v>0</v>
      </c>
      <c r="AF104" s="33"/>
      <c r="AG104" s="60">
        <v>2585.5122842481751</v>
      </c>
      <c r="AH104" s="33"/>
      <c r="AI104" s="57">
        <f t="shared" si="280"/>
        <v>2585.5122842481751</v>
      </c>
      <c r="AJ104" s="39"/>
      <c r="AL104" s="60">
        <v>0</v>
      </c>
      <c r="AM104" s="33"/>
      <c r="AN104" s="60">
        <v>2491.8811937686946</v>
      </c>
      <c r="AO104" s="33"/>
      <c r="AP104" s="57">
        <f t="shared" si="281"/>
        <v>2491.8811937686946</v>
      </c>
      <c r="AQ104" s="39"/>
      <c r="AS104" s="60">
        <v>0</v>
      </c>
      <c r="AT104" s="33"/>
      <c r="AU104" s="60">
        <v>2704.210094070876</v>
      </c>
      <c r="AV104" s="33"/>
      <c r="AW104" s="57">
        <f t="shared" si="282"/>
        <v>2704.210094070876</v>
      </c>
      <c r="AX104" s="39"/>
      <c r="AZ104" s="61">
        <f t="shared" ref="AZ104:AZ106" si="300">AE104+AL104+AS104</f>
        <v>0</v>
      </c>
      <c r="BA104" s="33"/>
      <c r="BB104" s="61">
        <f t="shared" si="283"/>
        <v>7781.6035720877453</v>
      </c>
      <c r="BC104" s="33"/>
      <c r="BD104" s="57">
        <f t="shared" si="284"/>
        <v>7781.6035720877453</v>
      </c>
      <c r="BE104" s="39"/>
      <c r="BG104" s="60">
        <v>0</v>
      </c>
      <c r="BH104" s="70"/>
      <c r="BI104" s="60">
        <v>2765.3494741629024</v>
      </c>
      <c r="BJ104" s="70"/>
      <c r="BK104" s="57">
        <f t="shared" si="285"/>
        <v>-2765.3494741629024</v>
      </c>
      <c r="BL104" s="43"/>
      <c r="BN104" s="60">
        <f>5206.3+260.5</f>
        <v>5466.8</v>
      </c>
      <c r="BO104" s="70"/>
      <c r="BP104" s="60">
        <v>10128.578146000002</v>
      </c>
      <c r="BQ104" s="70"/>
      <c r="BR104" s="57">
        <f t="shared" si="286"/>
        <v>-4661.7781460000015</v>
      </c>
      <c r="BS104" s="43"/>
      <c r="BU104" s="60">
        <f>42+6605.75</f>
        <v>6647.75</v>
      </c>
      <c r="BV104" s="70"/>
      <c r="BW104" s="60">
        <v>5882</v>
      </c>
      <c r="BX104" s="70"/>
      <c r="BY104" s="57">
        <f t="shared" si="287"/>
        <v>765.75</v>
      </c>
      <c r="BZ104" s="43"/>
      <c r="CB104" s="61">
        <f t="shared" ref="CB104:CB107" si="301">BG104+BN104+BU104</f>
        <v>12114.55</v>
      </c>
      <c r="CC104" s="70"/>
      <c r="CD104" s="61">
        <f t="shared" si="288"/>
        <v>18775.927620162904</v>
      </c>
      <c r="CE104" s="70"/>
      <c r="CF104" s="57">
        <f t="shared" si="289"/>
        <v>-6661.3776201629043</v>
      </c>
      <c r="CG104" s="43"/>
      <c r="CI104" s="60">
        <v>7067.39</v>
      </c>
      <c r="CJ104" s="70"/>
      <c r="CK104" s="60">
        <v>6291</v>
      </c>
      <c r="CL104" s="70"/>
      <c r="CM104" s="57">
        <f t="shared" si="290"/>
        <v>776.39000000000033</v>
      </c>
      <c r="CN104" s="43"/>
      <c r="CP104" s="60">
        <f>550.72+8125.83</f>
        <v>8676.5499999999993</v>
      </c>
      <c r="CQ104" s="70"/>
      <c r="CR104" s="60">
        <v>5942</v>
      </c>
      <c r="CS104" s="70"/>
      <c r="CT104" s="57">
        <f t="shared" si="291"/>
        <v>2734.5499999999993</v>
      </c>
      <c r="CU104" s="43"/>
      <c r="CW104" s="60">
        <v>5732.21</v>
      </c>
      <c r="CX104" s="70"/>
      <c r="CY104" s="60">
        <v>5445</v>
      </c>
      <c r="CZ104" s="70"/>
      <c r="DA104" s="57">
        <f t="shared" si="292"/>
        <v>287.21000000000004</v>
      </c>
      <c r="DB104" s="43"/>
      <c r="DD104" s="60">
        <f>22.5+3148.63</f>
        <v>3171.13</v>
      </c>
      <c r="DE104" s="70"/>
      <c r="DF104" s="60">
        <v>5693</v>
      </c>
      <c r="DG104" s="70"/>
      <c r="DH104" s="57">
        <f t="shared" si="293"/>
        <v>-2521.87</v>
      </c>
      <c r="DI104" s="43"/>
      <c r="DK104" s="61">
        <f t="shared" si="294"/>
        <v>24647.279999999999</v>
      </c>
      <c r="DL104" s="70"/>
      <c r="DM104" s="61">
        <f t="shared" si="295"/>
        <v>23371</v>
      </c>
      <c r="DN104" s="70"/>
      <c r="DO104" s="57">
        <f t="shared" si="296"/>
        <v>1276.2799999999988</v>
      </c>
      <c r="DP104" s="43"/>
      <c r="DR104" s="61">
        <f t="shared" si="297"/>
        <v>53890.55</v>
      </c>
      <c r="DS104" s="33"/>
      <c r="DT104" s="61">
        <f t="shared" si="298"/>
        <v>55055.746878254344</v>
      </c>
      <c r="DU104" s="33"/>
      <c r="DV104" s="57">
        <f t="shared" si="299"/>
        <v>1165.1968782543408</v>
      </c>
      <c r="DW104" s="39"/>
    </row>
    <row r="105" spans="1:130">
      <c r="A105" s="9" t="s">
        <v>108</v>
      </c>
      <c r="B105" s="9"/>
      <c r="C105" s="60">
        <v>1366.34</v>
      </c>
      <c r="D105" s="33"/>
      <c r="E105" s="60">
        <v>4580</v>
      </c>
      <c r="F105" s="33"/>
      <c r="G105" s="57">
        <f t="shared" si="274"/>
        <v>3213.66</v>
      </c>
      <c r="H105" s="39"/>
      <c r="J105" s="60">
        <v>1636.01</v>
      </c>
      <c r="K105" s="33"/>
      <c r="L105" s="60">
        <v>6343.2004660000002</v>
      </c>
      <c r="M105" s="33"/>
      <c r="N105" s="57">
        <f t="shared" si="275"/>
        <v>4707.190466</v>
      </c>
      <c r="O105" s="39"/>
      <c r="Q105" s="60">
        <v>1076.58</v>
      </c>
      <c r="R105" s="33"/>
      <c r="S105" s="60">
        <v>8184.5806980000007</v>
      </c>
      <c r="T105" s="33"/>
      <c r="U105" s="57">
        <f t="shared" si="276"/>
        <v>7108.0006980000007</v>
      </c>
      <c r="V105" s="39"/>
      <c r="X105" s="61">
        <f t="shared" si="277"/>
        <v>4078.93</v>
      </c>
      <c r="Y105" s="33"/>
      <c r="Z105" s="61">
        <f t="shared" si="278"/>
        <v>19107.781164</v>
      </c>
      <c r="AA105" s="33"/>
      <c r="AB105" s="57">
        <f t="shared" si="279"/>
        <v>15028.851164</v>
      </c>
      <c r="AC105" s="39"/>
      <c r="AE105" s="60">
        <v>0</v>
      </c>
      <c r="AF105" s="33"/>
      <c r="AG105" s="60">
        <v>9635.6281150000013</v>
      </c>
      <c r="AH105" s="33"/>
      <c r="AI105" s="57">
        <f t="shared" si="280"/>
        <v>9635.6281150000013</v>
      </c>
      <c r="AJ105" s="39"/>
      <c r="AL105" s="60">
        <v>0</v>
      </c>
      <c r="AM105" s="33"/>
      <c r="AN105" s="60">
        <v>9286.6859059999988</v>
      </c>
      <c r="AO105" s="33"/>
      <c r="AP105" s="57">
        <f t="shared" si="281"/>
        <v>9286.6859059999988</v>
      </c>
      <c r="AQ105" s="39"/>
      <c r="AS105" s="60">
        <v>0</v>
      </c>
      <c r="AT105" s="33"/>
      <c r="AU105" s="60">
        <v>10077.988401000001</v>
      </c>
      <c r="AV105" s="33"/>
      <c r="AW105" s="57">
        <f t="shared" si="282"/>
        <v>10077.988401000001</v>
      </c>
      <c r="AX105" s="39"/>
      <c r="AZ105" s="61">
        <f t="shared" si="300"/>
        <v>0</v>
      </c>
      <c r="BA105" s="33"/>
      <c r="BB105" s="61">
        <f t="shared" si="283"/>
        <v>29000.302422000001</v>
      </c>
      <c r="BC105" s="33"/>
      <c r="BD105" s="57">
        <f t="shared" si="284"/>
        <v>29000.302422000001</v>
      </c>
      <c r="BE105" s="39"/>
      <c r="BG105" s="60">
        <v>0</v>
      </c>
      <c r="BH105" s="70"/>
      <c r="BI105" s="60">
        <v>10305.841246000002</v>
      </c>
      <c r="BJ105" s="70"/>
      <c r="BK105" s="57">
        <f t="shared" si="285"/>
        <v>-10305.841246000002</v>
      </c>
      <c r="BL105" s="43"/>
      <c r="BN105" s="60">
        <v>739.67</v>
      </c>
      <c r="BO105" s="70"/>
      <c r="BP105" s="60">
        <v>2717.7847573510894</v>
      </c>
      <c r="BQ105" s="60"/>
      <c r="BR105" s="57">
        <f t="shared" si="286"/>
        <v>-1978.1147573510893</v>
      </c>
      <c r="BS105" s="43"/>
      <c r="BU105" s="60">
        <v>1218.28</v>
      </c>
      <c r="BV105" s="70"/>
      <c r="BW105" s="60">
        <v>574</v>
      </c>
      <c r="BX105" s="70"/>
      <c r="BY105" s="57">
        <f t="shared" si="287"/>
        <v>644.28</v>
      </c>
      <c r="BZ105" s="43"/>
      <c r="CB105" s="61">
        <f t="shared" si="301"/>
        <v>1957.9499999999998</v>
      </c>
      <c r="CC105" s="70"/>
      <c r="CD105" s="61">
        <f t="shared" si="288"/>
        <v>13597.626003351092</v>
      </c>
      <c r="CE105" s="70"/>
      <c r="CF105" s="57">
        <f t="shared" si="289"/>
        <v>-11639.676003351091</v>
      </c>
      <c r="CG105" s="43"/>
      <c r="CI105" s="60">
        <v>1523.58</v>
      </c>
      <c r="CJ105" s="70"/>
      <c r="CK105" s="60">
        <v>614</v>
      </c>
      <c r="CL105" s="70"/>
      <c r="CM105" s="57">
        <f t="shared" si="290"/>
        <v>909.57999999999993</v>
      </c>
      <c r="CN105" s="43"/>
      <c r="CP105" s="60">
        <v>1500.27</v>
      </c>
      <c r="CQ105" s="70"/>
      <c r="CR105" s="60">
        <v>580</v>
      </c>
      <c r="CS105" s="70"/>
      <c r="CT105" s="57">
        <f t="shared" si="291"/>
        <v>920.27</v>
      </c>
      <c r="CU105" s="43"/>
      <c r="CW105" s="60">
        <v>1410.92</v>
      </c>
      <c r="CX105" s="70"/>
      <c r="CY105" s="60">
        <v>531</v>
      </c>
      <c r="CZ105" s="70"/>
      <c r="DA105" s="57">
        <f t="shared" si="292"/>
        <v>879.92000000000007</v>
      </c>
      <c r="DB105" s="43"/>
      <c r="DD105" s="60">
        <v>745.2</v>
      </c>
      <c r="DE105" s="70"/>
      <c r="DF105" s="60">
        <v>556</v>
      </c>
      <c r="DG105" s="70"/>
      <c r="DH105" s="57">
        <f t="shared" si="293"/>
        <v>189.20000000000005</v>
      </c>
      <c r="DI105" s="43"/>
      <c r="DK105" s="61">
        <f t="shared" si="294"/>
        <v>5179.97</v>
      </c>
      <c r="DL105" s="70"/>
      <c r="DM105" s="61">
        <f t="shared" si="295"/>
        <v>2281</v>
      </c>
      <c r="DN105" s="70"/>
      <c r="DO105" s="57">
        <f t="shared" si="296"/>
        <v>2898.9700000000003</v>
      </c>
      <c r="DP105" s="43"/>
      <c r="DR105" s="61">
        <f t="shared" si="297"/>
        <v>11216.849999999999</v>
      </c>
      <c r="DS105" s="33"/>
      <c r="DT105" s="61">
        <f t="shared" si="298"/>
        <v>63986.709589351092</v>
      </c>
      <c r="DU105" s="33"/>
      <c r="DV105" s="57">
        <f t="shared" si="299"/>
        <v>52769.859589351094</v>
      </c>
      <c r="DW105" s="39"/>
    </row>
    <row r="106" spans="1:130">
      <c r="A106" s="9" t="s">
        <v>109</v>
      </c>
      <c r="B106" s="9"/>
      <c r="C106" s="60">
        <v>94.3</v>
      </c>
      <c r="D106" s="33"/>
      <c r="E106" s="60">
        <v>838</v>
      </c>
      <c r="F106" s="33"/>
      <c r="G106" s="57">
        <f t="shared" si="274"/>
        <v>743.7</v>
      </c>
      <c r="H106" s="39"/>
      <c r="J106" s="60">
        <v>0</v>
      </c>
      <c r="K106" s="33"/>
      <c r="L106" s="60">
        <v>1160.099419452753</v>
      </c>
      <c r="M106" s="33"/>
      <c r="N106" s="57">
        <f t="shared" si="275"/>
        <v>1160.099419452753</v>
      </c>
      <c r="O106" s="39"/>
      <c r="Q106" s="60">
        <v>34</v>
      </c>
      <c r="R106" s="33"/>
      <c r="S106" s="60">
        <v>1496.8669786029129</v>
      </c>
      <c r="T106" s="33"/>
      <c r="U106" s="57">
        <f t="shared" si="276"/>
        <v>1462.8669786029129</v>
      </c>
      <c r="V106" s="39"/>
      <c r="X106" s="61">
        <f t="shared" si="277"/>
        <v>128.30000000000001</v>
      </c>
      <c r="Y106" s="33"/>
      <c r="Z106" s="61">
        <f t="shared" si="278"/>
        <v>3494.9663980556661</v>
      </c>
      <c r="AA106" s="33"/>
      <c r="AB106" s="57">
        <f t="shared" si="279"/>
        <v>3366.6663980556659</v>
      </c>
      <c r="AC106" s="39"/>
      <c r="AE106" s="60">
        <v>0</v>
      </c>
      <c r="AF106" s="33"/>
      <c r="AG106" s="60">
        <v>1762.2470931181392</v>
      </c>
      <c r="AH106" s="33"/>
      <c r="AI106" s="57">
        <f t="shared" si="280"/>
        <v>1762.2470931181392</v>
      </c>
      <c r="AJ106" s="39"/>
      <c r="AL106" s="60">
        <v>0</v>
      </c>
      <c r="AM106" s="33"/>
      <c r="AN106" s="60">
        <v>1698.4295208605288</v>
      </c>
      <c r="AO106" s="33"/>
      <c r="AP106" s="57">
        <f t="shared" si="281"/>
        <v>1698.4295208605288</v>
      </c>
      <c r="AQ106" s="39"/>
      <c r="AS106" s="60">
        <v>0</v>
      </c>
      <c r="AT106" s="33"/>
      <c r="AU106" s="60">
        <v>1843.1497720935624</v>
      </c>
      <c r="AV106" s="33"/>
      <c r="AW106" s="57">
        <f t="shared" si="282"/>
        <v>1843.1497720935624</v>
      </c>
      <c r="AX106" s="39"/>
      <c r="AZ106" s="61">
        <f t="shared" si="300"/>
        <v>0</v>
      </c>
      <c r="BA106" s="33"/>
      <c r="BB106" s="61">
        <f t="shared" si="283"/>
        <v>5303.82638607223</v>
      </c>
      <c r="BC106" s="33"/>
      <c r="BD106" s="57">
        <f t="shared" si="284"/>
        <v>5303.82638607223</v>
      </c>
      <c r="BE106" s="39"/>
      <c r="BG106" s="60">
        <v>0</v>
      </c>
      <c r="BH106" s="70"/>
      <c r="BI106" s="60">
        <v>1884.8214730940269</v>
      </c>
      <c r="BJ106" s="70"/>
      <c r="BK106" s="57">
        <f t="shared" si="285"/>
        <v>-1884.8214730940269</v>
      </c>
      <c r="BL106" s="43"/>
      <c r="BN106" s="60">
        <v>0</v>
      </c>
      <c r="BO106" s="70"/>
      <c r="BP106" s="60">
        <v>1852.4020626556126</v>
      </c>
      <c r="BQ106" s="70"/>
      <c r="BR106" s="57">
        <f t="shared" si="286"/>
        <v>-1852.4020626556126</v>
      </c>
      <c r="BS106" s="43"/>
      <c r="BU106" s="60">
        <v>3</v>
      </c>
      <c r="BV106" s="70"/>
      <c r="BW106" s="60">
        <v>0</v>
      </c>
      <c r="BX106" s="70"/>
      <c r="BY106" s="57">
        <f t="shared" si="287"/>
        <v>3</v>
      </c>
      <c r="BZ106" s="43"/>
      <c r="CB106" s="61">
        <f t="shared" si="301"/>
        <v>3</v>
      </c>
      <c r="CC106" s="70"/>
      <c r="CD106" s="61">
        <f t="shared" si="288"/>
        <v>3737.2235357496393</v>
      </c>
      <c r="CE106" s="70"/>
      <c r="CF106" s="57">
        <f t="shared" si="289"/>
        <v>-3734.2235357496393</v>
      </c>
      <c r="CG106" s="43"/>
      <c r="CI106" s="60">
        <v>0</v>
      </c>
      <c r="CJ106" s="70"/>
      <c r="CK106" s="60">
        <v>0</v>
      </c>
      <c r="CL106" s="70"/>
      <c r="CM106" s="57">
        <f t="shared" si="290"/>
        <v>0</v>
      </c>
      <c r="CN106" s="43"/>
      <c r="CP106" s="60">
        <v>8</v>
      </c>
      <c r="CQ106" s="70"/>
      <c r="CR106" s="60">
        <v>0</v>
      </c>
      <c r="CS106" s="70"/>
      <c r="CT106" s="57">
        <f t="shared" si="291"/>
        <v>8</v>
      </c>
      <c r="CU106" s="43"/>
      <c r="CW106" s="60">
        <v>0</v>
      </c>
      <c r="CX106" s="70"/>
      <c r="CY106" s="60">
        <v>0</v>
      </c>
      <c r="CZ106" s="70"/>
      <c r="DA106" s="57">
        <f t="shared" si="292"/>
        <v>0</v>
      </c>
      <c r="DB106" s="43"/>
      <c r="DD106" s="60">
        <v>0</v>
      </c>
      <c r="DE106" s="70"/>
      <c r="DF106" s="60">
        <v>0</v>
      </c>
      <c r="DG106" s="70"/>
      <c r="DH106" s="57">
        <f t="shared" si="293"/>
        <v>0</v>
      </c>
      <c r="DI106" s="43"/>
      <c r="DK106" s="61">
        <f t="shared" si="294"/>
        <v>8</v>
      </c>
      <c r="DL106" s="70"/>
      <c r="DM106" s="61">
        <f t="shared" si="295"/>
        <v>0</v>
      </c>
      <c r="DN106" s="70"/>
      <c r="DO106" s="57">
        <f t="shared" si="296"/>
        <v>8</v>
      </c>
      <c r="DP106" s="43"/>
      <c r="DR106" s="61">
        <f t="shared" si="297"/>
        <v>139.30000000000001</v>
      </c>
      <c r="DS106" s="33"/>
      <c r="DT106" s="61">
        <f t="shared" si="298"/>
        <v>12536.016319877535</v>
      </c>
      <c r="DU106" s="33"/>
      <c r="DV106" s="57">
        <f t="shared" si="299"/>
        <v>12396.716319877536</v>
      </c>
      <c r="DW106" s="39"/>
    </row>
    <row r="107" spans="1:130">
      <c r="A107" s="9" t="s">
        <v>110</v>
      </c>
      <c r="B107" s="9"/>
      <c r="C107" s="60">
        <v>714</v>
      </c>
      <c r="D107" s="33"/>
      <c r="E107" s="60"/>
      <c r="F107" s="33"/>
      <c r="G107" s="57"/>
      <c r="H107" s="39"/>
      <c r="J107" s="60">
        <v>222.75</v>
      </c>
      <c r="K107" s="33"/>
      <c r="L107" s="60"/>
      <c r="M107" s="33"/>
      <c r="N107" s="57"/>
      <c r="O107" s="39"/>
      <c r="Q107" s="60">
        <v>167.5</v>
      </c>
      <c r="R107" s="33"/>
      <c r="S107" s="60"/>
      <c r="T107" s="33"/>
      <c r="U107" s="57"/>
      <c r="V107" s="39"/>
      <c r="X107" s="61">
        <f t="shared" si="277"/>
        <v>1104.25</v>
      </c>
      <c r="Y107" s="33"/>
      <c r="Z107" s="61">
        <f t="shared" si="278"/>
        <v>0</v>
      </c>
      <c r="AA107" s="33"/>
      <c r="AB107" s="57"/>
      <c r="AC107" s="39"/>
      <c r="AE107" s="60">
        <v>0</v>
      </c>
      <c r="AF107" s="33"/>
      <c r="AG107" s="60"/>
      <c r="AH107" s="33"/>
      <c r="AI107" s="57"/>
      <c r="AJ107" s="39"/>
      <c r="AL107" s="60">
        <v>0</v>
      </c>
      <c r="AM107" s="33"/>
      <c r="AN107" s="60"/>
      <c r="AO107" s="33"/>
      <c r="AP107" s="57"/>
      <c r="AQ107" s="39"/>
      <c r="AS107" s="60">
        <v>0</v>
      </c>
      <c r="AT107" s="33"/>
      <c r="AU107" s="60"/>
      <c r="AV107" s="33"/>
      <c r="AW107" s="57"/>
      <c r="AX107" s="39"/>
      <c r="AZ107" s="61">
        <v>0</v>
      </c>
      <c r="BA107" s="33"/>
      <c r="BB107" s="61">
        <v>0</v>
      </c>
      <c r="BC107" s="33"/>
      <c r="BD107" s="57"/>
      <c r="BE107" s="39"/>
      <c r="BG107" s="60">
        <v>0</v>
      </c>
      <c r="BH107" s="70"/>
      <c r="BI107" s="60">
        <v>0</v>
      </c>
      <c r="BJ107" s="70"/>
      <c r="BK107" s="57">
        <f t="shared" si="285"/>
        <v>0</v>
      </c>
      <c r="BL107" s="43"/>
      <c r="BN107" s="60">
        <v>143.25</v>
      </c>
      <c r="BO107" s="70"/>
      <c r="BP107" s="60">
        <v>0</v>
      </c>
      <c r="BQ107" s="70"/>
      <c r="BR107" s="57">
        <f t="shared" si="286"/>
        <v>143.25</v>
      </c>
      <c r="BS107" s="43"/>
      <c r="BU107" s="60">
        <v>143.5</v>
      </c>
      <c r="BV107" s="70"/>
      <c r="BW107" s="60">
        <v>0</v>
      </c>
      <c r="BX107" s="70"/>
      <c r="BY107" s="57">
        <f t="shared" si="287"/>
        <v>143.5</v>
      </c>
      <c r="BZ107" s="43"/>
      <c r="CB107" s="61">
        <f t="shared" si="301"/>
        <v>286.75</v>
      </c>
      <c r="CC107" s="70"/>
      <c r="CD107" s="61">
        <v>0</v>
      </c>
      <c r="CE107" s="70"/>
      <c r="CF107" s="57">
        <f t="shared" si="289"/>
        <v>286.75</v>
      </c>
      <c r="CG107" s="43"/>
      <c r="CI107" s="60">
        <v>151</v>
      </c>
      <c r="CJ107" s="70"/>
      <c r="CK107" s="60">
        <v>0</v>
      </c>
      <c r="CL107" s="70"/>
      <c r="CM107" s="57">
        <f t="shared" si="290"/>
        <v>151</v>
      </c>
      <c r="CN107" s="43"/>
      <c r="CP107" s="60">
        <v>0</v>
      </c>
      <c r="CQ107" s="70"/>
      <c r="CR107" s="60">
        <v>0</v>
      </c>
      <c r="CS107" s="70"/>
      <c r="CT107" s="57">
        <f t="shared" si="291"/>
        <v>0</v>
      </c>
      <c r="CU107" s="43"/>
      <c r="CW107" s="60">
        <v>0</v>
      </c>
      <c r="CX107" s="70"/>
      <c r="CY107" s="60">
        <v>0</v>
      </c>
      <c r="CZ107" s="70"/>
      <c r="DA107" s="57">
        <f t="shared" si="292"/>
        <v>0</v>
      </c>
      <c r="DB107" s="43"/>
      <c r="DD107" s="60">
        <v>0</v>
      </c>
      <c r="DE107" s="70"/>
      <c r="DF107" s="60">
        <v>0</v>
      </c>
      <c r="DG107" s="70"/>
      <c r="DH107" s="57">
        <f t="shared" si="293"/>
        <v>0</v>
      </c>
      <c r="DI107" s="43"/>
      <c r="DK107" s="61">
        <f t="shared" si="294"/>
        <v>151</v>
      </c>
      <c r="DL107" s="70"/>
      <c r="DM107" s="61">
        <v>0</v>
      </c>
      <c r="DN107" s="70"/>
      <c r="DO107" s="57">
        <f t="shared" si="296"/>
        <v>151</v>
      </c>
      <c r="DP107" s="43"/>
      <c r="DR107" s="61">
        <f t="shared" si="297"/>
        <v>1542</v>
      </c>
      <c r="DS107" s="33"/>
      <c r="DT107" s="61"/>
      <c r="DU107" s="33"/>
      <c r="DV107" s="57"/>
      <c r="DW107" s="39"/>
    </row>
    <row r="108" spans="1:130" ht="16.7" thickBot="1">
      <c r="A108" s="10" t="s">
        <v>111</v>
      </c>
      <c r="B108" s="8"/>
      <c r="C108" s="59">
        <f>SUM(C102:C107)</f>
        <v>11383.93</v>
      </c>
      <c r="D108" s="36">
        <f>C108/C13</f>
        <v>2.9900655354742834E-2</v>
      </c>
      <c r="E108" s="59">
        <f>SUM(E103:E107)</f>
        <v>7298</v>
      </c>
      <c r="F108" s="36">
        <f>E108/E13</f>
        <v>2.6449216272537827E-2</v>
      </c>
      <c r="G108" s="58">
        <f>E108-C108</f>
        <v>-4085.9300000000003</v>
      </c>
      <c r="H108" s="38">
        <f>G108/E108</f>
        <v>-0.55986982734995894</v>
      </c>
      <c r="J108" s="59">
        <f>SUM(J102:J107)</f>
        <v>11261.69</v>
      </c>
      <c r="K108" s="36">
        <f>J108/J13</f>
        <v>2.7590404732881785E-2</v>
      </c>
      <c r="L108" s="59">
        <f>SUM(L102:L106)</f>
        <v>9856.514306231813</v>
      </c>
      <c r="M108" s="36">
        <f>L108/L13</f>
        <v>2.5794223050373606E-2</v>
      </c>
      <c r="N108" s="58">
        <f>L108-J108</f>
        <v>-1405.1756937681876</v>
      </c>
      <c r="O108" s="38">
        <f>N108/L108</f>
        <v>-0.14256314657604269</v>
      </c>
      <c r="Q108" s="59">
        <f>SUM(Q102:Q107)</f>
        <v>7804.08</v>
      </c>
      <c r="R108" s="36">
        <f>Q108/Q13</f>
        <v>2.5503141030597375E-2</v>
      </c>
      <c r="S108" s="59">
        <f>SUM(S102:S106)</f>
        <v>12528.756634135247</v>
      </c>
      <c r="T108" s="36">
        <f>S108/S13</f>
        <v>2.5410876922758372E-2</v>
      </c>
      <c r="U108" s="58">
        <f>S108-Q108</f>
        <v>4724.6766341352468</v>
      </c>
      <c r="V108" s="38">
        <f>U108/S108</f>
        <v>0.37710658544221543</v>
      </c>
      <c r="X108" s="59">
        <f>SUM(X102:X107)</f>
        <v>30449.7</v>
      </c>
      <c r="Y108" s="36">
        <f>X108/X13</f>
        <v>2.7810385662062342E-2</v>
      </c>
      <c r="Z108" s="59">
        <f>SUM(Z102:Z106)</f>
        <v>29683.270940367056</v>
      </c>
      <c r="AA108" s="36">
        <f>Z108/Z13</f>
        <v>2.578703105688859E-2</v>
      </c>
      <c r="AB108" s="58">
        <f>Z108-X108</f>
        <v>-766.4290596329447</v>
      </c>
      <c r="AC108" s="38">
        <f>AB108/Z108</f>
        <v>-2.5820235956228725E-2</v>
      </c>
      <c r="AE108" s="59">
        <f>SUM(AE102:AE107)</f>
        <v>0</v>
      </c>
      <c r="AF108" s="36" t="e">
        <f>AE108/AE13</f>
        <v>#DIV/0!</v>
      </c>
      <c r="AG108" s="59">
        <f>SUM(AG102:AG106)</f>
        <v>14634.541338520163</v>
      </c>
      <c r="AH108" s="36">
        <f>AG108/AG13</f>
        <v>2.5212015557550427E-2</v>
      </c>
      <c r="AI108" s="58">
        <f>AG108-AE108</f>
        <v>14634.541338520163</v>
      </c>
      <c r="AJ108" s="38">
        <f>AI108/AG108</f>
        <v>1</v>
      </c>
      <c r="AL108" s="59">
        <f>SUM(AL102:AL107)</f>
        <v>0</v>
      </c>
      <c r="AM108" s="36" t="e">
        <f>AL108/AL13</f>
        <v>#DIV/0!</v>
      </c>
      <c r="AN108" s="59">
        <f>SUM(AN102:AN106)</f>
        <v>14128.150466783069</v>
      </c>
      <c r="AO108" s="36">
        <f>AN108/AN13</f>
        <v>2.525413935528819E-2</v>
      </c>
      <c r="AP108" s="58">
        <f>AN108-AL108</f>
        <v>14128.150466783069</v>
      </c>
      <c r="AQ108" s="38">
        <f>AP108/AN108</f>
        <v>1</v>
      </c>
      <c r="AS108" s="59">
        <f>SUM(AS102:AS107)</f>
        <v>0</v>
      </c>
      <c r="AT108" s="36" t="e">
        <f>AS108/AS13</f>
        <v>#DIV/0!</v>
      </c>
      <c r="AU108" s="59">
        <f>SUM(AU102:AU106)</f>
        <v>15276.502113318285</v>
      </c>
      <c r="AV108" s="36">
        <f>AU108/AU13</f>
        <v>2.5162742235843187E-2</v>
      </c>
      <c r="AW108" s="58">
        <f>AU108-AS108</f>
        <v>15276.502113318285</v>
      </c>
      <c r="AX108" s="38">
        <f>AW108/AU108</f>
        <v>1</v>
      </c>
      <c r="AZ108" s="59">
        <f>SUM(AZ102:AZ106)</f>
        <v>0</v>
      </c>
      <c r="BA108" s="36" t="e">
        <f>AZ108/AZ13</f>
        <v>#DIV/0!</v>
      </c>
      <c r="BB108" s="59">
        <f>SUM(BB102:BB106)</f>
        <v>44039.19391862151</v>
      </c>
      <c r="BC108" s="36">
        <f>BB108/BB13</f>
        <v>2.520838160751681E-2</v>
      </c>
      <c r="BD108" s="58">
        <f>BB108-AZ108</f>
        <v>44039.19391862151</v>
      </c>
      <c r="BE108" s="38">
        <f>BD108/BB108</f>
        <v>1</v>
      </c>
      <c r="BG108" s="59">
        <f>SUM(BG102:BG107)</f>
        <v>0</v>
      </c>
      <c r="BH108" s="69" t="e">
        <f>BG108/BG13</f>
        <v>#DIV/0!</v>
      </c>
      <c r="BI108" s="59">
        <f>SUM(BI102:BI107)</f>
        <v>15607.166039410778</v>
      </c>
      <c r="BJ108" s="69">
        <f>BI108/BI13</f>
        <v>2.5138991905112918E-2</v>
      </c>
      <c r="BK108" s="59">
        <f>SUM(BK102:BK107)</f>
        <v>-15607.166039410778</v>
      </c>
      <c r="BL108" s="68">
        <f>BK108/BI108</f>
        <v>-1</v>
      </c>
      <c r="BN108" s="59">
        <f>SUM(BN102:BN107)</f>
        <v>7171.72</v>
      </c>
      <c r="BO108" s="69">
        <f>BN108/BN13</f>
        <v>3.2455017928567663E-2</v>
      </c>
      <c r="BP108" s="59">
        <f>SUM(BP102:BP107)</f>
        <v>15349.918812160549</v>
      </c>
      <c r="BQ108" s="69">
        <f>BP108/BP13</f>
        <v>2.5157408875057238E-2</v>
      </c>
      <c r="BR108" s="59">
        <f>SUM(BR102:BR107)</f>
        <v>-8178.19881216055</v>
      </c>
      <c r="BS108" s="68">
        <f>BR108/BP108</f>
        <v>-0.53278449952983453</v>
      </c>
      <c r="BU108" s="59">
        <f>SUM(BU102:BU107)</f>
        <v>8889.5300000000007</v>
      </c>
      <c r="BV108" s="69">
        <f>BU108/BU13</f>
        <v>2.7058585391244002E-2</v>
      </c>
      <c r="BW108" s="59">
        <f>SUM(BW102:BW107)</f>
        <v>7007</v>
      </c>
      <c r="BX108" s="69">
        <f>BW108/BW13</f>
        <v>2.3826444735365625E-2</v>
      </c>
      <c r="BY108" s="59">
        <f>SUM(BY102:BY107)</f>
        <v>1882.53</v>
      </c>
      <c r="BZ108" s="68">
        <f>BY108/BW108</f>
        <v>0.26866419294990723</v>
      </c>
      <c r="CB108" s="59">
        <f>SUM(CB102:CB107)</f>
        <v>16061.25</v>
      </c>
      <c r="CC108" s="69">
        <f>CB108/CB13</f>
        <v>2.9228676851079015E-2</v>
      </c>
      <c r="CD108" s="59">
        <f>SUM(CD102:CD106)</f>
        <v>37964.08485157133</v>
      </c>
      <c r="CE108" s="69">
        <f>CD108/CD13</f>
        <v>2.4893257611311791E-2</v>
      </c>
      <c r="CF108" s="59">
        <f>SUM(CF102:CF106)</f>
        <v>-22189.584851571326</v>
      </c>
      <c r="CG108" s="68">
        <f>CF108/CD108</f>
        <v>-0.58448886462893102</v>
      </c>
      <c r="CI108" s="59">
        <f>SUM(CI102:CI107)</f>
        <v>9594.4700000000012</v>
      </c>
      <c r="CJ108" s="69">
        <f>CI108/CI13</f>
        <v>2.6424745658445752E-2</v>
      </c>
      <c r="CK108" s="59">
        <f>SUM(CK102:CK107)</f>
        <v>7495</v>
      </c>
      <c r="CL108" s="69">
        <f>CK108/CK13</f>
        <v>2.3829357004781768E-2</v>
      </c>
      <c r="CM108" s="59">
        <f>SUM(CM102:CM106)</f>
        <v>1948.4700000000003</v>
      </c>
      <c r="CN108" s="68">
        <f>CM108/CK108</f>
        <v>0.25996931287525021</v>
      </c>
      <c r="CP108" s="59">
        <f>SUM(CP102:CP107)</f>
        <v>10464.32</v>
      </c>
      <c r="CQ108" s="69">
        <f>CP108/CP13</f>
        <v>3.1269355053714622E-2</v>
      </c>
      <c r="CR108" s="59">
        <f>SUM(CR102:CR107)</f>
        <v>7079</v>
      </c>
      <c r="CS108" s="69">
        <f>CR108/CR13</f>
        <v>2.3826994278020867E-2</v>
      </c>
      <c r="CT108" s="59">
        <f>SUM(CT102:CT106)</f>
        <v>3385.3199999999993</v>
      </c>
      <c r="CU108" s="68">
        <f>CT108/CR108</f>
        <v>0.47822008758299184</v>
      </c>
      <c r="CW108" s="59">
        <f>SUM(CW102:CW107)</f>
        <v>7491.63</v>
      </c>
      <c r="CX108" s="69">
        <f>CW108/CW13</f>
        <v>2.8140641491819145E-2</v>
      </c>
      <c r="CY108" s="59">
        <f>SUM(CY102:CY107)</f>
        <v>6486</v>
      </c>
      <c r="CZ108" s="69">
        <f>CY108/CY13</f>
        <v>2.3823603953704486E-2</v>
      </c>
      <c r="DA108" s="59">
        <f>SUM(DA102:DA107)</f>
        <v>1005.6300000000001</v>
      </c>
      <c r="DB108" s="68">
        <f>DA108/CY108</f>
        <v>0.15504625346901019</v>
      </c>
      <c r="DD108" s="59">
        <f>SUM(DD102:DD107)</f>
        <v>4466.33</v>
      </c>
      <c r="DE108" s="69">
        <f>DD108/DD13</f>
        <v>2.876890734732333E-2</v>
      </c>
      <c r="DF108" s="59">
        <f>SUM(DF102:DF107)</f>
        <v>6783</v>
      </c>
      <c r="DG108" s="69">
        <f>DF108/DF13</f>
        <v>2.383127332007617E-2</v>
      </c>
      <c r="DH108" s="59">
        <f>SUM(DH102:DH107)</f>
        <v>-2316.67</v>
      </c>
      <c r="DI108" s="68">
        <f>DH108/DF108</f>
        <v>-0.34154061624649862</v>
      </c>
      <c r="DK108" s="59">
        <f>SUM(DK102:DK107)</f>
        <v>32016.75</v>
      </c>
      <c r="DL108" s="36">
        <f>DK108/DK13</f>
        <v>2.8606637172272992E-2</v>
      </c>
      <c r="DM108" s="59">
        <f>SUM(DM102:DM106)</f>
        <v>27843</v>
      </c>
      <c r="DN108" s="36">
        <f>DM108/DM13</f>
        <v>2.3827882636360136E-2</v>
      </c>
      <c r="DO108" s="59">
        <f>SUM(DO102:DO106)</f>
        <v>4022.7499999999991</v>
      </c>
      <c r="DP108" s="68">
        <f>DO108/DM108</f>
        <v>0.14447976151995112</v>
      </c>
      <c r="DR108" s="59">
        <f>SUM(DR102:DR107)</f>
        <v>78527.7</v>
      </c>
      <c r="DS108" s="36">
        <f>DR108/DR13</f>
        <v>2.8414857094502241E-2</v>
      </c>
      <c r="DT108" s="59">
        <f>SUM(DT102:DT106)</f>
        <v>139529.54971055989</v>
      </c>
      <c r="DU108" s="36">
        <f>DT108/DT13</f>
        <v>2.4953068606148508E-2</v>
      </c>
      <c r="DV108" s="58">
        <f>DT108-DR108</f>
        <v>61001.849710559894</v>
      </c>
      <c r="DW108" s="38">
        <f>DV108/DT108</f>
        <v>0.43719663567396394</v>
      </c>
      <c r="DX108" s="64"/>
    </row>
    <row r="109" spans="1:130" ht="16.7" thickTop="1">
      <c r="A109" s="47"/>
      <c r="B109" s="47"/>
      <c r="C109" s="60"/>
      <c r="D109" s="33"/>
      <c r="E109" s="60"/>
      <c r="F109" s="33"/>
      <c r="G109" s="55"/>
      <c r="H109" s="55"/>
      <c r="J109" s="60"/>
      <c r="K109" s="33"/>
      <c r="L109" s="60"/>
      <c r="M109" s="33"/>
      <c r="N109" s="55"/>
      <c r="O109" s="55"/>
      <c r="Q109" s="60"/>
      <c r="R109" s="33"/>
      <c r="S109" s="60"/>
      <c r="T109" s="33"/>
      <c r="U109" s="55"/>
      <c r="V109" s="55"/>
      <c r="X109" s="60"/>
      <c r="Y109" s="33"/>
      <c r="Z109" s="60"/>
      <c r="AA109" s="33"/>
      <c r="AB109" s="55"/>
      <c r="AC109" s="55"/>
      <c r="AE109" s="60"/>
      <c r="AF109" s="33"/>
      <c r="AG109" s="60"/>
      <c r="AH109" s="33"/>
      <c r="AI109" s="55"/>
      <c r="AJ109" s="55"/>
      <c r="AL109" s="60"/>
      <c r="AM109" s="33"/>
      <c r="AN109" s="60"/>
      <c r="AO109" s="33"/>
      <c r="AP109" s="55"/>
      <c r="AQ109" s="55"/>
      <c r="AS109" s="60"/>
      <c r="AT109" s="33"/>
      <c r="AU109" s="60"/>
      <c r="AV109" s="33"/>
      <c r="AW109" s="55"/>
      <c r="AX109" s="55"/>
      <c r="AZ109" s="60"/>
      <c r="BA109" s="33"/>
      <c r="BB109" s="60"/>
      <c r="BC109" s="33"/>
      <c r="BD109" s="55"/>
      <c r="BE109" s="55"/>
      <c r="BG109" s="60"/>
      <c r="BH109" s="70"/>
      <c r="BI109" s="60"/>
      <c r="BJ109" s="70"/>
      <c r="BK109" s="55"/>
      <c r="BL109" s="71"/>
      <c r="BN109" s="60"/>
      <c r="BO109" s="70"/>
      <c r="BP109" s="60"/>
      <c r="BQ109" s="70"/>
      <c r="BR109" s="55"/>
      <c r="BS109" s="71"/>
      <c r="BU109" s="60"/>
      <c r="BV109" s="70"/>
      <c r="BW109" s="60"/>
      <c r="BX109" s="70"/>
      <c r="BY109" s="55"/>
      <c r="BZ109" s="71"/>
      <c r="CB109" s="60"/>
      <c r="CC109" s="70"/>
      <c r="CD109" s="60"/>
      <c r="CE109" s="70"/>
      <c r="CF109" s="55"/>
      <c r="CG109" s="71"/>
      <c r="CI109" s="60"/>
      <c r="CJ109" s="70"/>
      <c r="CK109" s="60"/>
      <c r="CL109" s="70"/>
      <c r="CM109" s="55"/>
      <c r="CN109" s="71"/>
      <c r="CP109" s="60"/>
      <c r="CQ109" s="70"/>
      <c r="CR109" s="60"/>
      <c r="CS109" s="70"/>
      <c r="CT109" s="55"/>
      <c r="CU109" s="71"/>
      <c r="CW109" s="60"/>
      <c r="CX109" s="70"/>
      <c r="CY109" s="60"/>
      <c r="CZ109" s="70"/>
      <c r="DA109" s="55"/>
      <c r="DB109" s="71"/>
      <c r="DD109" s="60"/>
      <c r="DE109" s="70"/>
      <c r="DF109" s="60"/>
      <c r="DG109" s="70"/>
      <c r="DH109" s="55"/>
      <c r="DI109" s="71"/>
      <c r="DK109" s="60"/>
      <c r="DL109" s="70"/>
      <c r="DM109" s="60"/>
      <c r="DN109" s="70"/>
      <c r="DO109" s="55"/>
      <c r="DP109" s="71"/>
      <c r="DR109" s="60"/>
      <c r="DS109" s="33"/>
      <c r="DT109" s="60"/>
      <c r="DU109" s="33"/>
      <c r="DV109" s="55"/>
      <c r="DW109" s="55"/>
    </row>
    <row r="110" spans="1:130">
      <c r="A110" s="8" t="s">
        <v>112</v>
      </c>
      <c r="B110" s="8"/>
      <c r="C110" s="60"/>
      <c r="D110" s="33"/>
      <c r="E110" s="60"/>
      <c r="F110" s="33"/>
      <c r="G110" s="55"/>
      <c r="H110" s="55"/>
      <c r="J110" s="60"/>
      <c r="K110" s="33"/>
      <c r="L110" s="60"/>
      <c r="M110" s="33"/>
      <c r="N110" s="55"/>
      <c r="O110" s="55"/>
      <c r="Q110" s="60"/>
      <c r="R110" s="33"/>
      <c r="S110" s="60"/>
      <c r="T110" s="33"/>
      <c r="U110" s="55"/>
      <c r="V110" s="55"/>
      <c r="X110" s="60"/>
      <c r="Y110" s="33"/>
      <c r="Z110" s="60"/>
      <c r="AA110" s="33"/>
      <c r="AB110" s="55"/>
      <c r="AC110" s="55"/>
      <c r="AE110" s="60"/>
      <c r="AF110" s="33"/>
      <c r="AG110" s="60"/>
      <c r="AH110" s="33"/>
      <c r="AI110" s="55"/>
      <c r="AJ110" s="55"/>
      <c r="AL110" s="60"/>
      <c r="AM110" s="33"/>
      <c r="AN110" s="60"/>
      <c r="AO110" s="33"/>
      <c r="AP110" s="55"/>
      <c r="AQ110" s="55"/>
      <c r="AS110" s="60"/>
      <c r="AT110" s="33"/>
      <c r="AU110" s="60"/>
      <c r="AV110" s="33"/>
      <c r="AW110" s="55"/>
      <c r="AX110" s="55"/>
      <c r="AZ110" s="60"/>
      <c r="BA110" s="33"/>
      <c r="BB110" s="60"/>
      <c r="BC110" s="33"/>
      <c r="BD110" s="55"/>
      <c r="BE110" s="55"/>
      <c r="BG110" s="60"/>
      <c r="BH110" s="70"/>
      <c r="BI110" s="60"/>
      <c r="BJ110" s="70"/>
      <c r="BK110" s="55"/>
      <c r="BL110" s="71"/>
      <c r="BN110" s="60"/>
      <c r="BO110" s="70"/>
      <c r="BP110" s="60"/>
      <c r="BQ110" s="70"/>
      <c r="BR110" s="55"/>
      <c r="BS110" s="71"/>
      <c r="BU110" s="60"/>
      <c r="BV110" s="70"/>
      <c r="BW110" s="60"/>
      <c r="BX110" s="70"/>
      <c r="BY110" s="55"/>
      <c r="BZ110" s="71"/>
      <c r="CB110" s="60"/>
      <c r="CC110" s="70"/>
      <c r="CD110" s="60"/>
      <c r="CE110" s="70"/>
      <c r="CF110" s="55"/>
      <c r="CG110" s="71"/>
      <c r="CI110" s="60"/>
      <c r="CJ110" s="70"/>
      <c r="CK110" s="60"/>
      <c r="CL110" s="70"/>
      <c r="CM110" s="55"/>
      <c r="CN110" s="71"/>
      <c r="CP110" s="60"/>
      <c r="CQ110" s="70"/>
      <c r="CR110" s="60"/>
      <c r="CS110" s="70"/>
      <c r="CT110" s="55"/>
      <c r="CU110" s="71"/>
      <c r="CW110" s="60"/>
      <c r="CX110" s="70"/>
      <c r="CY110" s="60"/>
      <c r="CZ110" s="70"/>
      <c r="DA110" s="55"/>
      <c r="DB110" s="71"/>
      <c r="DD110" s="60"/>
      <c r="DE110" s="70"/>
      <c r="DF110" s="60"/>
      <c r="DG110" s="70"/>
      <c r="DH110" s="55"/>
      <c r="DI110" s="71"/>
      <c r="DK110" s="60"/>
      <c r="DL110" s="70"/>
      <c r="DM110" s="60"/>
      <c r="DN110" s="70"/>
      <c r="DO110" s="55"/>
      <c r="DP110" s="71"/>
      <c r="DR110" s="60"/>
      <c r="DS110" s="33"/>
      <c r="DT110" s="60"/>
      <c r="DU110" s="33"/>
      <c r="DV110" s="55"/>
      <c r="DW110" s="55"/>
    </row>
    <row r="111" spans="1:130">
      <c r="A111" s="9" t="s">
        <v>113</v>
      </c>
      <c r="B111" s="9"/>
      <c r="C111" s="55">
        <v>976.6</v>
      </c>
      <c r="D111" s="33"/>
      <c r="E111" s="55">
        <v>1243.7250000000001</v>
      </c>
      <c r="F111" s="33"/>
      <c r="G111" s="57">
        <f t="shared" ref="G111:G117" si="302">E111-C111</f>
        <v>267.12500000000011</v>
      </c>
      <c r="H111" s="39"/>
      <c r="J111" s="55">
        <v>873.94</v>
      </c>
      <c r="K111" s="33"/>
      <c r="L111" s="55">
        <v>1243.7250000000001</v>
      </c>
      <c r="M111" s="33"/>
      <c r="N111" s="57">
        <f t="shared" ref="N111:N117" si="303">L111-J111</f>
        <v>369.78500000000008</v>
      </c>
      <c r="O111" s="39"/>
      <c r="Q111" s="55">
        <v>873.94</v>
      </c>
      <c r="R111" s="33"/>
      <c r="S111" s="55">
        <v>1243.7250000000001</v>
      </c>
      <c r="T111" s="33"/>
      <c r="U111" s="57">
        <f t="shared" ref="U111:U117" si="304">S111-Q111</f>
        <v>369.78500000000008</v>
      </c>
      <c r="V111" s="39"/>
      <c r="X111" s="61">
        <f t="shared" ref="X111:X115" si="305">C111+J111+Q111</f>
        <v>2724.48</v>
      </c>
      <c r="Y111" s="33"/>
      <c r="Z111" s="61">
        <f t="shared" ref="Z111:Z115" si="306">E111+L111+S111</f>
        <v>3731.1750000000002</v>
      </c>
      <c r="AA111" s="33"/>
      <c r="AB111" s="57">
        <f t="shared" ref="AB111:AB117" si="307">Z111-X111</f>
        <v>1006.6950000000002</v>
      </c>
      <c r="AC111" s="39"/>
      <c r="AE111" s="55">
        <v>310.93</v>
      </c>
      <c r="AF111" s="33"/>
      <c r="AG111" s="55">
        <v>1243.7250000000001</v>
      </c>
      <c r="AH111" s="33"/>
      <c r="AI111" s="57">
        <f t="shared" ref="AI111:AI117" si="308">AG111-AE111</f>
        <v>932.79500000000007</v>
      </c>
      <c r="AJ111" s="39"/>
      <c r="AL111" s="55">
        <v>429.25</v>
      </c>
      <c r="AM111" s="33"/>
      <c r="AN111" s="55">
        <v>1243.7250000000001</v>
      </c>
      <c r="AO111" s="33"/>
      <c r="AP111" s="57">
        <f t="shared" ref="AP111:AP117" si="309">AN111-AL111</f>
        <v>814.47500000000014</v>
      </c>
      <c r="AQ111" s="39"/>
      <c r="AS111" s="55">
        <v>315.83999999999997</v>
      </c>
      <c r="AT111" s="33"/>
      <c r="AU111" s="55">
        <v>1243.7250000000001</v>
      </c>
      <c r="AV111" s="33"/>
      <c r="AW111" s="57">
        <f t="shared" ref="AW111:AW117" si="310">AU111-AS111</f>
        <v>927.88500000000022</v>
      </c>
      <c r="AX111" s="39"/>
      <c r="AZ111" s="61">
        <f t="shared" ref="AZ111:AZ115" si="311">AE111+AL111+AS111</f>
        <v>1056.02</v>
      </c>
      <c r="BA111" s="33"/>
      <c r="BB111" s="61">
        <f t="shared" ref="BB111:BB115" si="312">AG111+AN111+AU111</f>
        <v>3731.1750000000002</v>
      </c>
      <c r="BC111" s="33"/>
      <c r="BD111" s="57">
        <f t="shared" ref="BD111:BD117" si="313">BB111-AZ111</f>
        <v>2675.1550000000002</v>
      </c>
      <c r="BE111" s="39"/>
      <c r="BG111" s="55">
        <v>360.82</v>
      </c>
      <c r="BH111" s="70"/>
      <c r="BI111" s="55">
        <v>1243.7250000000001</v>
      </c>
      <c r="BJ111" s="70"/>
      <c r="BK111" s="57">
        <f t="shared" ref="BK111:BK115" si="314">BG111-BI111</f>
        <v>-882.9050000000002</v>
      </c>
      <c r="BL111" s="43"/>
      <c r="BN111" s="55">
        <v>487.18</v>
      </c>
      <c r="BO111" s="70"/>
      <c r="BP111" s="55">
        <v>1243.7250000000001</v>
      </c>
      <c r="BQ111" s="70"/>
      <c r="BR111" s="57">
        <f t="shared" ref="BR111:BR115" si="315">BN111-BP111</f>
        <v>-756.54500000000007</v>
      </c>
      <c r="BS111" s="43"/>
      <c r="BU111" s="55">
        <v>725.47</v>
      </c>
      <c r="BV111" s="70"/>
      <c r="BW111" s="55">
        <v>3585</v>
      </c>
      <c r="BX111" s="70"/>
      <c r="BY111" s="57">
        <f t="shared" ref="BY111:BY115" si="316">BU111-BW111</f>
        <v>-2859.5299999999997</v>
      </c>
      <c r="BZ111" s="43"/>
      <c r="CB111" s="61">
        <f t="shared" ref="CB111:CB115" si="317">BG111+BN111+BU111</f>
        <v>1573.47</v>
      </c>
      <c r="CC111" s="70"/>
      <c r="CD111" s="61">
        <f t="shared" ref="CD111:CD115" si="318">BI111+BP111+BW111</f>
        <v>6072.4500000000007</v>
      </c>
      <c r="CE111" s="70"/>
      <c r="CF111" s="57">
        <f t="shared" ref="CF111:CF115" si="319">CB111-CD111</f>
        <v>-4498.9800000000005</v>
      </c>
      <c r="CG111" s="43"/>
      <c r="CI111" s="55">
        <v>894.03</v>
      </c>
      <c r="CJ111" s="70"/>
      <c r="CK111" s="55">
        <v>3585</v>
      </c>
      <c r="CL111" s="70"/>
      <c r="CM111" s="57">
        <f t="shared" ref="CM111:CM115" si="320">CI111-CK111</f>
        <v>-2690.9700000000003</v>
      </c>
      <c r="CN111" s="43"/>
      <c r="CP111" s="55">
        <v>776.76</v>
      </c>
      <c r="CQ111" s="70"/>
      <c r="CR111" s="55">
        <v>3585</v>
      </c>
      <c r="CS111" s="70"/>
      <c r="CT111" s="57">
        <f t="shared" ref="CT111:CT115" si="321">CP111-CR111</f>
        <v>-2808.24</v>
      </c>
      <c r="CU111" s="43"/>
      <c r="CW111" s="55">
        <v>822.95</v>
      </c>
      <c r="CX111" s="70"/>
      <c r="CY111" s="55">
        <v>3585</v>
      </c>
      <c r="CZ111" s="70"/>
      <c r="DA111" s="57">
        <f t="shared" ref="DA111:DA115" si="322">CW111-CY111</f>
        <v>-2762.05</v>
      </c>
      <c r="DB111" s="43"/>
      <c r="DD111" s="55">
        <v>727.12</v>
      </c>
      <c r="DE111" s="70"/>
      <c r="DF111" s="55">
        <v>3585</v>
      </c>
      <c r="DG111" s="70"/>
      <c r="DH111" s="57">
        <f t="shared" ref="DH111:DH115" si="323">DD111-DF111</f>
        <v>-2857.88</v>
      </c>
      <c r="DI111" s="43"/>
      <c r="DK111" s="61">
        <f t="shared" ref="DK111:DK116" si="324">CI111+CP111+CW111+DD111</f>
        <v>3220.8599999999997</v>
      </c>
      <c r="DL111" s="70"/>
      <c r="DM111" s="61">
        <f t="shared" ref="DM111:DM115" si="325">CK111+CR111+CY111+DF111</f>
        <v>14340</v>
      </c>
      <c r="DN111" s="70"/>
      <c r="DO111" s="57">
        <f t="shared" ref="DO111:DO115" si="326">DK111-DM111</f>
        <v>-11119.14</v>
      </c>
      <c r="DP111" s="43"/>
      <c r="DR111" s="61">
        <f t="shared" ref="DR111" si="327">X111+AZ111+CB111+DK111</f>
        <v>8574.83</v>
      </c>
      <c r="DS111" s="33"/>
      <c r="DT111" s="61">
        <f t="shared" ref="DT111:DT116" si="328">Z111+BB111+CD111+DM111</f>
        <v>27874.800000000003</v>
      </c>
      <c r="DU111" s="33"/>
      <c r="DV111" s="57">
        <f t="shared" ref="DV111:DV117" si="329">DT111-DR111</f>
        <v>19299.97</v>
      </c>
      <c r="DW111" s="39"/>
    </row>
    <row r="112" spans="1:130">
      <c r="A112" s="9" t="s">
        <v>114</v>
      </c>
      <c r="B112" s="9"/>
      <c r="C112" s="55">
        <v>3430.11</v>
      </c>
      <c r="D112" s="33"/>
      <c r="E112" s="55">
        <v>1870.9950000000001</v>
      </c>
      <c r="F112" s="33"/>
      <c r="G112" s="57">
        <f t="shared" si="302"/>
        <v>-1559.115</v>
      </c>
      <c r="H112" s="39"/>
      <c r="J112" s="55">
        <v>2241.58</v>
      </c>
      <c r="K112" s="33"/>
      <c r="L112" s="55">
        <v>1870.9950000000001</v>
      </c>
      <c r="M112" s="33"/>
      <c r="N112" s="57">
        <f t="shared" si="303"/>
        <v>-370.58499999999981</v>
      </c>
      <c r="O112" s="39"/>
      <c r="Q112" s="55">
        <v>2546.75</v>
      </c>
      <c r="R112" s="33"/>
      <c r="S112" s="55">
        <v>1870.9950000000001</v>
      </c>
      <c r="T112" s="33"/>
      <c r="U112" s="57">
        <f t="shared" si="304"/>
        <v>-675.75499999999988</v>
      </c>
      <c r="V112" s="39"/>
      <c r="X112" s="61">
        <f t="shared" si="305"/>
        <v>8218.44</v>
      </c>
      <c r="Y112" s="33"/>
      <c r="Z112" s="61">
        <f t="shared" si="306"/>
        <v>5612.9850000000006</v>
      </c>
      <c r="AA112" s="33"/>
      <c r="AB112" s="57">
        <f t="shared" si="307"/>
        <v>-2605.4549999999999</v>
      </c>
      <c r="AC112" s="39"/>
      <c r="AE112" s="55">
        <v>467.75</v>
      </c>
      <c r="AF112" s="33"/>
      <c r="AG112" s="55">
        <v>1870.9950000000001</v>
      </c>
      <c r="AH112" s="33"/>
      <c r="AI112" s="57">
        <f t="shared" si="308"/>
        <v>1403.2450000000001</v>
      </c>
      <c r="AJ112" s="39"/>
      <c r="AL112" s="55">
        <v>599.33000000000004</v>
      </c>
      <c r="AM112" s="33"/>
      <c r="AN112" s="55">
        <v>1870.9950000000001</v>
      </c>
      <c r="AO112" s="33"/>
      <c r="AP112" s="57">
        <f t="shared" si="309"/>
        <v>1271.665</v>
      </c>
      <c r="AQ112" s="39"/>
      <c r="AS112" s="55">
        <v>701.36</v>
      </c>
      <c r="AT112" s="33"/>
      <c r="AU112" s="55">
        <v>1870.9950000000001</v>
      </c>
      <c r="AV112" s="33"/>
      <c r="AW112" s="57">
        <f t="shared" si="310"/>
        <v>1169.6350000000002</v>
      </c>
      <c r="AX112" s="39"/>
      <c r="AZ112" s="61">
        <f t="shared" si="311"/>
        <v>1768.44</v>
      </c>
      <c r="BA112" s="33"/>
      <c r="BB112" s="61">
        <f t="shared" si="312"/>
        <v>5612.9850000000006</v>
      </c>
      <c r="BC112" s="33"/>
      <c r="BD112" s="57">
        <f t="shared" si="313"/>
        <v>3844.5450000000005</v>
      </c>
      <c r="BE112" s="39"/>
      <c r="BG112" s="55">
        <v>146.25</v>
      </c>
      <c r="BH112" s="70"/>
      <c r="BI112" s="55">
        <v>1870.9950000000001</v>
      </c>
      <c r="BJ112" s="70"/>
      <c r="BK112" s="57">
        <f t="shared" si="314"/>
        <v>-1724.7450000000001</v>
      </c>
      <c r="BL112" s="43"/>
      <c r="BN112" s="55">
        <v>161.22</v>
      </c>
      <c r="BO112" s="70"/>
      <c r="BP112" s="55">
        <v>1870.9950000000001</v>
      </c>
      <c r="BQ112" s="70"/>
      <c r="BR112" s="57">
        <f t="shared" si="315"/>
        <v>-1709.7750000000001</v>
      </c>
      <c r="BS112" s="43"/>
      <c r="BU112" s="55">
        <v>1457.76</v>
      </c>
      <c r="BV112" s="70"/>
      <c r="BW112" s="55">
        <v>1334</v>
      </c>
      <c r="BX112" s="70"/>
      <c r="BY112" s="57">
        <f t="shared" si="316"/>
        <v>123.75999999999999</v>
      </c>
      <c r="BZ112" s="43"/>
      <c r="CB112" s="61">
        <f t="shared" si="317"/>
        <v>1765.23</v>
      </c>
      <c r="CC112" s="70"/>
      <c r="CD112" s="61">
        <f t="shared" si="318"/>
        <v>5075.99</v>
      </c>
      <c r="CE112" s="70"/>
      <c r="CF112" s="57">
        <f t="shared" si="319"/>
        <v>-3310.7599999999998</v>
      </c>
      <c r="CG112" s="43"/>
      <c r="CI112" s="55">
        <v>1410.38</v>
      </c>
      <c r="CJ112" s="70"/>
      <c r="CK112" s="55">
        <v>1334</v>
      </c>
      <c r="CL112" s="70"/>
      <c r="CM112" s="57">
        <f t="shared" si="320"/>
        <v>76.380000000000109</v>
      </c>
      <c r="CN112" s="43"/>
      <c r="CP112" s="55">
        <v>1624.89</v>
      </c>
      <c r="CQ112" s="70"/>
      <c r="CR112" s="55">
        <v>1334</v>
      </c>
      <c r="CS112" s="70"/>
      <c r="CT112" s="57">
        <f t="shared" si="321"/>
        <v>290.8900000000001</v>
      </c>
      <c r="CU112" s="43"/>
      <c r="CW112" s="55">
        <v>1637.87</v>
      </c>
      <c r="CX112" s="70"/>
      <c r="CY112" s="55">
        <v>1334</v>
      </c>
      <c r="CZ112" s="70"/>
      <c r="DA112" s="57">
        <f t="shared" si="322"/>
        <v>303.86999999999989</v>
      </c>
      <c r="DB112" s="43"/>
      <c r="DD112" s="55">
        <v>1603.37</v>
      </c>
      <c r="DE112" s="70"/>
      <c r="DF112" s="55">
        <v>1334</v>
      </c>
      <c r="DG112" s="70"/>
      <c r="DH112" s="57">
        <f t="shared" si="323"/>
        <v>269.36999999999989</v>
      </c>
      <c r="DI112" s="43"/>
      <c r="DK112" s="61">
        <f t="shared" si="324"/>
        <v>6276.51</v>
      </c>
      <c r="DL112" s="70"/>
      <c r="DM112" s="61">
        <f t="shared" si="325"/>
        <v>5336</v>
      </c>
      <c r="DN112" s="70"/>
      <c r="DO112" s="57">
        <f t="shared" si="326"/>
        <v>940.51000000000022</v>
      </c>
      <c r="DP112" s="43"/>
      <c r="DR112" s="61">
        <f t="shared" ref="DR112:DR116" si="330">X112+AZ112+CB112+DK112</f>
        <v>18028.620000000003</v>
      </c>
      <c r="DS112" s="33"/>
      <c r="DT112" s="61">
        <f t="shared" si="328"/>
        <v>21637.96</v>
      </c>
      <c r="DU112" s="33"/>
      <c r="DV112" s="57">
        <f t="shared" si="329"/>
        <v>3609.3399999999965</v>
      </c>
      <c r="DW112" s="39"/>
    </row>
    <row r="113" spans="1:134">
      <c r="A113" s="9" t="s">
        <v>115</v>
      </c>
      <c r="B113" s="9"/>
      <c r="C113" s="55">
        <v>2011.17</v>
      </c>
      <c r="D113" s="33"/>
      <c r="E113" s="55">
        <v>2721.6720000000005</v>
      </c>
      <c r="F113" s="33"/>
      <c r="G113" s="57">
        <f t="shared" si="302"/>
        <v>710.50200000000041</v>
      </c>
      <c r="H113" s="39"/>
      <c r="J113" s="55">
        <v>4056.07</v>
      </c>
      <c r="K113" s="33"/>
      <c r="L113" s="55">
        <v>2721.6720000000005</v>
      </c>
      <c r="M113" s="33"/>
      <c r="N113" s="57">
        <f t="shared" si="303"/>
        <v>-1334.3979999999997</v>
      </c>
      <c r="O113" s="39"/>
      <c r="Q113" s="55">
        <v>1598.52</v>
      </c>
      <c r="R113" s="33"/>
      <c r="S113" s="55">
        <v>2721.6720000000005</v>
      </c>
      <c r="T113" s="33"/>
      <c r="U113" s="57">
        <f t="shared" si="304"/>
        <v>1123.1520000000005</v>
      </c>
      <c r="V113" s="39"/>
      <c r="X113" s="61">
        <f t="shared" si="305"/>
        <v>7665.76</v>
      </c>
      <c r="Y113" s="33"/>
      <c r="Z113" s="61">
        <f t="shared" si="306"/>
        <v>8165.0160000000014</v>
      </c>
      <c r="AA113" s="33"/>
      <c r="AB113" s="57">
        <f t="shared" si="307"/>
        <v>499.25600000000122</v>
      </c>
      <c r="AC113" s="39"/>
      <c r="AE113" s="55">
        <v>680.42</v>
      </c>
      <c r="AF113" s="33"/>
      <c r="AG113" s="55">
        <v>2721.6720000000005</v>
      </c>
      <c r="AH113" s="33"/>
      <c r="AI113" s="57">
        <f t="shared" si="308"/>
        <v>2041.2520000000004</v>
      </c>
      <c r="AJ113" s="39"/>
      <c r="AL113" s="55">
        <v>680.42</v>
      </c>
      <c r="AM113" s="33"/>
      <c r="AN113" s="55">
        <v>2721.6720000000005</v>
      </c>
      <c r="AO113" s="33"/>
      <c r="AP113" s="57">
        <f t="shared" si="309"/>
        <v>2041.2520000000004</v>
      </c>
      <c r="AQ113" s="39"/>
      <c r="AS113" s="55">
        <v>680.42</v>
      </c>
      <c r="AT113" s="33"/>
      <c r="AU113" s="55">
        <v>2721.6720000000005</v>
      </c>
      <c r="AV113" s="33"/>
      <c r="AW113" s="57">
        <f t="shared" si="310"/>
        <v>2041.2520000000004</v>
      </c>
      <c r="AX113" s="39"/>
      <c r="AZ113" s="61">
        <f t="shared" si="311"/>
        <v>2041.2599999999998</v>
      </c>
      <c r="BA113" s="33"/>
      <c r="BB113" s="61">
        <f t="shared" si="312"/>
        <v>8165.0160000000014</v>
      </c>
      <c r="BC113" s="33"/>
      <c r="BD113" s="57">
        <f t="shared" si="313"/>
        <v>6123.7560000000012</v>
      </c>
      <c r="BE113" s="39"/>
      <c r="BG113" s="55">
        <v>680.42</v>
      </c>
      <c r="BH113" s="70"/>
      <c r="BI113" s="55">
        <v>2721.6720000000005</v>
      </c>
      <c r="BJ113" s="70"/>
      <c r="BK113" s="57">
        <f t="shared" si="314"/>
        <v>-2041.2520000000004</v>
      </c>
      <c r="BL113" s="43"/>
      <c r="BN113" s="55">
        <v>680.42</v>
      </c>
      <c r="BO113" s="70"/>
      <c r="BP113" s="55">
        <v>2721.6720000000005</v>
      </c>
      <c r="BQ113" s="70"/>
      <c r="BR113" s="57">
        <f t="shared" si="315"/>
        <v>-2041.2520000000004</v>
      </c>
      <c r="BS113" s="43"/>
      <c r="BU113" s="55">
        <v>750</v>
      </c>
      <c r="BV113" s="70"/>
      <c r="BW113" s="55">
        <v>750</v>
      </c>
      <c r="BX113" s="70"/>
      <c r="BY113" s="57">
        <f t="shared" si="316"/>
        <v>0</v>
      </c>
      <c r="BZ113" s="43"/>
      <c r="CB113" s="61">
        <f t="shared" si="317"/>
        <v>2110.84</v>
      </c>
      <c r="CC113" s="70"/>
      <c r="CD113" s="61">
        <f t="shared" si="318"/>
        <v>6193.344000000001</v>
      </c>
      <c r="CE113" s="70"/>
      <c r="CF113" s="57">
        <f t="shared" si="319"/>
        <v>-4082.5040000000008</v>
      </c>
      <c r="CG113" s="43"/>
      <c r="CI113" s="55">
        <v>750</v>
      </c>
      <c r="CJ113" s="70"/>
      <c r="CK113" s="55">
        <v>750</v>
      </c>
      <c r="CL113" s="70"/>
      <c r="CM113" s="57">
        <f t="shared" si="320"/>
        <v>0</v>
      </c>
      <c r="CN113" s="43"/>
      <c r="CP113" s="55">
        <v>750</v>
      </c>
      <c r="CQ113" s="70"/>
      <c r="CR113" s="55">
        <v>750</v>
      </c>
      <c r="CS113" s="70"/>
      <c r="CT113" s="57">
        <f t="shared" si="321"/>
        <v>0</v>
      </c>
      <c r="CU113" s="43"/>
      <c r="CW113" s="55">
        <v>750</v>
      </c>
      <c r="CX113" s="70"/>
      <c r="CY113" s="55">
        <v>750</v>
      </c>
      <c r="CZ113" s="70"/>
      <c r="DA113" s="57">
        <f t="shared" si="322"/>
        <v>0</v>
      </c>
      <c r="DB113" s="43"/>
      <c r="DD113" s="55">
        <v>750</v>
      </c>
      <c r="DE113" s="70"/>
      <c r="DF113" s="55">
        <v>750</v>
      </c>
      <c r="DG113" s="70"/>
      <c r="DH113" s="57">
        <f t="shared" si="323"/>
        <v>0</v>
      </c>
      <c r="DI113" s="43"/>
      <c r="DK113" s="61">
        <f t="shared" si="324"/>
        <v>3000</v>
      </c>
      <c r="DL113" s="70"/>
      <c r="DM113" s="61">
        <f t="shared" si="325"/>
        <v>3000</v>
      </c>
      <c r="DN113" s="70"/>
      <c r="DO113" s="57">
        <f t="shared" si="326"/>
        <v>0</v>
      </c>
      <c r="DP113" s="43"/>
      <c r="DR113" s="61">
        <f t="shared" si="330"/>
        <v>14817.86</v>
      </c>
      <c r="DS113" s="33"/>
      <c r="DT113" s="61">
        <f t="shared" si="328"/>
        <v>25523.376000000004</v>
      </c>
      <c r="DU113" s="33"/>
      <c r="DV113" s="57">
        <f t="shared" si="329"/>
        <v>10705.516000000003</v>
      </c>
      <c r="DW113" s="39"/>
    </row>
    <row r="114" spans="1:134">
      <c r="A114" s="9" t="s">
        <v>116</v>
      </c>
      <c r="B114" s="9"/>
      <c r="C114" s="55">
        <v>923</v>
      </c>
      <c r="D114" s="33"/>
      <c r="E114" s="55">
        <v>950.69</v>
      </c>
      <c r="F114" s="33"/>
      <c r="G114" s="57">
        <f t="shared" si="302"/>
        <v>27.690000000000055</v>
      </c>
      <c r="H114" s="39"/>
      <c r="J114" s="55">
        <v>923</v>
      </c>
      <c r="K114" s="33"/>
      <c r="L114" s="55">
        <v>950.69</v>
      </c>
      <c r="M114" s="33"/>
      <c r="N114" s="57">
        <f t="shared" si="303"/>
        <v>27.690000000000055</v>
      </c>
      <c r="O114" s="39"/>
      <c r="Q114" s="55">
        <v>923</v>
      </c>
      <c r="R114" s="33"/>
      <c r="S114" s="55">
        <v>950.69</v>
      </c>
      <c r="T114" s="33"/>
      <c r="U114" s="57">
        <f t="shared" si="304"/>
        <v>27.690000000000055</v>
      </c>
      <c r="V114" s="39"/>
      <c r="X114" s="61">
        <f t="shared" si="305"/>
        <v>2769</v>
      </c>
      <c r="Y114" s="33"/>
      <c r="Z114" s="61">
        <f t="shared" si="306"/>
        <v>2852.07</v>
      </c>
      <c r="AA114" s="33"/>
      <c r="AB114" s="57">
        <f t="shared" si="307"/>
        <v>83.070000000000164</v>
      </c>
      <c r="AC114" s="39"/>
      <c r="AE114" s="55">
        <v>237.67</v>
      </c>
      <c r="AF114" s="33"/>
      <c r="AG114" s="55">
        <v>950.69</v>
      </c>
      <c r="AH114" s="33"/>
      <c r="AI114" s="57">
        <f t="shared" si="308"/>
        <v>713.0200000000001</v>
      </c>
      <c r="AJ114" s="39"/>
      <c r="AL114" s="55">
        <v>237.67</v>
      </c>
      <c r="AM114" s="33"/>
      <c r="AN114" s="55">
        <v>950.69</v>
      </c>
      <c r="AO114" s="33"/>
      <c r="AP114" s="57">
        <f t="shared" si="309"/>
        <v>713.0200000000001</v>
      </c>
      <c r="AQ114" s="39"/>
      <c r="AS114" s="55">
        <v>237.67</v>
      </c>
      <c r="AT114" s="33"/>
      <c r="AU114" s="55">
        <v>950.69</v>
      </c>
      <c r="AV114" s="33"/>
      <c r="AW114" s="57">
        <f t="shared" si="310"/>
        <v>713.0200000000001</v>
      </c>
      <c r="AX114" s="39"/>
      <c r="AZ114" s="61">
        <f t="shared" si="311"/>
        <v>713.01</v>
      </c>
      <c r="BA114" s="33"/>
      <c r="BB114" s="61">
        <f t="shared" si="312"/>
        <v>2852.07</v>
      </c>
      <c r="BC114" s="33"/>
      <c r="BD114" s="57">
        <f t="shared" si="313"/>
        <v>2139.0600000000004</v>
      </c>
      <c r="BE114" s="39"/>
      <c r="BG114" s="55">
        <v>237.67</v>
      </c>
      <c r="BH114" s="70"/>
      <c r="BI114" s="55">
        <v>950.69</v>
      </c>
      <c r="BJ114" s="70"/>
      <c r="BK114" s="57">
        <f t="shared" si="314"/>
        <v>-713.0200000000001</v>
      </c>
      <c r="BL114" s="43"/>
      <c r="BN114" s="55">
        <v>237.67</v>
      </c>
      <c r="BO114" s="70"/>
      <c r="BP114" s="55">
        <v>950.69</v>
      </c>
      <c r="BQ114" s="70"/>
      <c r="BR114" s="57">
        <f t="shared" si="315"/>
        <v>-713.0200000000001</v>
      </c>
      <c r="BS114" s="43"/>
      <c r="BU114" s="55">
        <v>1168</v>
      </c>
      <c r="BV114" s="70"/>
      <c r="BW114" s="55">
        <v>1168</v>
      </c>
      <c r="BX114" s="70"/>
      <c r="BY114" s="57">
        <f t="shared" si="316"/>
        <v>0</v>
      </c>
      <c r="BZ114" s="43"/>
      <c r="CB114" s="61">
        <f t="shared" si="317"/>
        <v>1643.34</v>
      </c>
      <c r="CC114" s="70"/>
      <c r="CD114" s="61">
        <f t="shared" si="318"/>
        <v>3069.38</v>
      </c>
      <c r="CE114" s="70"/>
      <c r="CF114" s="57">
        <f t="shared" si="319"/>
        <v>-1426.0400000000002</v>
      </c>
      <c r="CG114" s="43"/>
      <c r="CI114" s="55">
        <v>1168</v>
      </c>
      <c r="CJ114" s="70"/>
      <c r="CK114" s="55">
        <v>1168</v>
      </c>
      <c r="CL114" s="70"/>
      <c r="CM114" s="57">
        <f t="shared" si="320"/>
        <v>0</v>
      </c>
      <c r="CN114" s="43"/>
      <c r="CP114" s="55">
        <v>1168</v>
      </c>
      <c r="CQ114" s="70"/>
      <c r="CR114" s="55">
        <v>1168</v>
      </c>
      <c r="CS114" s="70"/>
      <c r="CT114" s="57">
        <f t="shared" si="321"/>
        <v>0</v>
      </c>
      <c r="CU114" s="43"/>
      <c r="CW114" s="55">
        <v>1168</v>
      </c>
      <c r="CX114" s="70"/>
      <c r="CY114" s="55">
        <v>1168</v>
      </c>
      <c r="CZ114" s="70"/>
      <c r="DA114" s="57">
        <f t="shared" si="322"/>
        <v>0</v>
      </c>
      <c r="DB114" s="43"/>
      <c r="DD114" s="55">
        <v>1168</v>
      </c>
      <c r="DE114" s="70"/>
      <c r="DF114" s="55">
        <v>1168</v>
      </c>
      <c r="DG114" s="70"/>
      <c r="DH114" s="57">
        <f t="shared" si="323"/>
        <v>0</v>
      </c>
      <c r="DI114" s="43"/>
      <c r="DK114" s="61">
        <f t="shared" si="324"/>
        <v>4672</v>
      </c>
      <c r="DL114" s="70"/>
      <c r="DM114" s="61">
        <f t="shared" si="325"/>
        <v>4672</v>
      </c>
      <c r="DN114" s="70"/>
      <c r="DO114" s="57">
        <f t="shared" si="326"/>
        <v>0</v>
      </c>
      <c r="DP114" s="43"/>
      <c r="DR114" s="61">
        <f t="shared" si="330"/>
        <v>9797.35</v>
      </c>
      <c r="DS114" s="33"/>
      <c r="DT114" s="61">
        <f t="shared" si="328"/>
        <v>13445.52</v>
      </c>
      <c r="DU114" s="33"/>
      <c r="DV114" s="57">
        <f t="shared" si="329"/>
        <v>3648.17</v>
      </c>
      <c r="DW114" s="39"/>
    </row>
    <row r="115" spans="1:134">
      <c r="A115" s="9" t="s">
        <v>117</v>
      </c>
      <c r="B115" s="9"/>
      <c r="C115" s="55">
        <v>516.96</v>
      </c>
      <c r="D115" s="33"/>
      <c r="E115" s="55">
        <v>532.51</v>
      </c>
      <c r="F115" s="33"/>
      <c r="G115" s="57">
        <f t="shared" si="302"/>
        <v>15.549999999999955</v>
      </c>
      <c r="H115" s="39"/>
      <c r="J115" s="55">
        <v>516.96</v>
      </c>
      <c r="K115" s="33"/>
      <c r="L115" s="55">
        <v>532.51</v>
      </c>
      <c r="M115" s="33"/>
      <c r="N115" s="57">
        <f t="shared" si="303"/>
        <v>15.549999999999955</v>
      </c>
      <c r="O115" s="39"/>
      <c r="Q115" s="55">
        <v>516.96</v>
      </c>
      <c r="R115" s="33"/>
      <c r="S115" s="55">
        <v>532.51</v>
      </c>
      <c r="T115" s="33"/>
      <c r="U115" s="57">
        <f t="shared" si="304"/>
        <v>15.549999999999955</v>
      </c>
      <c r="V115" s="39"/>
      <c r="X115" s="61">
        <f t="shared" si="305"/>
        <v>1550.88</v>
      </c>
      <c r="Y115" s="33"/>
      <c r="Z115" s="61">
        <f t="shared" si="306"/>
        <v>1597.53</v>
      </c>
      <c r="AA115" s="33"/>
      <c r="AB115" s="57">
        <f t="shared" si="307"/>
        <v>46.649999999999864</v>
      </c>
      <c r="AC115" s="39"/>
      <c r="AE115" s="55">
        <v>516.96</v>
      </c>
      <c r="AF115" s="33"/>
      <c r="AG115" s="55">
        <v>532.51</v>
      </c>
      <c r="AH115" s="33"/>
      <c r="AI115" s="57">
        <f t="shared" si="308"/>
        <v>15.549999999999955</v>
      </c>
      <c r="AJ115" s="39"/>
      <c r="AL115" s="55">
        <v>516.96</v>
      </c>
      <c r="AM115" s="33"/>
      <c r="AN115" s="55">
        <v>532.51</v>
      </c>
      <c r="AO115" s="33"/>
      <c r="AP115" s="57">
        <f t="shared" si="309"/>
        <v>15.549999999999955</v>
      </c>
      <c r="AQ115" s="39"/>
      <c r="AS115" s="55">
        <v>516.96</v>
      </c>
      <c r="AT115" s="33"/>
      <c r="AU115" s="55">
        <v>532.51</v>
      </c>
      <c r="AV115" s="33"/>
      <c r="AW115" s="57">
        <f t="shared" si="310"/>
        <v>15.549999999999955</v>
      </c>
      <c r="AX115" s="39"/>
      <c r="AZ115" s="61">
        <f t="shared" si="311"/>
        <v>1550.88</v>
      </c>
      <c r="BA115" s="33"/>
      <c r="BB115" s="61">
        <f t="shared" si="312"/>
        <v>1597.53</v>
      </c>
      <c r="BC115" s="33"/>
      <c r="BD115" s="57">
        <f t="shared" si="313"/>
        <v>46.649999999999864</v>
      </c>
      <c r="BE115" s="39"/>
      <c r="BG115" s="55">
        <v>516.96</v>
      </c>
      <c r="BH115" s="70"/>
      <c r="BI115" s="55"/>
      <c r="BJ115" s="70"/>
      <c r="BK115" s="57">
        <f t="shared" si="314"/>
        <v>516.96</v>
      </c>
      <c r="BL115" s="43"/>
      <c r="BN115" s="55">
        <v>516.96</v>
      </c>
      <c r="BO115" s="70"/>
      <c r="BP115" s="55">
        <v>532.51</v>
      </c>
      <c r="BQ115" s="70"/>
      <c r="BR115" s="57">
        <f t="shared" si="315"/>
        <v>-15.549999999999955</v>
      </c>
      <c r="BS115" s="43"/>
      <c r="BU115" s="55">
        <v>516.96</v>
      </c>
      <c r="BV115" s="70"/>
      <c r="BW115" s="55">
        <v>474</v>
      </c>
      <c r="BX115" s="70"/>
      <c r="BY115" s="57">
        <f t="shared" si="316"/>
        <v>42.960000000000036</v>
      </c>
      <c r="BZ115" s="43"/>
      <c r="CB115" s="61">
        <f t="shared" si="317"/>
        <v>1550.88</v>
      </c>
      <c r="CC115" s="70"/>
      <c r="CD115" s="61">
        <f t="shared" si="318"/>
        <v>1006.51</v>
      </c>
      <c r="CE115" s="70"/>
      <c r="CF115" s="57">
        <f t="shared" si="319"/>
        <v>544.37000000000012</v>
      </c>
      <c r="CG115" s="43"/>
      <c r="CI115" s="55">
        <v>516.96</v>
      </c>
      <c r="CJ115" s="70"/>
      <c r="CK115" s="55">
        <v>474</v>
      </c>
      <c r="CL115" s="70"/>
      <c r="CM115" s="57">
        <f t="shared" si="320"/>
        <v>42.960000000000036</v>
      </c>
      <c r="CN115" s="43"/>
      <c r="CP115" s="55">
        <v>516.96</v>
      </c>
      <c r="CQ115" s="70"/>
      <c r="CR115" s="55">
        <v>474</v>
      </c>
      <c r="CS115" s="70"/>
      <c r="CT115" s="57">
        <f t="shared" si="321"/>
        <v>42.960000000000036</v>
      </c>
      <c r="CU115" s="43"/>
      <c r="CW115" s="55">
        <v>516.96</v>
      </c>
      <c r="CX115" s="70"/>
      <c r="CY115" s="55">
        <v>474</v>
      </c>
      <c r="CZ115" s="70"/>
      <c r="DA115" s="57">
        <f t="shared" si="322"/>
        <v>42.960000000000036</v>
      </c>
      <c r="DB115" s="43"/>
      <c r="DD115" s="55">
        <v>516.96</v>
      </c>
      <c r="DE115" s="70"/>
      <c r="DF115" s="55">
        <v>474</v>
      </c>
      <c r="DG115" s="70"/>
      <c r="DH115" s="57">
        <f t="shared" si="323"/>
        <v>42.960000000000036</v>
      </c>
      <c r="DI115" s="43"/>
      <c r="DK115" s="61">
        <f t="shared" si="324"/>
        <v>2067.84</v>
      </c>
      <c r="DL115" s="70"/>
      <c r="DM115" s="61">
        <f t="shared" si="325"/>
        <v>1896</v>
      </c>
      <c r="DN115" s="70"/>
      <c r="DO115" s="57">
        <f t="shared" si="326"/>
        <v>171.84000000000015</v>
      </c>
      <c r="DP115" s="43"/>
      <c r="DR115" s="61">
        <f t="shared" si="330"/>
        <v>6720.4800000000005</v>
      </c>
      <c r="DS115" s="33"/>
      <c r="DT115" s="61">
        <f t="shared" si="328"/>
        <v>6097.57</v>
      </c>
      <c r="DU115" s="33"/>
      <c r="DV115" s="57">
        <f t="shared" si="329"/>
        <v>-622.91000000000076</v>
      </c>
      <c r="DW115" s="39"/>
    </row>
    <row r="116" spans="1:134">
      <c r="A116" s="9" t="s">
        <v>118</v>
      </c>
      <c r="B116" s="9"/>
      <c r="C116" s="55"/>
      <c r="D116" s="33"/>
      <c r="E116" s="55"/>
      <c r="F116" s="33"/>
      <c r="G116" s="57"/>
      <c r="H116" s="39"/>
      <c r="J116" s="55"/>
      <c r="K116" s="33"/>
      <c r="L116" s="55"/>
      <c r="M116" s="33"/>
      <c r="N116" s="57"/>
      <c r="O116" s="39"/>
      <c r="Q116" s="55"/>
      <c r="R116" s="33"/>
      <c r="S116" s="55"/>
      <c r="T116" s="33"/>
      <c r="U116" s="57"/>
      <c r="V116" s="39"/>
      <c r="X116" s="61"/>
      <c r="Y116" s="33"/>
      <c r="Z116" s="61"/>
      <c r="AA116" s="33"/>
      <c r="AB116" s="57"/>
      <c r="AC116" s="39"/>
      <c r="AE116" s="55"/>
      <c r="AF116" s="33"/>
      <c r="AG116" s="55"/>
      <c r="AH116" s="33"/>
      <c r="AI116" s="57"/>
      <c r="AJ116" s="39"/>
      <c r="AL116" s="55"/>
      <c r="AM116" s="33"/>
      <c r="AN116" s="55"/>
      <c r="AO116" s="33"/>
      <c r="AP116" s="57"/>
      <c r="AQ116" s="39"/>
      <c r="AS116" s="55"/>
      <c r="AT116" s="33"/>
      <c r="AU116" s="55"/>
      <c r="AV116" s="33"/>
      <c r="AW116" s="57"/>
      <c r="AX116" s="39"/>
      <c r="AZ116" s="61"/>
      <c r="BA116" s="33"/>
      <c r="BB116" s="61"/>
      <c r="BC116" s="33"/>
      <c r="BD116" s="57"/>
      <c r="BE116" s="39"/>
      <c r="BG116" s="55"/>
      <c r="BH116" s="70"/>
      <c r="BI116" s="55"/>
      <c r="BJ116" s="70"/>
      <c r="BK116" s="57"/>
      <c r="BL116" s="43"/>
      <c r="BN116" s="55"/>
      <c r="BO116" s="70"/>
      <c r="BP116" s="55"/>
      <c r="BQ116" s="70"/>
      <c r="BR116" s="57"/>
      <c r="BS116" s="43"/>
      <c r="BU116" s="55"/>
      <c r="BV116" s="70"/>
      <c r="BW116" s="55"/>
      <c r="BX116" s="70"/>
      <c r="BY116" s="57"/>
      <c r="BZ116" s="43"/>
      <c r="CB116" s="61"/>
      <c r="CC116" s="70"/>
      <c r="CD116" s="61"/>
      <c r="CE116" s="70"/>
      <c r="CF116" s="57"/>
      <c r="CG116" s="43"/>
      <c r="CI116" s="55"/>
      <c r="CJ116" s="70"/>
      <c r="CK116" s="55"/>
      <c r="CL116" s="70"/>
      <c r="CM116" s="57"/>
      <c r="CN116" s="43"/>
      <c r="CP116" s="55"/>
      <c r="CQ116" s="70"/>
      <c r="CR116" s="55"/>
      <c r="CS116" s="70"/>
      <c r="CT116" s="57"/>
      <c r="CU116" s="43"/>
      <c r="CW116" s="55"/>
      <c r="CX116" s="70"/>
      <c r="CY116" s="55"/>
      <c r="CZ116" s="70"/>
      <c r="DA116" s="57"/>
      <c r="DB116" s="43"/>
      <c r="DD116" s="55">
        <v>1086.08</v>
      </c>
      <c r="DE116" s="70"/>
      <c r="DF116" s="55"/>
      <c r="DG116" s="70"/>
      <c r="DH116" s="57"/>
      <c r="DI116" s="43"/>
      <c r="DK116" s="61">
        <f t="shared" si="324"/>
        <v>1086.08</v>
      </c>
      <c r="DL116" s="70"/>
      <c r="DM116" s="61"/>
      <c r="DN116" s="70"/>
      <c r="DO116" s="57"/>
      <c r="DP116" s="43"/>
      <c r="DR116" s="61">
        <f t="shared" si="330"/>
        <v>1086.08</v>
      </c>
      <c r="DS116" s="33"/>
      <c r="DT116" s="61">
        <f t="shared" si="328"/>
        <v>0</v>
      </c>
      <c r="DU116" s="33"/>
      <c r="DV116" s="57"/>
      <c r="DW116" s="39"/>
    </row>
    <row r="117" spans="1:134" ht="16.7" thickBot="1">
      <c r="A117" s="10" t="s">
        <v>119</v>
      </c>
      <c r="B117" s="8"/>
      <c r="C117" s="59">
        <f>SUM(C111:C115)</f>
        <v>7857.84</v>
      </c>
      <c r="D117" s="36">
        <f>C117/C13</f>
        <v>2.063914357104378E-2</v>
      </c>
      <c r="E117" s="59">
        <f>SUM(E111:E115)</f>
        <v>7319.5920000000006</v>
      </c>
      <c r="F117" s="36">
        <f>E117/E13</f>
        <v>2.6527469421038327E-2</v>
      </c>
      <c r="G117" s="58">
        <f t="shared" si="302"/>
        <v>-538.24799999999959</v>
      </c>
      <c r="H117" s="38">
        <f>G117/E117</f>
        <v>-7.353524622683881E-2</v>
      </c>
      <c r="J117" s="59">
        <f>SUM(J111:J115)</f>
        <v>8611.5499999999993</v>
      </c>
      <c r="K117" s="36">
        <f>J117/J13</f>
        <v>2.1097734876155187E-2</v>
      </c>
      <c r="L117" s="59">
        <f>SUM(L111:L115)</f>
        <v>7319.5920000000006</v>
      </c>
      <c r="M117" s="36">
        <f>L117/L13</f>
        <v>1.9155168127373268E-2</v>
      </c>
      <c r="N117" s="58">
        <f t="shared" si="303"/>
        <v>-1291.9579999999987</v>
      </c>
      <c r="O117" s="38">
        <f>N117/L117</f>
        <v>-0.17650683262127159</v>
      </c>
      <c r="Q117" s="59">
        <f>SUM(Q111:Q115)</f>
        <v>6459.17</v>
      </c>
      <c r="R117" s="36">
        <f>Q117/Q13</f>
        <v>2.1108077243006691E-2</v>
      </c>
      <c r="S117" s="59">
        <f>SUM(S111:S115)</f>
        <v>7319.5920000000006</v>
      </c>
      <c r="T117" s="36">
        <f>S117/S13</f>
        <v>1.4845627293138383E-2</v>
      </c>
      <c r="U117" s="58">
        <f t="shared" si="304"/>
        <v>860.42200000000048</v>
      </c>
      <c r="V117" s="38">
        <f>U117/S117</f>
        <v>0.11755054106840933</v>
      </c>
      <c r="X117" s="59">
        <f>SUM(X111:X115)</f>
        <v>22928.560000000001</v>
      </c>
      <c r="Y117" s="36">
        <f>X117/X13</f>
        <v>2.0941161859582728E-2</v>
      </c>
      <c r="Z117" s="59">
        <f>SUM(Z111:Z115)</f>
        <v>21958.775999999998</v>
      </c>
      <c r="AA117" s="36">
        <f>Z117/Z13</f>
        <v>1.9076456897922235E-2</v>
      </c>
      <c r="AB117" s="58">
        <f t="shared" si="307"/>
        <v>-969.78400000000329</v>
      </c>
      <c r="AC117" s="38">
        <f>AB117/Z117</f>
        <v>-4.4163845926567281E-2</v>
      </c>
      <c r="AE117" s="59">
        <f>SUM(AE111:AE115)</f>
        <v>2213.73</v>
      </c>
      <c r="AF117" s="36" t="e">
        <f>AE117/AE13</f>
        <v>#DIV/0!</v>
      </c>
      <c r="AG117" s="59">
        <f>SUM(AG111:AG115)</f>
        <v>7319.5920000000006</v>
      </c>
      <c r="AH117" s="36">
        <f>AG117/AG13</f>
        <v>1.2610006908325998E-2</v>
      </c>
      <c r="AI117" s="58">
        <f t="shared" si="308"/>
        <v>5105.862000000001</v>
      </c>
      <c r="AJ117" s="38">
        <f>AI117/AG117</f>
        <v>0.69756101159736783</v>
      </c>
      <c r="AL117" s="59">
        <f>SUM(AL111:AL115)</f>
        <v>2463.63</v>
      </c>
      <c r="AM117" s="36" t="e">
        <f>AL117/AL13</f>
        <v>#DIV/0!</v>
      </c>
      <c r="AN117" s="59">
        <f>SUM(AN111:AN115)</f>
        <v>7319.5920000000006</v>
      </c>
      <c r="AO117" s="36">
        <f>AN117/AN13</f>
        <v>1.308380717111249E-2</v>
      </c>
      <c r="AP117" s="58">
        <f t="shared" si="309"/>
        <v>4855.9620000000004</v>
      </c>
      <c r="AQ117" s="38">
        <f>AP117/AN117</f>
        <v>0.6634197643803097</v>
      </c>
      <c r="AS117" s="59">
        <f>SUM(AS111:AS115)</f>
        <v>2452.25</v>
      </c>
      <c r="AT117" s="36" t="e">
        <f>AS117/AS13</f>
        <v>#DIV/0!</v>
      </c>
      <c r="AU117" s="59">
        <f>SUM(AU111:AU115)</f>
        <v>7319.5920000000006</v>
      </c>
      <c r="AV117" s="36">
        <f>AU117/AU13</f>
        <v>1.2056490772646714E-2</v>
      </c>
      <c r="AW117" s="58">
        <f t="shared" si="310"/>
        <v>4867.3420000000006</v>
      </c>
      <c r="AX117" s="38">
        <f>AW117/AU117</f>
        <v>0.6649744958462166</v>
      </c>
      <c r="AZ117" s="59">
        <f>SUM(AZ111:AZ115)</f>
        <v>7129.61</v>
      </c>
      <c r="BA117" s="36" t="e">
        <f>AZ117/AZ13</f>
        <v>#DIV/0!</v>
      </c>
      <c r="BB117" s="59">
        <f>SUM(BB111:BB115)</f>
        <v>21958.775999999998</v>
      </c>
      <c r="BC117" s="36">
        <f>BB117/BB13</f>
        <v>1.2569376407407873E-2</v>
      </c>
      <c r="BD117" s="58">
        <f t="shared" si="313"/>
        <v>14829.165999999997</v>
      </c>
      <c r="BE117" s="38">
        <f>BD117/BB117</f>
        <v>0.67531842394129793</v>
      </c>
      <c r="BG117" s="59">
        <f>SUM(BG111:BG115)</f>
        <v>1942.1200000000001</v>
      </c>
      <c r="BH117" s="69" t="e">
        <f>BG117/BG13</f>
        <v>#DIV/0!</v>
      </c>
      <c r="BI117" s="59">
        <f>SUM(BI111:BI115)</f>
        <v>6787.0820000000003</v>
      </c>
      <c r="BJ117" s="69">
        <f>BI117/BI13</f>
        <v>1.093218326930666E-2</v>
      </c>
      <c r="BK117" s="59">
        <f>SUM(BK111:BK115)</f>
        <v>-4844.9620000000014</v>
      </c>
      <c r="BL117" s="68">
        <f>BK117/BI117</f>
        <v>-0.7138505177924771</v>
      </c>
      <c r="BN117" s="59">
        <f>SUM(BN111:BN115)</f>
        <v>2083.4499999999998</v>
      </c>
      <c r="BO117" s="69">
        <f>BN117/BN13</f>
        <v>9.4284783989439479E-3</v>
      </c>
      <c r="BP117" s="59">
        <f>SUM(BP111:BP115)</f>
        <v>7319.5920000000006</v>
      </c>
      <c r="BQ117" s="69">
        <f>BP117/BP13</f>
        <v>1.1996282911719154E-2</v>
      </c>
      <c r="BR117" s="59">
        <f>SUM(BR111:BR115)</f>
        <v>-5236.1420000000007</v>
      </c>
      <c r="BS117" s="68">
        <f>BR117/BP117</f>
        <v>-0.71535981786962999</v>
      </c>
      <c r="BU117" s="59">
        <f>SUM(BU111:BU115)</f>
        <v>4618.1899999999996</v>
      </c>
      <c r="BV117" s="69">
        <f>BU117/BU13</f>
        <v>1.4057176078824091E-2</v>
      </c>
      <c r="BW117" s="59">
        <f>SUM(BW111:BW115)</f>
        <v>7311</v>
      </c>
      <c r="BX117" s="69">
        <f>BW117/BW13</f>
        <v>2.4860159477702024E-2</v>
      </c>
      <c r="BY117" s="59">
        <f>SUM(BY111:BY115)</f>
        <v>-2692.8099999999995</v>
      </c>
      <c r="BZ117" s="68">
        <f>BY117/BW117</f>
        <v>-0.36832307481876619</v>
      </c>
      <c r="CB117" s="59">
        <f>SUM(CB111:CB115)</f>
        <v>8643.76</v>
      </c>
      <c r="CC117" s="69">
        <f>CB117/CB13</f>
        <v>1.5730137306765212E-2</v>
      </c>
      <c r="CD117" s="59">
        <f>SUM(CD111:CD115)</f>
        <v>21417.673999999999</v>
      </c>
      <c r="CE117" s="69">
        <f>CD117/CD13</f>
        <v>1.4043685720374408E-2</v>
      </c>
      <c r="CF117" s="59">
        <f>SUM(CF111:CF115)</f>
        <v>-12773.914000000001</v>
      </c>
      <c r="CG117" s="68">
        <f>CF117/CD117</f>
        <v>-0.5964192937104188</v>
      </c>
      <c r="CI117" s="59">
        <f>SUM(CI111:CI115)</f>
        <v>4739.37</v>
      </c>
      <c r="CJ117" s="69">
        <f>CI117/CI13</f>
        <v>1.3053003118595193E-2</v>
      </c>
      <c r="CK117" s="59">
        <f>SUM(CK111:CK115)</f>
        <v>7311</v>
      </c>
      <c r="CL117" s="69">
        <f>CK117/CK13</f>
        <v>2.3244353443890527E-2</v>
      </c>
      <c r="CM117" s="59">
        <f>SUM(CM111:CM115)</f>
        <v>-2571.63</v>
      </c>
      <c r="CN117" s="68">
        <f>CM117/CK117</f>
        <v>-0.35174805088223227</v>
      </c>
      <c r="CP117" s="59">
        <f>SUM(CP111:CP115)</f>
        <v>4836.6099999999997</v>
      </c>
      <c r="CQ117" s="69">
        <f>CP117/CP13</f>
        <v>1.4452699778518497E-2</v>
      </c>
      <c r="CR117" s="59">
        <f>SUM(CR111:CR115)</f>
        <v>7311</v>
      </c>
      <c r="CS117" s="69">
        <f>CR117/CR13</f>
        <v>2.4607876135981151E-2</v>
      </c>
      <c r="CT117" s="59">
        <f>SUM(CT111:CT115)</f>
        <v>-2474.3899999999994</v>
      </c>
      <c r="CU117" s="68">
        <f>CT117/CR117</f>
        <v>-0.33844754479551353</v>
      </c>
      <c r="CW117" s="59">
        <f>SUM(CW111:CW115)</f>
        <v>4895.78</v>
      </c>
      <c r="CX117" s="69">
        <f>CW117/CW13</f>
        <v>1.8389908444866914E-2</v>
      </c>
      <c r="CY117" s="59">
        <f>SUM(CY111:CY115)</f>
        <v>7311</v>
      </c>
      <c r="CZ117" s="69">
        <f>CY117/CY13</f>
        <v>2.6853895853458758E-2</v>
      </c>
      <c r="DA117" s="59">
        <f>SUM(DA111:DA115)</f>
        <v>-2415.2200000000003</v>
      </c>
      <c r="DB117" s="68">
        <f>DA117/CY117</f>
        <v>-0.33035426070305024</v>
      </c>
      <c r="DD117" s="59">
        <f>SUM(DD111:DD116)</f>
        <v>5851.53</v>
      </c>
      <c r="DE117" s="69">
        <f>DD117/DD13</f>
        <v>3.7691376232854019E-2</v>
      </c>
      <c r="DF117" s="59">
        <f>SUM(DF111:DF115)</f>
        <v>7311</v>
      </c>
      <c r="DG117" s="69">
        <f>DF117/DF13</f>
        <v>2.5686339266265203E-2</v>
      </c>
      <c r="DH117" s="59">
        <f>SUM(DH111:DH115)</f>
        <v>-2545.5500000000002</v>
      </c>
      <c r="DI117" s="68">
        <f>DH117/DF117</f>
        <v>-0.34818082341676926</v>
      </c>
      <c r="DK117" s="59">
        <f>SUM(DK111:DK116)</f>
        <v>20323.29</v>
      </c>
      <c r="DL117" s="69">
        <f>DK117/DK13</f>
        <v>1.8158650805496623E-2</v>
      </c>
      <c r="DM117" s="59">
        <f>SUM(DM111:DM116)</f>
        <v>29244</v>
      </c>
      <c r="DN117" s="69">
        <f>DM117/DM13</f>
        <v>2.5026850548350243E-2</v>
      </c>
      <c r="DO117" s="59">
        <f>SUM(DO111:DO115)</f>
        <v>-10006.789999999999</v>
      </c>
      <c r="DP117" s="68">
        <f>DO117/DM117</f>
        <v>-0.34218266994939128</v>
      </c>
      <c r="DR117" s="59">
        <f>SUM(DR111:DR116)</f>
        <v>59025.220000000008</v>
      </c>
      <c r="DS117" s="36">
        <f>DR117/DR13</f>
        <v>2.1357981849354508E-2</v>
      </c>
      <c r="DT117" s="59">
        <f>SUM(DT111:DT116)</f>
        <v>94579.225999999995</v>
      </c>
      <c r="DU117" s="36">
        <f>DT117/DT13</f>
        <v>1.6914280308293804E-2</v>
      </c>
      <c r="DV117" s="58">
        <f t="shared" si="329"/>
        <v>35554.005999999987</v>
      </c>
      <c r="DW117" s="38">
        <f>DV117/DT117</f>
        <v>0.37591770945556258</v>
      </c>
      <c r="DX117" s="64"/>
      <c r="DY117" s="64"/>
    </row>
    <row r="118" spans="1:134" ht="16.7" thickTop="1">
      <c r="A118" s="9"/>
      <c r="B118" s="9"/>
      <c r="C118" s="60"/>
      <c r="D118" s="33"/>
      <c r="E118" s="60"/>
      <c r="F118" s="33"/>
      <c r="G118" s="55"/>
      <c r="H118" s="55"/>
      <c r="J118" s="60"/>
      <c r="K118" s="33"/>
      <c r="L118" s="60"/>
      <c r="M118" s="33"/>
      <c r="N118" s="55"/>
      <c r="O118" s="55"/>
      <c r="Q118" s="60"/>
      <c r="R118" s="33"/>
      <c r="S118" s="60"/>
      <c r="T118" s="33"/>
      <c r="U118" s="55"/>
      <c r="V118" s="55"/>
      <c r="X118" s="60"/>
      <c r="Y118" s="33"/>
      <c r="Z118" s="60"/>
      <c r="AA118" s="33"/>
      <c r="AB118" s="55"/>
      <c r="AC118" s="55"/>
      <c r="AE118" s="60"/>
      <c r="AF118" s="33"/>
      <c r="AG118" s="60"/>
      <c r="AH118" s="33"/>
      <c r="AI118" s="55"/>
      <c r="AJ118" s="55"/>
      <c r="AL118" s="60"/>
      <c r="AM118" s="33"/>
      <c r="AN118" s="60"/>
      <c r="AO118" s="33"/>
      <c r="AP118" s="55"/>
      <c r="AQ118" s="55"/>
      <c r="AS118" s="60"/>
      <c r="AT118" s="33"/>
      <c r="AU118" s="60"/>
      <c r="AV118" s="33"/>
      <c r="AW118" s="55"/>
      <c r="AX118" s="55"/>
      <c r="AZ118" s="60"/>
      <c r="BA118" s="33"/>
      <c r="BB118" s="60"/>
      <c r="BC118" s="33"/>
      <c r="BD118" s="55"/>
      <c r="BE118" s="55"/>
      <c r="BG118" s="60"/>
      <c r="BH118" s="70"/>
      <c r="BI118" s="60"/>
      <c r="BJ118" s="70"/>
      <c r="BK118" s="55"/>
      <c r="BL118" s="71"/>
      <c r="BN118" s="60"/>
      <c r="BO118" s="70"/>
      <c r="BP118" s="60"/>
      <c r="BQ118" s="70"/>
      <c r="BR118" s="55"/>
      <c r="BS118" s="71"/>
      <c r="BU118" s="60"/>
      <c r="BV118" s="70"/>
      <c r="BW118" s="60"/>
      <c r="BX118" s="70"/>
      <c r="BY118" s="55"/>
      <c r="BZ118" s="71"/>
      <c r="CB118" s="60"/>
      <c r="CC118" s="70"/>
      <c r="CD118" s="60"/>
      <c r="CE118" s="70"/>
      <c r="CF118" s="55"/>
      <c r="CG118" s="71"/>
      <c r="CI118" s="60"/>
      <c r="CJ118" s="70"/>
      <c r="CK118" s="60"/>
      <c r="CL118" s="70"/>
      <c r="CM118" s="55"/>
      <c r="CN118" s="71"/>
      <c r="CP118" s="60"/>
      <c r="CQ118" s="70"/>
      <c r="CR118" s="60"/>
      <c r="CS118" s="70"/>
      <c r="CT118" s="55"/>
      <c r="CU118" s="71"/>
      <c r="CW118" s="60"/>
      <c r="CX118" s="70"/>
      <c r="CY118" s="60"/>
      <c r="CZ118" s="70"/>
      <c r="DA118" s="55"/>
      <c r="DB118" s="71"/>
      <c r="DD118" s="60"/>
      <c r="DE118" s="70"/>
      <c r="DF118" s="60"/>
      <c r="DG118" s="70"/>
      <c r="DH118" s="55"/>
      <c r="DI118" s="71"/>
      <c r="DK118" s="60"/>
      <c r="DL118" s="70"/>
      <c r="DM118" s="60"/>
      <c r="DN118" s="70"/>
      <c r="DO118" s="55"/>
      <c r="DP118" s="71"/>
      <c r="DR118" s="60"/>
      <c r="DS118" s="33"/>
      <c r="DT118" s="60"/>
      <c r="DU118" s="33"/>
      <c r="DV118" s="55"/>
      <c r="DW118" s="55"/>
    </row>
    <row r="119" spans="1:134">
      <c r="A119" s="8" t="s">
        <v>120</v>
      </c>
      <c r="B119" s="8"/>
      <c r="C119" s="60"/>
      <c r="D119" s="33"/>
      <c r="E119" s="60"/>
      <c r="F119" s="33"/>
      <c r="G119" s="55"/>
      <c r="H119" s="55"/>
      <c r="J119" s="60"/>
      <c r="K119" s="33"/>
      <c r="L119" s="60"/>
      <c r="M119" s="33"/>
      <c r="N119" s="55"/>
      <c r="O119" s="55"/>
      <c r="Q119" s="60"/>
      <c r="R119" s="33"/>
      <c r="S119" s="60"/>
      <c r="T119" s="33"/>
      <c r="U119" s="55"/>
      <c r="V119" s="55"/>
      <c r="X119" s="60"/>
      <c r="Y119" s="33"/>
      <c r="Z119" s="60"/>
      <c r="AA119" s="33"/>
      <c r="AB119" s="55"/>
      <c r="AC119" s="55"/>
      <c r="AE119" s="60"/>
      <c r="AF119" s="33"/>
      <c r="AG119" s="60"/>
      <c r="AH119" s="33"/>
      <c r="AI119" s="55"/>
      <c r="AJ119" s="55"/>
      <c r="AL119" s="60"/>
      <c r="AM119" s="33"/>
      <c r="AN119" s="60"/>
      <c r="AO119" s="33"/>
      <c r="AP119" s="55"/>
      <c r="AQ119" s="55"/>
      <c r="AS119" s="60"/>
      <c r="AT119" s="33"/>
      <c r="AU119" s="60"/>
      <c r="AV119" s="33"/>
      <c r="AW119" s="55"/>
      <c r="AX119" s="55"/>
      <c r="AZ119" s="60"/>
      <c r="BA119" s="33"/>
      <c r="BB119" s="60"/>
      <c r="BC119" s="33"/>
      <c r="BD119" s="55"/>
      <c r="BE119" s="55"/>
      <c r="BG119" s="60"/>
      <c r="BH119" s="70"/>
      <c r="BI119" s="60"/>
      <c r="BJ119" s="70"/>
      <c r="BK119" s="55"/>
      <c r="BL119" s="71"/>
      <c r="BN119" s="60"/>
      <c r="BO119" s="70"/>
      <c r="BP119" s="60"/>
      <c r="BQ119" s="70"/>
      <c r="BR119" s="55"/>
      <c r="BS119" s="71"/>
      <c r="BU119" s="60"/>
      <c r="BV119" s="70"/>
      <c r="BW119" s="60"/>
      <c r="BX119" s="70"/>
      <c r="BY119" s="55"/>
      <c r="BZ119" s="71"/>
      <c r="CB119" s="60"/>
      <c r="CC119" s="70"/>
      <c r="CD119" s="60"/>
      <c r="CE119" s="70"/>
      <c r="CF119" s="55"/>
      <c r="CG119" s="71"/>
      <c r="CI119" s="60"/>
      <c r="CJ119" s="70"/>
      <c r="CK119" s="60"/>
      <c r="CL119" s="70"/>
      <c r="CM119" s="55"/>
      <c r="CN119" s="71"/>
      <c r="CP119" s="60"/>
      <c r="CQ119" s="70"/>
      <c r="CR119" s="60"/>
      <c r="CS119" s="70"/>
      <c r="CT119" s="55"/>
      <c r="CU119" s="71"/>
      <c r="CW119" s="60"/>
      <c r="CX119" s="70"/>
      <c r="CY119" s="60"/>
      <c r="CZ119" s="70"/>
      <c r="DA119" s="55"/>
      <c r="DB119" s="71"/>
      <c r="DD119" s="60"/>
      <c r="DE119" s="70"/>
      <c r="DF119" s="60"/>
      <c r="DG119" s="70"/>
      <c r="DH119" s="55"/>
      <c r="DI119" s="71"/>
      <c r="DK119" s="60"/>
      <c r="DL119" s="70"/>
      <c r="DM119" s="60"/>
      <c r="DN119" s="70"/>
      <c r="DO119" s="55"/>
      <c r="DP119" s="71"/>
      <c r="DR119" s="60"/>
      <c r="DS119" s="33"/>
      <c r="DT119" s="60"/>
      <c r="DU119" s="33"/>
      <c r="DV119" s="55"/>
      <c r="DW119" s="55"/>
    </row>
    <row r="120" spans="1:134">
      <c r="A120" s="9" t="s">
        <v>121</v>
      </c>
      <c r="B120" s="9"/>
      <c r="C120" s="60">
        <v>2085.3000000000002</v>
      </c>
      <c r="D120" s="33"/>
      <c r="E120" s="60">
        <v>2040</v>
      </c>
      <c r="F120" s="33"/>
      <c r="G120" s="57">
        <f t="shared" ref="G120:G135" si="331">E120-C120</f>
        <v>-45.300000000000182</v>
      </c>
      <c r="H120" s="39"/>
      <c r="J120" s="60">
        <v>2767.1</v>
      </c>
      <c r="K120" s="33"/>
      <c r="L120" s="60">
        <v>2040</v>
      </c>
      <c r="M120" s="33"/>
      <c r="N120" s="57">
        <f t="shared" ref="N120:N135" si="332">L120-J120</f>
        <v>-727.09999999999991</v>
      </c>
      <c r="O120" s="39"/>
      <c r="Q120" s="60">
        <v>2100.6</v>
      </c>
      <c r="R120" s="33"/>
      <c r="S120" s="60">
        <v>2040</v>
      </c>
      <c r="T120" s="33"/>
      <c r="U120" s="57">
        <f t="shared" ref="U120" si="333">S120-Q120</f>
        <v>-60.599999999999909</v>
      </c>
      <c r="V120" s="39"/>
      <c r="X120" s="61">
        <f t="shared" ref="X120:X135" si="334">C120+J120+Q120</f>
        <v>6953</v>
      </c>
      <c r="Y120" s="33"/>
      <c r="Z120" s="61">
        <f t="shared" ref="Z120:Z135" si="335">E120+L120+S120</f>
        <v>6120</v>
      </c>
      <c r="AA120" s="33"/>
      <c r="AB120" s="57">
        <f t="shared" ref="AB120:AB135" si="336">Z120-X120</f>
        <v>-833</v>
      </c>
      <c r="AC120" s="39"/>
      <c r="AE120" s="60">
        <f>525.15*4</f>
        <v>2100.6</v>
      </c>
      <c r="AF120" s="33"/>
      <c r="AG120" s="60">
        <v>2040</v>
      </c>
      <c r="AH120" s="33"/>
      <c r="AI120" s="57">
        <f t="shared" ref="AI120" si="337">AG120-AE120</f>
        <v>-60.599999999999909</v>
      </c>
      <c r="AJ120" s="39"/>
      <c r="AL120" s="60">
        <v>1575.44</v>
      </c>
      <c r="AM120" s="33"/>
      <c r="AN120" s="60">
        <v>2040</v>
      </c>
      <c r="AO120" s="33"/>
      <c r="AP120" s="57">
        <f t="shared" ref="AP120" si="338">AN120-AL120</f>
        <v>464.55999999999995</v>
      </c>
      <c r="AQ120" s="39"/>
      <c r="AS120" s="60">
        <v>1050.28</v>
      </c>
      <c r="AT120" s="33"/>
      <c r="AU120" s="60">
        <v>2040</v>
      </c>
      <c r="AV120" s="33"/>
      <c r="AW120" s="57">
        <f t="shared" ref="AW120" si="339">AU120-AS120</f>
        <v>989.72</v>
      </c>
      <c r="AX120" s="39"/>
      <c r="AZ120" s="61">
        <f t="shared" ref="AZ120:AZ135" si="340">AE120+AL120+AS120</f>
        <v>4726.32</v>
      </c>
      <c r="BA120" s="33"/>
      <c r="BB120" s="61">
        <f t="shared" ref="BB120:BB135" si="341">AG120+AN120+AU120</f>
        <v>6120</v>
      </c>
      <c r="BC120" s="33"/>
      <c r="BD120" s="57">
        <f t="shared" ref="BD120" si="342">BB120-AZ120</f>
        <v>1393.6800000000003</v>
      </c>
      <c r="BE120" s="39"/>
      <c r="BG120" s="60">
        <v>1050.28</v>
      </c>
      <c r="BH120" s="70"/>
      <c r="BI120" s="60">
        <v>2040</v>
      </c>
      <c r="BJ120" s="70"/>
      <c r="BK120" s="57">
        <f t="shared" ref="BK120:BK135" si="343">BG120-BI120</f>
        <v>-989.72</v>
      </c>
      <c r="BL120" s="43"/>
      <c r="BN120" s="60">
        <v>1050.28</v>
      </c>
      <c r="BO120" s="70"/>
      <c r="BP120" s="60">
        <v>2040</v>
      </c>
      <c r="BQ120" s="70"/>
      <c r="BR120" s="57">
        <f t="shared" ref="BR120:BR135" si="344">BN120-BP120</f>
        <v>-989.72</v>
      </c>
      <c r="BS120" s="43"/>
      <c r="BU120" s="60">
        <v>1050.28</v>
      </c>
      <c r="BV120" s="70"/>
      <c r="BW120" s="60">
        <v>1980</v>
      </c>
      <c r="BX120" s="70"/>
      <c r="BY120" s="57">
        <f t="shared" ref="BY120:BY135" si="345">BU120-BW120</f>
        <v>-929.72</v>
      </c>
      <c r="BZ120" s="43"/>
      <c r="CB120" s="61">
        <f t="shared" ref="CB120:CB135" si="346">BG120+BN120+BU120</f>
        <v>3150.84</v>
      </c>
      <c r="CC120" s="70"/>
      <c r="CD120" s="61">
        <f t="shared" ref="CD120:CD135" si="347">BI120+BP120+BW120</f>
        <v>6060</v>
      </c>
      <c r="CE120" s="70"/>
      <c r="CF120" s="57">
        <f t="shared" ref="CF120:CF135" si="348">CB120-CD120</f>
        <v>-2909.16</v>
      </c>
      <c r="CG120" s="43"/>
      <c r="CI120" s="60">
        <v>1450</v>
      </c>
      <c r="CJ120" s="70"/>
      <c r="CK120" s="60">
        <v>1980</v>
      </c>
      <c r="CL120" s="70"/>
      <c r="CM120" s="57">
        <f t="shared" ref="CM120:CM135" si="349">CI120-CK120</f>
        <v>-530</v>
      </c>
      <c r="CN120" s="43"/>
      <c r="CP120" s="60">
        <v>1422.86</v>
      </c>
      <c r="CQ120" s="70"/>
      <c r="CR120" s="60">
        <v>1980</v>
      </c>
      <c r="CS120" s="70"/>
      <c r="CT120" s="57">
        <f t="shared" ref="CT120:CT135" si="350">CP120-CR120</f>
        <v>-557.1400000000001</v>
      </c>
      <c r="CU120" s="43"/>
      <c r="CW120" s="60">
        <v>2450.6</v>
      </c>
      <c r="CX120" s="70"/>
      <c r="CY120" s="60">
        <v>1980</v>
      </c>
      <c r="CZ120" s="70"/>
      <c r="DA120" s="57">
        <f t="shared" ref="DA120:DA135" si="351">CW120-CY120</f>
        <v>470.59999999999991</v>
      </c>
      <c r="DB120" s="43"/>
      <c r="DD120" s="60">
        <v>1943.06</v>
      </c>
      <c r="DE120" s="70"/>
      <c r="DF120" s="60">
        <v>1980</v>
      </c>
      <c r="DG120" s="70"/>
      <c r="DH120" s="57">
        <f t="shared" ref="DH120:DH135" si="352">DD120-DF120</f>
        <v>-36.940000000000055</v>
      </c>
      <c r="DI120" s="43"/>
      <c r="DK120" s="61">
        <f t="shared" ref="DK120:DK135" si="353">CI120+CP120+CW120+DD120</f>
        <v>7266.5199999999986</v>
      </c>
      <c r="DL120" s="70"/>
      <c r="DM120" s="61">
        <f t="shared" ref="DM120:DM135" si="354">CK120+CR120+CY120+DF120</f>
        <v>7920</v>
      </c>
      <c r="DN120" s="70"/>
      <c r="DO120" s="57">
        <f t="shared" ref="DO120:DO135" si="355">DK120-DM120</f>
        <v>-653.48000000000138</v>
      </c>
      <c r="DP120" s="43"/>
      <c r="DR120" s="61">
        <f t="shared" ref="DR120:DR135" si="356">X120+AZ120+CB120+DK120</f>
        <v>22096.68</v>
      </c>
      <c r="DS120" s="33"/>
      <c r="DT120" s="61">
        <f t="shared" ref="DT120:DT135" si="357">Z120+BB120+CD120+DM120</f>
        <v>26220</v>
      </c>
      <c r="DU120" s="33"/>
      <c r="DV120" s="57">
        <f t="shared" ref="DV120" si="358">DT120-DR120</f>
        <v>4123.32</v>
      </c>
      <c r="DW120" s="39"/>
    </row>
    <row r="121" spans="1:134">
      <c r="A121" s="9" t="s">
        <v>122</v>
      </c>
      <c r="B121" s="9"/>
      <c r="C121" s="60">
        <v>0</v>
      </c>
      <c r="D121" s="33"/>
      <c r="E121" s="60"/>
      <c r="F121" s="33"/>
      <c r="G121" s="57">
        <f t="shared" si="331"/>
        <v>0</v>
      </c>
      <c r="H121" s="39"/>
      <c r="J121" s="60">
        <v>0</v>
      </c>
      <c r="K121" s="33"/>
      <c r="L121" s="60"/>
      <c r="M121" s="33"/>
      <c r="N121" s="57">
        <f t="shared" si="332"/>
        <v>0</v>
      </c>
      <c r="O121" s="39"/>
      <c r="Q121" s="60">
        <v>0</v>
      </c>
      <c r="R121" s="33"/>
      <c r="S121" s="60"/>
      <c r="T121" s="33"/>
      <c r="U121" s="57">
        <f>S121-Q121</f>
        <v>0</v>
      </c>
      <c r="V121" s="39"/>
      <c r="X121" s="61">
        <f t="shared" si="334"/>
        <v>0</v>
      </c>
      <c r="Y121" s="33"/>
      <c r="Z121" s="61">
        <f t="shared" si="335"/>
        <v>0</v>
      </c>
      <c r="AA121" s="33"/>
      <c r="AB121" s="57">
        <f t="shared" si="336"/>
        <v>0</v>
      </c>
      <c r="AC121" s="39"/>
      <c r="AE121" s="60">
        <v>3406.6</v>
      </c>
      <c r="AF121" s="33"/>
      <c r="AG121" s="60"/>
      <c r="AH121" s="33"/>
      <c r="AI121" s="57">
        <f>AG121-AE121</f>
        <v>-3406.6</v>
      </c>
      <c r="AJ121" s="39"/>
      <c r="AL121" s="60">
        <v>0</v>
      </c>
      <c r="AM121" s="33"/>
      <c r="AN121" s="60">
        <v>3500</v>
      </c>
      <c r="AO121" s="33"/>
      <c r="AP121" s="57">
        <f>AN121-AL121</f>
        <v>3500</v>
      </c>
      <c r="AQ121" s="39"/>
      <c r="AS121" s="60">
        <v>0</v>
      </c>
      <c r="AT121" s="33"/>
      <c r="AU121" s="60"/>
      <c r="AV121" s="33"/>
      <c r="AW121" s="57">
        <f>AU121-AS121</f>
        <v>0</v>
      </c>
      <c r="AX121" s="39"/>
      <c r="AZ121" s="61">
        <f t="shared" si="340"/>
        <v>3406.6</v>
      </c>
      <c r="BA121" s="33"/>
      <c r="BB121" s="61">
        <f t="shared" si="341"/>
        <v>3500</v>
      </c>
      <c r="BC121" s="33"/>
      <c r="BD121" s="57">
        <f>BB121-AZ121</f>
        <v>93.400000000000091</v>
      </c>
      <c r="BE121" s="39"/>
      <c r="BG121" s="60">
        <v>0</v>
      </c>
      <c r="BH121" s="70"/>
      <c r="BI121" s="60">
        <v>0</v>
      </c>
      <c r="BJ121" s="70"/>
      <c r="BK121" s="57">
        <f t="shared" si="343"/>
        <v>0</v>
      </c>
      <c r="BL121" s="43"/>
      <c r="BN121" s="60">
        <v>0</v>
      </c>
      <c r="BO121" s="70"/>
      <c r="BP121" s="60"/>
      <c r="BQ121" s="70"/>
      <c r="BR121" s="57">
        <f t="shared" si="344"/>
        <v>0</v>
      </c>
      <c r="BS121" s="43"/>
      <c r="BU121" s="60">
        <v>0</v>
      </c>
      <c r="BV121" s="70"/>
      <c r="BW121" s="60">
        <v>0</v>
      </c>
      <c r="BX121" s="70"/>
      <c r="BY121" s="57">
        <f t="shared" si="345"/>
        <v>0</v>
      </c>
      <c r="BZ121" s="43"/>
      <c r="CB121" s="61">
        <f t="shared" si="346"/>
        <v>0</v>
      </c>
      <c r="CC121" s="70"/>
      <c r="CD121" s="61">
        <f t="shared" si="347"/>
        <v>0</v>
      </c>
      <c r="CE121" s="70"/>
      <c r="CF121" s="57">
        <f t="shared" si="348"/>
        <v>0</v>
      </c>
      <c r="CG121" s="43"/>
      <c r="CI121" s="60">
        <v>0</v>
      </c>
      <c r="CJ121" s="70"/>
      <c r="CK121" s="60">
        <v>0</v>
      </c>
      <c r="CL121" s="70"/>
      <c r="CM121" s="57">
        <f t="shared" si="349"/>
        <v>0</v>
      </c>
      <c r="CN121" s="43"/>
      <c r="CP121" s="60">
        <v>0</v>
      </c>
      <c r="CQ121" s="70"/>
      <c r="CR121" s="60"/>
      <c r="CS121" s="70"/>
      <c r="CT121" s="57">
        <f t="shared" si="350"/>
        <v>0</v>
      </c>
      <c r="CU121" s="43"/>
      <c r="CW121" s="60">
        <v>0</v>
      </c>
      <c r="CX121" s="70"/>
      <c r="CY121" s="60">
        <v>0</v>
      </c>
      <c r="CZ121" s="70"/>
      <c r="DA121" s="57">
        <f t="shared" si="351"/>
        <v>0</v>
      </c>
      <c r="DB121" s="43"/>
      <c r="DD121" s="60">
        <v>0</v>
      </c>
      <c r="DE121" s="70"/>
      <c r="DF121" s="60">
        <v>0</v>
      </c>
      <c r="DG121" s="70"/>
      <c r="DH121" s="57">
        <f t="shared" si="352"/>
        <v>0</v>
      </c>
      <c r="DI121" s="43"/>
      <c r="DK121" s="61">
        <f t="shared" si="353"/>
        <v>0</v>
      </c>
      <c r="DL121" s="70"/>
      <c r="DM121" s="61">
        <f t="shared" si="354"/>
        <v>0</v>
      </c>
      <c r="DN121" s="70"/>
      <c r="DO121" s="57">
        <f t="shared" si="355"/>
        <v>0</v>
      </c>
      <c r="DP121" s="43"/>
      <c r="DR121" s="61">
        <f t="shared" si="356"/>
        <v>3406.6</v>
      </c>
      <c r="DS121" s="33"/>
      <c r="DT121" s="61">
        <f t="shared" si="357"/>
        <v>3500</v>
      </c>
      <c r="DU121" s="33"/>
      <c r="DV121" s="57">
        <f>DT121-DR121</f>
        <v>93.400000000000091</v>
      </c>
      <c r="DW121" s="39"/>
    </row>
    <row r="122" spans="1:134">
      <c r="A122" s="9" t="s">
        <v>123</v>
      </c>
      <c r="B122" s="9"/>
      <c r="C122" s="60">
        <v>0</v>
      </c>
      <c r="D122" s="33"/>
      <c r="E122" s="60">
        <v>225</v>
      </c>
      <c r="F122" s="33"/>
      <c r="G122" s="57">
        <f t="shared" si="331"/>
        <v>225</v>
      </c>
      <c r="H122" s="39"/>
      <c r="J122" s="60">
        <v>0</v>
      </c>
      <c r="K122" s="33"/>
      <c r="L122" s="60">
        <v>225</v>
      </c>
      <c r="M122" s="33"/>
      <c r="N122" s="57">
        <f t="shared" si="332"/>
        <v>225</v>
      </c>
      <c r="O122" s="39"/>
      <c r="Q122" s="60">
        <v>0</v>
      </c>
      <c r="R122" s="33"/>
      <c r="S122" s="60">
        <v>225</v>
      </c>
      <c r="T122" s="33"/>
      <c r="U122" s="57"/>
      <c r="V122" s="39"/>
      <c r="X122" s="61">
        <f t="shared" si="334"/>
        <v>0</v>
      </c>
      <c r="Y122" s="33"/>
      <c r="Z122" s="61">
        <f t="shared" si="335"/>
        <v>675</v>
      </c>
      <c r="AA122" s="33"/>
      <c r="AB122" s="57">
        <f t="shared" si="336"/>
        <v>675</v>
      </c>
      <c r="AC122" s="39"/>
      <c r="AE122" s="60">
        <v>0</v>
      </c>
      <c r="AF122" s="33"/>
      <c r="AG122" s="60">
        <v>225</v>
      </c>
      <c r="AH122" s="33"/>
      <c r="AI122" s="57">
        <f>AG122-AE122</f>
        <v>225</v>
      </c>
      <c r="AJ122" s="39"/>
      <c r="AL122" s="60">
        <v>0</v>
      </c>
      <c r="AM122" s="33"/>
      <c r="AN122" s="60">
        <v>225</v>
      </c>
      <c r="AO122" s="33"/>
      <c r="AP122" s="57">
        <f>AN122-AL122</f>
        <v>225</v>
      </c>
      <c r="AQ122" s="39"/>
      <c r="AS122" s="60">
        <v>0</v>
      </c>
      <c r="AT122" s="33"/>
      <c r="AU122" s="60">
        <v>225</v>
      </c>
      <c r="AV122" s="33"/>
      <c r="AW122" s="57">
        <f>AU122-AS122</f>
        <v>225</v>
      </c>
      <c r="AX122" s="39"/>
      <c r="AZ122" s="61">
        <f t="shared" si="340"/>
        <v>0</v>
      </c>
      <c r="BA122" s="33"/>
      <c r="BB122" s="61">
        <f t="shared" si="341"/>
        <v>675</v>
      </c>
      <c r="BC122" s="33"/>
      <c r="BD122" s="57">
        <f>BB122-AZ122</f>
        <v>675</v>
      </c>
      <c r="BE122" s="39"/>
      <c r="BG122" s="60">
        <v>0</v>
      </c>
      <c r="BH122" s="70"/>
      <c r="BI122" s="60">
        <v>225</v>
      </c>
      <c r="BJ122" s="70"/>
      <c r="BK122" s="57">
        <f t="shared" si="343"/>
        <v>-225</v>
      </c>
      <c r="BL122" s="43"/>
      <c r="BN122" s="60">
        <v>0</v>
      </c>
      <c r="BO122" s="70"/>
      <c r="BP122" s="60">
        <v>225</v>
      </c>
      <c r="BQ122" s="70"/>
      <c r="BR122" s="57">
        <f t="shared" si="344"/>
        <v>-225</v>
      </c>
      <c r="BS122" s="43"/>
      <c r="BU122" s="60">
        <f>3889.56-425</f>
        <v>3464.56</v>
      </c>
      <c r="BV122" s="70"/>
      <c r="BW122" s="60">
        <v>208</v>
      </c>
      <c r="BX122" s="70"/>
      <c r="BY122" s="57">
        <f t="shared" si="345"/>
        <v>3256.56</v>
      </c>
      <c r="BZ122" s="43"/>
      <c r="CB122" s="61">
        <f t="shared" si="346"/>
        <v>3464.56</v>
      </c>
      <c r="CC122" s="70"/>
      <c r="CD122" s="61">
        <f t="shared" si="347"/>
        <v>658</v>
      </c>
      <c r="CE122" s="70"/>
      <c r="CF122" s="57">
        <f t="shared" si="348"/>
        <v>2806.56</v>
      </c>
      <c r="CG122" s="43"/>
      <c r="CI122" s="60">
        <v>0</v>
      </c>
      <c r="CJ122" s="70"/>
      <c r="CK122" s="60">
        <v>208</v>
      </c>
      <c r="CL122" s="70"/>
      <c r="CM122" s="57">
        <f t="shared" si="349"/>
        <v>-208</v>
      </c>
      <c r="CN122" s="43"/>
      <c r="CP122" s="60">
        <v>210</v>
      </c>
      <c r="CQ122" s="70"/>
      <c r="CR122" s="60">
        <v>208</v>
      </c>
      <c r="CS122" s="70"/>
      <c r="CT122" s="57">
        <f t="shared" si="350"/>
        <v>2</v>
      </c>
      <c r="CU122" s="43"/>
      <c r="CW122" s="60">
        <v>140</v>
      </c>
      <c r="CX122" s="70"/>
      <c r="CY122" s="60">
        <v>208</v>
      </c>
      <c r="CZ122" s="70"/>
      <c r="DA122" s="57">
        <f t="shared" si="351"/>
        <v>-68</v>
      </c>
      <c r="DB122" s="43"/>
      <c r="DD122" s="60">
        <f>3865-425+682.51</f>
        <v>4122.51</v>
      </c>
      <c r="DE122" s="70"/>
      <c r="DF122" s="60">
        <v>208</v>
      </c>
      <c r="DG122" s="70"/>
      <c r="DH122" s="57">
        <f t="shared" si="352"/>
        <v>3914.51</v>
      </c>
      <c r="DI122" s="43"/>
      <c r="DK122" s="61">
        <f t="shared" si="353"/>
        <v>4472.51</v>
      </c>
      <c r="DL122" s="70"/>
      <c r="DM122" s="61">
        <f t="shared" si="354"/>
        <v>832</v>
      </c>
      <c r="DN122" s="70"/>
      <c r="DO122" s="57">
        <f t="shared" si="355"/>
        <v>3640.51</v>
      </c>
      <c r="DP122" s="43"/>
      <c r="DR122" s="61">
        <f t="shared" si="356"/>
        <v>7937.07</v>
      </c>
      <c r="DS122" s="33"/>
      <c r="DT122" s="61">
        <f t="shared" si="357"/>
        <v>2840</v>
      </c>
      <c r="DU122" s="33"/>
      <c r="DV122" s="57">
        <f>DT122-DR122</f>
        <v>-5097.07</v>
      </c>
      <c r="DW122" s="39"/>
    </row>
    <row r="123" spans="1:134">
      <c r="A123" s="9" t="s">
        <v>124</v>
      </c>
      <c r="B123" s="9"/>
      <c r="C123" s="60">
        <v>0</v>
      </c>
      <c r="D123" s="33"/>
      <c r="E123" s="60">
        <v>215</v>
      </c>
      <c r="F123" s="33"/>
      <c r="G123" s="57">
        <f t="shared" si="331"/>
        <v>215</v>
      </c>
      <c r="H123" s="39"/>
      <c r="J123" s="60">
        <v>0</v>
      </c>
      <c r="K123" s="33"/>
      <c r="L123" s="60">
        <v>215</v>
      </c>
      <c r="M123" s="33"/>
      <c r="N123" s="57">
        <f t="shared" si="332"/>
        <v>215</v>
      </c>
      <c r="O123" s="39"/>
      <c r="Q123" s="60">
        <v>0</v>
      </c>
      <c r="R123" s="33"/>
      <c r="S123" s="60">
        <v>215</v>
      </c>
      <c r="T123" s="33"/>
      <c r="U123" s="57">
        <f t="shared" ref="U123" si="359">S123-Q123</f>
        <v>215</v>
      </c>
      <c r="V123" s="39"/>
      <c r="X123" s="61">
        <f t="shared" si="334"/>
        <v>0</v>
      </c>
      <c r="Y123" s="33"/>
      <c r="Z123" s="61">
        <f t="shared" si="335"/>
        <v>645</v>
      </c>
      <c r="AA123" s="33"/>
      <c r="AB123" s="57">
        <f t="shared" si="336"/>
        <v>645</v>
      </c>
      <c r="AC123" s="39"/>
      <c r="AE123" s="60">
        <v>0</v>
      </c>
      <c r="AF123" s="33"/>
      <c r="AG123" s="60">
        <v>215</v>
      </c>
      <c r="AH123" s="33"/>
      <c r="AI123" s="57">
        <f t="shared" ref="AI123:AI125" si="360">AG123-AE123</f>
        <v>215</v>
      </c>
      <c r="AJ123" s="39"/>
      <c r="AL123" s="60">
        <v>0</v>
      </c>
      <c r="AM123" s="33"/>
      <c r="AN123" s="60">
        <v>215</v>
      </c>
      <c r="AO123" s="33"/>
      <c r="AP123" s="57">
        <f t="shared" ref="AP123:AP125" si="361">AN123-AL123</f>
        <v>215</v>
      </c>
      <c r="AQ123" s="39"/>
      <c r="AS123" s="60">
        <v>0</v>
      </c>
      <c r="AT123" s="33"/>
      <c r="AU123" s="60">
        <v>215</v>
      </c>
      <c r="AV123" s="33"/>
      <c r="AW123" s="57">
        <f t="shared" ref="AW123:AW125" si="362">AU123-AS123</f>
        <v>215</v>
      </c>
      <c r="AX123" s="39"/>
      <c r="AZ123" s="61">
        <f t="shared" si="340"/>
        <v>0</v>
      </c>
      <c r="BA123" s="33"/>
      <c r="BB123" s="61">
        <f t="shared" si="341"/>
        <v>645</v>
      </c>
      <c r="BC123" s="33"/>
      <c r="BD123" s="57">
        <f t="shared" ref="BD123:BD135" si="363">BB123-AZ123</f>
        <v>645</v>
      </c>
      <c r="BE123" s="39"/>
      <c r="BG123" s="60">
        <v>0</v>
      </c>
      <c r="BH123" s="70"/>
      <c r="BI123" s="60">
        <v>215</v>
      </c>
      <c r="BJ123" s="70"/>
      <c r="BK123" s="57">
        <f t="shared" si="343"/>
        <v>-215</v>
      </c>
      <c r="BL123" s="43"/>
      <c r="BN123" s="60">
        <v>0</v>
      </c>
      <c r="BO123" s="70"/>
      <c r="BP123" s="60">
        <v>215</v>
      </c>
      <c r="BQ123" s="70"/>
      <c r="BR123" s="57">
        <f t="shared" si="344"/>
        <v>-215</v>
      </c>
      <c r="BS123" s="43"/>
      <c r="BU123" s="60">
        <v>0</v>
      </c>
      <c r="BV123" s="70"/>
      <c r="BW123" s="60">
        <v>0</v>
      </c>
      <c r="BX123" s="70"/>
      <c r="BY123" s="57">
        <f t="shared" si="345"/>
        <v>0</v>
      </c>
      <c r="BZ123" s="43"/>
      <c r="CB123" s="61">
        <f t="shared" si="346"/>
        <v>0</v>
      </c>
      <c r="CC123" s="70"/>
      <c r="CD123" s="61">
        <f t="shared" si="347"/>
        <v>430</v>
      </c>
      <c r="CE123" s="70"/>
      <c r="CF123" s="57">
        <f t="shared" si="348"/>
        <v>-430</v>
      </c>
      <c r="CG123" s="43"/>
      <c r="CI123" s="60">
        <v>0</v>
      </c>
      <c r="CJ123" s="70"/>
      <c r="CK123" s="60">
        <v>0</v>
      </c>
      <c r="CL123" s="70"/>
      <c r="CM123" s="57">
        <f t="shared" si="349"/>
        <v>0</v>
      </c>
      <c r="CN123" s="43"/>
      <c r="CP123" s="60">
        <v>0</v>
      </c>
      <c r="CQ123" s="70"/>
      <c r="CR123" s="60">
        <v>0</v>
      </c>
      <c r="CS123" s="70"/>
      <c r="CT123" s="57">
        <f t="shared" si="350"/>
        <v>0</v>
      </c>
      <c r="CU123" s="43"/>
      <c r="CW123" s="60">
        <v>0</v>
      </c>
      <c r="CX123" s="70"/>
      <c r="CY123" s="60">
        <v>0</v>
      </c>
      <c r="CZ123" s="70"/>
      <c r="DA123" s="57">
        <f t="shared" si="351"/>
        <v>0</v>
      </c>
      <c r="DB123" s="43"/>
      <c r="DD123" s="60">
        <v>0</v>
      </c>
      <c r="DE123" s="70"/>
      <c r="DF123" s="60">
        <v>0</v>
      </c>
      <c r="DG123" s="70"/>
      <c r="DH123" s="57">
        <f t="shared" si="352"/>
        <v>0</v>
      </c>
      <c r="DI123" s="43"/>
      <c r="DK123" s="61">
        <f t="shared" si="353"/>
        <v>0</v>
      </c>
      <c r="DL123" s="70"/>
      <c r="DM123" s="61">
        <f t="shared" si="354"/>
        <v>0</v>
      </c>
      <c r="DN123" s="70"/>
      <c r="DO123" s="57">
        <f t="shared" si="355"/>
        <v>0</v>
      </c>
      <c r="DP123" s="43"/>
      <c r="DR123" s="61">
        <f t="shared" si="356"/>
        <v>0</v>
      </c>
      <c r="DS123" s="33"/>
      <c r="DT123" s="61">
        <f t="shared" si="357"/>
        <v>1720</v>
      </c>
      <c r="DU123" s="33"/>
      <c r="DV123" s="57">
        <f t="shared" ref="DV123:DV135" si="364">DT123-DR123</f>
        <v>1720</v>
      </c>
      <c r="DW123" s="39"/>
      <c r="ED123" s="64"/>
    </row>
    <row r="124" spans="1:134">
      <c r="A124" s="9" t="s">
        <v>125</v>
      </c>
      <c r="B124" s="9"/>
      <c r="C124" s="60">
        <v>0</v>
      </c>
      <c r="D124" s="33"/>
      <c r="E124" s="60">
        <v>1011.6153846153846</v>
      </c>
      <c r="F124" s="33"/>
      <c r="G124" s="57">
        <f t="shared" si="331"/>
        <v>1011.6153846153846</v>
      </c>
      <c r="H124" s="39"/>
      <c r="J124" s="60">
        <v>0</v>
      </c>
      <c r="K124" s="33"/>
      <c r="L124" s="60">
        <v>1011.6153846153846</v>
      </c>
      <c r="M124" s="33"/>
      <c r="N124" s="57">
        <f t="shared" si="332"/>
        <v>1011.6153846153846</v>
      </c>
      <c r="O124" s="39"/>
      <c r="Q124" s="60">
        <v>0</v>
      </c>
      <c r="R124" s="33"/>
      <c r="S124" s="60">
        <v>1011.6153846153846</v>
      </c>
      <c r="T124" s="33"/>
      <c r="U124" s="57"/>
      <c r="V124" s="39"/>
      <c r="X124" s="61">
        <f t="shared" si="334"/>
        <v>0</v>
      </c>
      <c r="Y124" s="33"/>
      <c r="Z124" s="61">
        <f t="shared" si="335"/>
        <v>3034.8461538461538</v>
      </c>
      <c r="AA124" s="33"/>
      <c r="AB124" s="57">
        <f t="shared" si="336"/>
        <v>3034.8461538461538</v>
      </c>
      <c r="AC124" s="39"/>
      <c r="AE124" s="60">
        <v>0</v>
      </c>
      <c r="AF124" s="33"/>
      <c r="AG124" s="60">
        <v>1011.6153846153846</v>
      </c>
      <c r="AH124" s="33"/>
      <c r="AI124" s="57">
        <f t="shared" si="360"/>
        <v>1011.6153846153846</v>
      </c>
      <c r="AJ124" s="39"/>
      <c r="AL124" s="60">
        <v>0</v>
      </c>
      <c r="AM124" s="33"/>
      <c r="AN124" s="60">
        <v>1011.6153846153846</v>
      </c>
      <c r="AO124" s="33"/>
      <c r="AP124" s="57">
        <f t="shared" si="361"/>
        <v>1011.6153846153846</v>
      </c>
      <c r="AQ124" s="39"/>
      <c r="AS124" s="60">
        <v>0</v>
      </c>
      <c r="AT124" s="33"/>
      <c r="AU124" s="60">
        <v>1011.6153846153846</v>
      </c>
      <c r="AV124" s="33"/>
      <c r="AW124" s="57">
        <f t="shared" si="362"/>
        <v>1011.6153846153846</v>
      </c>
      <c r="AX124" s="39"/>
      <c r="AZ124" s="61">
        <f t="shared" si="340"/>
        <v>0</v>
      </c>
      <c r="BA124" s="33"/>
      <c r="BB124" s="61">
        <f t="shared" si="341"/>
        <v>3034.8461538461538</v>
      </c>
      <c r="BC124" s="33"/>
      <c r="BD124" s="57">
        <f t="shared" si="363"/>
        <v>3034.8461538461538</v>
      </c>
      <c r="BE124" s="39"/>
      <c r="BG124" s="60">
        <v>0</v>
      </c>
      <c r="BH124" s="70"/>
      <c r="BI124" s="60">
        <v>1011.6153846153846</v>
      </c>
      <c r="BJ124" s="70"/>
      <c r="BK124" s="57">
        <f t="shared" si="343"/>
        <v>-1011.6153846153846</v>
      </c>
      <c r="BL124" s="43"/>
      <c r="BN124" s="60">
        <v>0</v>
      </c>
      <c r="BO124" s="70"/>
      <c r="BP124" s="60">
        <v>1011.6153846153846</v>
      </c>
      <c r="BQ124" s="70"/>
      <c r="BR124" s="57">
        <f t="shared" si="344"/>
        <v>-1011.6153846153846</v>
      </c>
      <c r="BS124" s="43"/>
      <c r="BU124" s="60">
        <v>330</v>
      </c>
      <c r="BV124" s="70"/>
      <c r="BW124" s="60">
        <v>269</v>
      </c>
      <c r="BX124" s="70"/>
      <c r="BY124" s="57">
        <f t="shared" si="345"/>
        <v>61</v>
      </c>
      <c r="BZ124" s="43"/>
      <c r="CB124" s="61">
        <f t="shared" si="346"/>
        <v>330</v>
      </c>
      <c r="CC124" s="70"/>
      <c r="CD124" s="61">
        <f t="shared" si="347"/>
        <v>2292.2307692307695</v>
      </c>
      <c r="CE124" s="70"/>
      <c r="CF124" s="57">
        <f t="shared" si="348"/>
        <v>-1962.2307692307695</v>
      </c>
      <c r="CG124" s="43"/>
      <c r="CI124" s="60">
        <v>0</v>
      </c>
      <c r="CJ124" s="70"/>
      <c r="CK124" s="60">
        <v>269</v>
      </c>
      <c r="CL124" s="70"/>
      <c r="CM124" s="57">
        <f t="shared" si="349"/>
        <v>-269</v>
      </c>
      <c r="CN124" s="43"/>
      <c r="CP124" s="60">
        <v>0</v>
      </c>
      <c r="CQ124" s="70"/>
      <c r="CR124" s="60">
        <v>269</v>
      </c>
      <c r="CS124" s="70"/>
      <c r="CT124" s="57">
        <f t="shared" si="350"/>
        <v>-269</v>
      </c>
      <c r="CU124" s="43"/>
      <c r="CW124" s="60">
        <v>0</v>
      </c>
      <c r="CX124" s="70"/>
      <c r="CY124" s="60">
        <v>269</v>
      </c>
      <c r="CZ124" s="70"/>
      <c r="DA124" s="57">
        <f t="shared" si="351"/>
        <v>-269</v>
      </c>
      <c r="DB124" s="43"/>
      <c r="DD124" s="60">
        <v>0</v>
      </c>
      <c r="DE124" s="70"/>
      <c r="DF124" s="60">
        <v>269</v>
      </c>
      <c r="DG124" s="70"/>
      <c r="DH124" s="57">
        <f t="shared" si="352"/>
        <v>-269</v>
      </c>
      <c r="DI124" s="43"/>
      <c r="DK124" s="61">
        <f t="shared" si="353"/>
        <v>0</v>
      </c>
      <c r="DL124" s="70"/>
      <c r="DM124" s="61">
        <f t="shared" si="354"/>
        <v>1076</v>
      </c>
      <c r="DN124" s="70"/>
      <c r="DO124" s="57">
        <f t="shared" si="355"/>
        <v>-1076</v>
      </c>
      <c r="DP124" s="43"/>
      <c r="DR124" s="61">
        <f t="shared" si="356"/>
        <v>330</v>
      </c>
      <c r="DS124" s="33"/>
      <c r="DT124" s="61">
        <f t="shared" si="357"/>
        <v>9437.923076923078</v>
      </c>
      <c r="DU124" s="33"/>
      <c r="DV124" s="57">
        <f t="shared" si="364"/>
        <v>9107.923076923078</v>
      </c>
      <c r="DW124" s="39"/>
    </row>
    <row r="125" spans="1:134">
      <c r="A125" s="9" t="s">
        <v>126</v>
      </c>
      <c r="B125" s="9"/>
      <c r="C125" s="60">
        <v>1023.96</v>
      </c>
      <c r="D125" s="33"/>
      <c r="E125" s="60">
        <v>1451.4923076923078</v>
      </c>
      <c r="F125" s="33"/>
      <c r="G125" s="57">
        <f t="shared" si="331"/>
        <v>427.53230769230777</v>
      </c>
      <c r="H125" s="39"/>
      <c r="J125" s="60">
        <v>782.97</v>
      </c>
      <c r="K125" s="33"/>
      <c r="L125" s="60">
        <v>1451.4923076923078</v>
      </c>
      <c r="M125" s="33"/>
      <c r="N125" s="57">
        <f t="shared" si="332"/>
        <v>668.52230769230778</v>
      </c>
      <c r="O125" s="39"/>
      <c r="Q125" s="60">
        <v>753.96</v>
      </c>
      <c r="R125" s="33"/>
      <c r="S125" s="60">
        <v>1451.4923076923078</v>
      </c>
      <c r="T125" s="33"/>
      <c r="U125" s="57"/>
      <c r="V125" s="39"/>
      <c r="X125" s="61">
        <f t="shared" si="334"/>
        <v>2560.8900000000003</v>
      </c>
      <c r="Y125" s="33"/>
      <c r="Z125" s="61">
        <f t="shared" si="335"/>
        <v>4354.4769230769234</v>
      </c>
      <c r="AA125" s="33"/>
      <c r="AB125" s="57">
        <f t="shared" si="336"/>
        <v>1793.5869230769231</v>
      </c>
      <c r="AC125" s="39"/>
      <c r="AE125" s="60">
        <v>155.76</v>
      </c>
      <c r="AF125" s="33"/>
      <c r="AG125" s="60">
        <v>1451.4923076923078</v>
      </c>
      <c r="AH125" s="33"/>
      <c r="AI125" s="57">
        <f t="shared" si="360"/>
        <v>1295.7323076923078</v>
      </c>
      <c r="AJ125" s="39"/>
      <c r="AL125" s="60">
        <v>356.75</v>
      </c>
      <c r="AM125" s="33"/>
      <c r="AN125" s="60">
        <v>1451.4923076923078</v>
      </c>
      <c r="AO125" s="33"/>
      <c r="AP125" s="57">
        <f t="shared" si="361"/>
        <v>1094.7423076923078</v>
      </c>
      <c r="AQ125" s="39"/>
      <c r="AS125" s="60">
        <v>335.75</v>
      </c>
      <c r="AT125" s="33"/>
      <c r="AU125" s="60">
        <v>1451.4923076923078</v>
      </c>
      <c r="AV125" s="33"/>
      <c r="AW125" s="57">
        <f t="shared" si="362"/>
        <v>1115.7423076923078</v>
      </c>
      <c r="AX125" s="39"/>
      <c r="AZ125" s="61">
        <f t="shared" si="340"/>
        <v>848.26</v>
      </c>
      <c r="BA125" s="33"/>
      <c r="BB125" s="61">
        <f t="shared" si="341"/>
        <v>4354.4769230769234</v>
      </c>
      <c r="BC125" s="33"/>
      <c r="BD125" s="57"/>
      <c r="BE125" s="39"/>
      <c r="BG125" s="60">
        <v>361.98</v>
      </c>
      <c r="BH125" s="70"/>
      <c r="BI125" s="60">
        <v>1451.4923076923078</v>
      </c>
      <c r="BJ125" s="70"/>
      <c r="BK125" s="57">
        <f t="shared" si="343"/>
        <v>-1089.5123076923078</v>
      </c>
      <c r="BL125" s="43"/>
      <c r="BN125" s="60">
        <f>1551.57+1636.48</f>
        <v>3188.05</v>
      </c>
      <c r="BO125" s="70"/>
      <c r="BP125" s="60">
        <v>1451.4923076923078</v>
      </c>
      <c r="BQ125" s="70"/>
      <c r="BR125" s="57">
        <f t="shared" si="344"/>
        <v>1736.5576923076924</v>
      </c>
      <c r="BS125" s="43"/>
      <c r="BU125" s="60">
        <f>830.74+794.97</f>
        <v>1625.71</v>
      </c>
      <c r="BV125" s="70"/>
      <c r="BW125" s="60">
        <v>1313</v>
      </c>
      <c r="BX125" s="70"/>
      <c r="BY125" s="57">
        <f t="shared" si="345"/>
        <v>312.71000000000004</v>
      </c>
      <c r="BZ125" s="43"/>
      <c r="CB125" s="61">
        <f t="shared" si="346"/>
        <v>5175.74</v>
      </c>
      <c r="CC125" s="70"/>
      <c r="CD125" s="61">
        <f t="shared" si="347"/>
        <v>4215.9846153846156</v>
      </c>
      <c r="CE125" s="70"/>
      <c r="CF125" s="57">
        <f t="shared" si="348"/>
        <v>959.75538461538417</v>
      </c>
      <c r="CG125" s="43"/>
      <c r="CI125" s="60">
        <f>1079.27+3252.67</f>
        <v>4331.9400000000005</v>
      </c>
      <c r="CJ125" s="70"/>
      <c r="CK125" s="60">
        <v>1313</v>
      </c>
      <c r="CL125" s="70"/>
      <c r="CM125" s="57">
        <f t="shared" si="349"/>
        <v>3018.9400000000005</v>
      </c>
      <c r="CN125" s="43"/>
      <c r="CP125" s="60">
        <f>1253.78-492.91</f>
        <v>760.86999999999989</v>
      </c>
      <c r="CQ125" s="70"/>
      <c r="CR125" s="60">
        <v>1313</v>
      </c>
      <c r="CS125" s="70"/>
      <c r="CT125" s="57">
        <f t="shared" si="350"/>
        <v>-552.13000000000011</v>
      </c>
      <c r="CU125" s="43"/>
      <c r="CW125" s="60">
        <f>944.99-665.27</f>
        <v>279.72000000000003</v>
      </c>
      <c r="CX125" s="70"/>
      <c r="CY125" s="60">
        <v>1313</v>
      </c>
      <c r="CZ125" s="70"/>
      <c r="DA125" s="57">
        <f t="shared" si="351"/>
        <v>-1033.28</v>
      </c>
      <c r="DB125" s="43"/>
      <c r="DD125" s="60">
        <f>55.08+351.96</f>
        <v>407.03999999999996</v>
      </c>
      <c r="DE125" s="70"/>
      <c r="DF125" s="60">
        <v>1313</v>
      </c>
      <c r="DG125" s="70"/>
      <c r="DH125" s="57">
        <f t="shared" si="352"/>
        <v>-905.96</v>
      </c>
      <c r="DI125" s="43"/>
      <c r="DK125" s="61">
        <f t="shared" si="353"/>
        <v>5779.5700000000006</v>
      </c>
      <c r="DL125" s="70"/>
      <c r="DM125" s="61">
        <f t="shared" si="354"/>
        <v>5252</v>
      </c>
      <c r="DN125" s="70"/>
      <c r="DO125" s="57">
        <f t="shared" si="355"/>
        <v>527.57000000000062</v>
      </c>
      <c r="DP125" s="43"/>
      <c r="DR125" s="61">
        <f t="shared" si="356"/>
        <v>14364.46</v>
      </c>
      <c r="DS125" s="33"/>
      <c r="DT125" s="61">
        <f t="shared" si="357"/>
        <v>18176.938461538462</v>
      </c>
      <c r="DU125" s="33"/>
      <c r="DV125" s="57"/>
      <c r="DW125" s="39"/>
    </row>
    <row r="126" spans="1:134">
      <c r="A126" s="9" t="s">
        <v>127</v>
      </c>
      <c r="B126" s="9"/>
      <c r="C126" s="60">
        <v>1298.47</v>
      </c>
      <c r="D126" s="33"/>
      <c r="E126" s="60">
        <v>1050</v>
      </c>
      <c r="F126" s="33"/>
      <c r="G126" s="57">
        <f t="shared" si="331"/>
        <v>-248.47000000000003</v>
      </c>
      <c r="H126" s="39"/>
      <c r="J126" s="60">
        <v>991.67</v>
      </c>
      <c r="K126" s="33"/>
      <c r="L126" s="60">
        <v>1050</v>
      </c>
      <c r="M126" s="33"/>
      <c r="N126" s="57">
        <f t="shared" si="332"/>
        <v>58.330000000000041</v>
      </c>
      <c r="O126" s="39"/>
      <c r="Q126" s="60">
        <v>865.53</v>
      </c>
      <c r="R126" s="33"/>
      <c r="S126" s="60">
        <v>1050</v>
      </c>
      <c r="T126" s="33"/>
      <c r="U126" s="57">
        <f>S126-Q126</f>
        <v>184.47000000000003</v>
      </c>
      <c r="V126" s="39"/>
      <c r="X126" s="61">
        <f t="shared" si="334"/>
        <v>3155.67</v>
      </c>
      <c r="Y126" s="33"/>
      <c r="Z126" s="61">
        <f t="shared" si="335"/>
        <v>3150</v>
      </c>
      <c r="AA126" s="33"/>
      <c r="AB126" s="57">
        <f t="shared" si="336"/>
        <v>-5.6700000000000728</v>
      </c>
      <c r="AC126" s="39"/>
      <c r="AE126" s="60">
        <v>724.07</v>
      </c>
      <c r="AF126" s="33"/>
      <c r="AG126" s="60">
        <v>1050</v>
      </c>
      <c r="AH126" s="33"/>
      <c r="AI126" s="57">
        <f>AG126-AE126</f>
        <v>325.92999999999995</v>
      </c>
      <c r="AJ126" s="39"/>
      <c r="AL126" s="60">
        <v>26.7</v>
      </c>
      <c r="AM126" s="33"/>
      <c r="AN126" s="60">
        <v>1050</v>
      </c>
      <c r="AO126" s="33"/>
      <c r="AP126" s="57">
        <f>AN126-AL126</f>
        <v>1023.3</v>
      </c>
      <c r="AQ126" s="39"/>
      <c r="AS126" s="60">
        <v>656.69</v>
      </c>
      <c r="AT126" s="33"/>
      <c r="AU126" s="60">
        <v>1050</v>
      </c>
      <c r="AV126" s="33"/>
      <c r="AW126" s="57">
        <f>AU126-AS126</f>
        <v>393.30999999999995</v>
      </c>
      <c r="AX126" s="39"/>
      <c r="AZ126" s="61">
        <f t="shared" si="340"/>
        <v>1407.46</v>
      </c>
      <c r="BA126" s="33"/>
      <c r="BB126" s="61">
        <f t="shared" si="341"/>
        <v>3150</v>
      </c>
      <c r="BC126" s="33"/>
      <c r="BD126" s="57">
        <f t="shared" si="363"/>
        <v>1742.54</v>
      </c>
      <c r="BE126" s="39"/>
      <c r="BG126" s="60">
        <v>427.84</v>
      </c>
      <c r="BH126" s="70"/>
      <c r="BI126" s="60">
        <v>1050</v>
      </c>
      <c r="BJ126" s="70"/>
      <c r="BK126" s="57">
        <f t="shared" si="343"/>
        <v>-622.16000000000008</v>
      </c>
      <c r="BL126" s="43"/>
      <c r="BN126" s="60">
        <v>268.51</v>
      </c>
      <c r="BO126" s="70"/>
      <c r="BP126" s="60">
        <v>1050</v>
      </c>
      <c r="BQ126" s="70"/>
      <c r="BR126" s="57">
        <f t="shared" si="344"/>
        <v>-781.49</v>
      </c>
      <c r="BS126" s="43"/>
      <c r="BU126" s="60">
        <v>271.88</v>
      </c>
      <c r="BV126" s="70"/>
      <c r="BW126" s="60">
        <v>588</v>
      </c>
      <c r="BX126" s="70"/>
      <c r="BY126" s="57">
        <f t="shared" si="345"/>
        <v>-316.12</v>
      </c>
      <c r="BZ126" s="43"/>
      <c r="CB126" s="61">
        <f t="shared" si="346"/>
        <v>968.2299999999999</v>
      </c>
      <c r="CC126" s="70"/>
      <c r="CD126" s="61">
        <f t="shared" si="347"/>
        <v>2688</v>
      </c>
      <c r="CE126" s="70"/>
      <c r="CF126" s="57">
        <f t="shared" si="348"/>
        <v>-1719.77</v>
      </c>
      <c r="CG126" s="43"/>
      <c r="CI126" s="60">
        <v>367.15</v>
      </c>
      <c r="CJ126" s="70"/>
      <c r="CK126" s="60">
        <v>629</v>
      </c>
      <c r="CL126" s="70"/>
      <c r="CM126" s="57">
        <f t="shared" si="349"/>
        <v>-261.85000000000002</v>
      </c>
      <c r="CN126" s="43"/>
      <c r="CP126" s="60">
        <v>440.28</v>
      </c>
      <c r="CQ126" s="70"/>
      <c r="CR126" s="60">
        <v>594</v>
      </c>
      <c r="CS126" s="70"/>
      <c r="CT126" s="57">
        <f t="shared" si="350"/>
        <v>-153.72000000000003</v>
      </c>
      <c r="CU126" s="43"/>
      <c r="CW126" s="60">
        <v>0</v>
      </c>
      <c r="CX126" s="70"/>
      <c r="CY126" s="60">
        <v>545</v>
      </c>
      <c r="CZ126" s="70"/>
      <c r="DA126" s="57">
        <f t="shared" si="351"/>
        <v>-545</v>
      </c>
      <c r="DB126" s="43"/>
      <c r="DD126" s="60">
        <v>-3288.49</v>
      </c>
      <c r="DE126" s="70"/>
      <c r="DF126" s="60">
        <v>569</v>
      </c>
      <c r="DG126" s="70"/>
      <c r="DH126" s="57">
        <f t="shared" si="352"/>
        <v>-3857.49</v>
      </c>
      <c r="DI126" s="43"/>
      <c r="DK126" s="61">
        <f t="shared" si="353"/>
        <v>-2481.06</v>
      </c>
      <c r="DL126" s="70"/>
      <c r="DM126" s="61">
        <f t="shared" si="354"/>
        <v>2337</v>
      </c>
      <c r="DN126" s="70"/>
      <c r="DO126" s="57">
        <f t="shared" si="355"/>
        <v>-4818.0599999999995</v>
      </c>
      <c r="DP126" s="43"/>
      <c r="DR126" s="61">
        <f t="shared" si="356"/>
        <v>3050.2999999999997</v>
      </c>
      <c r="DS126" s="33"/>
      <c r="DT126" s="61">
        <f t="shared" si="357"/>
        <v>11325</v>
      </c>
      <c r="DU126" s="33"/>
      <c r="DV126" s="57">
        <f t="shared" si="364"/>
        <v>8274.7000000000007</v>
      </c>
      <c r="DW126" s="39"/>
    </row>
    <row r="127" spans="1:134">
      <c r="A127" s="9" t="s">
        <v>128</v>
      </c>
      <c r="B127" s="9"/>
      <c r="C127" s="60">
        <v>8375.9500000000007</v>
      </c>
      <c r="D127" s="33"/>
      <c r="E127" s="60">
        <v>6070.3715599999996</v>
      </c>
      <c r="F127" s="33"/>
      <c r="G127" s="57">
        <f t="shared" si="331"/>
        <v>-2305.5784400000011</v>
      </c>
      <c r="H127" s="39"/>
      <c r="J127" s="60">
        <v>8695.2800000000007</v>
      </c>
      <c r="K127" s="33"/>
      <c r="L127" s="60">
        <v>8406.6512199999997</v>
      </c>
      <c r="M127" s="33"/>
      <c r="N127" s="57">
        <f t="shared" si="332"/>
        <v>-288.62878000000092</v>
      </c>
      <c r="O127" s="39"/>
      <c r="Q127" s="60">
        <v>5970.16</v>
      </c>
      <c r="R127" s="33"/>
      <c r="S127" s="60">
        <v>10847.034659999999</v>
      </c>
      <c r="T127" s="33"/>
      <c r="U127" s="57">
        <f t="shared" ref="U127:U135" si="365">S127-Q127</f>
        <v>4876.8746599999995</v>
      </c>
      <c r="V127" s="39"/>
      <c r="X127" s="61">
        <f t="shared" si="334"/>
        <v>23041.390000000003</v>
      </c>
      <c r="Y127" s="33"/>
      <c r="Z127" s="61">
        <f t="shared" si="335"/>
        <v>25324.057439999997</v>
      </c>
      <c r="AA127" s="33"/>
      <c r="AB127" s="57">
        <f t="shared" si="336"/>
        <v>2282.6674399999938</v>
      </c>
      <c r="AC127" s="39"/>
      <c r="AE127" s="60">
        <v>0</v>
      </c>
      <c r="AF127" s="33"/>
      <c r="AG127" s="60">
        <v>12770.109549999999</v>
      </c>
      <c r="AH127" s="33"/>
      <c r="AI127" s="57">
        <f t="shared" ref="AI127:AI135" si="366">AG127-AE127</f>
        <v>12770.109549999999</v>
      </c>
      <c r="AJ127" s="39"/>
      <c r="AL127" s="60">
        <v>70.97</v>
      </c>
      <c r="AM127" s="33"/>
      <c r="AN127" s="60">
        <v>12307.656019999997</v>
      </c>
      <c r="AO127" s="33"/>
      <c r="AP127" s="57">
        <f t="shared" ref="AP127:AP135" si="367">AN127-AL127</f>
        <v>12236.686019999997</v>
      </c>
      <c r="AQ127" s="39"/>
      <c r="AS127" s="60">
        <v>0</v>
      </c>
      <c r="AT127" s="33"/>
      <c r="AU127" s="60">
        <v>13356.370169999998</v>
      </c>
      <c r="AV127" s="33"/>
      <c r="AW127" s="57">
        <f t="shared" ref="AW127:AW135" si="368">AU127-AS127</f>
        <v>13356.370169999998</v>
      </c>
      <c r="AX127" s="39"/>
      <c r="AZ127" s="61">
        <f t="shared" si="340"/>
        <v>70.97</v>
      </c>
      <c r="BA127" s="33"/>
      <c r="BB127" s="61">
        <f t="shared" si="341"/>
        <v>38434.135739999998</v>
      </c>
      <c r="BC127" s="33"/>
      <c r="BD127" s="57">
        <f t="shared" si="363"/>
        <v>38363.165739999997</v>
      </c>
      <c r="BE127" s="39"/>
      <c r="BG127" s="60">
        <v>0</v>
      </c>
      <c r="BH127" s="70"/>
      <c r="BI127" s="60">
        <v>13658.34382</v>
      </c>
      <c r="BJ127" s="70"/>
      <c r="BK127" s="57">
        <f t="shared" si="343"/>
        <v>-13658.34382</v>
      </c>
      <c r="BL127" s="43"/>
      <c r="BN127" s="60">
        <v>4859.3100000000004</v>
      </c>
      <c r="BO127" s="70"/>
      <c r="BP127" s="60">
        <v>13423.41682</v>
      </c>
      <c r="BQ127" s="70"/>
      <c r="BR127" s="57">
        <f t="shared" si="344"/>
        <v>-8564.1068200000009</v>
      </c>
      <c r="BS127" s="43"/>
      <c r="BU127" s="60">
        <v>7227.15</v>
      </c>
      <c r="BV127" s="70"/>
      <c r="BW127" s="60">
        <v>6470</v>
      </c>
      <c r="BX127" s="70"/>
      <c r="BY127" s="57">
        <f t="shared" si="345"/>
        <v>757.14999999999964</v>
      </c>
      <c r="BZ127" s="43"/>
      <c r="CB127" s="61">
        <f t="shared" si="346"/>
        <v>12086.46</v>
      </c>
      <c r="CC127" s="70"/>
      <c r="CD127" s="61">
        <f t="shared" si="347"/>
        <v>33551.76064</v>
      </c>
      <c r="CE127" s="70"/>
      <c r="CF127" s="57">
        <f t="shared" si="348"/>
        <v>-21465.300640000001</v>
      </c>
      <c r="CG127" s="43"/>
      <c r="CI127" s="60">
        <v>7678.87</v>
      </c>
      <c r="CJ127" s="70"/>
      <c r="CK127" s="60">
        <v>6920</v>
      </c>
      <c r="CL127" s="70"/>
      <c r="CM127" s="57">
        <f t="shared" si="349"/>
        <v>758.86999999999989</v>
      </c>
      <c r="CN127" s="43"/>
      <c r="CP127" s="60">
        <v>6637.06</v>
      </c>
      <c r="CQ127" s="70"/>
      <c r="CR127" s="60">
        <v>6536</v>
      </c>
      <c r="CS127" s="70"/>
      <c r="CT127" s="57">
        <f t="shared" si="350"/>
        <v>101.0600000000004</v>
      </c>
      <c r="CU127" s="43"/>
      <c r="CW127" s="60">
        <v>5480.76</v>
      </c>
      <c r="CX127" s="70"/>
      <c r="CY127" s="60">
        <v>5990</v>
      </c>
      <c r="CZ127" s="70"/>
      <c r="DA127" s="57">
        <f t="shared" si="351"/>
        <v>-509.23999999999978</v>
      </c>
      <c r="DB127" s="43"/>
      <c r="DD127" s="60">
        <v>3850.58</v>
      </c>
      <c r="DE127" s="70"/>
      <c r="DF127" s="60">
        <v>6262</v>
      </c>
      <c r="DG127" s="70"/>
      <c r="DH127" s="57">
        <f t="shared" si="352"/>
        <v>-2411.42</v>
      </c>
      <c r="DI127" s="43"/>
      <c r="DK127" s="61">
        <f t="shared" si="353"/>
        <v>23647.270000000004</v>
      </c>
      <c r="DL127" s="70"/>
      <c r="DM127" s="61">
        <f t="shared" si="354"/>
        <v>25708</v>
      </c>
      <c r="DN127" s="70"/>
      <c r="DO127" s="57">
        <f t="shared" si="355"/>
        <v>-2060.7299999999959</v>
      </c>
      <c r="DP127" s="43"/>
      <c r="DR127" s="61">
        <f t="shared" si="356"/>
        <v>58846.090000000011</v>
      </c>
      <c r="DS127" s="33"/>
      <c r="DT127" s="61">
        <f t="shared" si="357"/>
        <v>123017.95382</v>
      </c>
      <c r="DU127" s="33"/>
      <c r="DV127" s="57">
        <f t="shared" si="364"/>
        <v>64171.863819999984</v>
      </c>
      <c r="DW127" s="39"/>
    </row>
    <row r="128" spans="1:134">
      <c r="A128" s="9" t="s">
        <v>129</v>
      </c>
      <c r="B128" s="9"/>
      <c r="C128" s="60">
        <v>463.6</v>
      </c>
      <c r="D128" s="33"/>
      <c r="E128" s="60">
        <v>860</v>
      </c>
      <c r="F128" s="33"/>
      <c r="G128" s="57">
        <f t="shared" si="331"/>
        <v>396.4</v>
      </c>
      <c r="H128" s="39"/>
      <c r="J128" s="60">
        <v>1355.73</v>
      </c>
      <c r="K128" s="33"/>
      <c r="L128" s="60">
        <v>860</v>
      </c>
      <c r="M128" s="33"/>
      <c r="N128" s="57">
        <f t="shared" si="332"/>
        <v>-495.73</v>
      </c>
      <c r="O128" s="39"/>
      <c r="Q128" s="60">
        <v>496.46</v>
      </c>
      <c r="R128" s="33"/>
      <c r="S128" s="60">
        <v>860</v>
      </c>
      <c r="T128" s="33"/>
      <c r="U128" s="57">
        <f t="shared" si="365"/>
        <v>363.54</v>
      </c>
      <c r="V128" s="39"/>
      <c r="X128" s="61">
        <f t="shared" si="334"/>
        <v>2315.79</v>
      </c>
      <c r="Y128" s="33"/>
      <c r="Z128" s="61">
        <f t="shared" si="335"/>
        <v>2580</v>
      </c>
      <c r="AA128" s="33"/>
      <c r="AB128" s="57">
        <f t="shared" si="336"/>
        <v>264.21000000000004</v>
      </c>
      <c r="AC128" s="39"/>
      <c r="AE128" s="60">
        <v>486.75</v>
      </c>
      <c r="AF128" s="33"/>
      <c r="AG128" s="60">
        <v>860</v>
      </c>
      <c r="AH128" s="33"/>
      <c r="AI128" s="57">
        <f t="shared" si="366"/>
        <v>373.25</v>
      </c>
      <c r="AJ128" s="39"/>
      <c r="AL128" s="60">
        <v>486.75</v>
      </c>
      <c r="AM128" s="33"/>
      <c r="AN128" s="60">
        <v>860</v>
      </c>
      <c r="AO128" s="33"/>
      <c r="AP128" s="57">
        <f t="shared" si="367"/>
        <v>373.25</v>
      </c>
      <c r="AQ128" s="39"/>
      <c r="AS128" s="60">
        <v>486.75</v>
      </c>
      <c r="AT128" s="33"/>
      <c r="AU128" s="60">
        <v>860</v>
      </c>
      <c r="AV128" s="33"/>
      <c r="AW128" s="57">
        <f t="shared" si="368"/>
        <v>373.25</v>
      </c>
      <c r="AX128" s="39"/>
      <c r="AZ128" s="61">
        <f t="shared" si="340"/>
        <v>1460.25</v>
      </c>
      <c r="BA128" s="33"/>
      <c r="BB128" s="61">
        <f t="shared" si="341"/>
        <v>2580</v>
      </c>
      <c r="BC128" s="33"/>
      <c r="BD128" s="57">
        <f t="shared" si="363"/>
        <v>1119.75</v>
      </c>
      <c r="BE128" s="39"/>
      <c r="BG128" s="60">
        <v>903.75</v>
      </c>
      <c r="BH128" s="70"/>
      <c r="BI128" s="60">
        <v>860</v>
      </c>
      <c r="BJ128" s="70"/>
      <c r="BK128" s="57">
        <f t="shared" si="343"/>
        <v>43.75</v>
      </c>
      <c r="BL128" s="43"/>
      <c r="BN128" s="60">
        <v>473.76</v>
      </c>
      <c r="BO128" s="70"/>
      <c r="BP128" s="60">
        <v>860</v>
      </c>
      <c r="BQ128" s="70"/>
      <c r="BR128" s="57">
        <f t="shared" si="344"/>
        <v>-386.24</v>
      </c>
      <c r="BS128" s="43"/>
      <c r="BU128" s="60">
        <v>290.64999999999998</v>
      </c>
      <c r="BV128" s="70"/>
      <c r="BW128" s="60">
        <v>162</v>
      </c>
      <c r="BX128" s="70"/>
      <c r="BY128" s="57">
        <f t="shared" si="345"/>
        <v>128.64999999999998</v>
      </c>
      <c r="BZ128" s="43"/>
      <c r="CB128" s="61">
        <f t="shared" si="346"/>
        <v>1668.1599999999999</v>
      </c>
      <c r="CC128" s="70"/>
      <c r="CD128" s="61">
        <f t="shared" si="347"/>
        <v>1882</v>
      </c>
      <c r="CE128" s="70"/>
      <c r="CF128" s="57">
        <f t="shared" si="348"/>
        <v>-213.84000000000015</v>
      </c>
      <c r="CG128" s="43"/>
      <c r="CI128" s="60">
        <v>3318.09</v>
      </c>
      <c r="CJ128" s="70"/>
      <c r="CK128" s="60">
        <v>162</v>
      </c>
      <c r="CL128" s="70"/>
      <c r="CM128" s="57">
        <f t="shared" si="349"/>
        <v>3156.09</v>
      </c>
      <c r="CN128" s="43"/>
      <c r="CP128" s="60">
        <v>340.09</v>
      </c>
      <c r="CQ128" s="70"/>
      <c r="CR128" s="60">
        <v>162</v>
      </c>
      <c r="CS128" s="70"/>
      <c r="CT128" s="57">
        <f t="shared" si="350"/>
        <v>178.08999999999997</v>
      </c>
      <c r="CU128" s="43"/>
      <c r="CW128" s="60">
        <v>563.70000000000005</v>
      </c>
      <c r="CX128" s="70"/>
      <c r="CY128" s="60">
        <v>162</v>
      </c>
      <c r="CZ128" s="70"/>
      <c r="DA128" s="57">
        <f t="shared" si="351"/>
        <v>401.70000000000005</v>
      </c>
      <c r="DB128" s="43"/>
      <c r="DD128" s="60">
        <v>568</v>
      </c>
      <c r="DE128" s="70"/>
      <c r="DF128" s="60">
        <v>162</v>
      </c>
      <c r="DG128" s="70"/>
      <c r="DH128" s="57">
        <f t="shared" si="352"/>
        <v>406</v>
      </c>
      <c r="DI128" s="43"/>
      <c r="DK128" s="61">
        <f t="shared" si="353"/>
        <v>4789.88</v>
      </c>
      <c r="DL128" s="70"/>
      <c r="DM128" s="61">
        <f t="shared" si="354"/>
        <v>648</v>
      </c>
      <c r="DN128" s="70"/>
      <c r="DO128" s="57">
        <f t="shared" si="355"/>
        <v>4141.88</v>
      </c>
      <c r="DP128" s="43"/>
      <c r="DR128" s="61">
        <f t="shared" si="356"/>
        <v>10234.08</v>
      </c>
      <c r="DS128" s="33"/>
      <c r="DT128" s="61">
        <f t="shared" si="357"/>
        <v>7690</v>
      </c>
      <c r="DU128" s="33"/>
      <c r="DV128" s="57">
        <f t="shared" si="364"/>
        <v>-2544.08</v>
      </c>
      <c r="DW128" s="39"/>
    </row>
    <row r="129" spans="1:133">
      <c r="A129" s="9" t="s">
        <v>130</v>
      </c>
      <c r="B129" s="9"/>
      <c r="C129" s="60">
        <v>2351.85</v>
      </c>
      <c r="D129" s="33"/>
      <c r="E129" s="60">
        <v>2152.4030769230767</v>
      </c>
      <c r="F129" s="33"/>
      <c r="G129" s="57">
        <f t="shared" si="331"/>
        <v>-199.44692307692321</v>
      </c>
      <c r="H129" s="39"/>
      <c r="J129" s="60">
        <v>2351.85</v>
      </c>
      <c r="K129" s="33"/>
      <c r="L129" s="60">
        <v>2152.4030769230767</v>
      </c>
      <c r="M129" s="33"/>
      <c r="N129" s="57">
        <f t="shared" si="332"/>
        <v>-199.44692307692321</v>
      </c>
      <c r="O129" s="39"/>
      <c r="Q129" s="60">
        <v>2351.84</v>
      </c>
      <c r="R129" s="33"/>
      <c r="S129" s="60">
        <v>2152.4030769230767</v>
      </c>
      <c r="T129" s="33"/>
      <c r="U129" s="57"/>
      <c r="V129" s="39"/>
      <c r="X129" s="61">
        <f t="shared" si="334"/>
        <v>7055.54</v>
      </c>
      <c r="Y129" s="33"/>
      <c r="Z129" s="61">
        <f t="shared" si="335"/>
        <v>6457.2092307692301</v>
      </c>
      <c r="AA129" s="33"/>
      <c r="AB129" s="57">
        <f t="shared" si="336"/>
        <v>-598.33076923076987</v>
      </c>
      <c r="AC129" s="39"/>
      <c r="AE129" s="60">
        <v>2033.46</v>
      </c>
      <c r="AF129" s="33"/>
      <c r="AG129" s="60">
        <v>2152.4030769230767</v>
      </c>
      <c r="AH129" s="33"/>
      <c r="AI129" s="57">
        <f t="shared" si="366"/>
        <v>118.94307692307666</v>
      </c>
      <c r="AJ129" s="39"/>
      <c r="AL129" s="60">
        <v>2219.42</v>
      </c>
      <c r="AM129" s="33"/>
      <c r="AN129" s="60">
        <v>2152.4030769230767</v>
      </c>
      <c r="AO129" s="33"/>
      <c r="AP129" s="57">
        <f t="shared" si="367"/>
        <v>-67.016923076923376</v>
      </c>
      <c r="AQ129" s="39"/>
      <c r="AS129" s="60">
        <v>2126.44</v>
      </c>
      <c r="AT129" s="33"/>
      <c r="AU129" s="60">
        <v>2152.4030769230767</v>
      </c>
      <c r="AV129" s="33"/>
      <c r="AW129" s="57">
        <f t="shared" si="368"/>
        <v>25.963076923076642</v>
      </c>
      <c r="AX129" s="39"/>
      <c r="AZ129" s="61">
        <f t="shared" si="340"/>
        <v>6379.32</v>
      </c>
      <c r="BA129" s="33"/>
      <c r="BB129" s="61">
        <f t="shared" si="341"/>
        <v>6457.2092307692301</v>
      </c>
      <c r="BC129" s="33"/>
      <c r="BD129" s="57">
        <f t="shared" si="363"/>
        <v>77.88923076923038</v>
      </c>
      <c r="BE129" s="39"/>
      <c r="BG129" s="60">
        <v>2139.04</v>
      </c>
      <c r="BH129" s="70"/>
      <c r="BI129" s="60">
        <v>2152.4030769230767</v>
      </c>
      <c r="BJ129" s="70"/>
      <c r="BK129" s="57">
        <f t="shared" si="343"/>
        <v>-13.363076923076733</v>
      </c>
      <c r="BL129" s="43"/>
      <c r="BN129" s="60">
        <v>2139.04</v>
      </c>
      <c r="BO129" s="70"/>
      <c r="BP129" s="60">
        <v>2152.4030769230767</v>
      </c>
      <c r="BQ129" s="70"/>
      <c r="BR129" s="57">
        <f t="shared" si="344"/>
        <v>-13.363076923076733</v>
      </c>
      <c r="BS129" s="43"/>
      <c r="BU129" s="60">
        <v>2139.04</v>
      </c>
      <c r="BV129" s="70"/>
      <c r="BW129" s="60">
        <v>2152</v>
      </c>
      <c r="BX129" s="70"/>
      <c r="BY129" s="57">
        <f t="shared" si="345"/>
        <v>-12.960000000000036</v>
      </c>
      <c r="BZ129" s="43"/>
      <c r="CB129" s="61">
        <f t="shared" si="346"/>
        <v>6417.12</v>
      </c>
      <c r="CC129" s="70"/>
      <c r="CD129" s="61">
        <f t="shared" si="347"/>
        <v>6456.8061538461534</v>
      </c>
      <c r="CE129" s="70"/>
      <c r="CF129" s="57">
        <f t="shared" si="348"/>
        <v>-39.686153846153502</v>
      </c>
      <c r="CG129" s="43"/>
      <c r="CI129" s="60">
        <v>2139.04</v>
      </c>
      <c r="CJ129" s="70"/>
      <c r="CK129" s="60">
        <v>2152</v>
      </c>
      <c r="CL129" s="70"/>
      <c r="CM129" s="57">
        <f t="shared" si="349"/>
        <v>-12.960000000000036</v>
      </c>
      <c r="CN129" s="43"/>
      <c r="CP129" s="60">
        <v>2139.04</v>
      </c>
      <c r="CQ129" s="70"/>
      <c r="CR129" s="60">
        <v>2152</v>
      </c>
      <c r="CS129" s="70"/>
      <c r="CT129" s="57">
        <f t="shared" si="350"/>
        <v>-12.960000000000036</v>
      </c>
      <c r="CU129" s="43"/>
      <c r="CW129" s="60">
        <v>2139.04</v>
      </c>
      <c r="CX129" s="70"/>
      <c r="CY129" s="60">
        <v>2152.4030769230767</v>
      </c>
      <c r="CZ129" s="70"/>
      <c r="DA129" s="57">
        <f t="shared" si="351"/>
        <v>-13.363076923076733</v>
      </c>
      <c r="DB129" s="43"/>
      <c r="DD129" s="60">
        <v>2139.04</v>
      </c>
      <c r="DE129" s="70"/>
      <c r="DF129" s="60">
        <v>2152.4030769230767</v>
      </c>
      <c r="DG129" s="70"/>
      <c r="DH129" s="57">
        <f t="shared" si="352"/>
        <v>-13.363076923076733</v>
      </c>
      <c r="DI129" s="43"/>
      <c r="DK129" s="61">
        <f t="shared" si="353"/>
        <v>8556.16</v>
      </c>
      <c r="DL129" s="70"/>
      <c r="DM129" s="61">
        <f t="shared" si="354"/>
        <v>8608.8061538461534</v>
      </c>
      <c r="DN129" s="70"/>
      <c r="DO129" s="57">
        <f t="shared" si="355"/>
        <v>-52.646153846153538</v>
      </c>
      <c r="DP129" s="43"/>
      <c r="DR129" s="61">
        <f t="shared" si="356"/>
        <v>28408.14</v>
      </c>
      <c r="DS129" s="33"/>
      <c r="DT129" s="61">
        <f t="shared" si="357"/>
        <v>27980.030769230769</v>
      </c>
      <c r="DU129" s="33"/>
      <c r="DV129" s="57">
        <f t="shared" si="364"/>
        <v>-428.10923076923063</v>
      </c>
      <c r="DW129" s="39"/>
    </row>
    <row r="130" spans="1:133">
      <c r="A130" s="9" t="s">
        <v>131</v>
      </c>
      <c r="B130" s="9"/>
      <c r="C130" s="60">
        <v>0</v>
      </c>
      <c r="D130" s="33"/>
      <c r="E130" s="60">
        <v>82.307692307692307</v>
      </c>
      <c r="F130" s="33"/>
      <c r="G130" s="57">
        <f t="shared" si="331"/>
        <v>82.307692307692307</v>
      </c>
      <c r="H130" s="39"/>
      <c r="J130" s="60">
        <f>-75.24</f>
        <v>-75.239999999999995</v>
      </c>
      <c r="K130" s="33"/>
      <c r="L130" s="60">
        <v>82.307692307692307</v>
      </c>
      <c r="M130" s="33"/>
      <c r="N130" s="57">
        <f t="shared" si="332"/>
        <v>157.5476923076923</v>
      </c>
      <c r="O130" s="39"/>
      <c r="Q130" s="60">
        <f>380.77-147.57</f>
        <v>233.2</v>
      </c>
      <c r="R130" s="33"/>
      <c r="S130" s="60">
        <v>82.307692307692307</v>
      </c>
      <c r="T130" s="33"/>
      <c r="U130" s="57">
        <f t="shared" si="365"/>
        <v>-150.89230769230767</v>
      </c>
      <c r="V130" s="39"/>
      <c r="X130" s="61">
        <f t="shared" si="334"/>
        <v>157.95999999999998</v>
      </c>
      <c r="Y130" s="33"/>
      <c r="Z130" s="61">
        <f t="shared" si="335"/>
        <v>246.92307692307691</v>
      </c>
      <c r="AA130" s="33"/>
      <c r="AB130" s="57">
        <f t="shared" si="336"/>
        <v>88.963076923076926</v>
      </c>
      <c r="AC130" s="39"/>
      <c r="AE130" s="60">
        <v>380.77</v>
      </c>
      <c r="AF130" s="33"/>
      <c r="AG130" s="60">
        <v>82.307692307692307</v>
      </c>
      <c r="AH130" s="33"/>
      <c r="AI130" s="57">
        <f t="shared" si="366"/>
        <v>-298.46230769230766</v>
      </c>
      <c r="AJ130" s="39"/>
      <c r="AL130" s="60">
        <v>380.77</v>
      </c>
      <c r="AM130" s="33"/>
      <c r="AN130" s="60">
        <v>82.307692307692307</v>
      </c>
      <c r="AO130" s="33"/>
      <c r="AP130" s="57">
        <f t="shared" si="367"/>
        <v>-298.46230769230766</v>
      </c>
      <c r="AQ130" s="39"/>
      <c r="AS130" s="60">
        <v>380.77</v>
      </c>
      <c r="AT130" s="33"/>
      <c r="AU130" s="60">
        <v>82.307692307692307</v>
      </c>
      <c r="AV130" s="33"/>
      <c r="AW130" s="57">
        <f t="shared" si="368"/>
        <v>-298.46230769230766</v>
      </c>
      <c r="AX130" s="39"/>
      <c r="AZ130" s="61">
        <f t="shared" si="340"/>
        <v>1142.31</v>
      </c>
      <c r="BA130" s="33"/>
      <c r="BB130" s="61">
        <f t="shared" si="341"/>
        <v>246.92307692307691</v>
      </c>
      <c r="BC130" s="33"/>
      <c r="BD130" s="57">
        <f t="shared" si="363"/>
        <v>-895.38692307692304</v>
      </c>
      <c r="BE130" s="39"/>
      <c r="BG130" s="60">
        <v>380.77</v>
      </c>
      <c r="BH130" s="70"/>
      <c r="BI130" s="60">
        <v>82.307692307692307</v>
      </c>
      <c r="BJ130" s="70"/>
      <c r="BK130" s="57">
        <f t="shared" si="343"/>
        <v>298.46230769230766</v>
      </c>
      <c r="BL130" s="43"/>
      <c r="BN130" s="60">
        <v>1052.77</v>
      </c>
      <c r="BO130" s="70"/>
      <c r="BP130" s="60">
        <v>82.307692307692307</v>
      </c>
      <c r="BQ130" s="70"/>
      <c r="BR130" s="57">
        <f t="shared" si="344"/>
        <v>970.46230769230772</v>
      </c>
      <c r="BS130" s="43"/>
      <c r="BU130" s="60">
        <v>380.77</v>
      </c>
      <c r="BV130" s="70"/>
      <c r="BW130" s="60">
        <v>82</v>
      </c>
      <c r="BX130" s="70"/>
      <c r="BY130" s="57">
        <f t="shared" si="345"/>
        <v>298.77</v>
      </c>
      <c r="BZ130" s="43"/>
      <c r="CB130" s="61">
        <f t="shared" si="346"/>
        <v>1814.31</v>
      </c>
      <c r="CC130" s="70"/>
      <c r="CD130" s="61">
        <f t="shared" si="347"/>
        <v>246.61538461538461</v>
      </c>
      <c r="CE130" s="70"/>
      <c r="CF130" s="57">
        <f t="shared" si="348"/>
        <v>1567.6946153846154</v>
      </c>
      <c r="CG130" s="43"/>
      <c r="CI130" s="60">
        <v>380.77</v>
      </c>
      <c r="CJ130" s="70"/>
      <c r="CK130" s="60">
        <v>82</v>
      </c>
      <c r="CL130" s="70"/>
      <c r="CM130" s="57">
        <f t="shared" si="349"/>
        <v>298.77</v>
      </c>
      <c r="CN130" s="43"/>
      <c r="CP130" s="60">
        <v>592.27</v>
      </c>
      <c r="CQ130" s="70"/>
      <c r="CR130" s="60">
        <v>82</v>
      </c>
      <c r="CS130" s="70"/>
      <c r="CT130" s="57">
        <f t="shared" si="350"/>
        <v>510.27</v>
      </c>
      <c r="CU130" s="43"/>
      <c r="CW130" s="60">
        <v>611.77</v>
      </c>
      <c r="CX130" s="70"/>
      <c r="CY130" s="60">
        <v>82.307692307692307</v>
      </c>
      <c r="CZ130" s="70"/>
      <c r="DA130" s="57">
        <f t="shared" si="351"/>
        <v>529.46230769230772</v>
      </c>
      <c r="DB130" s="43"/>
      <c r="DD130" s="60">
        <v>380.77</v>
      </c>
      <c r="DE130" s="70"/>
      <c r="DF130" s="60">
        <v>82.307692307692307</v>
      </c>
      <c r="DG130" s="70"/>
      <c r="DH130" s="57">
        <f t="shared" si="352"/>
        <v>298.46230769230766</v>
      </c>
      <c r="DI130" s="43"/>
      <c r="DK130" s="61">
        <f t="shared" si="353"/>
        <v>1965.58</v>
      </c>
      <c r="DL130" s="70"/>
      <c r="DM130" s="61">
        <f t="shared" si="354"/>
        <v>328.61538461538464</v>
      </c>
      <c r="DN130" s="70"/>
      <c r="DO130" s="57">
        <f t="shared" si="355"/>
        <v>1636.9646153846152</v>
      </c>
      <c r="DP130" s="43"/>
      <c r="DR130" s="61">
        <f t="shared" si="356"/>
        <v>5080.16</v>
      </c>
      <c r="DS130" s="33"/>
      <c r="DT130" s="61">
        <f t="shared" si="357"/>
        <v>1069.0769230769231</v>
      </c>
      <c r="DU130" s="33"/>
      <c r="DV130" s="57">
        <f t="shared" si="364"/>
        <v>-4011.083076923077</v>
      </c>
      <c r="DW130" s="39"/>
    </row>
    <row r="131" spans="1:133">
      <c r="A131" s="9" t="s">
        <v>132</v>
      </c>
      <c r="B131" s="9"/>
      <c r="C131" s="60">
        <v>92.22</v>
      </c>
      <c r="D131" s="33"/>
      <c r="E131" s="60">
        <v>274.80400000000003</v>
      </c>
      <c r="F131" s="33"/>
      <c r="G131" s="57">
        <f t="shared" si="331"/>
        <v>182.58400000000003</v>
      </c>
      <c r="H131" s="39"/>
      <c r="J131" s="60">
        <v>356.82</v>
      </c>
      <c r="K131" s="33"/>
      <c r="L131" s="60">
        <v>274.80400000000003</v>
      </c>
      <c r="M131" s="33"/>
      <c r="N131" s="57">
        <f t="shared" si="332"/>
        <v>-82.015999999999963</v>
      </c>
      <c r="O131" s="39"/>
      <c r="Q131" s="60">
        <v>252.8</v>
      </c>
      <c r="R131" s="33"/>
      <c r="S131" s="60">
        <v>274.80400000000003</v>
      </c>
      <c r="T131" s="33"/>
      <c r="U131" s="57">
        <f t="shared" si="365"/>
        <v>22.004000000000019</v>
      </c>
      <c r="V131" s="39"/>
      <c r="X131" s="61">
        <f t="shared" si="334"/>
        <v>701.83999999999992</v>
      </c>
      <c r="Y131" s="33"/>
      <c r="Z131" s="61">
        <f t="shared" si="335"/>
        <v>824.41200000000003</v>
      </c>
      <c r="AA131" s="33"/>
      <c r="AB131" s="57">
        <f t="shared" si="336"/>
        <v>122.57200000000012</v>
      </c>
      <c r="AC131" s="39"/>
      <c r="AE131" s="60">
        <v>0</v>
      </c>
      <c r="AF131" s="33"/>
      <c r="AG131" s="60">
        <v>274.80400000000003</v>
      </c>
      <c r="AH131" s="33"/>
      <c r="AI131" s="57">
        <f t="shared" si="366"/>
        <v>274.80400000000003</v>
      </c>
      <c r="AJ131" s="39"/>
      <c r="AL131" s="60">
        <v>0</v>
      </c>
      <c r="AM131" s="33"/>
      <c r="AN131" s="60">
        <v>274.80400000000003</v>
      </c>
      <c r="AO131" s="33"/>
      <c r="AP131" s="57">
        <f t="shared" si="367"/>
        <v>274.80400000000003</v>
      </c>
      <c r="AQ131" s="39"/>
      <c r="AS131" s="60">
        <v>0</v>
      </c>
      <c r="AT131" s="33"/>
      <c r="AU131" s="60">
        <v>274.80400000000003</v>
      </c>
      <c r="AV131" s="33"/>
      <c r="AW131" s="57">
        <f t="shared" si="368"/>
        <v>274.80400000000003</v>
      </c>
      <c r="AX131" s="39"/>
      <c r="AZ131" s="61">
        <f t="shared" si="340"/>
        <v>0</v>
      </c>
      <c r="BA131" s="33"/>
      <c r="BB131" s="61">
        <f t="shared" si="341"/>
        <v>824.41200000000003</v>
      </c>
      <c r="BC131" s="33"/>
      <c r="BD131" s="57">
        <f t="shared" si="363"/>
        <v>824.41200000000003</v>
      </c>
      <c r="BE131" s="39"/>
      <c r="BG131" s="60">
        <v>0</v>
      </c>
      <c r="BH131" s="70"/>
      <c r="BI131" s="60">
        <v>274.80400000000003</v>
      </c>
      <c r="BJ131" s="70"/>
      <c r="BK131" s="57">
        <f t="shared" si="343"/>
        <v>-274.80400000000003</v>
      </c>
      <c r="BL131" s="43"/>
      <c r="BN131" s="60">
        <v>536.41999999999996</v>
      </c>
      <c r="BO131" s="70"/>
      <c r="BP131" s="60">
        <v>274.80400000000003</v>
      </c>
      <c r="BQ131" s="70"/>
      <c r="BR131" s="57">
        <f t="shared" si="344"/>
        <v>261.61599999999993</v>
      </c>
      <c r="BS131" s="43"/>
      <c r="BU131" s="60">
        <v>438.35</v>
      </c>
      <c r="BV131" s="70"/>
      <c r="BW131" s="60">
        <v>275</v>
      </c>
      <c r="BX131" s="70"/>
      <c r="BY131" s="57">
        <f t="shared" si="345"/>
        <v>163.35000000000002</v>
      </c>
      <c r="BZ131" s="43"/>
      <c r="CB131" s="61">
        <f t="shared" si="346"/>
        <v>974.77</v>
      </c>
      <c r="CC131" s="70"/>
      <c r="CD131" s="61">
        <f t="shared" si="347"/>
        <v>824.60800000000006</v>
      </c>
      <c r="CE131" s="70"/>
      <c r="CF131" s="57">
        <f t="shared" si="348"/>
        <v>150.16199999999992</v>
      </c>
      <c r="CG131" s="43"/>
      <c r="CI131" s="60">
        <v>249.16</v>
      </c>
      <c r="CJ131" s="70"/>
      <c r="CK131" s="60">
        <v>275</v>
      </c>
      <c r="CL131" s="70"/>
      <c r="CM131" s="57">
        <f t="shared" si="349"/>
        <v>-25.840000000000003</v>
      </c>
      <c r="CN131" s="43"/>
      <c r="CP131" s="60">
        <v>376.19</v>
      </c>
      <c r="CQ131" s="70"/>
      <c r="CR131" s="60">
        <v>274.80400000000003</v>
      </c>
      <c r="CS131" s="70"/>
      <c r="CT131" s="57">
        <f t="shared" si="350"/>
        <v>101.38599999999997</v>
      </c>
      <c r="CU131" s="43"/>
      <c r="CW131" s="60">
        <v>2804.15</v>
      </c>
      <c r="CX131" s="70"/>
      <c r="CY131" s="60">
        <v>274.80400000000003</v>
      </c>
      <c r="CZ131" s="70"/>
      <c r="DA131" s="57">
        <f t="shared" si="351"/>
        <v>2529.346</v>
      </c>
      <c r="DB131" s="43"/>
      <c r="DD131" s="60">
        <v>-8.2100000000000009</v>
      </c>
      <c r="DE131" s="70"/>
      <c r="DF131" s="60">
        <v>274.80400000000003</v>
      </c>
      <c r="DG131" s="70"/>
      <c r="DH131" s="57">
        <f t="shared" si="352"/>
        <v>-283.01400000000001</v>
      </c>
      <c r="DI131" s="43"/>
      <c r="DK131" s="61">
        <f t="shared" si="353"/>
        <v>3421.29</v>
      </c>
      <c r="DL131" s="70"/>
      <c r="DM131" s="61">
        <f t="shared" si="354"/>
        <v>1099.4120000000003</v>
      </c>
      <c r="DN131" s="70"/>
      <c r="DO131" s="57">
        <f t="shared" si="355"/>
        <v>2321.8779999999997</v>
      </c>
      <c r="DP131" s="43"/>
      <c r="DR131" s="61">
        <f t="shared" si="356"/>
        <v>5097.8999999999996</v>
      </c>
      <c r="DS131" s="33"/>
      <c r="DT131" s="61">
        <f t="shared" si="357"/>
        <v>3572.8440000000005</v>
      </c>
      <c r="DU131" s="33"/>
      <c r="DV131" s="57">
        <f t="shared" si="364"/>
        <v>-1525.0559999999991</v>
      </c>
      <c r="DW131" s="39"/>
    </row>
    <row r="132" spans="1:133">
      <c r="A132" s="9" t="s">
        <v>133</v>
      </c>
      <c r="B132" s="9"/>
      <c r="C132" s="60">
        <v>2449.5</v>
      </c>
      <c r="D132" s="33"/>
      <c r="E132" s="60">
        <v>1329.1120000000001</v>
      </c>
      <c r="F132" s="33"/>
      <c r="G132" s="57">
        <f t="shared" si="331"/>
        <v>-1120.3879999999999</v>
      </c>
      <c r="H132" s="39"/>
      <c r="J132" s="60">
        <v>908.43</v>
      </c>
      <c r="K132" s="33"/>
      <c r="L132" s="60">
        <v>1329.1120000000001</v>
      </c>
      <c r="M132" s="33"/>
      <c r="N132" s="57">
        <f t="shared" si="332"/>
        <v>420.68200000000013</v>
      </c>
      <c r="O132" s="39"/>
      <c r="Q132" s="60">
        <v>1018.67</v>
      </c>
      <c r="R132" s="33"/>
      <c r="S132" s="60">
        <v>1329.1120000000001</v>
      </c>
      <c r="T132" s="33"/>
      <c r="U132" s="57">
        <f t="shared" si="365"/>
        <v>310.44200000000012</v>
      </c>
      <c r="V132" s="39"/>
      <c r="X132" s="61">
        <f t="shared" si="334"/>
        <v>4376.5999999999995</v>
      </c>
      <c r="Y132" s="33"/>
      <c r="Z132" s="61">
        <f t="shared" si="335"/>
        <v>3987.3360000000002</v>
      </c>
      <c r="AA132" s="33"/>
      <c r="AB132" s="57">
        <f t="shared" si="336"/>
        <v>-389.26399999999921</v>
      </c>
      <c r="AC132" s="39"/>
      <c r="AE132" s="60">
        <v>396.99</v>
      </c>
      <c r="AF132" s="33"/>
      <c r="AG132" s="60">
        <v>1329.1120000000001</v>
      </c>
      <c r="AH132" s="33"/>
      <c r="AI132" s="57">
        <f t="shared" si="366"/>
        <v>932.12200000000007</v>
      </c>
      <c r="AJ132" s="39"/>
      <c r="AL132" s="60">
        <v>-644</v>
      </c>
      <c r="AM132" s="33"/>
      <c r="AN132" s="60">
        <v>1329.1120000000001</v>
      </c>
      <c r="AO132" s="33"/>
      <c r="AP132" s="57">
        <f t="shared" si="367"/>
        <v>1973.1120000000001</v>
      </c>
      <c r="AQ132" s="39"/>
      <c r="AS132" s="60">
        <v>0</v>
      </c>
      <c r="AT132" s="33"/>
      <c r="AU132" s="60">
        <v>1329.1120000000001</v>
      </c>
      <c r="AV132" s="33"/>
      <c r="AW132" s="57">
        <f t="shared" si="368"/>
        <v>1329.1120000000001</v>
      </c>
      <c r="AX132" s="39"/>
      <c r="AZ132" s="61">
        <f t="shared" si="340"/>
        <v>-247.01</v>
      </c>
      <c r="BA132" s="33"/>
      <c r="BB132" s="61">
        <f t="shared" si="341"/>
        <v>3987.3360000000002</v>
      </c>
      <c r="BC132" s="33"/>
      <c r="BD132" s="57">
        <f t="shared" si="363"/>
        <v>4234.3460000000005</v>
      </c>
      <c r="BE132" s="39"/>
      <c r="BG132" s="60">
        <v>0</v>
      </c>
      <c r="BH132" s="70"/>
      <c r="BI132" s="60">
        <v>1329.1120000000001</v>
      </c>
      <c r="BJ132" s="70"/>
      <c r="BK132" s="57">
        <f t="shared" si="343"/>
        <v>-1329.1120000000001</v>
      </c>
      <c r="BL132" s="43"/>
      <c r="BN132" s="60">
        <v>622.51</v>
      </c>
      <c r="BO132" s="70"/>
      <c r="BP132" s="60">
        <v>1329.1120000000001</v>
      </c>
      <c r="BQ132" s="70"/>
      <c r="BR132" s="57">
        <f t="shared" si="344"/>
        <v>-706.60200000000009</v>
      </c>
      <c r="BS132" s="43"/>
      <c r="BU132" s="60">
        <v>7000</v>
      </c>
      <c r="BV132" s="70"/>
      <c r="BW132" s="60">
        <v>596</v>
      </c>
      <c r="BX132" s="70"/>
      <c r="BY132" s="57">
        <f t="shared" si="345"/>
        <v>6404</v>
      </c>
      <c r="BZ132" s="43"/>
      <c r="CB132" s="61">
        <f t="shared" si="346"/>
        <v>7622.51</v>
      </c>
      <c r="CC132" s="70"/>
      <c r="CD132" s="61">
        <f t="shared" si="347"/>
        <v>3254.2240000000002</v>
      </c>
      <c r="CE132" s="70"/>
      <c r="CF132" s="57">
        <f t="shared" si="348"/>
        <v>4368.2860000000001</v>
      </c>
      <c r="CG132" s="43"/>
      <c r="CI132" s="60">
        <v>2114.96</v>
      </c>
      <c r="CJ132" s="70"/>
      <c r="CK132" s="60">
        <v>596</v>
      </c>
      <c r="CL132" s="70"/>
      <c r="CM132" s="57">
        <f t="shared" si="349"/>
        <v>1518.96</v>
      </c>
      <c r="CN132" s="43"/>
      <c r="CP132" s="60">
        <v>0</v>
      </c>
      <c r="CQ132" s="70"/>
      <c r="CR132" s="60">
        <v>596</v>
      </c>
      <c r="CS132" s="70"/>
      <c r="CT132" s="57">
        <f t="shared" si="350"/>
        <v>-596</v>
      </c>
      <c r="CU132" s="43"/>
      <c r="CW132" s="60">
        <v>0</v>
      </c>
      <c r="CX132" s="70"/>
      <c r="CY132" s="60">
        <v>596</v>
      </c>
      <c r="CZ132" s="70"/>
      <c r="DA132" s="57">
        <f t="shared" si="351"/>
        <v>-596</v>
      </c>
      <c r="DB132" s="43"/>
      <c r="DD132" s="60">
        <v>232.16</v>
      </c>
      <c r="DE132" s="70"/>
      <c r="DF132" s="60">
        <v>596</v>
      </c>
      <c r="DG132" s="70"/>
      <c r="DH132" s="57">
        <f t="shared" si="352"/>
        <v>-363.84000000000003</v>
      </c>
      <c r="DI132" s="43"/>
      <c r="DK132" s="61">
        <f t="shared" si="353"/>
        <v>2347.12</v>
      </c>
      <c r="DL132" s="70"/>
      <c r="DM132" s="61">
        <f t="shared" si="354"/>
        <v>2384</v>
      </c>
      <c r="DN132" s="70"/>
      <c r="DO132" s="57">
        <f t="shared" si="355"/>
        <v>-36.880000000000109</v>
      </c>
      <c r="DP132" s="43"/>
      <c r="DR132" s="61">
        <f t="shared" si="356"/>
        <v>14099.219999999998</v>
      </c>
      <c r="DS132" s="33"/>
      <c r="DT132" s="61">
        <f t="shared" si="357"/>
        <v>13612.896000000001</v>
      </c>
      <c r="DU132" s="33"/>
      <c r="DV132" s="57">
        <f t="shared" si="364"/>
        <v>-486.32399999999689</v>
      </c>
      <c r="DW132" s="39"/>
    </row>
    <row r="133" spans="1:133">
      <c r="A133" s="9" t="s">
        <v>134</v>
      </c>
      <c r="B133" s="9"/>
      <c r="C133" s="60">
        <v>0</v>
      </c>
      <c r="D133" s="33"/>
      <c r="E133" s="60">
        <v>30.820769230769233</v>
      </c>
      <c r="F133" s="33"/>
      <c r="G133" s="57">
        <f t="shared" si="331"/>
        <v>30.820769230769233</v>
      </c>
      <c r="H133" s="39"/>
      <c r="J133" s="60">
        <v>0</v>
      </c>
      <c r="K133" s="33"/>
      <c r="L133" s="60">
        <v>30.820769230769233</v>
      </c>
      <c r="M133" s="33"/>
      <c r="N133" s="57">
        <f t="shared" si="332"/>
        <v>30.820769230769233</v>
      </c>
      <c r="O133" s="39"/>
      <c r="Q133" s="60">
        <v>68.349999999999994</v>
      </c>
      <c r="R133" s="33"/>
      <c r="S133" s="60">
        <v>30.820769230769233</v>
      </c>
      <c r="T133" s="33"/>
      <c r="U133" s="57">
        <f t="shared" si="365"/>
        <v>-37.529230769230765</v>
      </c>
      <c r="V133" s="39"/>
      <c r="X133" s="61">
        <f t="shared" si="334"/>
        <v>68.349999999999994</v>
      </c>
      <c r="Y133" s="33"/>
      <c r="Z133" s="61">
        <f t="shared" si="335"/>
        <v>92.462307692307704</v>
      </c>
      <c r="AA133" s="33"/>
      <c r="AB133" s="57">
        <f t="shared" si="336"/>
        <v>24.112307692307709</v>
      </c>
      <c r="AC133" s="39"/>
      <c r="AE133" s="60">
        <v>0</v>
      </c>
      <c r="AF133" s="33"/>
      <c r="AG133" s="60">
        <v>30.820769230769233</v>
      </c>
      <c r="AH133" s="33"/>
      <c r="AI133" s="57">
        <f t="shared" si="366"/>
        <v>30.820769230769233</v>
      </c>
      <c r="AJ133" s="39"/>
      <c r="AL133" s="60">
        <v>0</v>
      </c>
      <c r="AM133" s="33"/>
      <c r="AN133" s="60">
        <v>30.820769230769233</v>
      </c>
      <c r="AO133" s="33"/>
      <c r="AP133" s="57">
        <f t="shared" si="367"/>
        <v>30.820769230769233</v>
      </c>
      <c r="AQ133" s="39"/>
      <c r="AS133" s="60">
        <v>0</v>
      </c>
      <c r="AT133" s="33"/>
      <c r="AU133" s="60">
        <v>30.820769230769233</v>
      </c>
      <c r="AV133" s="33"/>
      <c r="AW133" s="57">
        <f t="shared" si="368"/>
        <v>30.820769230769233</v>
      </c>
      <c r="AX133" s="39"/>
      <c r="AZ133" s="61">
        <f t="shared" si="340"/>
        <v>0</v>
      </c>
      <c r="BA133" s="33"/>
      <c r="BB133" s="61">
        <f t="shared" si="341"/>
        <v>92.462307692307704</v>
      </c>
      <c r="BC133" s="33"/>
      <c r="BD133" s="57">
        <f t="shared" si="363"/>
        <v>92.462307692307704</v>
      </c>
      <c r="BE133" s="39"/>
      <c r="BG133" s="60">
        <v>104</v>
      </c>
      <c r="BH133" s="70"/>
      <c r="BI133" s="60">
        <v>30.820769230769233</v>
      </c>
      <c r="BJ133" s="70"/>
      <c r="BK133" s="57">
        <f t="shared" si="343"/>
        <v>73.17923076923077</v>
      </c>
      <c r="BL133" s="43"/>
      <c r="BN133" s="60">
        <v>236.65</v>
      </c>
      <c r="BO133" s="70"/>
      <c r="BP133" s="60">
        <v>30.820769230769233</v>
      </c>
      <c r="BQ133" s="70"/>
      <c r="BR133" s="57">
        <f t="shared" si="344"/>
        <v>205.82923076923078</v>
      </c>
      <c r="BS133" s="43"/>
      <c r="BU133" s="60">
        <v>290.60000000000002</v>
      </c>
      <c r="BV133" s="70"/>
      <c r="BW133" s="60">
        <v>0</v>
      </c>
      <c r="BX133" s="70"/>
      <c r="BY133" s="57">
        <f t="shared" si="345"/>
        <v>290.60000000000002</v>
      </c>
      <c r="BZ133" s="43"/>
      <c r="CB133" s="61">
        <f t="shared" si="346"/>
        <v>631.25</v>
      </c>
      <c r="CC133" s="70"/>
      <c r="CD133" s="61">
        <f t="shared" si="347"/>
        <v>61.641538461538467</v>
      </c>
      <c r="CE133" s="70"/>
      <c r="CF133" s="57">
        <f t="shared" si="348"/>
        <v>569.60846153846148</v>
      </c>
      <c r="CG133" s="43"/>
      <c r="CI133" s="60">
        <v>67.97</v>
      </c>
      <c r="CJ133" s="70"/>
      <c r="CK133" s="60">
        <v>0</v>
      </c>
      <c r="CL133" s="70"/>
      <c r="CM133" s="57">
        <f t="shared" si="349"/>
        <v>67.97</v>
      </c>
      <c r="CN133" s="43"/>
      <c r="CP133" s="60">
        <v>0</v>
      </c>
      <c r="CQ133" s="70"/>
      <c r="CR133" s="60">
        <v>0</v>
      </c>
      <c r="CS133" s="70"/>
      <c r="CT133" s="57">
        <f t="shared" si="350"/>
        <v>0</v>
      </c>
      <c r="CU133" s="43"/>
      <c r="CW133" s="60">
        <v>0</v>
      </c>
      <c r="CX133" s="70"/>
      <c r="CY133" s="60">
        <v>0</v>
      </c>
      <c r="CZ133" s="70"/>
      <c r="DA133" s="57">
        <f t="shared" si="351"/>
        <v>0</v>
      </c>
      <c r="DB133" s="43"/>
      <c r="DD133" s="60">
        <v>58.25</v>
      </c>
      <c r="DE133" s="70"/>
      <c r="DF133" s="60">
        <v>0</v>
      </c>
      <c r="DG133" s="70"/>
      <c r="DH133" s="57">
        <f t="shared" si="352"/>
        <v>58.25</v>
      </c>
      <c r="DI133" s="43"/>
      <c r="DK133" s="61">
        <f t="shared" si="353"/>
        <v>126.22</v>
      </c>
      <c r="DL133" s="70"/>
      <c r="DM133" s="61">
        <f t="shared" si="354"/>
        <v>0</v>
      </c>
      <c r="DN133" s="70"/>
      <c r="DO133" s="57">
        <f t="shared" si="355"/>
        <v>126.22</v>
      </c>
      <c r="DP133" s="43"/>
      <c r="DR133" s="61">
        <f t="shared" si="356"/>
        <v>825.82</v>
      </c>
      <c r="DS133" s="33"/>
      <c r="DT133" s="61">
        <f t="shared" si="357"/>
        <v>246.56615384615387</v>
      </c>
      <c r="DU133" s="33"/>
      <c r="DV133" s="57">
        <f t="shared" si="364"/>
        <v>-579.25384615384621</v>
      </c>
      <c r="DW133" s="39"/>
    </row>
    <row r="134" spans="1:133">
      <c r="A134" s="9" t="s">
        <v>135</v>
      </c>
      <c r="B134" s="9"/>
      <c r="C134" s="60">
        <v>0</v>
      </c>
      <c r="D134" s="33"/>
      <c r="E134" s="60">
        <v>125</v>
      </c>
      <c r="F134" s="33"/>
      <c r="G134" s="57">
        <f t="shared" si="331"/>
        <v>125</v>
      </c>
      <c r="H134" s="39"/>
      <c r="J134" s="60">
        <v>0</v>
      </c>
      <c r="K134" s="33"/>
      <c r="L134" s="60">
        <v>125</v>
      </c>
      <c r="M134" s="33"/>
      <c r="N134" s="57">
        <f t="shared" si="332"/>
        <v>125</v>
      </c>
      <c r="O134" s="39"/>
      <c r="Q134" s="60">
        <v>275</v>
      </c>
      <c r="R134" s="33"/>
      <c r="S134" s="60">
        <v>125</v>
      </c>
      <c r="T134" s="33"/>
      <c r="U134" s="57"/>
      <c r="V134" s="39"/>
      <c r="X134" s="61">
        <f t="shared" si="334"/>
        <v>275</v>
      </c>
      <c r="Y134" s="33"/>
      <c r="Z134" s="61">
        <f t="shared" si="335"/>
        <v>375</v>
      </c>
      <c r="AA134" s="33"/>
      <c r="AB134" s="57">
        <f t="shared" si="336"/>
        <v>100</v>
      </c>
      <c r="AC134" s="39"/>
      <c r="AE134" s="60">
        <v>0</v>
      </c>
      <c r="AF134" s="33"/>
      <c r="AG134" s="60">
        <v>125</v>
      </c>
      <c r="AH134" s="33"/>
      <c r="AI134" s="57">
        <f t="shared" si="366"/>
        <v>125</v>
      </c>
      <c r="AJ134" s="39"/>
      <c r="AL134" s="60">
        <v>0</v>
      </c>
      <c r="AM134" s="33"/>
      <c r="AN134" s="60">
        <v>125</v>
      </c>
      <c r="AO134" s="33"/>
      <c r="AP134" s="57">
        <f t="shared" si="367"/>
        <v>125</v>
      </c>
      <c r="AQ134" s="39"/>
      <c r="AS134" s="60">
        <v>0</v>
      </c>
      <c r="AT134" s="33"/>
      <c r="AU134" s="60">
        <v>125</v>
      </c>
      <c r="AV134" s="33"/>
      <c r="AW134" s="57">
        <f t="shared" si="368"/>
        <v>125</v>
      </c>
      <c r="AX134" s="39"/>
      <c r="AZ134" s="61">
        <f t="shared" si="340"/>
        <v>0</v>
      </c>
      <c r="BA134" s="33"/>
      <c r="BB134" s="61">
        <f t="shared" si="341"/>
        <v>375</v>
      </c>
      <c r="BC134" s="33"/>
      <c r="BD134" s="57">
        <f t="shared" si="363"/>
        <v>375</v>
      </c>
      <c r="BE134" s="39"/>
      <c r="BG134" s="60">
        <v>185.84</v>
      </c>
      <c r="BH134" s="70"/>
      <c r="BI134" s="60">
        <v>125</v>
      </c>
      <c r="BJ134" s="70"/>
      <c r="BK134" s="57">
        <f t="shared" si="343"/>
        <v>60.84</v>
      </c>
      <c r="BL134" s="43"/>
      <c r="BN134" s="60">
        <v>449</v>
      </c>
      <c r="BO134" s="70"/>
      <c r="BP134" s="60">
        <v>125</v>
      </c>
      <c r="BQ134" s="70"/>
      <c r="BR134" s="57">
        <f t="shared" si="344"/>
        <v>324</v>
      </c>
      <c r="BS134" s="43"/>
      <c r="BU134" s="60">
        <v>0</v>
      </c>
      <c r="BV134" s="70"/>
      <c r="BW134" s="60">
        <v>131</v>
      </c>
      <c r="BX134" s="70"/>
      <c r="BY134" s="57">
        <f t="shared" si="345"/>
        <v>-131</v>
      </c>
      <c r="BZ134" s="43"/>
      <c r="CB134" s="61">
        <f t="shared" si="346"/>
        <v>634.84</v>
      </c>
      <c r="CC134" s="70"/>
      <c r="CD134" s="61">
        <f t="shared" si="347"/>
        <v>381</v>
      </c>
      <c r="CE134" s="70"/>
      <c r="CF134" s="57">
        <f t="shared" si="348"/>
        <v>253.84000000000003</v>
      </c>
      <c r="CG134" s="43"/>
      <c r="CI134" s="60">
        <v>0</v>
      </c>
      <c r="CJ134" s="70"/>
      <c r="CK134" s="60">
        <v>131</v>
      </c>
      <c r="CL134" s="70"/>
      <c r="CM134" s="57">
        <f t="shared" si="349"/>
        <v>-131</v>
      </c>
      <c r="CN134" s="43"/>
      <c r="CP134" s="60">
        <v>30.73</v>
      </c>
      <c r="CQ134" s="70"/>
      <c r="CR134" s="60">
        <v>131</v>
      </c>
      <c r="CS134" s="70"/>
      <c r="CT134" s="57">
        <f t="shared" si="350"/>
        <v>-100.27</v>
      </c>
      <c r="CU134" s="43"/>
      <c r="CW134" s="60">
        <v>175.86</v>
      </c>
      <c r="CX134" s="70"/>
      <c r="CY134" s="60">
        <v>131</v>
      </c>
      <c r="CZ134" s="70"/>
      <c r="DA134" s="57">
        <f t="shared" si="351"/>
        <v>44.860000000000014</v>
      </c>
      <c r="DB134" s="43"/>
      <c r="DD134" s="60">
        <v>161.09</v>
      </c>
      <c r="DE134" s="70"/>
      <c r="DF134" s="60">
        <v>131</v>
      </c>
      <c r="DG134" s="70"/>
      <c r="DH134" s="57">
        <f t="shared" si="352"/>
        <v>30.090000000000003</v>
      </c>
      <c r="DI134" s="43"/>
      <c r="DK134" s="61">
        <f t="shared" si="353"/>
        <v>367.68</v>
      </c>
      <c r="DL134" s="70"/>
      <c r="DM134" s="61">
        <f t="shared" si="354"/>
        <v>524</v>
      </c>
      <c r="DN134" s="70"/>
      <c r="DO134" s="57">
        <f t="shared" si="355"/>
        <v>-156.32</v>
      </c>
      <c r="DP134" s="43"/>
      <c r="DR134" s="61">
        <f t="shared" si="356"/>
        <v>1277.52</v>
      </c>
      <c r="DS134" s="33"/>
      <c r="DT134" s="61">
        <f t="shared" si="357"/>
        <v>1655</v>
      </c>
      <c r="DU134" s="33"/>
      <c r="DV134" s="57">
        <f t="shared" si="364"/>
        <v>377.48</v>
      </c>
      <c r="DW134" s="39"/>
      <c r="EC134" s="64"/>
    </row>
    <row r="135" spans="1:133">
      <c r="A135" s="9" t="s">
        <v>136</v>
      </c>
      <c r="B135" s="9"/>
      <c r="C135" s="22">
        <v>907.6</v>
      </c>
      <c r="D135" s="23"/>
      <c r="E135" s="22">
        <v>837</v>
      </c>
      <c r="F135" s="23"/>
      <c r="G135" s="57">
        <f t="shared" si="331"/>
        <v>-70.600000000000023</v>
      </c>
      <c r="H135" s="16"/>
      <c r="J135" s="22">
        <v>918.65</v>
      </c>
      <c r="K135" s="23"/>
      <c r="L135" s="22">
        <v>837</v>
      </c>
      <c r="M135" s="23"/>
      <c r="N135" s="57">
        <f t="shared" si="332"/>
        <v>-81.649999999999977</v>
      </c>
      <c r="O135" s="16"/>
      <c r="Q135" s="60">
        <v>888.1</v>
      </c>
      <c r="R135" s="23"/>
      <c r="S135" s="22">
        <v>837</v>
      </c>
      <c r="T135" s="23"/>
      <c r="U135" s="15">
        <f t="shared" si="365"/>
        <v>-51.100000000000023</v>
      </c>
      <c r="V135" s="16"/>
      <c r="X135" s="61">
        <f t="shared" si="334"/>
        <v>2714.35</v>
      </c>
      <c r="Y135" s="23"/>
      <c r="Z135" s="61">
        <f t="shared" si="335"/>
        <v>2511</v>
      </c>
      <c r="AA135" s="23"/>
      <c r="AB135" s="57">
        <f t="shared" si="336"/>
        <v>-203.34999999999991</v>
      </c>
      <c r="AC135" s="16"/>
      <c r="AE135" s="60">
        <v>738.91</v>
      </c>
      <c r="AF135" s="23"/>
      <c r="AG135" s="22">
        <v>837</v>
      </c>
      <c r="AH135" s="23"/>
      <c r="AI135" s="15">
        <f t="shared" si="366"/>
        <v>98.090000000000032</v>
      </c>
      <c r="AJ135" s="16"/>
      <c r="AL135" s="60">
        <v>386.79</v>
      </c>
      <c r="AM135" s="23"/>
      <c r="AN135" s="22">
        <v>837</v>
      </c>
      <c r="AO135" s="23"/>
      <c r="AP135" s="15">
        <f t="shared" si="367"/>
        <v>450.21</v>
      </c>
      <c r="AQ135" s="16"/>
      <c r="AS135" s="60">
        <v>422.07</v>
      </c>
      <c r="AT135" s="23"/>
      <c r="AU135" s="22">
        <v>837</v>
      </c>
      <c r="AV135" s="23"/>
      <c r="AW135" s="15">
        <f t="shared" si="368"/>
        <v>414.93</v>
      </c>
      <c r="AX135" s="16"/>
      <c r="AZ135" s="61">
        <f t="shared" si="340"/>
        <v>1547.77</v>
      </c>
      <c r="BA135" s="23"/>
      <c r="BB135" s="61">
        <f t="shared" si="341"/>
        <v>2511</v>
      </c>
      <c r="BC135" s="23"/>
      <c r="BD135" s="15">
        <f t="shared" si="363"/>
        <v>963.23</v>
      </c>
      <c r="BE135" s="16"/>
      <c r="BG135" s="60">
        <v>629.52</v>
      </c>
      <c r="BH135" s="70"/>
      <c r="BI135" s="60">
        <v>837</v>
      </c>
      <c r="BJ135" s="70"/>
      <c r="BK135" s="57">
        <f t="shared" si="343"/>
        <v>-207.48000000000002</v>
      </c>
      <c r="BL135" s="43"/>
      <c r="BN135" s="60">
        <v>364.99</v>
      </c>
      <c r="BO135" s="70"/>
      <c r="BP135" s="60">
        <v>837</v>
      </c>
      <c r="BQ135" s="70"/>
      <c r="BR135" s="57">
        <f t="shared" si="344"/>
        <v>-472.01</v>
      </c>
      <c r="BS135" s="43"/>
      <c r="BU135" s="60">
        <v>1072.5999999999999</v>
      </c>
      <c r="BV135" s="70"/>
      <c r="BW135" s="60">
        <v>837</v>
      </c>
      <c r="BX135" s="70"/>
      <c r="BY135" s="57">
        <f t="shared" si="345"/>
        <v>235.59999999999991</v>
      </c>
      <c r="BZ135" s="43"/>
      <c r="CB135" s="61">
        <f t="shared" si="346"/>
        <v>2067.1099999999997</v>
      </c>
      <c r="CC135" s="70"/>
      <c r="CD135" s="61">
        <f t="shared" si="347"/>
        <v>2511</v>
      </c>
      <c r="CE135" s="70"/>
      <c r="CF135" s="57">
        <f t="shared" si="348"/>
        <v>-443.89000000000033</v>
      </c>
      <c r="CG135" s="43"/>
      <c r="CI135" s="60">
        <v>646.88</v>
      </c>
      <c r="CJ135" s="70"/>
      <c r="CK135" s="60">
        <v>837</v>
      </c>
      <c r="CL135" s="70"/>
      <c r="CM135" s="57">
        <f t="shared" si="349"/>
        <v>-190.12</v>
      </c>
      <c r="CN135" s="43"/>
      <c r="CP135" s="60">
        <v>1183.76</v>
      </c>
      <c r="CQ135" s="70"/>
      <c r="CR135" s="60">
        <v>837</v>
      </c>
      <c r="CS135" s="70"/>
      <c r="CT135" s="57">
        <f t="shared" si="350"/>
        <v>346.76</v>
      </c>
      <c r="CU135" s="43"/>
      <c r="CW135" s="60">
        <v>941.2</v>
      </c>
      <c r="CX135" s="70"/>
      <c r="CY135" s="60">
        <v>837</v>
      </c>
      <c r="CZ135" s="70"/>
      <c r="DA135" s="57">
        <f t="shared" si="351"/>
        <v>104.20000000000005</v>
      </c>
      <c r="DB135" s="43"/>
      <c r="DD135" s="60">
        <v>943.65</v>
      </c>
      <c r="DE135" s="70"/>
      <c r="DF135" s="60">
        <v>837</v>
      </c>
      <c r="DG135" s="70"/>
      <c r="DH135" s="57">
        <f t="shared" si="352"/>
        <v>106.64999999999998</v>
      </c>
      <c r="DI135" s="43"/>
      <c r="DK135" s="61">
        <f t="shared" si="353"/>
        <v>3715.4900000000002</v>
      </c>
      <c r="DL135" s="75"/>
      <c r="DM135" s="61">
        <f t="shared" si="354"/>
        <v>3348</v>
      </c>
      <c r="DN135" s="75"/>
      <c r="DO135" s="57">
        <f t="shared" si="355"/>
        <v>367.49000000000024</v>
      </c>
      <c r="DP135" s="78"/>
      <c r="DR135" s="61">
        <f t="shared" si="356"/>
        <v>10044.719999999999</v>
      </c>
      <c r="DS135" s="23"/>
      <c r="DT135" s="61">
        <f t="shared" si="357"/>
        <v>10881</v>
      </c>
      <c r="DU135" s="23"/>
      <c r="DV135" s="57">
        <f t="shared" si="364"/>
        <v>836.28000000000065</v>
      </c>
      <c r="DW135" s="16"/>
      <c r="EC135" s="64"/>
    </row>
    <row r="136" spans="1:133" ht="16.7" thickBot="1">
      <c r="A136" s="10" t="s">
        <v>137</v>
      </c>
      <c r="B136" s="8"/>
      <c r="C136" s="25">
        <f>SUM(C120:C135)</f>
        <v>19048.449999999997</v>
      </c>
      <c r="D136" s="20">
        <f>C136/C13</f>
        <v>5.0032030985086087E-2</v>
      </c>
      <c r="E136" s="25">
        <f>SUM(E120:E135)</f>
        <v>17754.92679076923</v>
      </c>
      <c r="F136" s="20">
        <f>E136/E13</f>
        <v>6.4346930473024297E-2</v>
      </c>
      <c r="G136" s="17">
        <f>E136-C136</f>
        <v>-1293.523209230767</v>
      </c>
      <c r="H136" s="18">
        <f>G136/E136</f>
        <v>-7.2854325138826725E-2</v>
      </c>
      <c r="J136" s="25">
        <f>SUM(J120:J135)</f>
        <v>19053.259999999998</v>
      </c>
      <c r="K136" s="20">
        <f>J136/J13</f>
        <v>4.6679242181309123E-2</v>
      </c>
      <c r="L136" s="25">
        <f>SUM(L120:L135)</f>
        <v>20091.20645076923</v>
      </c>
      <c r="M136" s="20">
        <f>L136/L13</f>
        <v>5.2578126956564102E-2</v>
      </c>
      <c r="N136" s="17">
        <f>L136-J136</f>
        <v>1037.9464507692319</v>
      </c>
      <c r="O136" s="18">
        <f>N136/L136</f>
        <v>5.1661728394090146E-2</v>
      </c>
      <c r="Q136" s="59">
        <f>SUM(Q120:Q135)</f>
        <v>15274.67</v>
      </c>
      <c r="R136" s="20">
        <f>Q136/Q13</f>
        <v>4.9916462056492861E-2</v>
      </c>
      <c r="S136" s="25">
        <f>SUM(S120:S135)</f>
        <v>22531.589890769232</v>
      </c>
      <c r="T136" s="20">
        <f>S136/S13</f>
        <v>4.5698665422909443E-2</v>
      </c>
      <c r="U136" s="17">
        <f>S136-Q136</f>
        <v>7256.9198907692316</v>
      </c>
      <c r="V136" s="18">
        <f>U136/S136</f>
        <v>0.32207757756776212</v>
      </c>
      <c r="X136" s="25">
        <f>SUM(X120:X135)</f>
        <v>53376.38</v>
      </c>
      <c r="Y136" s="20">
        <f>X136/X13</f>
        <v>4.8749830475991261E-2</v>
      </c>
      <c r="Z136" s="25">
        <f>SUM(Z120:Z135)</f>
        <v>60377.723132307692</v>
      </c>
      <c r="AA136" s="20">
        <f>Z136/Z13</f>
        <v>5.2452515246211813E-2</v>
      </c>
      <c r="AB136" s="17">
        <f>Z136-X136</f>
        <v>7001.3431323076948</v>
      </c>
      <c r="AC136" s="18">
        <f>AB136/Z136</f>
        <v>0.11595904530824094</v>
      </c>
      <c r="AE136" s="59">
        <f>SUM(AE120:AE135)</f>
        <v>10423.91</v>
      </c>
      <c r="AF136" s="20" t="e">
        <f>AE136/AE13</f>
        <v>#DIV/0!</v>
      </c>
      <c r="AG136" s="25">
        <f>SUM(AG120:AG135)</f>
        <v>24454.664780769232</v>
      </c>
      <c r="AH136" s="20">
        <f>AG136/AG13</f>
        <v>4.2129874428287327E-2</v>
      </c>
      <c r="AI136" s="17">
        <f>AG136-AE136</f>
        <v>14030.754780769232</v>
      </c>
      <c r="AJ136" s="18">
        <f>AI136/AG136</f>
        <v>0.57374553716241494</v>
      </c>
      <c r="AL136" s="59">
        <f>SUM(AL120:AL135)</f>
        <v>4859.5900000000011</v>
      </c>
      <c r="AM136" s="20" t="e">
        <f>AL136/AL13</f>
        <v>#DIV/0!</v>
      </c>
      <c r="AN136" s="25">
        <f>SUM(AN120:AN135)</f>
        <v>27492.211250769229</v>
      </c>
      <c r="AO136" s="20">
        <f>AN136/AN13</f>
        <v>4.9142464595370056E-2</v>
      </c>
      <c r="AP136" s="17">
        <f>AN136-AL136</f>
        <v>22632.621250769229</v>
      </c>
      <c r="AQ136" s="18">
        <f>AP136/AN136</f>
        <v>0.82323757242829898</v>
      </c>
      <c r="AS136" s="59">
        <f>SUM(AS120:AS135)</f>
        <v>5458.75</v>
      </c>
      <c r="AT136" s="20" t="e">
        <f>AS136/AS13</f>
        <v>#DIV/0!</v>
      </c>
      <c r="AU136" s="25">
        <f>SUM(AU120:AU135)</f>
        <v>25040.925400769233</v>
      </c>
      <c r="AV136" s="20">
        <f>AU136/AU13</f>
        <v>4.1246245150400311E-2</v>
      </c>
      <c r="AW136" s="17">
        <f>AU136-AS136</f>
        <v>19582.175400769233</v>
      </c>
      <c r="AX136" s="18">
        <f>AW136/AU136</f>
        <v>0.78200685826761374</v>
      </c>
      <c r="AZ136" s="59">
        <f>SUM(AZ120:AZ135)</f>
        <v>20742.250000000004</v>
      </c>
      <c r="BA136" s="20" t="e">
        <f>AZ136/AZ13</f>
        <v>#DIV/0!</v>
      </c>
      <c r="BB136" s="25">
        <f>SUM(BB120:BB135)</f>
        <v>76987.801432307679</v>
      </c>
      <c r="BC136" s="20">
        <f>BB136/BB13</f>
        <v>4.4068424168152646E-2</v>
      </c>
      <c r="BD136" s="17">
        <f>BB136-AZ136</f>
        <v>56245.551432307679</v>
      </c>
      <c r="BE136" s="18">
        <f>BD136/BB136</f>
        <v>0.73057744715261363</v>
      </c>
      <c r="BG136" s="59">
        <f>SUM(BG120:BG135)</f>
        <v>6183.02</v>
      </c>
      <c r="BH136" s="69" t="e">
        <f>BG136/BG13</f>
        <v>#DIV/0!</v>
      </c>
      <c r="BI136" s="59">
        <f>SUM(BI120:BI135)</f>
        <v>25342.899050769232</v>
      </c>
      <c r="BJ136" s="69">
        <f>BI136/BI13</f>
        <v>4.0820667408843304E-2</v>
      </c>
      <c r="BK136" s="59">
        <f>SUM(BK120:BK135)</f>
        <v>-19159.879050769232</v>
      </c>
      <c r="BL136" s="68">
        <f>BK136/BI136</f>
        <v>-0.75602554436989999</v>
      </c>
      <c r="BN136" s="59">
        <f>SUM(BN120:BN135)</f>
        <v>15241.29</v>
      </c>
      <c r="BO136" s="69">
        <f>BN136/BN13</f>
        <v>6.8973180799654615E-2</v>
      </c>
      <c r="BP136" s="59">
        <f>SUM(BP120:BP135)</f>
        <v>25107.972050769233</v>
      </c>
      <c r="BQ136" s="69">
        <f>BP136/BP13</f>
        <v>4.1150153732689619E-2</v>
      </c>
      <c r="BR136" s="59">
        <f>SUM(BR120:BR135)</f>
        <v>-9866.6820507692337</v>
      </c>
      <c r="BS136" s="68">
        <f>BR136/BP136</f>
        <v>-0.39297009056798549</v>
      </c>
      <c r="BU136" s="59">
        <f>SUM(BU120:BU135)</f>
        <v>25581.589999999997</v>
      </c>
      <c r="BV136" s="69">
        <f>BU136/BU13</f>
        <v>7.7867068051831037E-2</v>
      </c>
      <c r="BW136" s="59">
        <f>SUM(BW120:BW135)</f>
        <v>15063</v>
      </c>
      <c r="BX136" s="69">
        <f>BW136/BW13</f>
        <v>5.1219885407280209E-2</v>
      </c>
      <c r="BY136" s="59">
        <f>SUM(BY120:BY135)</f>
        <v>10518.59</v>
      </c>
      <c r="BZ136" s="68">
        <f>BY136/BW136</f>
        <v>0.69830644625904537</v>
      </c>
      <c r="CB136" s="59">
        <f>SUM(CB120:CB135)</f>
        <v>47005.899999999994</v>
      </c>
      <c r="CC136" s="69">
        <f>CB136/CB13</f>
        <v>8.5542548755180012E-2</v>
      </c>
      <c r="CD136" s="59">
        <f>SUM(CD120:CD135)</f>
        <v>65513.871101538469</v>
      </c>
      <c r="CE136" s="69">
        <f>CD136/CD13</f>
        <v>4.2957802797592558E-2</v>
      </c>
      <c r="CF136" s="59">
        <f>SUM(CF120:CF135)</f>
        <v>-18507.971101538464</v>
      </c>
      <c r="CG136" s="68">
        <f>CF136/CD136</f>
        <v>-0.28250461757714451</v>
      </c>
      <c r="CI136" s="59">
        <f>SUM(CI120:CI135)</f>
        <v>22744.83</v>
      </c>
      <c r="CJ136" s="69">
        <f>CI136/CI13</f>
        <v>6.2642996204541432E-2</v>
      </c>
      <c r="CK136" s="59">
        <f>SUM(CK120:CK135)</f>
        <v>15554</v>
      </c>
      <c r="CL136" s="69">
        <f>CK136/CK13</f>
        <v>4.9451877098382335E-2</v>
      </c>
      <c r="CM136" s="59">
        <f>SUM(CM120:CM135)</f>
        <v>7190.8300000000008</v>
      </c>
      <c r="CN136" s="68">
        <f>CM136/CK136</f>
        <v>0.46231387424456738</v>
      </c>
      <c r="CP136" s="59">
        <f>SUM(CP120:CP135)</f>
        <v>14133.150000000001</v>
      </c>
      <c r="CQ136" s="69">
        <f>CP136/CP13</f>
        <v>4.2232508694058181E-2</v>
      </c>
      <c r="CR136" s="59">
        <f>SUM(CR120:CR135)</f>
        <v>15134.804</v>
      </c>
      <c r="CS136" s="69">
        <f>CR136/CR13</f>
        <v>5.0941783911141028E-2</v>
      </c>
      <c r="CT136" s="59">
        <f>SUM(CT120:CT135)</f>
        <v>-1001.654</v>
      </c>
      <c r="CU136" s="68">
        <f>CT136/CR136</f>
        <v>-6.6182158685371806E-2</v>
      </c>
      <c r="CW136" s="59">
        <f>SUM(CW120:CW135)</f>
        <v>15586.800000000001</v>
      </c>
      <c r="CX136" s="69">
        <f>CW136/CW13</f>
        <v>5.8548346728907685E-2</v>
      </c>
      <c r="CY136" s="59">
        <f>SUM(CY120:CY135)</f>
        <v>14540.514769230769</v>
      </c>
      <c r="CZ136" s="69">
        <f>CY136/CY13</f>
        <v>5.3408489846614962E-2</v>
      </c>
      <c r="DA136" s="59">
        <f>SUM(DA120:DA135)</f>
        <v>1046.285230769231</v>
      </c>
      <c r="DB136" s="68">
        <f>DA136/CY136</f>
        <v>7.1956546750550993E-2</v>
      </c>
      <c r="DD136" s="59">
        <f>SUM(DD120:DD135)</f>
        <v>11509.45</v>
      </c>
      <c r="DE136" s="69">
        <f>DD136/DD13</f>
        <v>7.4135655150571175E-2</v>
      </c>
      <c r="DF136" s="59">
        <f>SUM(DF120:DF135)</f>
        <v>14836.514769230769</v>
      </c>
      <c r="DG136" s="69">
        <f>DF136/DF13</f>
        <v>5.212635096312624E-2</v>
      </c>
      <c r="DH136" s="59">
        <f>SUM(DH120:DH135)</f>
        <v>-3327.0647692307689</v>
      </c>
      <c r="DI136" s="68">
        <f>DH136/DF136</f>
        <v>-0.22424840476219657</v>
      </c>
      <c r="DK136" s="59">
        <f>SUM(DK120:DK135)</f>
        <v>63974.23000000001</v>
      </c>
      <c r="DL136" s="76">
        <f>DK136/DK13</f>
        <v>5.7160317208509372E-2</v>
      </c>
      <c r="DM136" s="25">
        <f>SUM(DM120:DM135)</f>
        <v>60065.833538461535</v>
      </c>
      <c r="DN136" s="76">
        <f>DM136/DM13</f>
        <v>5.1404002155285199E-2</v>
      </c>
      <c r="DO136" s="25">
        <f>SUM(DO120:DO135)</f>
        <v>3908.3964615384652</v>
      </c>
      <c r="DP136" s="77">
        <f>DO136/DM136</f>
        <v>6.5068546148382825E-2</v>
      </c>
      <c r="DR136" s="59">
        <f>SUM(DR120:DR135)</f>
        <v>185098.76</v>
      </c>
      <c r="DS136" s="20">
        <f>DR136/DR13</f>
        <v>6.6977064319591287E-2</v>
      </c>
      <c r="DT136" s="25">
        <f>SUM(DT120:DT135)</f>
        <v>262945.2292046154</v>
      </c>
      <c r="DU136" s="20">
        <f>DT136/DT13</f>
        <v>4.7024378403090629E-2</v>
      </c>
      <c r="DV136" s="58">
        <f>DT136-DR136</f>
        <v>77846.469204615394</v>
      </c>
      <c r="DW136" s="18">
        <f>DV136/DT136</f>
        <v>0.29605583428949689</v>
      </c>
      <c r="DX136" s="64"/>
    </row>
    <row r="137" spans="1:133" ht="16.7" thickTop="1">
      <c r="A137" s="8"/>
      <c r="B137" s="8"/>
      <c r="C137" s="26"/>
      <c r="D137" s="23"/>
      <c r="E137" s="26"/>
      <c r="F137" s="23"/>
      <c r="G137" s="19"/>
      <c r="H137" s="24"/>
      <c r="J137" s="26"/>
      <c r="K137" s="23"/>
      <c r="L137" s="26"/>
      <c r="M137" s="23"/>
      <c r="N137" s="19"/>
      <c r="O137" s="24"/>
      <c r="Q137" s="32"/>
      <c r="R137" s="23"/>
      <c r="S137" s="26"/>
      <c r="T137" s="23"/>
      <c r="U137" s="19"/>
      <c r="V137" s="24"/>
      <c r="X137" s="26"/>
      <c r="Y137" s="23"/>
      <c r="Z137" s="26"/>
      <c r="AA137" s="23"/>
      <c r="AB137" s="19"/>
      <c r="AC137" s="24"/>
      <c r="AE137" s="32"/>
      <c r="AF137" s="23"/>
      <c r="AG137" s="26"/>
      <c r="AH137" s="23"/>
      <c r="AI137" s="19"/>
      <c r="AJ137" s="24"/>
      <c r="AL137" s="32"/>
      <c r="AM137" s="23"/>
      <c r="AN137" s="26"/>
      <c r="AO137" s="23"/>
      <c r="AP137" s="19"/>
      <c r="AQ137" s="24"/>
      <c r="AS137" s="32"/>
      <c r="AT137" s="23"/>
      <c r="AU137" s="26"/>
      <c r="AV137" s="23"/>
      <c r="AW137" s="19"/>
      <c r="AX137" s="24"/>
      <c r="AZ137" s="32"/>
      <c r="BA137" s="23"/>
      <c r="BB137" s="26"/>
      <c r="BC137" s="23"/>
      <c r="BD137" s="19"/>
      <c r="BE137" s="24"/>
      <c r="BG137" s="32"/>
      <c r="BH137" s="70"/>
      <c r="BI137" s="32"/>
      <c r="BJ137" s="70"/>
      <c r="BK137" s="31"/>
      <c r="BL137" s="71"/>
      <c r="BN137" s="32"/>
      <c r="BO137" s="70"/>
      <c r="BP137" s="32"/>
      <c r="BQ137" s="70"/>
      <c r="BR137" s="31"/>
      <c r="BS137" s="71"/>
      <c r="BU137" s="32"/>
      <c r="BV137" s="70"/>
      <c r="BW137" s="32"/>
      <c r="BX137" s="70"/>
      <c r="BY137" s="31"/>
      <c r="BZ137" s="71"/>
      <c r="CB137" s="32"/>
      <c r="CC137" s="70"/>
      <c r="CD137" s="32"/>
      <c r="CE137" s="70"/>
      <c r="CF137" s="31"/>
      <c r="CG137" s="71"/>
      <c r="CI137" s="32"/>
      <c r="CJ137" s="70"/>
      <c r="CK137" s="32"/>
      <c r="CL137" s="70"/>
      <c r="CM137" s="31"/>
      <c r="CN137" s="71"/>
      <c r="CP137" s="32"/>
      <c r="CQ137" s="70"/>
      <c r="CR137" s="32"/>
      <c r="CS137" s="70"/>
      <c r="CT137" s="31"/>
      <c r="CU137" s="71"/>
      <c r="CW137" s="32"/>
      <c r="CX137" s="70"/>
      <c r="CY137" s="32"/>
      <c r="CZ137" s="70"/>
      <c r="DA137" s="31"/>
      <c r="DB137" s="71"/>
      <c r="DD137" s="32"/>
      <c r="DE137" s="70"/>
      <c r="DF137" s="32"/>
      <c r="DG137" s="70"/>
      <c r="DH137" s="31"/>
      <c r="DI137" s="71"/>
      <c r="DK137" s="32"/>
      <c r="DL137" s="75"/>
      <c r="DM137" s="26"/>
      <c r="DN137" s="75"/>
      <c r="DO137" s="19"/>
      <c r="DP137" s="79"/>
      <c r="DR137" s="32"/>
      <c r="DS137" s="23"/>
      <c r="DT137" s="26"/>
      <c r="DU137" s="23"/>
      <c r="DV137" s="31"/>
      <c r="DW137" s="24"/>
    </row>
    <row r="138" spans="1:133">
      <c r="A138" s="8"/>
      <c r="B138" s="8"/>
      <c r="C138" s="26"/>
      <c r="D138" s="23"/>
      <c r="E138" s="26"/>
      <c r="F138" s="23"/>
      <c r="G138" s="19"/>
      <c r="H138" s="24"/>
      <c r="J138" s="26"/>
      <c r="K138" s="23"/>
      <c r="L138" s="26"/>
      <c r="M138" s="23"/>
      <c r="N138" s="19"/>
      <c r="O138" s="24"/>
      <c r="Q138" s="32"/>
      <c r="R138" s="23"/>
      <c r="S138" s="26"/>
      <c r="T138" s="23"/>
      <c r="U138" s="19"/>
      <c r="V138" s="24"/>
      <c r="X138" s="26"/>
      <c r="Y138" s="23"/>
      <c r="Z138" s="26"/>
      <c r="AA138" s="23"/>
      <c r="AB138" s="19"/>
      <c r="AC138" s="24"/>
      <c r="AE138" s="32"/>
      <c r="AF138" s="23"/>
      <c r="AG138" s="26"/>
      <c r="AH138" s="23"/>
      <c r="AI138" s="19"/>
      <c r="AJ138" s="24"/>
      <c r="AL138" s="32"/>
      <c r="AM138" s="23"/>
      <c r="AN138" s="26"/>
      <c r="AO138" s="23"/>
      <c r="AP138" s="19"/>
      <c r="AQ138" s="24"/>
      <c r="AS138" s="32"/>
      <c r="AT138" s="23"/>
      <c r="AU138" s="26"/>
      <c r="AV138" s="23"/>
      <c r="AW138" s="19"/>
      <c r="AX138" s="24"/>
      <c r="AZ138" s="32"/>
      <c r="BA138" s="23"/>
      <c r="BB138" s="26"/>
      <c r="BC138" s="23"/>
      <c r="BD138" s="19"/>
      <c r="BE138" s="24"/>
      <c r="BG138" s="32"/>
      <c r="BH138" s="70"/>
      <c r="BI138" s="32"/>
      <c r="BJ138" s="70"/>
      <c r="BK138" s="31"/>
      <c r="BL138" s="71"/>
      <c r="BN138" s="32"/>
      <c r="BO138" s="70"/>
      <c r="BP138" s="32"/>
      <c r="BQ138" s="70"/>
      <c r="BR138" s="31"/>
      <c r="BS138" s="71"/>
      <c r="BU138" s="32"/>
      <c r="BV138" s="70"/>
      <c r="BW138" s="32"/>
      <c r="BX138" s="70"/>
      <c r="BY138" s="31"/>
      <c r="BZ138" s="71"/>
      <c r="CB138" s="32"/>
      <c r="CC138" s="70"/>
      <c r="CD138" s="32"/>
      <c r="CE138" s="70"/>
      <c r="CF138" s="31"/>
      <c r="CG138" s="71"/>
      <c r="CI138" s="32"/>
      <c r="CJ138" s="70"/>
      <c r="CK138" s="32"/>
      <c r="CL138" s="70"/>
      <c r="CM138" s="31"/>
      <c r="CN138" s="71"/>
      <c r="CP138" s="32"/>
      <c r="CQ138" s="70"/>
      <c r="CR138" s="32"/>
      <c r="CS138" s="70"/>
      <c r="CT138" s="31"/>
      <c r="CU138" s="71"/>
      <c r="CW138" s="32"/>
      <c r="CX138" s="70"/>
      <c r="CY138" s="32"/>
      <c r="CZ138" s="70"/>
      <c r="DA138" s="31"/>
      <c r="DB138" s="71"/>
      <c r="DD138" s="32"/>
      <c r="DE138" s="70"/>
      <c r="DF138" s="32"/>
      <c r="DG138" s="70"/>
      <c r="DH138" s="31"/>
      <c r="DI138" s="71"/>
      <c r="DK138" s="32"/>
      <c r="DL138" s="75"/>
      <c r="DM138" s="26"/>
      <c r="DN138" s="75"/>
      <c r="DO138" s="19"/>
      <c r="DP138" s="79"/>
      <c r="DR138" s="32"/>
      <c r="DS138" s="23"/>
      <c r="DT138" s="26"/>
      <c r="DU138" s="23"/>
      <c r="DV138" s="31"/>
      <c r="DW138" s="24"/>
    </row>
    <row r="139" spans="1:133">
      <c r="A139" s="8"/>
      <c r="B139" s="8"/>
      <c r="C139" s="26"/>
      <c r="D139" s="23"/>
      <c r="E139" s="26"/>
      <c r="F139" s="23"/>
      <c r="G139" s="19"/>
      <c r="H139" s="24"/>
      <c r="J139" s="26"/>
      <c r="K139" s="23"/>
      <c r="L139" s="26"/>
      <c r="M139" s="23"/>
      <c r="N139" s="19"/>
      <c r="O139" s="24"/>
      <c r="Q139" s="32"/>
      <c r="R139" s="23"/>
      <c r="S139" s="26"/>
      <c r="T139" s="23"/>
      <c r="U139" s="19"/>
      <c r="V139" s="24"/>
      <c r="X139" s="26"/>
      <c r="Y139" s="23"/>
      <c r="Z139" s="26"/>
      <c r="AA139" s="23"/>
      <c r="AB139" s="19"/>
      <c r="AC139" s="24"/>
      <c r="AE139" s="32"/>
      <c r="AF139" s="23"/>
      <c r="AG139" s="26"/>
      <c r="AH139" s="23"/>
      <c r="AI139" s="19"/>
      <c r="AJ139" s="24"/>
      <c r="AL139" s="32"/>
      <c r="AM139" s="23"/>
      <c r="AN139" s="26"/>
      <c r="AO139" s="23"/>
      <c r="AP139" s="19"/>
      <c r="AQ139" s="24"/>
      <c r="AS139" s="32"/>
      <c r="AT139" s="23"/>
      <c r="AU139" s="26"/>
      <c r="AV139" s="23"/>
      <c r="AW139" s="19"/>
      <c r="AX139" s="24"/>
      <c r="AZ139" s="32"/>
      <c r="BA139" s="23"/>
      <c r="BB139" s="26"/>
      <c r="BC139" s="23"/>
      <c r="BD139" s="19"/>
      <c r="BE139" s="24"/>
      <c r="BG139" s="32"/>
      <c r="BH139" s="70"/>
      <c r="BI139" s="32"/>
      <c r="BJ139" s="70"/>
      <c r="BK139" s="31"/>
      <c r="BL139" s="71"/>
      <c r="BN139" s="32"/>
      <c r="BO139" s="70"/>
      <c r="BP139" s="32"/>
      <c r="BQ139" s="70"/>
      <c r="BR139" s="31"/>
      <c r="BS139" s="71"/>
      <c r="BU139" s="32"/>
      <c r="BV139" s="70"/>
      <c r="BW139" s="32"/>
      <c r="BX139" s="70"/>
      <c r="BY139" s="31"/>
      <c r="BZ139" s="71"/>
      <c r="CB139" s="32"/>
      <c r="CC139" s="70"/>
      <c r="CD139" s="32"/>
      <c r="CE139" s="70"/>
      <c r="CF139" s="31"/>
      <c r="CG139" s="71"/>
      <c r="CI139" s="32"/>
      <c r="CJ139" s="70"/>
      <c r="CK139" s="32"/>
      <c r="CL139" s="70"/>
      <c r="CM139" s="31"/>
      <c r="CN139" s="71"/>
      <c r="CP139" s="32"/>
      <c r="CQ139" s="70"/>
      <c r="CR139" s="32"/>
      <c r="CS139" s="70"/>
      <c r="CT139" s="31"/>
      <c r="CU139" s="71"/>
      <c r="CW139" s="32"/>
      <c r="CX139" s="70"/>
      <c r="CY139" s="32"/>
      <c r="CZ139" s="70"/>
      <c r="DA139" s="31"/>
      <c r="DB139" s="71"/>
      <c r="DD139" s="32"/>
      <c r="DE139" s="70"/>
      <c r="DF139" s="32"/>
      <c r="DG139" s="70"/>
      <c r="DH139" s="31"/>
      <c r="DI139" s="71"/>
      <c r="DK139" s="32"/>
      <c r="DL139" s="75"/>
      <c r="DM139" s="26"/>
      <c r="DN139" s="75"/>
      <c r="DO139" s="19"/>
      <c r="DP139" s="79"/>
      <c r="DR139" s="32"/>
      <c r="DS139" s="23"/>
      <c r="DT139" s="26"/>
      <c r="DU139" s="23"/>
      <c r="DV139" s="31"/>
      <c r="DW139" s="24"/>
    </row>
    <row r="140" spans="1:133">
      <c r="A140" s="8" t="s">
        <v>138</v>
      </c>
      <c r="B140" s="8"/>
      <c r="C140" s="22"/>
      <c r="D140" s="23"/>
      <c r="E140" s="22"/>
      <c r="F140" s="23"/>
      <c r="G140" s="15"/>
      <c r="H140" s="16"/>
      <c r="J140" s="22"/>
      <c r="K140" s="23"/>
      <c r="L140" s="22"/>
      <c r="M140" s="23"/>
      <c r="N140" s="15"/>
      <c r="O140" s="16"/>
      <c r="Q140" s="60"/>
      <c r="R140" s="23"/>
      <c r="S140" s="22"/>
      <c r="T140" s="23"/>
      <c r="U140" s="15"/>
      <c r="V140" s="16"/>
      <c r="X140" s="14"/>
      <c r="Y140" s="23"/>
      <c r="Z140" s="14"/>
      <c r="AA140" s="23"/>
      <c r="AB140" s="15"/>
      <c r="AC140" s="16"/>
      <c r="AE140" s="60"/>
      <c r="AF140" s="23"/>
      <c r="AG140" s="22"/>
      <c r="AH140" s="23"/>
      <c r="AI140" s="15"/>
      <c r="AJ140" s="16"/>
      <c r="AL140" s="60"/>
      <c r="AM140" s="23"/>
      <c r="AN140" s="22"/>
      <c r="AO140" s="23"/>
      <c r="AP140" s="15"/>
      <c r="AQ140" s="16"/>
      <c r="AS140" s="60"/>
      <c r="AT140" s="23"/>
      <c r="AU140" s="22"/>
      <c r="AV140" s="23"/>
      <c r="AW140" s="15"/>
      <c r="AX140" s="16"/>
      <c r="AZ140" s="61"/>
      <c r="BA140" s="23"/>
      <c r="BB140" s="14"/>
      <c r="BC140" s="23"/>
      <c r="BD140" s="15"/>
      <c r="BE140" s="16"/>
      <c r="BG140" s="60"/>
      <c r="BH140" s="70"/>
      <c r="BI140" s="60"/>
      <c r="BJ140" s="70"/>
      <c r="BK140" s="57"/>
      <c r="BL140" s="43"/>
      <c r="BN140" s="60"/>
      <c r="BO140" s="70"/>
      <c r="BP140" s="60"/>
      <c r="BQ140" s="70"/>
      <c r="BR140" s="57"/>
      <c r="BS140" s="43"/>
      <c r="BU140" s="60"/>
      <c r="BV140" s="70"/>
      <c r="BW140" s="60"/>
      <c r="BX140" s="70"/>
      <c r="BY140" s="57"/>
      <c r="BZ140" s="43"/>
      <c r="CB140" s="61"/>
      <c r="CC140" s="70"/>
      <c r="CD140" s="61"/>
      <c r="CE140" s="70"/>
      <c r="CF140" s="57"/>
      <c r="CG140" s="43"/>
      <c r="CI140" s="60"/>
      <c r="CJ140" s="70"/>
      <c r="CK140" s="60"/>
      <c r="CL140" s="70"/>
      <c r="CM140" s="57"/>
      <c r="CN140" s="43"/>
      <c r="CP140" s="60"/>
      <c r="CQ140" s="70"/>
      <c r="CR140" s="60"/>
      <c r="CS140" s="70"/>
      <c r="CT140" s="57"/>
      <c r="CU140" s="43"/>
      <c r="CW140" s="60"/>
      <c r="CX140" s="70"/>
      <c r="CY140" s="60"/>
      <c r="CZ140" s="70"/>
      <c r="DA140" s="57"/>
      <c r="DB140" s="43"/>
      <c r="DD140" s="60"/>
      <c r="DE140" s="70"/>
      <c r="DF140" s="60"/>
      <c r="DG140" s="70"/>
      <c r="DH140" s="57"/>
      <c r="DI140" s="43"/>
      <c r="DK140" s="61"/>
      <c r="DL140" s="75"/>
      <c r="DM140" s="14"/>
      <c r="DN140" s="75"/>
      <c r="DO140" s="15"/>
      <c r="DP140" s="78"/>
      <c r="DR140" s="61"/>
      <c r="DS140" s="23"/>
      <c r="DT140" s="14"/>
      <c r="DU140" s="23"/>
      <c r="DV140" s="57"/>
      <c r="DW140" s="16"/>
    </row>
    <row r="141" spans="1:133">
      <c r="A141" s="9" t="s">
        <v>139</v>
      </c>
      <c r="B141" s="8"/>
      <c r="C141" s="22">
        <v>3172.21</v>
      </c>
      <c r="D141" s="23"/>
      <c r="E141" s="22">
        <v>3938</v>
      </c>
      <c r="F141" s="23"/>
      <c r="G141" s="15"/>
      <c r="H141" s="16"/>
      <c r="J141" s="22">
        <v>4448.33</v>
      </c>
      <c r="K141" s="23"/>
      <c r="L141" s="22">
        <v>3938</v>
      </c>
      <c r="M141" s="23"/>
      <c r="N141" s="15"/>
      <c r="O141" s="16"/>
      <c r="Q141" s="60">
        <v>4212.7700000000004</v>
      </c>
      <c r="R141" s="23"/>
      <c r="S141" s="22">
        <v>3938</v>
      </c>
      <c r="T141" s="23"/>
      <c r="U141" s="15"/>
      <c r="V141" s="16"/>
      <c r="X141" s="61">
        <f t="shared" ref="X141" si="369">C141+J141+Q141</f>
        <v>11833.310000000001</v>
      </c>
      <c r="Y141" s="33"/>
      <c r="Z141" s="61">
        <f t="shared" ref="Z141" si="370">E141+L141+S141</f>
        <v>11814</v>
      </c>
      <c r="AA141" s="23"/>
      <c r="AB141" s="15"/>
      <c r="AC141" s="16"/>
      <c r="AE141" s="60">
        <v>0</v>
      </c>
      <c r="AF141" s="23"/>
      <c r="AG141" s="22">
        <v>3938</v>
      </c>
      <c r="AH141" s="23"/>
      <c r="AI141" s="15"/>
      <c r="AJ141" s="16"/>
      <c r="AL141" s="60">
        <v>0</v>
      </c>
      <c r="AM141" s="23"/>
      <c r="AN141" s="22">
        <v>3938</v>
      </c>
      <c r="AO141" s="23"/>
      <c r="AP141" s="15"/>
      <c r="AQ141" s="16"/>
      <c r="AS141" s="60">
        <v>4375.9799999999996</v>
      </c>
      <c r="AT141" s="23"/>
      <c r="AU141" s="22">
        <v>3938</v>
      </c>
      <c r="AV141" s="23"/>
      <c r="AW141" s="15"/>
      <c r="AX141" s="16"/>
      <c r="AZ141" s="61">
        <f t="shared" ref="AZ141" si="371">AE141+AL141+AS141</f>
        <v>4375.9799999999996</v>
      </c>
      <c r="BA141" s="33"/>
      <c r="BB141" s="61">
        <f t="shared" ref="BB141" si="372">AG141+AN141+AU141</f>
        <v>11814</v>
      </c>
      <c r="BC141" s="23"/>
      <c r="BD141" s="15"/>
      <c r="BE141" s="16"/>
      <c r="BG141" s="60">
        <v>290.99</v>
      </c>
      <c r="BH141" s="70"/>
      <c r="BI141" s="60">
        <v>3938</v>
      </c>
      <c r="BJ141" s="70"/>
      <c r="BK141" s="57">
        <f t="shared" ref="BK141" si="373">BG141-BI141</f>
        <v>-3647.01</v>
      </c>
      <c r="BL141" s="43"/>
      <c r="BN141" s="60">
        <v>8507.94</v>
      </c>
      <c r="BO141" s="70"/>
      <c r="BP141" s="60">
        <v>3938</v>
      </c>
      <c r="BQ141" s="70"/>
      <c r="BR141" s="57">
        <f t="shared" ref="BR141" si="374">BN141-BP141</f>
        <v>4569.9400000000005</v>
      </c>
      <c r="BS141" s="43"/>
      <c r="BU141" s="60">
        <v>4542.51</v>
      </c>
      <c r="BV141" s="70"/>
      <c r="BW141" s="60">
        <v>2590</v>
      </c>
      <c r="BX141" s="70"/>
      <c r="BY141" s="57">
        <f t="shared" ref="BY141" si="375">BU141-BW141</f>
        <v>1952.5100000000002</v>
      </c>
      <c r="BZ141" s="43"/>
      <c r="CB141" s="61">
        <f t="shared" ref="CB141" si="376">BG141+BN141+BU141</f>
        <v>13341.44</v>
      </c>
      <c r="CC141" s="70"/>
      <c r="CD141" s="61">
        <f t="shared" ref="CD141" si="377">BI141+BP141+BW141</f>
        <v>10466</v>
      </c>
      <c r="CE141" s="70"/>
      <c r="CF141" s="57">
        <f t="shared" ref="CF141" si="378">CB141-CD141</f>
        <v>2875.4400000000005</v>
      </c>
      <c r="CG141" s="43"/>
      <c r="CI141" s="60">
        <v>6498.22</v>
      </c>
      <c r="CJ141" s="70"/>
      <c r="CK141" s="60">
        <v>3254</v>
      </c>
      <c r="CL141" s="70"/>
      <c r="CM141" s="57">
        <f t="shared" ref="CM141" si="379">CI141-CK141</f>
        <v>3244.2200000000003</v>
      </c>
      <c r="CN141" s="43"/>
      <c r="CP141" s="60">
        <v>5936.59</v>
      </c>
      <c r="CQ141" s="70"/>
      <c r="CR141" s="60">
        <v>2590</v>
      </c>
      <c r="CS141" s="70"/>
      <c r="CT141" s="57">
        <f t="shared" ref="CT141" si="380">CP141-CR141</f>
        <v>3346.59</v>
      </c>
      <c r="CU141" s="43"/>
      <c r="CW141" s="60">
        <v>986.82</v>
      </c>
      <c r="CX141" s="70"/>
      <c r="CY141" s="60">
        <v>2590</v>
      </c>
      <c r="CZ141" s="70"/>
      <c r="DA141" s="57">
        <f t="shared" ref="DA141" si="381">CW141-CY141</f>
        <v>-1603.1799999999998</v>
      </c>
      <c r="DB141" s="43"/>
      <c r="DD141" s="60">
        <v>3292.59</v>
      </c>
      <c r="DE141" s="70"/>
      <c r="DF141" s="60">
        <v>2590</v>
      </c>
      <c r="DG141" s="70"/>
      <c r="DH141" s="57">
        <f t="shared" ref="DH141" si="382">DD141-DF141</f>
        <v>702.59000000000015</v>
      </c>
      <c r="DI141" s="43"/>
      <c r="DK141" s="61">
        <f t="shared" ref="DK141" si="383">CI141+CP141+CW141+DD141</f>
        <v>16714.22</v>
      </c>
      <c r="DL141" s="70"/>
      <c r="DM141" s="61">
        <f t="shared" ref="DM141" si="384">CK141+CR141+CY141+DF141</f>
        <v>11024</v>
      </c>
      <c r="DN141" s="70"/>
      <c r="DO141" s="57">
        <f t="shared" ref="DO141" si="385">DK141-DM141</f>
        <v>5690.2200000000012</v>
      </c>
      <c r="DP141" s="43"/>
      <c r="DR141" s="61">
        <f t="shared" ref="DR141" si="386">X141+AZ141+CB141+DK141</f>
        <v>46264.950000000004</v>
      </c>
      <c r="DS141" s="33"/>
      <c r="DT141" s="61">
        <f t="shared" ref="DT141" si="387">Z141+BB141+CD141+DM141</f>
        <v>45118</v>
      </c>
      <c r="DU141" s="23"/>
      <c r="DV141" s="57"/>
      <c r="DW141" s="16"/>
    </row>
    <row r="142" spans="1:133" ht="16.7" thickBot="1">
      <c r="A142" s="10" t="s">
        <v>138</v>
      </c>
      <c r="B142" s="8"/>
      <c r="C142" s="25">
        <f>SUM(C141:C141)</f>
        <v>3172.21</v>
      </c>
      <c r="D142" s="20">
        <f>+C142/C13</f>
        <v>8.3320222386178387E-3</v>
      </c>
      <c r="E142" s="25">
        <f>SUM(E141:E141)</f>
        <v>3938</v>
      </c>
      <c r="F142" s="20">
        <f>+E142/E13</f>
        <v>1.4271994201322823E-2</v>
      </c>
      <c r="G142" s="17"/>
      <c r="H142" s="18">
        <f>G142/E142</f>
        <v>0</v>
      </c>
      <c r="J142" s="25">
        <f>SUM(J141:J141)</f>
        <v>4448.33</v>
      </c>
      <c r="K142" s="20">
        <f>+J142/J13</f>
        <v>1.0898117874441582E-2</v>
      </c>
      <c r="L142" s="25">
        <f>SUM(L141:L141)</f>
        <v>3938</v>
      </c>
      <c r="M142" s="20">
        <f>+L142/L13</f>
        <v>1.0305636172835307E-2</v>
      </c>
      <c r="N142" s="17"/>
      <c r="O142" s="18"/>
      <c r="Q142" s="59">
        <f>SUM(Q141:Q141)</f>
        <v>4212.7700000000004</v>
      </c>
      <c r="R142" s="20">
        <f>+Q142/Q13</f>
        <v>1.3767012567717106E-2</v>
      </c>
      <c r="S142" s="25">
        <f>SUM(S141:S141)</f>
        <v>3938</v>
      </c>
      <c r="T142" s="20">
        <f>+S142/S13</f>
        <v>7.9870681699716253E-3</v>
      </c>
      <c r="U142" s="17"/>
      <c r="V142" s="18"/>
      <c r="X142" s="25">
        <f>SUM(X141:X141)</f>
        <v>11833.310000000001</v>
      </c>
      <c r="Y142" s="20">
        <f>+X142/X13</f>
        <v>1.0807624205123169E-2</v>
      </c>
      <c r="Z142" s="25">
        <f>SUM(Z141:Z141)</f>
        <v>11814</v>
      </c>
      <c r="AA142" s="20">
        <f>+Z142/Z13</f>
        <v>1.0263288891514413E-2</v>
      </c>
      <c r="AB142" s="17"/>
      <c r="AC142" s="18"/>
      <c r="AE142" s="25">
        <f>SUM(AE141:AE141)</f>
        <v>0</v>
      </c>
      <c r="AF142" s="62" t="e">
        <f>+AE142/AE13</f>
        <v>#DIV/0!</v>
      </c>
      <c r="AG142" s="25">
        <f>SUM(AG141:AG141)</f>
        <v>3938</v>
      </c>
      <c r="AH142" s="20">
        <f>+AG142/AG13</f>
        <v>6.7842862286569766E-3</v>
      </c>
      <c r="AI142" s="17"/>
      <c r="AJ142" s="18"/>
      <c r="AL142" s="59">
        <f>SUM(AL141:AL141)</f>
        <v>0</v>
      </c>
      <c r="AM142" s="62" t="e">
        <f>+AL142/AL13</f>
        <v>#DIV/0!</v>
      </c>
      <c r="AN142" s="25">
        <f>SUM(AN141:AN141)</f>
        <v>3938</v>
      </c>
      <c r="AO142" s="20">
        <f>+AN142/AN13</f>
        <v>7.0391946217550081E-3</v>
      </c>
      <c r="AP142" s="17"/>
      <c r="AQ142" s="18"/>
      <c r="AS142" s="59">
        <f>SUM(AS141:AS141)</f>
        <v>4375.9799999999996</v>
      </c>
      <c r="AT142" s="62" t="e">
        <f>+AS142/AS13</f>
        <v>#DIV/0!</v>
      </c>
      <c r="AU142" s="25">
        <f>SUM(AU141:AU141)</f>
        <v>3938</v>
      </c>
      <c r="AV142" s="20">
        <f>+AU142/AU13</f>
        <v>6.4864900478992203E-3</v>
      </c>
      <c r="AW142" s="17"/>
      <c r="AX142" s="18"/>
      <c r="AZ142" s="59">
        <f>SUM(AZ141:AZ141)</f>
        <v>4375.9799999999996</v>
      </c>
      <c r="BA142" s="62" t="e">
        <f>+AZ142/AZ13</f>
        <v>#DIV/0!</v>
      </c>
      <c r="BB142" s="25">
        <f>SUM(BB141:BB141)</f>
        <v>11814</v>
      </c>
      <c r="BC142" s="20">
        <f>+BB142/BB13</f>
        <v>6.762426688860828E-3</v>
      </c>
      <c r="BD142" s="17"/>
      <c r="BE142" s="18"/>
      <c r="BG142" s="59">
        <f>SUM(BG141:BG141)</f>
        <v>290.99</v>
      </c>
      <c r="BH142" s="69" t="e">
        <f>+BG142/BG13</f>
        <v>#DIV/0!</v>
      </c>
      <c r="BI142" s="59">
        <f>SUM(BI141:BI141)</f>
        <v>3938</v>
      </c>
      <c r="BJ142" s="69">
        <f>+BI142/BI13</f>
        <v>6.343070219945718E-3</v>
      </c>
      <c r="BK142" s="59">
        <f>SUM(BK141:BK141)</f>
        <v>-3647.01</v>
      </c>
      <c r="BL142" s="68"/>
      <c r="BN142" s="59">
        <f>SUM(BN141:BN141)</f>
        <v>8507.94</v>
      </c>
      <c r="BO142" s="69">
        <f>+BN142/BN13</f>
        <v>3.8501969574269206E-2</v>
      </c>
      <c r="BP142" s="59">
        <f>SUM(BP141:BP141)</f>
        <v>3938</v>
      </c>
      <c r="BQ142" s="69">
        <f>+BP142/BP13</f>
        <v>6.4540977292655141E-3</v>
      </c>
      <c r="BR142" s="59">
        <f>SUM(BR141:BR141)</f>
        <v>4569.9400000000005</v>
      </c>
      <c r="BS142" s="68"/>
      <c r="BU142" s="59">
        <f>SUM(BU141:BU141)</f>
        <v>4542.51</v>
      </c>
      <c r="BV142" s="69">
        <f>+BU142/BU13</f>
        <v>1.3826815897531116E-2</v>
      </c>
      <c r="BW142" s="59">
        <f>SUM(BW141:BW141)</f>
        <v>2590</v>
      </c>
      <c r="BX142" s="69">
        <f>+BW142/BW13</f>
        <v>8.8069775745107711E-3</v>
      </c>
      <c r="BY142" s="59">
        <f>SUM(BY141:BY141)</f>
        <v>1952.5100000000002</v>
      </c>
      <c r="BZ142" s="68"/>
      <c r="CB142" s="59">
        <f>SUM(CB141:CB141)</f>
        <v>13341.44</v>
      </c>
      <c r="CC142" s="69">
        <f>+CB142/CB13</f>
        <v>2.4279096489255796E-2</v>
      </c>
      <c r="CD142" s="59">
        <f>SUM(CD141:CD141)</f>
        <v>10466</v>
      </c>
      <c r="CE142" s="69">
        <f>+CD142/CD13</f>
        <v>6.8626133140993065E-3</v>
      </c>
      <c r="CF142" s="59">
        <f>SUM(CF141:CF141)</f>
        <v>2875.4400000000005</v>
      </c>
      <c r="CG142" s="68"/>
      <c r="CI142" s="59">
        <f>SUM(CI141:CI141)</f>
        <v>6498.22</v>
      </c>
      <c r="CJ142" s="69">
        <f>+CI142/CI13</f>
        <v>1.789716479728691E-2</v>
      </c>
      <c r="CK142" s="59">
        <f>SUM(CK141:CK141)</f>
        <v>3254</v>
      </c>
      <c r="CL142" s="69">
        <f>+CK142/CK13</f>
        <v>1.0345660799674432E-2</v>
      </c>
      <c r="CM142" s="59">
        <f>SUM(CM141:CM141)</f>
        <v>3244.2200000000003</v>
      </c>
      <c r="CN142" s="68"/>
      <c r="CP142" s="59">
        <f>SUM(CP141:CP141)</f>
        <v>5936.59</v>
      </c>
      <c r="CQ142" s="69">
        <f>+CP142/CP13</f>
        <v>1.7739646772875036E-2</v>
      </c>
      <c r="CR142" s="59">
        <f>SUM(CR141:CR141)</f>
        <v>2590</v>
      </c>
      <c r="CS142" s="69">
        <f>+CR142/CR13</f>
        <v>8.7176035005048797E-3</v>
      </c>
      <c r="CT142" s="59">
        <f>SUM(CT141:CT141)</f>
        <v>3346.59</v>
      </c>
      <c r="CU142" s="68"/>
      <c r="CW142" s="59">
        <f>SUM(CW141:CW141)</f>
        <v>986.82</v>
      </c>
      <c r="CX142" s="69">
        <f>+CW142/CW13</f>
        <v>3.7067698000244234E-3</v>
      </c>
      <c r="CY142" s="59">
        <f>SUM(CY141:CY141)</f>
        <v>2590</v>
      </c>
      <c r="CZ142" s="69">
        <f>+CY142/CY13</f>
        <v>9.5132800246831052E-3</v>
      </c>
      <c r="DA142" s="59">
        <f>SUM(DA141:DA141)</f>
        <v>-1603.1799999999998</v>
      </c>
      <c r="DB142" s="68"/>
      <c r="DD142" s="59">
        <f>SUM(DD141:DD141)</f>
        <v>3292.59</v>
      </c>
      <c r="DE142" s="69">
        <f>+DD142/DD13</f>
        <v>2.120851272582262E-2</v>
      </c>
      <c r="DF142" s="59">
        <f>SUM(DF141:DF141)</f>
        <v>2590</v>
      </c>
      <c r="DG142" s="69">
        <f>+DF142/DF13</f>
        <v>9.0996606072530264E-3</v>
      </c>
      <c r="DH142" s="59">
        <f>SUM(DH141:DH141)</f>
        <v>702.59000000000015</v>
      </c>
      <c r="DI142" s="68"/>
      <c r="DK142" s="25">
        <f>SUM(DK141:DK141)</f>
        <v>16714.22</v>
      </c>
      <c r="DL142" s="76">
        <f>+DK142/DK13</f>
        <v>1.4933983841506359E-2</v>
      </c>
      <c r="DM142" s="25">
        <f>SUM(DM141:DM141)</f>
        <v>11024</v>
      </c>
      <c r="DN142" s="76">
        <f>+DM142/DM13</f>
        <v>9.4342771318907497E-3</v>
      </c>
      <c r="DO142" s="25">
        <f>SUM(DO141:DO141)</f>
        <v>5690.2200000000012</v>
      </c>
      <c r="DP142" s="77"/>
      <c r="DR142" s="59">
        <f>SUM(DR141:DR141)</f>
        <v>46264.950000000004</v>
      </c>
      <c r="DS142" s="20">
        <f>+DR142/DR13</f>
        <v>1.6740741709413261E-2</v>
      </c>
      <c r="DT142" s="25">
        <f>SUM(DT141:DT141)</f>
        <v>45118</v>
      </c>
      <c r="DU142" s="20">
        <f>+DT142/DT13</f>
        <v>8.0687750494976545E-3</v>
      </c>
      <c r="DV142" s="58"/>
      <c r="DW142" s="18"/>
      <c r="DX142" s="64"/>
    </row>
    <row r="143" spans="1:133" ht="16.7" thickTop="1">
      <c r="A143" s="8"/>
      <c r="B143" s="8"/>
      <c r="C143" s="22"/>
      <c r="D143" s="23"/>
      <c r="E143" s="22"/>
      <c r="F143" s="23"/>
      <c r="G143" s="15"/>
      <c r="H143" s="16"/>
      <c r="J143" s="22"/>
      <c r="K143" s="23"/>
      <c r="L143" s="22"/>
      <c r="M143" s="23"/>
      <c r="N143" s="15"/>
      <c r="O143" s="16"/>
      <c r="Q143" s="60"/>
      <c r="R143" s="23"/>
      <c r="S143" s="22"/>
      <c r="T143" s="23"/>
      <c r="U143" s="15"/>
      <c r="V143" s="16"/>
      <c r="X143" s="14"/>
      <c r="Y143" s="23"/>
      <c r="Z143" s="14"/>
      <c r="AA143" s="23"/>
      <c r="AB143" s="15"/>
      <c r="AC143" s="16"/>
      <c r="AE143" s="60"/>
      <c r="AF143" s="23"/>
      <c r="AG143" s="22"/>
      <c r="AH143" s="23"/>
      <c r="AI143" s="15"/>
      <c r="AJ143" s="16"/>
      <c r="AL143" s="60"/>
      <c r="AM143" s="23"/>
      <c r="AN143" s="22"/>
      <c r="AO143" s="23"/>
      <c r="AP143" s="15"/>
      <c r="AQ143" s="16"/>
      <c r="AS143" s="60"/>
      <c r="AT143" s="23"/>
      <c r="AU143" s="22"/>
      <c r="AV143" s="23"/>
      <c r="AW143" s="15"/>
      <c r="AX143" s="16"/>
      <c r="AZ143" s="61"/>
      <c r="BA143" s="23"/>
      <c r="BB143" s="14"/>
      <c r="BC143" s="23"/>
      <c r="BD143" s="15"/>
      <c r="BE143" s="16"/>
      <c r="BG143" s="60"/>
      <c r="BH143" s="70"/>
      <c r="BI143" s="60"/>
      <c r="BJ143" s="70"/>
      <c r="BK143" s="57"/>
      <c r="BL143" s="43"/>
      <c r="BN143" s="60"/>
      <c r="BO143" s="70"/>
      <c r="BP143" s="60"/>
      <c r="BQ143" s="70"/>
      <c r="BR143" s="57"/>
      <c r="BS143" s="43"/>
      <c r="BU143" s="60"/>
      <c r="BV143" s="70"/>
      <c r="BW143" s="60"/>
      <c r="BX143" s="70"/>
      <c r="BY143" s="57"/>
      <c r="BZ143" s="43"/>
      <c r="CB143" s="61"/>
      <c r="CC143" s="70"/>
      <c r="CD143" s="61"/>
      <c r="CE143" s="70"/>
      <c r="CF143" s="57"/>
      <c r="CG143" s="43"/>
      <c r="CI143" s="60"/>
      <c r="CJ143" s="70"/>
      <c r="CK143" s="60"/>
      <c r="CL143" s="70"/>
      <c r="CM143" s="57"/>
      <c r="CN143" s="43"/>
      <c r="CP143" s="60"/>
      <c r="CQ143" s="70"/>
      <c r="CR143" s="60"/>
      <c r="CS143" s="70"/>
      <c r="CT143" s="57"/>
      <c r="CU143" s="43"/>
      <c r="CW143" s="60"/>
      <c r="CX143" s="70"/>
      <c r="CY143" s="60"/>
      <c r="CZ143" s="70"/>
      <c r="DA143" s="57"/>
      <c r="DB143" s="43"/>
      <c r="DD143" s="60"/>
      <c r="DE143" s="70"/>
      <c r="DF143" s="60"/>
      <c r="DG143" s="70"/>
      <c r="DH143" s="57"/>
      <c r="DI143" s="43"/>
      <c r="DK143" s="61"/>
      <c r="DL143" s="75"/>
      <c r="DM143" s="14"/>
      <c r="DN143" s="75"/>
      <c r="DO143" s="15"/>
      <c r="DP143" s="78"/>
      <c r="DR143" s="61"/>
      <c r="DS143" s="23"/>
      <c r="DT143" s="14"/>
      <c r="DU143" s="23"/>
      <c r="DV143" s="57"/>
      <c r="DW143" s="16"/>
    </row>
    <row r="144" spans="1:133">
      <c r="A144" s="8" t="s">
        <v>140</v>
      </c>
      <c r="B144" s="8"/>
      <c r="C144" s="22"/>
      <c r="D144" s="23"/>
      <c r="E144" s="22"/>
      <c r="F144" s="23"/>
      <c r="G144" s="15"/>
      <c r="H144" s="16"/>
      <c r="J144" s="22"/>
      <c r="K144" s="23"/>
      <c r="L144" s="22"/>
      <c r="M144" s="23"/>
      <c r="N144" s="15"/>
      <c r="O144" s="16"/>
      <c r="Q144" s="60"/>
      <c r="R144" s="23"/>
      <c r="S144" s="22"/>
      <c r="T144" s="23"/>
      <c r="U144" s="15"/>
      <c r="V144" s="16"/>
      <c r="X144" s="14"/>
      <c r="Y144" s="23"/>
      <c r="Z144" s="14"/>
      <c r="AA144" s="23"/>
      <c r="AB144" s="15"/>
      <c r="AC144" s="16"/>
      <c r="AE144" s="60"/>
      <c r="AF144" s="23"/>
      <c r="AG144" s="22"/>
      <c r="AH144" s="23"/>
      <c r="AI144" s="15"/>
      <c r="AJ144" s="16"/>
      <c r="AL144" s="60"/>
      <c r="AM144" s="23"/>
      <c r="AN144" s="22"/>
      <c r="AO144" s="23"/>
      <c r="AP144" s="15"/>
      <c r="AQ144" s="16"/>
      <c r="AS144" s="60"/>
      <c r="AT144" s="23"/>
      <c r="AU144" s="22"/>
      <c r="AV144" s="23"/>
      <c r="AW144" s="15"/>
      <c r="AX144" s="16"/>
      <c r="AZ144" s="61"/>
      <c r="BA144" s="23"/>
      <c r="BB144" s="14"/>
      <c r="BC144" s="23"/>
      <c r="BD144" s="15"/>
      <c r="BE144" s="16"/>
      <c r="BG144" s="60"/>
      <c r="BH144" s="70"/>
      <c r="BI144" s="60"/>
      <c r="BJ144" s="70"/>
      <c r="BK144" s="57"/>
      <c r="BL144" s="43"/>
      <c r="BN144" s="60"/>
      <c r="BO144" s="70"/>
      <c r="BP144" s="60"/>
      <c r="BQ144" s="70"/>
      <c r="BR144" s="57"/>
      <c r="BS144" s="43"/>
      <c r="BU144" s="60"/>
      <c r="BV144" s="70"/>
      <c r="BW144" s="60">
        <v>30179</v>
      </c>
      <c r="BX144" s="70"/>
      <c r="BY144" s="57"/>
      <c r="BZ144" s="43"/>
      <c r="CB144" s="61"/>
      <c r="CC144" s="70"/>
      <c r="CD144" s="61"/>
      <c r="CE144" s="70"/>
      <c r="CF144" s="57"/>
      <c r="CG144" s="43"/>
      <c r="CI144" s="60"/>
      <c r="CJ144" s="70"/>
      <c r="CK144" s="60"/>
      <c r="CL144" s="70"/>
      <c r="CM144" s="57"/>
      <c r="CN144" s="43"/>
      <c r="CP144" s="60"/>
      <c r="CQ144" s="70"/>
      <c r="CR144" s="60"/>
      <c r="CS144" s="70"/>
      <c r="CT144" s="57"/>
      <c r="CU144" s="43"/>
      <c r="CW144" s="60"/>
      <c r="CX144" s="70"/>
      <c r="CY144" s="60"/>
      <c r="CZ144" s="70"/>
      <c r="DA144" s="57"/>
      <c r="DB144" s="43"/>
      <c r="DD144" s="60"/>
      <c r="DE144" s="70"/>
      <c r="DF144" s="60"/>
      <c r="DG144" s="70"/>
      <c r="DH144" s="57"/>
      <c r="DI144" s="43"/>
      <c r="DK144" s="61"/>
      <c r="DL144" s="75"/>
      <c r="DM144" s="14"/>
      <c r="DN144" s="75"/>
      <c r="DO144" s="15"/>
      <c r="DP144" s="78"/>
      <c r="DR144" s="61"/>
      <c r="DS144" s="23"/>
      <c r="DT144" s="14"/>
      <c r="DU144" s="23"/>
      <c r="DV144" s="57"/>
      <c r="DW144" s="16"/>
    </row>
    <row r="145" spans="1:128">
      <c r="A145" s="9" t="s">
        <v>141</v>
      </c>
      <c r="B145" s="8"/>
      <c r="C145" s="22">
        <v>30716.799999999999</v>
      </c>
      <c r="D145" s="23"/>
      <c r="E145" s="22">
        <v>30621</v>
      </c>
      <c r="F145" s="23"/>
      <c r="G145" s="15"/>
      <c r="H145" s="16"/>
      <c r="J145" s="22">
        <v>30716.799999999999</v>
      </c>
      <c r="K145" s="23"/>
      <c r="L145" s="22">
        <v>30621</v>
      </c>
      <c r="M145" s="23"/>
      <c r="N145" s="15"/>
      <c r="O145" s="16"/>
      <c r="Q145" s="60">
        <v>30716.799999999999</v>
      </c>
      <c r="R145" s="23"/>
      <c r="S145" s="22">
        <v>30621</v>
      </c>
      <c r="T145" s="23"/>
      <c r="U145" s="15"/>
      <c r="V145" s="16"/>
      <c r="X145" s="61">
        <f t="shared" ref="X145:X147" si="388">C145+J145+Q145</f>
        <v>92150.399999999994</v>
      </c>
      <c r="Y145" s="33"/>
      <c r="Z145" s="61">
        <f t="shared" ref="Z145:Z147" si="389">E145+L145+S145</f>
        <v>91863</v>
      </c>
      <c r="AA145" s="23"/>
      <c r="AB145" s="15"/>
      <c r="AC145" s="16"/>
      <c r="AE145" s="60">
        <v>30716.799999999999</v>
      </c>
      <c r="AF145" s="23"/>
      <c r="AG145" s="22">
        <v>30621</v>
      </c>
      <c r="AH145" s="23"/>
      <c r="AI145" s="15"/>
      <c r="AJ145" s="16"/>
      <c r="AL145" s="60">
        <v>30717</v>
      </c>
      <c r="AM145" s="23"/>
      <c r="AN145" s="22">
        <v>24162</v>
      </c>
      <c r="AO145" s="23"/>
      <c r="AP145" s="15"/>
      <c r="AQ145" s="16"/>
      <c r="AS145" s="60">
        <v>30717</v>
      </c>
      <c r="AT145" s="23"/>
      <c r="AU145" s="22">
        <v>19543</v>
      </c>
      <c r="AV145" s="23"/>
      <c r="AW145" s="15"/>
      <c r="AX145" s="16"/>
      <c r="AZ145" s="61">
        <f t="shared" ref="AZ145:AZ148" si="390">AE145+AL145+AS145</f>
        <v>92150.8</v>
      </c>
      <c r="BA145" s="33"/>
      <c r="BB145" s="61">
        <f t="shared" ref="BB145:BB148" si="391">AG145+AN145+AU145</f>
        <v>74326</v>
      </c>
      <c r="BC145" s="23"/>
      <c r="BD145" s="15"/>
      <c r="BE145" s="16"/>
      <c r="BG145" s="60">
        <v>30716.799999999999</v>
      </c>
      <c r="BH145" s="70"/>
      <c r="BI145" s="60">
        <v>19543</v>
      </c>
      <c r="BJ145" s="70"/>
      <c r="BK145" s="57">
        <f t="shared" ref="BK145:BK148" si="392">BG145-BI145</f>
        <v>11173.8</v>
      </c>
      <c r="BL145" s="43"/>
      <c r="BN145" s="60">
        <v>8880.32</v>
      </c>
      <c r="BO145" s="70"/>
      <c r="BP145" s="60">
        <v>22608</v>
      </c>
      <c r="BQ145" s="70"/>
      <c r="BR145" s="57">
        <f t="shared" ref="BR145:BR148" si="393">BN145-BP145</f>
        <v>-13727.68</v>
      </c>
      <c r="BS145" s="43"/>
      <c r="BU145" s="60">
        <v>8880.32</v>
      </c>
      <c r="BV145" s="70"/>
      <c r="BX145" s="70"/>
      <c r="BY145" s="57">
        <f>BU145-BW144</f>
        <v>-21298.68</v>
      </c>
      <c r="BZ145" s="43"/>
      <c r="CB145" s="61">
        <f t="shared" ref="CB145:CB148" si="394">BG145+BN145+BU145</f>
        <v>48477.439999999995</v>
      </c>
      <c r="CC145" s="70"/>
      <c r="CD145" s="61">
        <f>BI145+BP145+BW144</f>
        <v>72330</v>
      </c>
      <c r="CE145" s="70"/>
      <c r="CF145" s="57">
        <f t="shared" ref="CF145:CF148" si="395">CB145-CD145</f>
        <v>-23852.560000000005</v>
      </c>
      <c r="CG145" s="43"/>
      <c r="CI145" s="60">
        <v>23398.5</v>
      </c>
      <c r="CJ145" s="70"/>
      <c r="CK145" s="60">
        <v>29272</v>
      </c>
      <c r="CL145" s="70"/>
      <c r="CM145" s="57">
        <f t="shared" ref="CM145:CM148" si="396">CI145-CK145</f>
        <v>-5873.5</v>
      </c>
      <c r="CN145" s="43"/>
      <c r="CP145" s="60">
        <v>21389.759999999998</v>
      </c>
      <c r="CQ145" s="70"/>
      <c r="CR145" s="60">
        <v>19543</v>
      </c>
      <c r="CS145" s="70"/>
      <c r="CT145" s="57">
        <f t="shared" ref="CT145:CT148" si="397">CP145-CR145</f>
        <v>1846.7599999999984</v>
      </c>
      <c r="CU145" s="43"/>
      <c r="CW145" s="60">
        <v>21389.759999999998</v>
      </c>
      <c r="CX145" s="70"/>
      <c r="CY145" s="60">
        <v>19543</v>
      </c>
      <c r="CZ145" s="70"/>
      <c r="DA145" s="57">
        <f t="shared" ref="DA145:DA148" si="398">CW145-CY145</f>
        <v>1846.7599999999984</v>
      </c>
      <c r="DB145" s="43"/>
      <c r="DD145" s="60">
        <v>21389.759999999998</v>
      </c>
      <c r="DE145" s="70"/>
      <c r="DF145" s="60">
        <v>19543</v>
      </c>
      <c r="DG145" s="70"/>
      <c r="DH145" s="57">
        <f t="shared" ref="DH145:DH148" si="399">DD145-DF145</f>
        <v>1846.7599999999984</v>
      </c>
      <c r="DI145" s="43"/>
      <c r="DK145" s="61">
        <f t="shared" ref="DK145:DK148" si="400">CI145+CP145+CW145+DD145</f>
        <v>87567.779999999984</v>
      </c>
      <c r="DL145" s="70"/>
      <c r="DM145" s="61">
        <f>CR145+CY145+DF145+CK145</f>
        <v>87901</v>
      </c>
      <c r="DN145" s="75"/>
      <c r="DO145" s="57">
        <f t="shared" ref="DO145:DO148" si="401">DK145-DM145</f>
        <v>-333.22000000001572</v>
      </c>
      <c r="DP145" s="78"/>
      <c r="DR145" s="61">
        <f t="shared" ref="DR145:DR148" si="402">X145+AZ145+CB145+DK145</f>
        <v>320346.42</v>
      </c>
      <c r="DS145" s="33"/>
      <c r="DT145" s="61">
        <f>Z145+BB145+CD145+DM145</f>
        <v>326420</v>
      </c>
      <c r="DU145" s="23"/>
      <c r="DV145" s="57"/>
      <c r="DW145" s="16"/>
    </row>
    <row r="146" spans="1:128">
      <c r="A146" s="9" t="s">
        <v>142</v>
      </c>
      <c r="B146" s="8"/>
      <c r="C146" s="22"/>
      <c r="D146" s="23"/>
      <c r="E146" s="22">
        <v>0</v>
      </c>
      <c r="F146" s="23"/>
      <c r="G146" s="15"/>
      <c r="H146" s="16"/>
      <c r="J146" s="22">
        <v>0</v>
      </c>
      <c r="K146" s="23"/>
      <c r="L146" s="22">
        <v>0</v>
      </c>
      <c r="M146" s="23"/>
      <c r="N146" s="15"/>
      <c r="O146" s="16"/>
      <c r="Q146" s="60">
        <v>0</v>
      </c>
      <c r="R146" s="23"/>
      <c r="S146" s="22">
        <v>0</v>
      </c>
      <c r="T146" s="23"/>
      <c r="U146" s="15"/>
      <c r="V146" s="16"/>
      <c r="X146" s="61">
        <f t="shared" si="388"/>
        <v>0</v>
      </c>
      <c r="Y146" s="23"/>
      <c r="Z146" s="61">
        <f t="shared" si="389"/>
        <v>0</v>
      </c>
      <c r="AA146" s="23"/>
      <c r="AB146" s="15"/>
      <c r="AC146" s="16"/>
      <c r="AE146" s="60">
        <v>0</v>
      </c>
      <c r="AF146" s="23"/>
      <c r="AG146" s="22">
        <v>0</v>
      </c>
      <c r="AH146" s="23"/>
      <c r="AI146" s="15"/>
      <c r="AJ146" s="16"/>
      <c r="AL146" s="60">
        <v>0</v>
      </c>
      <c r="AM146" s="23"/>
      <c r="AN146" s="22">
        <v>0</v>
      </c>
      <c r="AO146" s="23"/>
      <c r="AP146" s="15"/>
      <c r="AQ146" s="16"/>
      <c r="AS146" s="60">
        <v>0</v>
      </c>
      <c r="AT146" s="23"/>
      <c r="AU146" s="22">
        <v>0</v>
      </c>
      <c r="AV146" s="23"/>
      <c r="AW146" s="15"/>
      <c r="AX146" s="16"/>
      <c r="AZ146" s="61">
        <f t="shared" si="390"/>
        <v>0</v>
      </c>
      <c r="BA146" s="23"/>
      <c r="BB146" s="61">
        <f t="shared" si="391"/>
        <v>0</v>
      </c>
      <c r="BC146" s="23"/>
      <c r="BD146" s="15"/>
      <c r="BE146" s="16"/>
      <c r="BG146" s="60">
        <v>0</v>
      </c>
      <c r="BH146" s="70"/>
      <c r="BI146" s="60">
        <v>0</v>
      </c>
      <c r="BJ146" s="70"/>
      <c r="BK146" s="57">
        <f t="shared" si="392"/>
        <v>0</v>
      </c>
      <c r="BL146" s="43"/>
      <c r="BN146" s="60">
        <v>0</v>
      </c>
      <c r="BO146" s="70"/>
      <c r="BP146" s="60">
        <v>0</v>
      </c>
      <c r="BQ146" s="70"/>
      <c r="BR146" s="57">
        <f t="shared" si="393"/>
        <v>0</v>
      </c>
      <c r="BS146" s="43"/>
      <c r="BU146" s="1">
        <v>0</v>
      </c>
      <c r="BV146" s="70"/>
      <c r="BW146" s="60">
        <v>0</v>
      </c>
      <c r="BX146" s="70"/>
      <c r="BY146" s="57">
        <f t="shared" ref="BY146:BY148" si="403">BU146-BW146</f>
        <v>0</v>
      </c>
      <c r="BZ146" s="43"/>
      <c r="CB146" s="61">
        <f t="shared" si="394"/>
        <v>0</v>
      </c>
      <c r="CC146" s="70"/>
      <c r="CD146" s="61">
        <f t="shared" ref="CD146:CD147" si="404">BI146+BP146+BW146</f>
        <v>0</v>
      </c>
      <c r="CE146" s="70"/>
      <c r="CF146" s="57">
        <f t="shared" si="395"/>
        <v>0</v>
      </c>
      <c r="CG146" s="43"/>
      <c r="CI146" s="60">
        <v>0</v>
      </c>
      <c r="CJ146" s="70"/>
      <c r="CK146" s="60">
        <v>0</v>
      </c>
      <c r="CL146" s="70"/>
      <c r="CM146" s="57">
        <f t="shared" si="396"/>
        <v>0</v>
      </c>
      <c r="CN146" s="43"/>
      <c r="CP146" s="60">
        <v>0</v>
      </c>
      <c r="CQ146" s="70"/>
      <c r="CR146" s="60">
        <v>0</v>
      </c>
      <c r="CS146" s="70"/>
      <c r="CT146" s="57">
        <f t="shared" si="397"/>
        <v>0</v>
      </c>
      <c r="CU146" s="43"/>
      <c r="CW146" s="60">
        <v>0</v>
      </c>
      <c r="CX146" s="70"/>
      <c r="CY146" s="60">
        <v>0</v>
      </c>
      <c r="CZ146" s="70"/>
      <c r="DA146" s="57">
        <f t="shared" si="398"/>
        <v>0</v>
      </c>
      <c r="DB146" s="43"/>
      <c r="DD146" s="60">
        <v>0</v>
      </c>
      <c r="DE146" s="70"/>
      <c r="DF146" s="60">
        <v>0</v>
      </c>
      <c r="DG146" s="70"/>
      <c r="DH146" s="57">
        <f t="shared" si="399"/>
        <v>0</v>
      </c>
      <c r="DI146" s="43"/>
      <c r="DK146" s="61">
        <f t="shared" si="400"/>
        <v>0</v>
      </c>
      <c r="DL146" s="75"/>
      <c r="DM146" s="61">
        <f t="shared" ref="DM146:DM147" si="405">CR146+CY146+DF146+CK146</f>
        <v>0</v>
      </c>
      <c r="DN146" s="75"/>
      <c r="DO146" s="57">
        <f t="shared" si="401"/>
        <v>0</v>
      </c>
      <c r="DP146" s="78"/>
      <c r="DR146" s="61">
        <f t="shared" si="402"/>
        <v>0</v>
      </c>
      <c r="DS146" s="23"/>
      <c r="DT146" s="61">
        <f t="shared" ref="DT146" si="406">Z146+BB146+CD146+DM146</f>
        <v>0</v>
      </c>
      <c r="DU146" s="23"/>
      <c r="DV146" s="57"/>
      <c r="DW146" s="16"/>
    </row>
    <row r="147" spans="1:128">
      <c r="A147" s="9" t="s">
        <v>143</v>
      </c>
      <c r="B147" s="8"/>
      <c r="C147" s="22"/>
      <c r="D147" s="23"/>
      <c r="E147" s="22">
        <v>0</v>
      </c>
      <c r="F147" s="23"/>
      <c r="G147" s="15"/>
      <c r="H147" s="16"/>
      <c r="J147" s="22">
        <v>0</v>
      </c>
      <c r="K147" s="23"/>
      <c r="L147" s="22">
        <v>0</v>
      </c>
      <c r="M147" s="23"/>
      <c r="N147" s="15"/>
      <c r="O147" s="16"/>
      <c r="Q147" s="60">
        <v>0</v>
      </c>
      <c r="R147" s="23"/>
      <c r="S147" s="22">
        <v>0</v>
      </c>
      <c r="T147" s="23"/>
      <c r="U147" s="15"/>
      <c r="V147" s="16"/>
      <c r="X147" s="61">
        <f t="shared" si="388"/>
        <v>0</v>
      </c>
      <c r="Y147" s="23"/>
      <c r="Z147" s="61">
        <f t="shared" si="389"/>
        <v>0</v>
      </c>
      <c r="AA147" s="23"/>
      <c r="AB147" s="15"/>
      <c r="AC147" s="16"/>
      <c r="AE147" s="60">
        <v>0</v>
      </c>
      <c r="AF147" s="23"/>
      <c r="AG147" s="22">
        <v>0</v>
      </c>
      <c r="AH147" s="23"/>
      <c r="AI147" s="15"/>
      <c r="AJ147" s="16"/>
      <c r="AL147" s="60">
        <v>0</v>
      </c>
      <c r="AM147" s="23"/>
      <c r="AN147" s="22">
        <v>0</v>
      </c>
      <c r="AO147" s="23"/>
      <c r="AP147" s="15"/>
      <c r="AQ147" s="16"/>
      <c r="AS147" s="60">
        <v>0</v>
      </c>
      <c r="AT147" s="23"/>
      <c r="AU147" s="22">
        <v>0</v>
      </c>
      <c r="AV147" s="23"/>
      <c r="AW147" s="15"/>
      <c r="AX147" s="16"/>
      <c r="AZ147" s="61">
        <f t="shared" si="390"/>
        <v>0</v>
      </c>
      <c r="BA147" s="23"/>
      <c r="BB147" s="61">
        <f t="shared" si="391"/>
        <v>0</v>
      </c>
      <c r="BC147" s="23"/>
      <c r="BD147" s="15"/>
      <c r="BE147" s="16"/>
      <c r="BG147" s="60">
        <v>0</v>
      </c>
      <c r="BH147" s="70"/>
      <c r="BI147" s="60">
        <v>0</v>
      </c>
      <c r="BJ147" s="70"/>
      <c r="BK147" s="57">
        <f t="shared" si="392"/>
        <v>0</v>
      </c>
      <c r="BL147" s="43"/>
      <c r="BN147" s="60">
        <v>0</v>
      </c>
      <c r="BO147" s="70"/>
      <c r="BP147" s="60">
        <v>0</v>
      </c>
      <c r="BQ147" s="70"/>
      <c r="BR147" s="57">
        <f t="shared" si="393"/>
        <v>0</v>
      </c>
      <c r="BS147" s="43"/>
      <c r="BU147" s="1">
        <v>0</v>
      </c>
      <c r="BV147" s="70"/>
      <c r="BW147" s="60">
        <v>0</v>
      </c>
      <c r="BX147" s="70"/>
      <c r="BY147" s="57">
        <f t="shared" si="403"/>
        <v>0</v>
      </c>
      <c r="BZ147" s="43"/>
      <c r="CB147" s="61">
        <f t="shared" si="394"/>
        <v>0</v>
      </c>
      <c r="CC147" s="70"/>
      <c r="CD147" s="61">
        <f t="shared" si="404"/>
        <v>0</v>
      </c>
      <c r="CE147" s="70"/>
      <c r="CF147" s="57">
        <f t="shared" si="395"/>
        <v>0</v>
      </c>
      <c r="CG147" s="43"/>
      <c r="CI147" s="60">
        <v>0</v>
      </c>
      <c r="CJ147" s="70"/>
      <c r="CK147" s="60">
        <v>0</v>
      </c>
      <c r="CL147" s="70"/>
      <c r="CM147" s="57">
        <f t="shared" si="396"/>
        <v>0</v>
      </c>
      <c r="CN147" s="43"/>
      <c r="CP147" s="60">
        <v>0</v>
      </c>
      <c r="CQ147" s="70"/>
      <c r="CR147" s="60">
        <v>0</v>
      </c>
      <c r="CS147" s="70"/>
      <c r="CT147" s="57">
        <f t="shared" si="397"/>
        <v>0</v>
      </c>
      <c r="CU147" s="43"/>
      <c r="CW147" s="60">
        <v>0</v>
      </c>
      <c r="CX147" s="70"/>
      <c r="CY147" s="60">
        <v>0</v>
      </c>
      <c r="CZ147" s="70"/>
      <c r="DA147" s="57">
        <f t="shared" si="398"/>
        <v>0</v>
      </c>
      <c r="DB147" s="43"/>
      <c r="DD147" s="60">
        <v>0</v>
      </c>
      <c r="DE147" s="70"/>
      <c r="DF147" s="60">
        <v>0</v>
      </c>
      <c r="DG147" s="70"/>
      <c r="DH147" s="57">
        <f t="shared" si="399"/>
        <v>0</v>
      </c>
      <c r="DI147" s="43"/>
      <c r="DK147" s="61">
        <f t="shared" si="400"/>
        <v>0</v>
      </c>
      <c r="DL147" s="75"/>
      <c r="DM147" s="61">
        <f t="shared" si="405"/>
        <v>0</v>
      </c>
      <c r="DN147" s="75"/>
      <c r="DO147" s="57">
        <f t="shared" si="401"/>
        <v>0</v>
      </c>
      <c r="DP147" s="78"/>
      <c r="DR147" s="61">
        <f t="shared" si="402"/>
        <v>0</v>
      </c>
      <c r="DS147" s="23"/>
      <c r="DT147" s="61">
        <f t="shared" ref="DT147:DT148" si="407">Z147+BB147+CD147+DM147</f>
        <v>0</v>
      </c>
      <c r="DU147" s="23"/>
      <c r="DV147" s="57"/>
      <c r="DW147" s="16"/>
    </row>
    <row r="148" spans="1:128">
      <c r="A148" s="9" t="s">
        <v>144</v>
      </c>
      <c r="B148" s="8"/>
      <c r="C148" s="22"/>
      <c r="D148" s="23"/>
      <c r="E148" s="22"/>
      <c r="F148" s="23"/>
      <c r="G148" s="15"/>
      <c r="H148" s="16"/>
      <c r="J148" s="22"/>
      <c r="K148" s="23"/>
      <c r="L148" s="22"/>
      <c r="M148" s="23"/>
      <c r="N148" s="15"/>
      <c r="O148" s="16"/>
      <c r="Q148" s="60"/>
      <c r="R148" s="23"/>
      <c r="S148" s="22"/>
      <c r="T148" s="23"/>
      <c r="U148" s="15"/>
      <c r="V148" s="16"/>
      <c r="X148" s="61">
        <v>0</v>
      </c>
      <c r="Y148" s="23"/>
      <c r="Z148" s="61">
        <v>0</v>
      </c>
      <c r="AA148" s="23"/>
      <c r="AB148" s="15"/>
      <c r="AC148" s="16"/>
      <c r="AE148" s="60">
        <v>0</v>
      </c>
      <c r="AF148" s="23"/>
      <c r="AG148" s="22">
        <v>0</v>
      </c>
      <c r="AH148" s="23"/>
      <c r="AI148" s="15"/>
      <c r="AJ148" s="16"/>
      <c r="AL148" s="60">
        <v>1432.8</v>
      </c>
      <c r="AM148" s="23"/>
      <c r="AN148" s="22">
        <v>0</v>
      </c>
      <c r="AO148" s="23"/>
      <c r="AP148" s="15"/>
      <c r="AQ148" s="16"/>
      <c r="AS148" s="60">
        <v>0</v>
      </c>
      <c r="AT148" s="23"/>
      <c r="AU148" s="22"/>
      <c r="AV148" s="23"/>
      <c r="AW148" s="15"/>
      <c r="AX148" s="16"/>
      <c r="AZ148" s="61">
        <f t="shared" si="390"/>
        <v>1432.8</v>
      </c>
      <c r="BA148" s="23"/>
      <c r="BB148" s="61">
        <f t="shared" si="391"/>
        <v>0</v>
      </c>
      <c r="BC148" s="23"/>
      <c r="BD148" s="15"/>
      <c r="BE148" s="16"/>
      <c r="BG148" s="60">
        <v>1200</v>
      </c>
      <c r="BH148" s="70"/>
      <c r="BI148" s="60">
        <v>0</v>
      </c>
      <c r="BJ148" s="70"/>
      <c r="BK148" s="57">
        <f t="shared" si="392"/>
        <v>1200</v>
      </c>
      <c r="BL148" s="43"/>
      <c r="BN148" s="60">
        <v>0</v>
      </c>
      <c r="BO148" s="70"/>
      <c r="BP148" s="60">
        <v>0</v>
      </c>
      <c r="BQ148" s="70"/>
      <c r="BR148" s="57">
        <f t="shared" si="393"/>
        <v>0</v>
      </c>
      <c r="BS148" s="43"/>
      <c r="BU148" s="1">
        <v>712</v>
      </c>
      <c r="BV148" s="70"/>
      <c r="BW148" s="60">
        <v>0</v>
      </c>
      <c r="BX148" s="70"/>
      <c r="BY148" s="57">
        <f t="shared" si="403"/>
        <v>712</v>
      </c>
      <c r="BZ148" s="43"/>
      <c r="CB148" s="61">
        <f t="shared" si="394"/>
        <v>1912</v>
      </c>
      <c r="CC148" s="70"/>
      <c r="CD148" s="61">
        <v>0</v>
      </c>
      <c r="CE148" s="70"/>
      <c r="CF148" s="57">
        <f t="shared" si="395"/>
        <v>1912</v>
      </c>
      <c r="CG148" s="43"/>
      <c r="CI148" s="60">
        <v>90.79</v>
      </c>
      <c r="CJ148" s="70"/>
      <c r="CK148" s="60">
        <v>0</v>
      </c>
      <c r="CL148" s="70"/>
      <c r="CM148" s="57">
        <f t="shared" si="396"/>
        <v>90.79</v>
      </c>
      <c r="CN148" s="43"/>
      <c r="CP148" s="60">
        <v>356</v>
      </c>
      <c r="CQ148" s="70"/>
      <c r="CR148" s="60">
        <v>0</v>
      </c>
      <c r="CS148" s="70"/>
      <c r="CT148" s="57">
        <f t="shared" si="397"/>
        <v>356</v>
      </c>
      <c r="CU148" s="43"/>
      <c r="CW148" s="60">
        <v>356</v>
      </c>
      <c r="CX148" s="70"/>
      <c r="CY148" s="60">
        <v>0</v>
      </c>
      <c r="CZ148" s="70"/>
      <c r="DA148" s="57">
        <f t="shared" si="398"/>
        <v>356</v>
      </c>
      <c r="DB148" s="43"/>
      <c r="DD148" s="60">
        <v>356</v>
      </c>
      <c r="DE148" s="70"/>
      <c r="DF148" s="60">
        <v>0</v>
      </c>
      <c r="DG148" s="70"/>
      <c r="DH148" s="57">
        <f t="shared" si="399"/>
        <v>356</v>
      </c>
      <c r="DI148" s="43"/>
      <c r="DK148" s="61">
        <f t="shared" si="400"/>
        <v>1158.79</v>
      </c>
      <c r="DL148" s="75"/>
      <c r="DM148" s="61">
        <v>0</v>
      </c>
      <c r="DN148" s="75"/>
      <c r="DO148" s="57">
        <f t="shared" si="401"/>
        <v>1158.79</v>
      </c>
      <c r="DP148" s="78"/>
      <c r="DR148" s="61">
        <f t="shared" si="402"/>
        <v>4503.59</v>
      </c>
      <c r="DS148" s="23"/>
      <c r="DT148" s="61">
        <f t="shared" si="407"/>
        <v>0</v>
      </c>
      <c r="DU148" s="23"/>
      <c r="DV148" s="57"/>
      <c r="DW148" s="16"/>
    </row>
    <row r="149" spans="1:128" ht="16.7" thickBot="1">
      <c r="A149" s="10" t="s">
        <v>140</v>
      </c>
      <c r="B149" s="8"/>
      <c r="C149" s="25">
        <f>SUM(C145:C147)</f>
        <v>30716.799999999999</v>
      </c>
      <c r="D149" s="20">
        <f>+C149/C13</f>
        <v>8.0679734538122133E-2</v>
      </c>
      <c r="E149" s="25">
        <f>SUM(E145:E147)</f>
        <v>30621</v>
      </c>
      <c r="F149" s="20">
        <f>+E149/E13</f>
        <v>0.11097580864365317</v>
      </c>
      <c r="G149" s="17"/>
      <c r="H149" s="18">
        <f>G149/E149</f>
        <v>0</v>
      </c>
      <c r="J149" s="25">
        <f>SUM(J145:J147)</f>
        <v>30716.799999999999</v>
      </c>
      <c r="K149" s="62">
        <f>+J149/J13</f>
        <v>7.5254153159870607E-2</v>
      </c>
      <c r="L149" s="25">
        <f>SUM(L145:L147)</f>
        <v>30621</v>
      </c>
      <c r="M149" s="20">
        <f>+L149/L13</f>
        <v>8.0134303008732838E-2</v>
      </c>
      <c r="N149" s="17"/>
      <c r="O149" s="18"/>
      <c r="Q149" s="59">
        <f>SUM(Q145:Q147)</f>
        <v>30716.799999999999</v>
      </c>
      <c r="R149" s="20">
        <f>+Q149/Q13</f>
        <v>0.10038017068106085</v>
      </c>
      <c r="S149" s="25">
        <f>SUM(S145:S147)</f>
        <v>30621</v>
      </c>
      <c r="T149" s="20">
        <f>+S149/S13</f>
        <v>6.2105641044362912E-2</v>
      </c>
      <c r="U149" s="17"/>
      <c r="V149" s="18"/>
      <c r="X149" s="25">
        <f>SUM(X145:X147)</f>
        <v>92150.399999999994</v>
      </c>
      <c r="Y149" s="20">
        <f>+X149/X13</f>
        <v>8.4163002030013742E-2</v>
      </c>
      <c r="Z149" s="25">
        <f>SUM(Z145:Z147)</f>
        <v>91863</v>
      </c>
      <c r="AA149" s="20">
        <f>+Z149/Z13</f>
        <v>7.9805020098289187E-2</v>
      </c>
      <c r="AB149" s="17"/>
      <c r="AC149" s="18"/>
      <c r="AE149" s="25">
        <f>SUM(AE145:AE148)</f>
        <v>30716.799999999999</v>
      </c>
      <c r="AF149" s="62" t="e">
        <f>+AE149/AE13</f>
        <v>#DIV/0!</v>
      </c>
      <c r="AG149" s="25">
        <f>SUM(AG145:AG148)</f>
        <v>30621</v>
      </c>
      <c r="AH149" s="20">
        <f>+AG149/AG13</f>
        <v>5.2753079890224805E-2</v>
      </c>
      <c r="AI149" s="17"/>
      <c r="AJ149" s="18"/>
      <c r="AL149" s="59">
        <f>SUM(AL145:AL148)</f>
        <v>32149.8</v>
      </c>
      <c r="AM149" s="62" t="e">
        <f>+AL149/AL13</f>
        <v>#DIV/0!</v>
      </c>
      <c r="AN149" s="25">
        <f>SUM(AN145:AN148)</f>
        <v>24162</v>
      </c>
      <c r="AO149" s="20">
        <f>+AN149/AN13</f>
        <v>4.3189695391275901E-2</v>
      </c>
      <c r="AP149" s="17"/>
      <c r="AQ149" s="18"/>
      <c r="AS149" s="59">
        <f>SUM(AS145:AS148)</f>
        <v>30717</v>
      </c>
      <c r="AT149" s="62" t="e">
        <f>+AS149/AS13</f>
        <v>#DIV/0!</v>
      </c>
      <c r="AU149" s="25">
        <f>SUM(AU145:AU147)</f>
        <v>19543</v>
      </c>
      <c r="AV149" s="20">
        <f>+AU149/AU13</f>
        <v>3.2190318691237806E-2</v>
      </c>
      <c r="AW149" s="17"/>
      <c r="AX149" s="18"/>
      <c r="AZ149" s="59">
        <f>SUM(AZ145:AZ148)</f>
        <v>93583.6</v>
      </c>
      <c r="BA149" s="62" t="e">
        <f>+AZ149/AZ13</f>
        <v>#DIV/0!</v>
      </c>
      <c r="BB149" s="25">
        <f>SUM(BB145:BB148)</f>
        <v>74326</v>
      </c>
      <c r="BC149" s="20">
        <f>+BB149/BB13</f>
        <v>4.2544788054534446E-2</v>
      </c>
      <c r="BD149" s="17"/>
      <c r="BE149" s="18"/>
      <c r="BG149" s="59">
        <f>SUM(BG145:BG148)</f>
        <v>31916.799999999999</v>
      </c>
      <c r="BH149" s="69" t="e">
        <f>+BG149/BG13</f>
        <v>#DIV/0!</v>
      </c>
      <c r="BI149" s="59">
        <f>SUM(BI145:BI148)</f>
        <v>19543</v>
      </c>
      <c r="BJ149" s="69">
        <f>+BI149/BI13</f>
        <v>3.1478573211883992E-2</v>
      </c>
      <c r="BK149" s="59">
        <f>SUM(BK145:BK148)</f>
        <v>12373.8</v>
      </c>
      <c r="BL149" s="68"/>
      <c r="BN149" s="59">
        <f>SUM(BN145:BN148)</f>
        <v>8880.32</v>
      </c>
      <c r="BO149" s="69">
        <f>+BN149/BN13</f>
        <v>4.0187144061873292E-2</v>
      </c>
      <c r="BP149" s="59">
        <f>SUM(BP145:BP148)</f>
        <v>22608</v>
      </c>
      <c r="BQ149" s="69">
        <f>+BP149/BP13</f>
        <v>3.7052880005900138E-2</v>
      </c>
      <c r="BR149" s="59">
        <f>SUM(BR145:BR148)</f>
        <v>-13727.68</v>
      </c>
      <c r="BS149" s="68"/>
      <c r="BU149" s="59">
        <f>SUM(BU145:BU148)</f>
        <v>9592.32</v>
      </c>
      <c r="BV149" s="69">
        <f>+BU149/BU13</f>
        <v>2.9197787714326587E-2</v>
      </c>
      <c r="BW149" s="59">
        <f>SUM(BW144:BW148)</f>
        <v>30179</v>
      </c>
      <c r="BX149" s="69">
        <f>+BW149/BW13</f>
        <v>0.10261999081898091</v>
      </c>
      <c r="BY149" s="59">
        <f>SUM(BY145:BY148)</f>
        <v>-20586.68</v>
      </c>
      <c r="BZ149" s="68"/>
      <c r="CB149" s="59">
        <f>SUM(CB145:CB148)</f>
        <v>50389.439999999995</v>
      </c>
      <c r="CC149" s="69">
        <f>+CB149/CB13</f>
        <v>9.1700002083700508E-2</v>
      </c>
      <c r="CD149" s="59">
        <f>SUM(CD145:CD147)</f>
        <v>72330</v>
      </c>
      <c r="CE149" s="69">
        <f>+CD149/CD13</f>
        <v>4.742717571266987E-2</v>
      </c>
      <c r="CF149" s="59">
        <f>SUM(CF145:CF147)</f>
        <v>-23852.560000000005</v>
      </c>
      <c r="CG149" s="68"/>
      <c r="CI149" s="59">
        <f>SUM(CI145:CI148)</f>
        <v>23489.29</v>
      </c>
      <c r="CJ149" s="69">
        <f>+CI149/CI13</f>
        <v>6.4693361274512626E-2</v>
      </c>
      <c r="CK149" s="59">
        <f>SUM(CK145:CK148)</f>
        <v>29272</v>
      </c>
      <c r="CL149" s="69">
        <f>+CK149/CK13</f>
        <v>9.3066436056567295E-2</v>
      </c>
      <c r="CM149" s="59">
        <f>SUM(CM145:CM148)</f>
        <v>-5782.71</v>
      </c>
      <c r="CN149" s="68"/>
      <c r="CP149" s="59">
        <f>SUM(CP145:CP148)</f>
        <v>21745.759999999998</v>
      </c>
      <c r="CQ149" s="69">
        <f>+CP149/CP13</f>
        <v>6.4980418254876118E-2</v>
      </c>
      <c r="CR149" s="59">
        <f>SUM(CR145:CR148)</f>
        <v>19543</v>
      </c>
      <c r="CS149" s="69">
        <f>+CR149/CR13</f>
        <v>6.577919892292157E-2</v>
      </c>
      <c r="CT149" s="59">
        <f>SUM(CT145:CT148)</f>
        <v>2202.7599999999984</v>
      </c>
      <c r="CU149" s="68"/>
      <c r="CW149" s="59">
        <f>SUM(CW145:CW148)</f>
        <v>21745.759999999998</v>
      </c>
      <c r="CX149" s="69">
        <f>+CW149/CW13</f>
        <v>8.1683109834193773E-2</v>
      </c>
      <c r="CY149" s="59">
        <f>SUM(CY145:CY148)</f>
        <v>19543</v>
      </c>
      <c r="CZ149" s="69">
        <f>+CY149/CY13</f>
        <v>7.1783023753815414E-2</v>
      </c>
      <c r="DA149" s="59">
        <f>SUM(DA145:DA148)</f>
        <v>2202.7599999999984</v>
      </c>
      <c r="DB149" s="68"/>
      <c r="DD149" s="59">
        <f>SUM(DD145:DD148)</f>
        <v>21745.759999999998</v>
      </c>
      <c r="DE149" s="69">
        <f>+DD149/DD13</f>
        <v>0.14007065188580553</v>
      </c>
      <c r="DF149" s="59">
        <f>SUM(DF145:DF148)</f>
        <v>19543</v>
      </c>
      <c r="DG149" s="69">
        <f>+DF149/DF13</f>
        <v>6.8662033686311158E-2</v>
      </c>
      <c r="DH149" s="59">
        <f>SUM(DH145:DH148)</f>
        <v>2202.7599999999984</v>
      </c>
      <c r="DI149" s="68"/>
      <c r="DK149" s="25">
        <f>SUM(DK145:DK148)</f>
        <v>88726.569999999978</v>
      </c>
      <c r="DL149" s="76">
        <f>+DK149/DK13</f>
        <v>7.9276278683198045E-2</v>
      </c>
      <c r="DM149" s="25">
        <f>SUM(DM145:DM147)</f>
        <v>87901</v>
      </c>
      <c r="DN149" s="76">
        <f>+DM149/DM13</f>
        <v>7.5225180893534901E-2</v>
      </c>
      <c r="DO149" s="25">
        <f>SUM(DO145:DO147)</f>
        <v>-333.22000000001572</v>
      </c>
      <c r="DP149" s="77"/>
      <c r="DR149" s="59">
        <f>SUM(DR145:DR148)</f>
        <v>324850.01</v>
      </c>
      <c r="DS149" s="20">
        <f>+DR149/DR13</f>
        <v>0.11754535802395365</v>
      </c>
      <c r="DT149" s="25">
        <f>SUM(DT145:DT148)</f>
        <v>326420</v>
      </c>
      <c r="DU149" s="20">
        <f>+DT149/DT13</f>
        <v>5.8376026234696232E-2</v>
      </c>
      <c r="DV149" s="58"/>
      <c r="DW149" s="18"/>
      <c r="DX149" s="64"/>
    </row>
    <row r="150" spans="1:128" ht="16.7" thickTop="1">
      <c r="A150" s="9"/>
      <c r="B150" s="8"/>
      <c r="C150" s="22"/>
      <c r="D150" s="23"/>
      <c r="E150" s="22"/>
      <c r="F150" s="23"/>
      <c r="G150" s="15"/>
      <c r="H150" s="16"/>
      <c r="J150" s="22"/>
      <c r="K150" s="23"/>
      <c r="L150" s="22"/>
      <c r="M150" s="23"/>
      <c r="N150" s="15"/>
      <c r="O150" s="16"/>
      <c r="Q150" s="60"/>
      <c r="R150" s="23"/>
      <c r="S150" s="22"/>
      <c r="T150" s="23"/>
      <c r="U150" s="15"/>
      <c r="V150" s="16"/>
      <c r="X150" s="22"/>
      <c r="Y150" s="23"/>
      <c r="Z150" s="22"/>
      <c r="AA150" s="23"/>
      <c r="AB150" s="15"/>
      <c r="AC150" s="16"/>
      <c r="AE150" s="60"/>
      <c r="AF150" s="23"/>
      <c r="AG150" s="22"/>
      <c r="AH150" s="23"/>
      <c r="AI150" s="15"/>
      <c r="AJ150" s="16"/>
      <c r="AL150" s="60"/>
      <c r="AM150" s="23"/>
      <c r="AN150" s="22"/>
      <c r="AO150" s="23"/>
      <c r="AP150" s="15"/>
      <c r="AQ150" s="16"/>
      <c r="AS150" s="60"/>
      <c r="AT150" s="23"/>
      <c r="AU150" s="22"/>
      <c r="AV150" s="23"/>
      <c r="AW150" s="15"/>
      <c r="AX150" s="16"/>
      <c r="AZ150" s="60"/>
      <c r="BA150" s="23"/>
      <c r="BB150" s="22"/>
      <c r="BC150" s="23"/>
      <c r="BD150" s="15"/>
      <c r="BE150" s="16"/>
      <c r="BG150" s="60"/>
      <c r="BH150" s="70"/>
      <c r="BI150" s="60"/>
      <c r="BJ150" s="70"/>
      <c r="BK150" s="57"/>
      <c r="BL150" s="43"/>
      <c r="BN150" s="60"/>
      <c r="BO150" s="70"/>
      <c r="BP150" s="60"/>
      <c r="BQ150" s="70"/>
      <c r="BR150" s="57"/>
      <c r="BS150" s="43"/>
      <c r="BU150" s="60"/>
      <c r="BV150" s="70"/>
      <c r="BW150" s="60"/>
      <c r="BX150" s="70"/>
      <c r="BY150" s="57"/>
      <c r="BZ150" s="43"/>
      <c r="CB150" s="60"/>
      <c r="CC150" s="70"/>
      <c r="CD150" s="60"/>
      <c r="CE150" s="70"/>
      <c r="CF150" s="57"/>
      <c r="CG150" s="43"/>
      <c r="CI150" s="60"/>
      <c r="CJ150" s="70"/>
      <c r="CK150" s="60"/>
      <c r="CL150" s="70"/>
      <c r="CM150" s="57"/>
      <c r="CN150" s="43"/>
      <c r="CP150" s="60"/>
      <c r="CQ150" s="70"/>
      <c r="CR150" s="60"/>
      <c r="CS150" s="70"/>
      <c r="CT150" s="57"/>
      <c r="CU150" s="43"/>
      <c r="CW150" s="60"/>
      <c r="CX150" s="70"/>
      <c r="CY150" s="60"/>
      <c r="CZ150" s="70"/>
      <c r="DA150" s="57"/>
      <c r="DB150" s="43"/>
      <c r="DD150" s="60"/>
      <c r="DE150" s="70"/>
      <c r="DF150" s="60"/>
      <c r="DG150" s="70"/>
      <c r="DH150" s="57"/>
      <c r="DI150" s="43"/>
      <c r="DK150" s="61"/>
      <c r="DL150" s="75"/>
      <c r="DM150" s="14"/>
      <c r="DN150" s="75"/>
      <c r="DO150" s="15"/>
      <c r="DP150" s="78"/>
      <c r="DR150" s="61"/>
      <c r="DS150" s="23"/>
      <c r="DT150" s="22"/>
      <c r="DU150" s="23"/>
      <c r="DV150" s="57"/>
      <c r="DW150" s="16"/>
    </row>
    <row r="151" spans="1:128" ht="16.7" thickBot="1">
      <c r="A151" s="11" t="s">
        <v>145</v>
      </c>
      <c r="B151" s="6"/>
      <c r="C151" s="25">
        <f>C149+C142+C136+C117+C108+C100+C82+C58+C37+C29+C88</f>
        <v>263143.24</v>
      </c>
      <c r="D151" s="20">
        <f>C151/C13</f>
        <v>0.69116336170113291</v>
      </c>
      <c r="E151" s="25">
        <f>+E149+E142+E136+E117+E108+E100+E82+E58+E37+E29+E88</f>
        <v>225011.51879076922</v>
      </c>
      <c r="F151" s="20">
        <f>E151/E13</f>
        <v>0.81548072407635852</v>
      </c>
      <c r="G151" s="25">
        <f>G144+G140+G136+G117+G108+G100+G82+G58+G37+G27</f>
        <v>-36719.751209230759</v>
      </c>
      <c r="H151" s="18">
        <f>G151/E151</f>
        <v>-0.16319053978465539</v>
      </c>
      <c r="J151" s="25">
        <f>J149+J142+J136+J117+J108+J100+J82+J58+J37+J29+J88</f>
        <v>266513.18399999995</v>
      </c>
      <c r="K151" s="20">
        <f>J151/J13</f>
        <v>0.65293988852552254</v>
      </c>
      <c r="L151" s="25">
        <f>+L149+L142+L136+L117+L108+L100+L82+L58+L37+L29+L88</f>
        <v>255520.31275700103</v>
      </c>
      <c r="M151" s="20">
        <f>L151/L13</f>
        <v>0.66868953226072636</v>
      </c>
      <c r="N151" s="25">
        <f>N144+N140+N136+N117+N108+N100+N82+N58+N37+N27</f>
        <v>-22535.931242998944</v>
      </c>
      <c r="O151" s="18">
        <f>N151/L151</f>
        <v>-8.819624162103519E-2</v>
      </c>
      <c r="Q151" s="59">
        <f>Q149+Q142+Q136+Q117+Q108+Q100+Q82+Q58+Q37+Q29+Q88</f>
        <v>221116.18000000002</v>
      </c>
      <c r="R151" s="20">
        <f>Q151/Q13</f>
        <v>0.72259089126289777</v>
      </c>
      <c r="S151" s="25">
        <f>+S149+S142+S136+S117+S108+S100+S82+S58+S37+S29+S88</f>
        <v>287387.93852490449</v>
      </c>
      <c r="T151" s="20">
        <f>S151/S13</f>
        <v>0.58288142616201799</v>
      </c>
      <c r="U151" s="25">
        <f>U144+U140+U136+U117+U108+U100+U82+U58+U37+U27</f>
        <v>62916.028524904483</v>
      </c>
      <c r="V151" s="18">
        <f>U151/S151</f>
        <v>0.21892369195394157</v>
      </c>
      <c r="X151" s="25">
        <f>+X149+X142+X136+X117+X108+X100+X88+X82+X58+X37+X29</f>
        <v>750772.60400000005</v>
      </c>
      <c r="Y151" s="20">
        <f>X151/X13</f>
        <v>0.68569725356081701</v>
      </c>
      <c r="Z151" s="25">
        <f>+Z149+Z142+Z136+Z117+Z108+Z100+Z82+Z58+Z37+Z29+Z88</f>
        <v>767919.77007267473</v>
      </c>
      <c r="AA151" s="20">
        <f>Z151/Z13</f>
        <v>0.66712226559684984</v>
      </c>
      <c r="AB151" s="25">
        <f>AB144+AB140+AB136+AB117+AB108+AB100+AB82+AB58+AB37+AB27</f>
        <v>3660.3460726747162</v>
      </c>
      <c r="AC151" s="18">
        <f>AB151/Z151</f>
        <v>4.7665735605795208E-3</v>
      </c>
      <c r="AE151" s="59">
        <f>AE149+AE142+AE136+AE117+AE108+AE100+AE82+AE58+AE37+AE29+AE88</f>
        <v>54273.98</v>
      </c>
      <c r="AF151" s="20" t="e">
        <f>AE151/AE13</f>
        <v>#DIV/0!</v>
      </c>
      <c r="AG151" s="25">
        <f>+AG149+AG142+AG136+AG117+AG108+AG100+AG82+AG58+AG37+AG29+AG88</f>
        <v>313548.79811928939</v>
      </c>
      <c r="AH151" s="20">
        <f>AG151/AG13</f>
        <v>0.54017389362433765</v>
      </c>
      <c r="AI151" s="25">
        <f>AI144+AI140+AI136+AI117+AI108+AI100+AI82+AI58+AI37+AI27</f>
        <v>207485.6181192894</v>
      </c>
      <c r="AJ151" s="18">
        <f>AI151/AG151</f>
        <v>0.66173309980397899</v>
      </c>
      <c r="AL151" s="59">
        <f>AL149+AL142+AL136+AL117+AL108+AL100+AL82+AL58+AL37+AL29+AL88</f>
        <v>65090.859999999986</v>
      </c>
      <c r="AM151" s="20" t="e">
        <f>AL151/AL13</f>
        <v>#DIV/0!</v>
      </c>
      <c r="AN151" s="25">
        <f>+AN149+AN142+AN136+AN117+AN108+AN100+AN82+AN58+AN37+AN29+AN88</f>
        <v>304550.9537175523</v>
      </c>
      <c r="AO151" s="20">
        <f>AN151/AN13</f>
        <v>0.54438634724706769</v>
      </c>
      <c r="AP151" s="25">
        <f>AP144+AP140+AP136+AP117+AP108+AP100+AP82+AP58+AP37+AP27</f>
        <v>211155.2037175523</v>
      </c>
      <c r="AQ151" s="18">
        <f>AP151/AN151</f>
        <v>0.69333292554185399</v>
      </c>
      <c r="AS151" s="59">
        <f>AS149+AS142+AS136+AS117+AS108+AS100+AS82+AS58+AS37+AS29+AS88</f>
        <v>70943.709999999992</v>
      </c>
      <c r="AT151" s="20" t="e">
        <f>AS151/AS13</f>
        <v>#DIV/0!</v>
      </c>
      <c r="AU151" s="25">
        <f>+AU149+AU142+AU136+AU117+AU108+AU100+AU82+AU58+AU37+AU29+AU88</f>
        <v>310126.01951408753</v>
      </c>
      <c r="AV151" s="20">
        <f>AU151/AU13</f>
        <v>0.51082512421856985</v>
      </c>
      <c r="AW151" s="25">
        <f>AW144+AW140+AW136+AW117+AW108+AW100+AW82+AW58+AW37+AW27</f>
        <v>217880.97951408752</v>
      </c>
      <c r="AX151" s="18">
        <f>AW151/AU151</f>
        <v>0.70255627004618437</v>
      </c>
      <c r="AZ151" s="59">
        <f>AZ149+AZ142+AZ136+AZ117+AZ108+AZ100+AZ82+AZ58+AZ37+AZ29+AZ88</f>
        <v>190308.55</v>
      </c>
      <c r="BA151" s="20" t="e">
        <f>AZ151/AZ13</f>
        <v>#DIV/0!</v>
      </c>
      <c r="BB151" s="25">
        <f>+BB149+BB142+BB136+BB117+BB108+BB100+BB82+BB58+BB37+BB29+BB88</f>
        <v>928225.77135092928</v>
      </c>
      <c r="BC151" s="20">
        <f>BB151/BB13</f>
        <v>0.53132374551142314</v>
      </c>
      <c r="BD151" s="25">
        <f>BD144+BD140+BD136+BD117+BD108+BD100+BD82+BD58+BD37+BD27</f>
        <v>636521.80135092919</v>
      </c>
      <c r="BE151" s="18">
        <f>BD151/BB151</f>
        <v>0.68574028107896912</v>
      </c>
      <c r="BG151" s="59">
        <f>BG149+BG142+BG136+BG117+BG108+BG100+BG82+BG58+BG37+BG29+BG88</f>
        <v>73516.51999999999</v>
      </c>
      <c r="BH151" s="69" t="e">
        <f>BG151/BG13</f>
        <v>#DIV/0!</v>
      </c>
      <c r="BI151" s="59">
        <f>+BI149+BI142+BI136+BI117+BI108+BI100+BI82+BI58+BI37+BI29+BI88</f>
        <v>313537.14709018002</v>
      </c>
      <c r="BJ151" s="69">
        <f>BI151/BI13</f>
        <v>0.50502492142063515</v>
      </c>
      <c r="BK151" s="59">
        <f>+BK149+BK142+BK136+BK117+BK108+BK100+BK82+BK58+BK37+BK29+BK88</f>
        <v>-240020.62709018</v>
      </c>
      <c r="BL151" s="68">
        <f>BK151/BI151</f>
        <v>-0.76552532711903798</v>
      </c>
      <c r="BN151" s="59">
        <f>BN149+BN142+BN136+BN117+BN108+BN100+BN82+BN58+BN37+BN29+BN88</f>
        <v>172907.76800000004</v>
      </c>
      <c r="BO151" s="69">
        <f>BN151/BN13</f>
        <v>0.78247961582836734</v>
      </c>
      <c r="BP151" s="59">
        <f>+BP149+BP142+BP136+BP117+BP108+BP100+BP82+BP58+BP37+BP29+BP88</f>
        <v>314067.48286292981</v>
      </c>
      <c r="BQ151" s="69">
        <f>BP151/BP13</f>
        <v>0.51473393295626491</v>
      </c>
      <c r="BR151" s="59">
        <f>+BR149+BR142+BR136+BR117+BR108+BR100+BR82+BR58+BR37+BR29+BR88</f>
        <v>-141159.71486292977</v>
      </c>
      <c r="BS151" s="68">
        <f>BR151/BP151</f>
        <v>-0.44945663771418476</v>
      </c>
      <c r="BU151" s="59">
        <f>BU149+BU142+BU136+BU117+BU108+BU100+BU82+BU58+BU37+BU29+BU88</f>
        <v>185019.68</v>
      </c>
      <c r="BV151" s="69">
        <f>BU151/BU13</f>
        <v>0.56317609708731953</v>
      </c>
      <c r="BW151" s="59">
        <f>+BW149+BW142+BW136+BW117+BW108+BW100+BW82+BW58+BW37+BW29+BW88</f>
        <v>217388</v>
      </c>
      <c r="BX151" s="69">
        <f>BW151/BW13</f>
        <v>0.73920125133889858</v>
      </c>
      <c r="BY151" s="59">
        <f>+BY149+BY142+BY136+BY117+BY108+BY100+BY82+BY58+BY37+BY29+BY88</f>
        <v>-32368.319999999996</v>
      </c>
      <c r="BZ151" s="68">
        <f>BY151/BW151</f>
        <v>-0.14889653522733542</v>
      </c>
      <c r="CB151" s="59">
        <f>CB149+CB142+CB136+CB117+CB108+CB100+CB82+CB58+CB37+CB29+CB88</f>
        <v>431443.96799999994</v>
      </c>
      <c r="CC151" s="69">
        <f>CB151/CB13</f>
        <v>0.78515285672156732</v>
      </c>
      <c r="CD151" s="59">
        <f>+CD149+CD142+CD136+CD117+CD108+CD100+CD82+CD58+CD37+CD29+CD88</f>
        <v>844992.62995310978</v>
      </c>
      <c r="CE151" s="69">
        <f>CD151/CD13</f>
        <v>0.55406627867685831</v>
      </c>
      <c r="CF151" s="59">
        <f>+CF149+CF142+CF136+CF117+CF108+CF100+CF82+CF58+CF37+CF29+CF88</f>
        <v>-415747.41195310978</v>
      </c>
      <c r="CG151" s="68">
        <f>CF151/CD151</f>
        <v>-0.4920130628549747</v>
      </c>
      <c r="CI151" s="59">
        <f>CI149+CI142+CI136+CI117+CI108+CI100+CI82+CI58+CI37+CI29+CI88</f>
        <v>242476.60000000003</v>
      </c>
      <c r="CJ151" s="69">
        <f>CI151/CI13</f>
        <v>0.66782036768312236</v>
      </c>
      <c r="CK151" s="59">
        <f>+CK149+CK142+CK136+CK117+CK108+CK100+CK82+CK58+CK37+CK29+CK88</f>
        <v>218300</v>
      </c>
      <c r="CL151" s="69">
        <f>CK151/CK13</f>
        <v>0.69405585512259638</v>
      </c>
      <c r="CM151" s="59">
        <f>+CM149+CM142+CM136+CM117+CM108+CM100+CM82+CM58+CM37+CM29+CM88</f>
        <v>24025.600000000009</v>
      </c>
      <c r="CN151" s="68">
        <f>CM151/CK151</f>
        <v>0.11005771873568489</v>
      </c>
      <c r="CP151" s="59">
        <f>CP149+CP142+CP136+CP117+CP108+CP100+CP82+CP58+CP37+CP29+CP88</f>
        <v>220563.35000000003</v>
      </c>
      <c r="CQ151" s="69">
        <f>CP151/CP13</f>
        <v>0.65908474731150501</v>
      </c>
      <c r="CR151" s="59">
        <f>+CR149+CR142+CR136+CR117+CR108+CR100+CR82+CR58+CR37+CR29+CR88</f>
        <v>202717.804</v>
      </c>
      <c r="CS151" s="69">
        <f>CR151/CR13</f>
        <v>0.68232179064288123</v>
      </c>
      <c r="CT151" s="59">
        <f>+CT149+CT142+CT136+CT117+CT108+CT100+CT82+CT58+CT37+CT29+CT88</f>
        <v>17287.765999999996</v>
      </c>
      <c r="CU151" s="68">
        <f>CT151/CR151</f>
        <v>8.5279958932467495E-2</v>
      </c>
      <c r="CW151" s="59">
        <f>CW149+CW142+CW136+CW117+CW108+CW100+CW82+CW58+CW37+CW29+CW88</f>
        <v>193991.02000000002</v>
      </c>
      <c r="CX151" s="69">
        <f>CW151/CW13</f>
        <v>0.72868411099484598</v>
      </c>
      <c r="CY151" s="59">
        <f>+CY149+CY142+CY136+CY117+CY108+CY100+CY82+CY58+CY37+CY29+CY88</f>
        <v>195323.51476923077</v>
      </c>
      <c r="CZ151" s="69">
        <f>CY151/CY13</f>
        <v>0.71743910865058624</v>
      </c>
      <c r="DA151" s="59">
        <f>+DA149+DA142+DA136+DA117+DA108+DA100+DA82+DA58+DA37+DA29+DA88</f>
        <v>-2178.5947692307723</v>
      </c>
      <c r="DB151" s="68">
        <f>DA151/CY151</f>
        <v>-1.1153776194354892E-2</v>
      </c>
      <c r="DD151" s="59">
        <f>DD149+DD142+DD136+DD117+DD108+DD100+DD82+DD58+DD37+DD29+DD88</f>
        <v>139006.66000000003</v>
      </c>
      <c r="DE151" s="69">
        <f>DD151/DD13</f>
        <v>0.89538160462860494</v>
      </c>
      <c r="DF151" s="59">
        <f>+DF149+DF142+DF136+DF117+DF108+DF100+DF82+DF58+DF37+DF29+DF88</f>
        <v>199008.51476923077</v>
      </c>
      <c r="DG151" s="69">
        <f>DF151/DF13</f>
        <v>0.69919302793571481</v>
      </c>
      <c r="DH151" s="59">
        <f>+DH149+DH142+DH136+DH117+DH108+DH100+DH82+DH58+DH37+DH29+DH88</f>
        <v>-61836.474769230765</v>
      </c>
      <c r="DI151" s="68">
        <f>DH151/DF151</f>
        <v>-0.31072275897810714</v>
      </c>
      <c r="DK151" s="59">
        <f>DK149+DK142+DK136+DK117+DK108+DK100+DK82+DK58+DK37+DK29+DK88</f>
        <v>796037.63</v>
      </c>
      <c r="DL151" s="76">
        <f>DK151/DK13</f>
        <v>0.711251443600181</v>
      </c>
      <c r="DM151" s="25">
        <f>+DM149+DM142+DM136+DM117+DM108+DM100+DM82+DM58+DM37+DM29+DM88</f>
        <v>815349.83353846148</v>
      </c>
      <c r="DN151" s="76">
        <f>DM151/DM13</f>
        <v>0.69777179690156355</v>
      </c>
      <c r="DO151" s="25">
        <f>+DO149+DO142+DO136+DO117+DO108+DO100+DO82+DO58+DO37+DO29+DO88</f>
        <v>-23860.493538461538</v>
      </c>
      <c r="DP151" s="77">
        <f>DO151/DM151</f>
        <v>-2.9264117752881097E-2</v>
      </c>
      <c r="DR151" s="59">
        <f>DR149+DR142+DR136+DR117+DR108+DR100+DR82+DR58+DR37+DR29+DR88</f>
        <v>2168562.7519999999</v>
      </c>
      <c r="DS151" s="20">
        <f>DR151/DR13</f>
        <v>0.78468363008900688</v>
      </c>
      <c r="DT151" s="25">
        <f>+DT149+DT142+DT136+DT117+DT108+DT100+DT82+DT58+DT37+DT29+DT88</f>
        <v>3356488.004915175</v>
      </c>
      <c r="DU151" s="20">
        <f>DT151/DT13</f>
        <v>0.60026478718023246</v>
      </c>
      <c r="DV151" s="25">
        <f>DV144+DV140+DV136+DV117+DV108+DV100+DV82+DV58+DV37+DV27</f>
        <v>1180317.9429151751</v>
      </c>
      <c r="DW151" s="18">
        <f>DV151/DT151</f>
        <v>0.35165266230260339</v>
      </c>
      <c r="DX151" s="64"/>
    </row>
    <row r="152" spans="1:128" ht="16.7" thickTop="1">
      <c r="A152" s="6"/>
      <c r="B152" s="6"/>
      <c r="C152" s="24"/>
      <c r="D152" s="23"/>
      <c r="E152" s="24"/>
      <c r="F152" s="23"/>
      <c r="G152" s="15"/>
      <c r="H152" s="16"/>
      <c r="J152" s="24"/>
      <c r="K152" s="23"/>
      <c r="L152" s="24"/>
      <c r="M152" s="23"/>
      <c r="N152" s="15"/>
      <c r="O152" s="16"/>
      <c r="Q152" s="55"/>
      <c r="R152" s="23"/>
      <c r="S152" s="24"/>
      <c r="T152" s="23"/>
      <c r="U152" s="15"/>
      <c r="V152" s="16"/>
      <c r="X152" s="24"/>
      <c r="Y152" s="23"/>
      <c r="Z152" s="24"/>
      <c r="AA152" s="23"/>
      <c r="AB152" s="15"/>
      <c r="AC152" s="16"/>
      <c r="AE152" s="55"/>
      <c r="AF152" s="23"/>
      <c r="AG152" s="24"/>
      <c r="AH152" s="23"/>
      <c r="AI152" s="15"/>
      <c r="AJ152" s="16"/>
      <c r="AL152" s="55"/>
      <c r="AM152" s="23"/>
      <c r="AN152" s="24"/>
      <c r="AO152" s="23"/>
      <c r="AP152" s="15"/>
      <c r="AQ152" s="16"/>
      <c r="AS152" s="55"/>
      <c r="AT152" s="23"/>
      <c r="AU152" s="24"/>
      <c r="AV152" s="23"/>
      <c r="AW152" s="15"/>
      <c r="AX152" s="16"/>
      <c r="AZ152" s="55"/>
      <c r="BA152" s="23"/>
      <c r="BB152" s="24"/>
      <c r="BC152" s="23"/>
      <c r="BD152" s="15"/>
      <c r="BE152" s="16"/>
      <c r="BG152" s="55"/>
      <c r="BH152" s="70"/>
      <c r="BI152" s="55"/>
      <c r="BJ152" s="70"/>
      <c r="BK152" s="57"/>
      <c r="BL152" s="43"/>
      <c r="BN152" s="55"/>
      <c r="BO152" s="70"/>
      <c r="BP152" s="55"/>
      <c r="BQ152" s="70"/>
      <c r="BR152" s="57"/>
      <c r="BS152" s="43"/>
      <c r="BU152" s="55"/>
      <c r="BV152" s="70"/>
      <c r="BW152" s="55"/>
      <c r="BX152" s="70"/>
      <c r="BY152" s="57"/>
      <c r="BZ152" s="43"/>
      <c r="CB152" s="55"/>
      <c r="CC152" s="70"/>
      <c r="CD152" s="55"/>
      <c r="CE152" s="70"/>
      <c r="CF152" s="57"/>
      <c r="CG152" s="43"/>
      <c r="CI152" s="55"/>
      <c r="CJ152" s="70"/>
      <c r="CK152" s="55"/>
      <c r="CL152" s="70"/>
      <c r="CM152" s="57"/>
      <c r="CN152" s="43"/>
      <c r="CP152" s="55"/>
      <c r="CQ152" s="70"/>
      <c r="CR152" s="55"/>
      <c r="CS152" s="70"/>
      <c r="CT152" s="57"/>
      <c r="CU152" s="43"/>
      <c r="CW152" s="55"/>
      <c r="CX152" s="70"/>
      <c r="CY152" s="55"/>
      <c r="CZ152" s="70"/>
      <c r="DA152" s="57"/>
      <c r="DB152" s="43"/>
      <c r="DD152" s="55"/>
      <c r="DE152" s="70"/>
      <c r="DF152" s="55"/>
      <c r="DG152" s="70"/>
      <c r="DH152" s="57"/>
      <c r="DI152" s="43"/>
      <c r="DK152" s="55"/>
      <c r="DL152" s="75"/>
      <c r="DM152" s="24"/>
      <c r="DN152" s="75"/>
      <c r="DO152" s="15"/>
      <c r="DP152" s="78"/>
      <c r="DR152" s="55"/>
      <c r="DS152" s="23"/>
      <c r="DT152" s="24"/>
      <c r="DU152" s="23"/>
      <c r="DV152" s="57"/>
      <c r="DW152" s="16"/>
    </row>
    <row r="153" spans="1:128" ht="16.7" thickBot="1">
      <c r="A153" s="11" t="s">
        <v>146</v>
      </c>
      <c r="B153" s="6"/>
      <c r="C153" s="17">
        <f>C25-C151</f>
        <v>13577.209999999963</v>
      </c>
      <c r="D153" s="18">
        <f>C153/C13</f>
        <v>3.5661452318221112E-2</v>
      </c>
      <c r="E153" s="17">
        <f>E25-E151</f>
        <v>-23489.518790769216</v>
      </c>
      <c r="F153" s="18">
        <f>E153/E13</f>
        <v>-8.5130085315825735E-2</v>
      </c>
      <c r="G153" s="17">
        <f>C153-E153</f>
        <v>37066.728790769179</v>
      </c>
      <c r="H153" s="18">
        <f>G153/E153</f>
        <v>-1.578011415258769</v>
      </c>
      <c r="J153" s="17">
        <f>J25-J151</f>
        <v>31821.946000000054</v>
      </c>
      <c r="K153" s="18">
        <f>J153/J13</f>
        <v>7.7961688656667874E-2</v>
      </c>
      <c r="L153" s="17">
        <f>L25-L151</f>
        <v>23561.687242998974</v>
      </c>
      <c r="M153" s="18">
        <f>L153/L13</f>
        <v>6.166027840134139E-2</v>
      </c>
      <c r="N153" s="17">
        <f>J153-L153</f>
        <v>8260.2587570010801</v>
      </c>
      <c r="O153" s="18">
        <f>N153/L153</f>
        <v>0.35058010370014991</v>
      </c>
      <c r="Q153" s="58">
        <f>Q25-Q151</f>
        <v>9711.929999999993</v>
      </c>
      <c r="R153" s="18">
        <f>Q153/Q13</f>
        <v>3.1737850005290745E-2</v>
      </c>
      <c r="S153" s="17">
        <f>S25-S151</f>
        <v>72708.061475095514</v>
      </c>
      <c r="T153" s="18">
        <f>S153/S13</f>
        <v>0.14746679621840417</v>
      </c>
      <c r="U153" s="17">
        <f>Q153-S153</f>
        <v>-62996.131475095521</v>
      </c>
      <c r="V153" s="18">
        <f>U153/S153</f>
        <v>-0.86642567821277161</v>
      </c>
      <c r="X153" s="58">
        <f>X25-X151</f>
        <v>55111.086000000127</v>
      </c>
      <c r="Y153" s="18">
        <f>X153/X13</f>
        <v>5.0334175900422273E-2</v>
      </c>
      <c r="Z153" s="17">
        <f>Z25-Z151</f>
        <v>72780.229927325272</v>
      </c>
      <c r="AA153" s="18">
        <f>Z153/Z13</f>
        <v>6.3227063258420715E-2</v>
      </c>
      <c r="AB153" s="17">
        <f>X153-Z153</f>
        <v>-17669.143927325145</v>
      </c>
      <c r="AC153" s="18">
        <f>AB153/Z153</f>
        <v>-0.24277395035669269</v>
      </c>
      <c r="AE153" s="58">
        <f>AE25-AE151</f>
        <v>-54273.98</v>
      </c>
      <c r="AF153" s="18" t="e">
        <f>AE153/AE13</f>
        <v>#DIV/0!</v>
      </c>
      <c r="AG153" s="17">
        <f>AG25-AG151</f>
        <v>110387.20188071061</v>
      </c>
      <c r="AH153" s="18">
        <f>AG153/AG13</f>
        <v>0.19017226346858368</v>
      </c>
      <c r="AI153" s="17">
        <f>AE153-AG153</f>
        <v>-164661.18188071062</v>
      </c>
      <c r="AJ153" s="18">
        <f>AI153/AG153</f>
        <v>-1.4916691344224027</v>
      </c>
      <c r="AL153" s="58">
        <f>AL25-AL151</f>
        <v>-64770.749999999985</v>
      </c>
      <c r="AM153" s="18" t="e">
        <f>AL153/AL13</f>
        <v>#DIV/0!</v>
      </c>
      <c r="AN153" s="17">
        <f>AN25-AN151</f>
        <v>104034.0462824477</v>
      </c>
      <c r="AO153" s="18">
        <f>AN153/AN13</f>
        <v>0.18596137609721114</v>
      </c>
      <c r="AP153" s="17">
        <f>AL153-AN153</f>
        <v>-168804.7962824477</v>
      </c>
      <c r="AQ153" s="18">
        <f>AP153/AN153</f>
        <v>-1.6225918563635444</v>
      </c>
      <c r="AS153" s="58">
        <f>AS25-AS151</f>
        <v>-70943.709999999992</v>
      </c>
      <c r="AT153" s="18" t="e">
        <f>AS153/AS13</f>
        <v>#DIV/0!</v>
      </c>
      <c r="AU153" s="17">
        <f>AU25-AU151</f>
        <v>133273.98048591247</v>
      </c>
      <c r="AV153" s="18">
        <f>AU153/AU13</f>
        <v>0.21952268869115951</v>
      </c>
      <c r="AW153" s="17">
        <f>AS153-AU153</f>
        <v>-204217.69048591246</v>
      </c>
      <c r="AX153" s="18">
        <f>AW153/AU153</f>
        <v>-1.532314782985708</v>
      </c>
      <c r="AZ153" s="58">
        <f>AZ25-AZ151</f>
        <v>-189988.44</v>
      </c>
      <c r="BA153" s="18" t="e">
        <f>AZ153/AZ13</f>
        <v>#DIV/0!</v>
      </c>
      <c r="BB153" s="17">
        <f>BB25-BB151</f>
        <v>347695.22864907072</v>
      </c>
      <c r="BC153" s="18">
        <f>BB153/BB13</f>
        <v>0.19902348855646215</v>
      </c>
      <c r="BD153" s="17">
        <f>AZ153-BB153</f>
        <v>-537683.66864907066</v>
      </c>
      <c r="BE153" s="18">
        <f>BD153/BB153</f>
        <v>-1.5464223387193947</v>
      </c>
      <c r="BG153" s="58">
        <f>BG25-BG151</f>
        <v>-73375.509999999995</v>
      </c>
      <c r="BH153" s="68" t="e">
        <f>BG153/BG13</f>
        <v>#DIV/0!</v>
      </c>
      <c r="BI153" s="58">
        <f>BI25-BI151</f>
        <v>139888.85290981998</v>
      </c>
      <c r="BJ153" s="68">
        <f>BI153/BI13</f>
        <v>0.22532372193871153</v>
      </c>
      <c r="BK153" s="58">
        <f>BG153-BI153</f>
        <v>-213264.36290981999</v>
      </c>
      <c r="BL153" s="68">
        <f>BK153/BI153</f>
        <v>-1.5245272119523483</v>
      </c>
      <c r="BN153" s="58">
        <f>BN25-BN151</f>
        <v>-16055.718000000023</v>
      </c>
      <c r="BO153" s="68">
        <f>BN153/BN13</f>
        <v>-7.2658806471254764E-2</v>
      </c>
      <c r="BP153" s="58">
        <f>BP25-BP151</f>
        <v>131558.51713707019</v>
      </c>
      <c r="BQ153" s="68">
        <f>BP153/BP13</f>
        <v>0.2156149128288225</v>
      </c>
      <c r="BR153" s="58">
        <f>BN153-BP153</f>
        <v>-147614.23513707021</v>
      </c>
      <c r="BS153" s="68">
        <f>BR153/BP153</f>
        <v>-1.1220424062949239</v>
      </c>
      <c r="BU153" s="58">
        <f>BU25-BU151</f>
        <v>52212.34</v>
      </c>
      <c r="BV153" s="68">
        <f>BU153/BU13</f>
        <v>0.15892764413491653</v>
      </c>
      <c r="BW153" s="58">
        <f>BW25-BW151</f>
        <v>-2753</v>
      </c>
      <c r="BX153" s="68">
        <f>BW153/BW13</f>
        <v>-9.3612390975398273E-3</v>
      </c>
      <c r="BY153" s="58">
        <f>BY25-BY151</f>
        <v>54965.339999999982</v>
      </c>
      <c r="BZ153" s="68">
        <f>BY153/BW153</f>
        <v>-19.965615691972388</v>
      </c>
      <c r="CB153" s="58">
        <f>CB25-CB151</f>
        <v>-37218.887999999861</v>
      </c>
      <c r="CC153" s="68">
        <f>CB153/CB13</f>
        <v>-6.7731891982784551E-2</v>
      </c>
      <c r="CD153" s="58">
        <f>CD25-CD151</f>
        <v>268694.37004689022</v>
      </c>
      <c r="CE153" s="68">
        <f>CD153/CD13</f>
        <v>0.17618436473412141</v>
      </c>
      <c r="CF153" s="58">
        <f>CB153-CD153</f>
        <v>-305913.25804689009</v>
      </c>
      <c r="CG153" s="68">
        <f>CF153/CD153</f>
        <v>-1.1385175580474751</v>
      </c>
      <c r="CI153" s="58">
        <f>CI25-CI151</f>
        <v>20714.169999999925</v>
      </c>
      <c r="CJ153" s="68">
        <f>CI153/CI13</f>
        <v>5.7050225158430348E-2</v>
      </c>
      <c r="CK153" s="58">
        <f>CK25-CK151</f>
        <v>11256</v>
      </c>
      <c r="CL153" s="68">
        <f>CK153/CK13</f>
        <v>3.5786956964085868E-2</v>
      </c>
      <c r="CM153" s="58">
        <f>CI153-CK153</f>
        <v>9458.1699999999255</v>
      </c>
      <c r="CN153" s="68">
        <f>CM153/CK153</f>
        <v>0.84027807391612697</v>
      </c>
      <c r="CP153" s="58">
        <f>CP25-CP151</f>
        <v>19305.909999999916</v>
      </c>
      <c r="CQ153" s="68">
        <f>CP153/CP13</f>
        <v>5.768968785597698E-2</v>
      </c>
      <c r="CR153" s="58">
        <f>CR25-CR151</f>
        <v>14119.195999999996</v>
      </c>
      <c r="CS153" s="68">
        <f>CR153/CR13</f>
        <v>4.7523379333557714E-2</v>
      </c>
      <c r="CT153" s="58">
        <f>CP153-CR153</f>
        <v>5186.7139999999199</v>
      </c>
      <c r="CU153" s="68">
        <f>CT153/CR153</f>
        <v>0.36735193703663588</v>
      </c>
      <c r="CW153" s="58">
        <f>CW25-CW151</f>
        <v>-2653.1300000000047</v>
      </c>
      <c r="CX153" s="68">
        <f>CW153/CW13</f>
        <v>-9.9658926243274513E-3</v>
      </c>
      <c r="CY153" s="58">
        <f>CY25-CY151</f>
        <v>3376.4852307692345</v>
      </c>
      <c r="CZ153" s="68">
        <f>CY153/CY13</f>
        <v>1.2402104053866596E-2</v>
      </c>
      <c r="DA153" s="58">
        <f>CW153-CY153</f>
        <v>-6029.6152307692391</v>
      </c>
      <c r="DB153" s="68">
        <f>DA153/CY153</f>
        <v>-1.7857668014723007</v>
      </c>
      <c r="DD153" s="58">
        <f>DD25-DD151</f>
        <v>-27724.520000000019</v>
      </c>
      <c r="DE153" s="68">
        <f>DD153/DD13</f>
        <v>-0.17858155289219857</v>
      </c>
      <c r="DF153" s="58">
        <f>DF25-DF151</f>
        <v>8722.4852307692345</v>
      </c>
      <c r="DG153" s="68">
        <f>DF153/DF13</f>
        <v>3.0645426738137888E-2</v>
      </c>
      <c r="DH153" s="58">
        <f>DD153-DF153</f>
        <v>-36447.005230769253</v>
      </c>
      <c r="DI153" s="68">
        <f>DH153/DF153</f>
        <v>-4.1785115441869314</v>
      </c>
      <c r="DK153" s="58">
        <f>DK25-DK151</f>
        <v>9642.4299999999348</v>
      </c>
      <c r="DL153" s="77">
        <f>DK153/DK13</f>
        <v>8.6154121348681056E-3</v>
      </c>
      <c r="DM153" s="17">
        <f>DM25-DM151</f>
        <v>37474.166461538523</v>
      </c>
      <c r="DN153" s="77">
        <f>DM153/DM13</f>
        <v>3.2070180668066051E-2</v>
      </c>
      <c r="DO153" s="17">
        <f>DK153-DM153</f>
        <v>-27831.736461538589</v>
      </c>
      <c r="DP153" s="77">
        <f>DO153/DM153</f>
        <v>-0.74269127480403307</v>
      </c>
      <c r="DR153" s="58">
        <f>DR25-DR151</f>
        <v>-162453.81199999945</v>
      </c>
      <c r="DS153" s="18">
        <f>DR153/DR13</f>
        <v>-5.878310268143748E-2</v>
      </c>
      <c r="DT153" s="17">
        <f>DT25-DT151</f>
        <v>726643.99508482497</v>
      </c>
      <c r="DU153" s="18">
        <f>DT153/DT13</f>
        <v>0.12995094945271804</v>
      </c>
      <c r="DV153" s="58">
        <f>DR153-DT153</f>
        <v>-889097.80708482442</v>
      </c>
      <c r="DW153" s="18">
        <f>DV153/DT153</f>
        <v>-1.223567266913195</v>
      </c>
      <c r="DX153" s="64"/>
    </row>
    <row r="154" spans="1:128" ht="16.7" thickTop="1">
      <c r="A154" s="7"/>
      <c r="B154" s="7"/>
      <c r="C154" s="22"/>
      <c r="D154" s="23"/>
      <c r="E154" s="22"/>
      <c r="F154" s="23"/>
      <c r="G154" s="24"/>
      <c r="H154" s="24"/>
      <c r="J154" s="22"/>
      <c r="K154" s="23"/>
      <c r="L154" s="22"/>
      <c r="M154" s="23"/>
      <c r="N154" s="24"/>
      <c r="O154" s="24"/>
      <c r="Q154" s="60"/>
      <c r="R154" s="23"/>
      <c r="S154" s="22"/>
      <c r="T154" s="23"/>
      <c r="U154" s="24"/>
      <c r="V154" s="24"/>
      <c r="X154" s="22"/>
      <c r="Y154" s="23"/>
      <c r="Z154" s="22"/>
      <c r="AA154" s="23"/>
      <c r="AB154" s="24"/>
      <c r="AC154" s="24"/>
      <c r="AE154" s="60"/>
      <c r="AF154" s="23"/>
      <c r="AG154" s="22"/>
      <c r="AH154" s="23"/>
      <c r="AI154" s="24"/>
      <c r="AJ154" s="24"/>
      <c r="AL154" s="60"/>
      <c r="AM154" s="23"/>
      <c r="AN154" s="22"/>
      <c r="AO154" s="23"/>
      <c r="AP154" s="24"/>
      <c r="AQ154" s="24"/>
      <c r="AS154" s="60"/>
      <c r="AT154" s="23"/>
      <c r="AU154" s="22"/>
      <c r="AV154" s="23"/>
      <c r="AW154" s="24"/>
      <c r="AX154" s="24"/>
      <c r="AZ154" s="60"/>
      <c r="BA154" s="23"/>
      <c r="BB154" s="22"/>
      <c r="BC154" s="23"/>
      <c r="BD154" s="24"/>
      <c r="BE154" s="24"/>
      <c r="BG154" s="60"/>
      <c r="BH154" s="70"/>
      <c r="BI154" s="60"/>
      <c r="BJ154" s="70"/>
      <c r="BK154" s="55"/>
      <c r="BL154" s="71"/>
      <c r="BN154" s="60"/>
      <c r="BO154" s="70"/>
      <c r="BP154" s="60"/>
      <c r="BQ154" s="70"/>
      <c r="BR154" s="55"/>
      <c r="BS154" s="71"/>
      <c r="BU154" s="60"/>
      <c r="BV154" s="70"/>
      <c r="BW154" s="60"/>
      <c r="BX154" s="70"/>
      <c r="BY154" s="55"/>
      <c r="BZ154" s="71"/>
      <c r="CB154" s="60"/>
      <c r="CC154" s="70"/>
      <c r="CD154" s="60"/>
      <c r="CE154" s="70"/>
      <c r="CF154" s="55"/>
      <c r="CG154" s="71"/>
      <c r="CI154" s="60"/>
      <c r="CJ154" s="70"/>
      <c r="CK154" s="60"/>
      <c r="CL154" s="70"/>
      <c r="CM154" s="55"/>
      <c r="CN154" s="71"/>
      <c r="CP154" s="60"/>
      <c r="CQ154" s="70"/>
      <c r="CR154" s="60"/>
      <c r="CS154" s="70"/>
      <c r="CT154" s="55"/>
      <c r="CU154" s="71"/>
      <c r="CW154" s="60"/>
      <c r="CX154" s="70"/>
      <c r="CY154" s="60"/>
      <c r="CZ154" s="70"/>
      <c r="DA154" s="55"/>
      <c r="DB154" s="71"/>
      <c r="DD154" s="60"/>
      <c r="DE154" s="70"/>
      <c r="DF154" s="60"/>
      <c r="DG154" s="70"/>
      <c r="DH154" s="55"/>
      <c r="DI154" s="71"/>
      <c r="DK154" s="60"/>
      <c r="DL154" s="75"/>
      <c r="DM154" s="22"/>
      <c r="DN154" s="75"/>
      <c r="DO154" s="24"/>
      <c r="DP154" s="79"/>
      <c r="DR154" s="60"/>
      <c r="DS154" s="23"/>
      <c r="DT154" s="22"/>
      <c r="DU154" s="23"/>
      <c r="DV154" s="55"/>
      <c r="DW154" s="24"/>
    </row>
    <row r="155" spans="1:128">
      <c r="A155" s="7"/>
      <c r="B155" s="7"/>
      <c r="C155" s="22"/>
      <c r="D155" s="23"/>
      <c r="E155" s="22"/>
      <c r="F155" s="23"/>
      <c r="G155" s="24"/>
      <c r="H155" s="24"/>
      <c r="J155" s="22"/>
      <c r="K155" s="23"/>
      <c r="L155" s="22"/>
      <c r="M155" s="23"/>
      <c r="N155" s="24"/>
      <c r="O155" s="24"/>
      <c r="Q155" s="60"/>
      <c r="R155" s="23"/>
      <c r="S155" s="22"/>
      <c r="T155" s="23"/>
      <c r="U155" s="24"/>
      <c r="V155" s="24"/>
      <c r="X155" s="22"/>
      <c r="Y155" s="23"/>
      <c r="Z155" s="22"/>
      <c r="AA155" s="23"/>
      <c r="AB155" s="24"/>
      <c r="AC155" s="24"/>
      <c r="AE155" s="60"/>
      <c r="AF155" s="23"/>
      <c r="AG155" s="22"/>
      <c r="AH155" s="23"/>
      <c r="AI155" s="24"/>
      <c r="AJ155" s="24"/>
      <c r="AL155" s="60"/>
      <c r="AM155" s="23"/>
      <c r="AN155" s="22"/>
      <c r="AO155" s="23"/>
      <c r="AP155" s="24"/>
      <c r="AQ155" s="24"/>
      <c r="AS155" s="60"/>
      <c r="AT155" s="23"/>
      <c r="AU155" s="22"/>
      <c r="AV155" s="23"/>
      <c r="AW155" s="24"/>
      <c r="AX155" s="24"/>
      <c r="AZ155" s="60"/>
      <c r="BA155" s="23"/>
      <c r="BB155" s="22"/>
      <c r="BC155" s="23"/>
      <c r="BD155" s="24"/>
      <c r="BE155" s="24"/>
      <c r="BG155" s="60"/>
      <c r="BH155" s="70"/>
      <c r="BI155" s="60"/>
      <c r="BJ155" s="70"/>
      <c r="BK155" s="55"/>
      <c r="BL155" s="71"/>
      <c r="BN155" s="60"/>
      <c r="BO155" s="70"/>
      <c r="BP155" s="60"/>
      <c r="BQ155" s="70"/>
      <c r="BR155" s="55"/>
      <c r="BS155" s="71"/>
      <c r="BU155" s="60"/>
      <c r="BV155" s="70"/>
      <c r="BW155" s="60"/>
      <c r="BX155" s="70"/>
      <c r="BY155" s="55"/>
      <c r="BZ155" s="71"/>
      <c r="CB155" s="60"/>
      <c r="CC155" s="70"/>
      <c r="CD155" s="60"/>
      <c r="CE155" s="70"/>
      <c r="CF155" s="55"/>
      <c r="CG155" s="71"/>
      <c r="CI155" s="60"/>
      <c r="CJ155" s="70"/>
      <c r="CK155" s="60"/>
      <c r="CL155" s="70"/>
      <c r="CM155" s="55"/>
      <c r="CN155" s="71"/>
      <c r="CP155" s="60"/>
      <c r="CQ155" s="70"/>
      <c r="CR155" s="60"/>
      <c r="CS155" s="70"/>
      <c r="CT155" s="55"/>
      <c r="CU155" s="71"/>
      <c r="CW155" s="60"/>
      <c r="CX155" s="70"/>
      <c r="CY155" s="60"/>
      <c r="CZ155" s="70"/>
      <c r="DA155" s="55"/>
      <c r="DB155" s="71"/>
      <c r="DD155" s="60"/>
      <c r="DE155" s="70"/>
      <c r="DF155" s="60"/>
      <c r="DG155" s="70"/>
      <c r="DH155" s="55"/>
      <c r="DI155" s="71"/>
      <c r="DK155" s="60"/>
      <c r="DL155" s="75"/>
      <c r="DM155" s="22"/>
      <c r="DN155" s="75"/>
      <c r="DO155" s="24"/>
      <c r="DP155" s="79"/>
      <c r="DR155" s="60"/>
      <c r="DS155" s="23"/>
      <c r="DT155" s="22"/>
      <c r="DU155" s="23"/>
      <c r="DV155" s="55"/>
      <c r="DW155" s="24"/>
    </row>
    <row r="156" spans="1:128">
      <c r="A156" s="6" t="s">
        <v>147</v>
      </c>
      <c r="B156" s="6"/>
      <c r="C156" s="22"/>
      <c r="D156" s="23"/>
      <c r="E156" s="22"/>
      <c r="F156" s="23"/>
      <c r="G156" s="15"/>
      <c r="H156" s="15"/>
      <c r="J156" s="22"/>
      <c r="K156" s="23"/>
      <c r="L156" s="22"/>
      <c r="M156" s="23"/>
      <c r="N156" s="15"/>
      <c r="O156" s="15"/>
      <c r="Q156" s="60"/>
      <c r="R156" s="23"/>
      <c r="S156" s="22"/>
      <c r="T156" s="23"/>
      <c r="U156" s="15"/>
      <c r="V156" s="15"/>
      <c r="X156" s="22"/>
      <c r="Y156" s="23"/>
      <c r="Z156" s="22"/>
      <c r="AA156" s="23"/>
      <c r="AB156" s="15"/>
      <c r="AC156" s="15"/>
      <c r="AE156" s="60"/>
      <c r="AF156" s="23"/>
      <c r="AG156" s="22"/>
      <c r="AH156" s="23"/>
      <c r="AI156" s="15"/>
      <c r="AJ156" s="15"/>
      <c r="AL156" s="60"/>
      <c r="AM156" s="23"/>
      <c r="AN156" s="22"/>
      <c r="AO156" s="23"/>
      <c r="AP156" s="15"/>
      <c r="AQ156" s="15"/>
      <c r="AS156" s="60"/>
      <c r="AT156" s="23"/>
      <c r="AU156" s="22"/>
      <c r="AV156" s="23"/>
      <c r="AW156" s="15"/>
      <c r="AX156" s="15"/>
      <c r="AZ156" s="60"/>
      <c r="BA156" s="23"/>
      <c r="BB156" s="22"/>
      <c r="BC156" s="23"/>
      <c r="BD156" s="15"/>
      <c r="BE156" s="15"/>
      <c r="BG156" s="60"/>
      <c r="BH156" s="70"/>
      <c r="BI156" s="60"/>
      <c r="BJ156" s="70"/>
      <c r="BK156" s="57"/>
      <c r="BN156" s="60"/>
      <c r="BO156" s="70"/>
      <c r="BP156" s="60"/>
      <c r="BQ156" s="70"/>
      <c r="BR156" s="57"/>
      <c r="BU156" s="60"/>
      <c r="BV156" s="70"/>
      <c r="BW156" s="60"/>
      <c r="BX156" s="70"/>
      <c r="BY156" s="57"/>
      <c r="CB156" s="60"/>
      <c r="CC156" s="70"/>
      <c r="CD156" s="60"/>
      <c r="CE156" s="70"/>
      <c r="CF156" s="57"/>
      <c r="CI156" s="60"/>
      <c r="CJ156" s="70"/>
      <c r="CK156" s="60"/>
      <c r="CL156" s="70"/>
      <c r="CM156" s="57"/>
      <c r="CP156" s="60"/>
      <c r="CQ156" s="70"/>
      <c r="CR156" s="60"/>
      <c r="CS156" s="70"/>
      <c r="CT156" s="57"/>
      <c r="CW156" s="60"/>
      <c r="CX156" s="70"/>
      <c r="CY156" s="60"/>
      <c r="CZ156" s="70"/>
      <c r="DA156" s="57"/>
      <c r="DD156" s="60"/>
      <c r="DE156" s="70"/>
      <c r="DF156" s="60"/>
      <c r="DG156" s="70"/>
      <c r="DH156" s="57"/>
      <c r="DK156" s="60"/>
      <c r="DL156" s="75"/>
      <c r="DM156" s="22"/>
      <c r="DN156" s="75"/>
      <c r="DO156" s="15"/>
      <c r="DR156" s="60"/>
      <c r="DS156" s="23"/>
      <c r="DT156" s="22"/>
      <c r="DU156" s="23"/>
      <c r="DV156" s="55"/>
      <c r="DW156" s="24"/>
    </row>
    <row r="157" spans="1:128">
      <c r="A157" s="9" t="s">
        <v>148</v>
      </c>
      <c r="B157" s="12"/>
      <c r="C157" s="22">
        <v>0</v>
      </c>
      <c r="D157" s="23"/>
      <c r="E157" s="22">
        <v>0</v>
      </c>
      <c r="F157" s="23"/>
      <c r="G157" s="15">
        <f>E157-C157</f>
        <v>0</v>
      </c>
      <c r="H157" s="16"/>
      <c r="J157" s="22">
        <v>0</v>
      </c>
      <c r="K157" s="23"/>
      <c r="L157" s="22">
        <v>0</v>
      </c>
      <c r="M157" s="23"/>
      <c r="N157" s="15">
        <f>L157-J157</f>
        <v>0</v>
      </c>
      <c r="O157" s="16"/>
      <c r="Q157" s="60">
        <v>6868.81</v>
      </c>
      <c r="R157" s="23"/>
      <c r="S157" s="22">
        <v>0</v>
      </c>
      <c r="T157" s="23"/>
      <c r="U157" s="15">
        <f>S157-Q157</f>
        <v>-6868.81</v>
      </c>
      <c r="V157" s="16"/>
      <c r="X157" s="61">
        <f t="shared" ref="X157:X160" si="408">C157+J157+Q157</f>
        <v>6868.81</v>
      </c>
      <c r="Y157" s="23"/>
      <c r="Z157" s="14">
        <f>E157+L157+S157</f>
        <v>0</v>
      </c>
      <c r="AA157" s="23"/>
      <c r="AB157" s="15">
        <f>Z157-X157</f>
        <v>-6868.81</v>
      </c>
      <c r="AC157" s="16"/>
      <c r="AE157" s="60">
        <v>0</v>
      </c>
      <c r="AF157" s="23"/>
      <c r="AG157" s="22">
        <v>27837.7707725</v>
      </c>
      <c r="AH157" s="23"/>
      <c r="AI157" s="15">
        <f>AG157-AE157</f>
        <v>27837.7707725</v>
      </c>
      <c r="AJ157" s="16"/>
      <c r="AL157" s="60">
        <v>0</v>
      </c>
      <c r="AM157" s="23"/>
      <c r="AN157" s="22">
        <v>26809.862698999998</v>
      </c>
      <c r="AO157" s="23"/>
      <c r="AP157" s="15">
        <f>AN157-AL157</f>
        <v>26809.862698999998</v>
      </c>
      <c r="AQ157" s="16"/>
      <c r="AS157" s="60">
        <v>0</v>
      </c>
      <c r="AT157" s="23"/>
      <c r="AU157" s="22">
        <v>29140.8682415</v>
      </c>
      <c r="AV157" s="23"/>
      <c r="AW157" s="15">
        <f>AU157-AS157</f>
        <v>29140.8682415</v>
      </c>
      <c r="AX157" s="16"/>
      <c r="AZ157" s="61">
        <f>AE157+AL157+AS157</f>
        <v>0</v>
      </c>
      <c r="BA157" s="23"/>
      <c r="BB157" s="14">
        <f t="shared" ref="BB157:BB160" si="409">AG157+AN157+AU157</f>
        <v>83788.501713000005</v>
      </c>
      <c r="BC157" s="23"/>
      <c r="BD157" s="15">
        <f>BB157-AZ157</f>
        <v>83788.501713000005</v>
      </c>
      <c r="BE157" s="16"/>
      <c r="BG157" s="60">
        <v>0</v>
      </c>
      <c r="BH157" s="70"/>
      <c r="BI157" s="60">
        <v>29812.073309000007</v>
      </c>
      <c r="BJ157" s="70"/>
      <c r="BK157" s="57">
        <f t="shared" ref="BK157:BK160" si="410">BG157-BI157</f>
        <v>-29812.073309000007</v>
      </c>
      <c r="BL157" s="43"/>
      <c r="BN157" s="60">
        <v>0</v>
      </c>
      <c r="BO157" s="70"/>
      <c r="BP157" s="60">
        <v>29289.894659000001</v>
      </c>
      <c r="BQ157" s="70"/>
      <c r="BR157" s="57">
        <f t="shared" ref="BR157:BR160" si="411">BN157-BP157</f>
        <v>-29289.894659000001</v>
      </c>
      <c r="BS157" s="43"/>
      <c r="BU157" s="60"/>
      <c r="BV157" s="70"/>
      <c r="BW157" s="60">
        <v>0</v>
      </c>
      <c r="BX157" s="70"/>
      <c r="BY157" s="57">
        <f t="shared" ref="BY157:BY160" si="412">BU157-BW157</f>
        <v>0</v>
      </c>
      <c r="BZ157" s="43"/>
      <c r="CB157" s="61">
        <f t="shared" ref="CB157:CB160" si="413">BG157+BN157+BU157</f>
        <v>0</v>
      </c>
      <c r="CC157" s="70"/>
      <c r="CD157" s="61">
        <f t="shared" ref="CD157:CD160" si="414">BI157+BP157+BW157</f>
        <v>59101.967968000012</v>
      </c>
      <c r="CE157" s="70"/>
      <c r="CF157" s="57">
        <f t="shared" ref="CF157:CF160" si="415">CB157-CD157</f>
        <v>-59101.967968000012</v>
      </c>
      <c r="CG157" s="43"/>
      <c r="CI157" s="60">
        <v>0</v>
      </c>
      <c r="CJ157" s="70"/>
      <c r="CK157" s="60">
        <v>26325.417734000006</v>
      </c>
      <c r="CL157" s="70"/>
      <c r="CM157" s="57">
        <f t="shared" ref="CM157:CM160" si="416">CI157-CK157</f>
        <v>-26325.417734000006</v>
      </c>
      <c r="CN157" s="43"/>
      <c r="CP157" s="60">
        <v>0</v>
      </c>
      <c r="CQ157" s="70"/>
      <c r="CR157" s="60">
        <v>153</v>
      </c>
      <c r="CS157" s="70"/>
      <c r="CT157" s="57">
        <f t="shared" ref="CT157:CT160" si="417">CP157-CR157</f>
        <v>-153</v>
      </c>
      <c r="CU157" s="43"/>
      <c r="CW157" s="60">
        <v>0</v>
      </c>
      <c r="CX157" s="70"/>
      <c r="CY157" s="60">
        <v>0</v>
      </c>
      <c r="CZ157" s="70"/>
      <c r="DA157" s="57">
        <f t="shared" ref="DA157:DA160" si="418">CW157-CY157</f>
        <v>0</v>
      </c>
      <c r="DB157" s="43"/>
      <c r="DD157" s="60">
        <v>0</v>
      </c>
      <c r="DE157" s="70"/>
      <c r="DF157" s="60">
        <v>0</v>
      </c>
      <c r="DG157" s="70"/>
      <c r="DH157" s="57">
        <f t="shared" ref="DH157:DH160" si="419">DD157-DF157</f>
        <v>0</v>
      </c>
      <c r="DI157" s="43"/>
      <c r="DK157" s="61">
        <f t="shared" ref="DK157" si="420">CI157+CP157+CW157+DD157</f>
        <v>0</v>
      </c>
      <c r="DL157" s="75"/>
      <c r="DM157" s="14">
        <f t="shared" ref="DM157:DM160" si="421">CK157+CR157+CY157+DF157</f>
        <v>26478.417734000006</v>
      </c>
      <c r="DN157" s="75"/>
      <c r="DO157" s="57">
        <f t="shared" ref="DO157:DO160" si="422">DK157-DM157</f>
        <v>-26478.417734000006</v>
      </c>
      <c r="DP157" s="78"/>
      <c r="DR157" s="61">
        <f t="shared" ref="DR157:DR160" si="423">X157+AZ157+CB157+DK157</f>
        <v>6868.81</v>
      </c>
      <c r="DS157" s="23"/>
      <c r="DT157" s="14">
        <v>0</v>
      </c>
      <c r="DU157" s="23"/>
      <c r="DV157" s="55"/>
      <c r="DW157" s="24"/>
    </row>
    <row r="158" spans="1:128">
      <c r="A158" s="9" t="s">
        <v>149</v>
      </c>
      <c r="B158" s="9"/>
      <c r="C158" s="22">
        <v>0</v>
      </c>
      <c r="D158" s="23"/>
      <c r="E158" s="22">
        <v>0</v>
      </c>
      <c r="F158" s="23"/>
      <c r="G158" s="15"/>
      <c r="H158" s="16"/>
      <c r="J158" s="22">
        <v>0</v>
      </c>
      <c r="K158" s="23"/>
      <c r="L158" s="22">
        <v>0</v>
      </c>
      <c r="M158" s="23"/>
      <c r="N158" s="15"/>
      <c r="O158" s="16"/>
      <c r="Q158" s="60">
        <v>1.59</v>
      </c>
      <c r="R158" s="23"/>
      <c r="S158" s="22">
        <v>0</v>
      </c>
      <c r="T158" s="23"/>
      <c r="U158" s="15"/>
      <c r="V158" s="16"/>
      <c r="X158" s="61">
        <f t="shared" si="408"/>
        <v>1.59</v>
      </c>
      <c r="Y158" s="23"/>
      <c r="Z158" s="14">
        <f t="shared" ref="Z158:Z160" si="424">E158+L158+S158</f>
        <v>0</v>
      </c>
      <c r="AA158" s="23"/>
      <c r="AB158" s="57"/>
      <c r="AC158" s="16"/>
      <c r="AE158" s="60">
        <v>1.25</v>
      </c>
      <c r="AF158" s="23"/>
      <c r="AG158" s="22">
        <v>850.23076923076928</v>
      </c>
      <c r="AH158" s="23"/>
      <c r="AI158" s="15"/>
      <c r="AJ158" s="16"/>
      <c r="AL158" s="60">
        <v>0.59</v>
      </c>
      <c r="AM158" s="23"/>
      <c r="AN158" s="22">
        <v>850.23076923076928</v>
      </c>
      <c r="AO158" s="23"/>
      <c r="AP158" s="15"/>
      <c r="AQ158" s="16"/>
      <c r="AS158" s="60">
        <v>2.36</v>
      </c>
      <c r="AT158" s="23"/>
      <c r="AU158" s="22">
        <v>850.23076923076928</v>
      </c>
      <c r="AV158" s="23"/>
      <c r="AW158" s="15"/>
      <c r="AX158" s="16"/>
      <c r="AZ158" s="61">
        <f t="shared" ref="AZ158:AZ160" si="425">AE158+AL158+AS158</f>
        <v>4.1999999999999993</v>
      </c>
      <c r="BA158" s="23"/>
      <c r="BB158" s="14">
        <f t="shared" si="409"/>
        <v>2550.6923076923076</v>
      </c>
      <c r="BC158" s="23"/>
      <c r="BD158" s="15"/>
      <c r="BE158" s="16"/>
      <c r="BG158" s="61">
        <v>2.25</v>
      </c>
      <c r="BH158" s="70"/>
      <c r="BI158" s="61">
        <v>850.23076923076928</v>
      </c>
      <c r="BJ158" s="70"/>
      <c r="BK158" s="57">
        <f t="shared" si="410"/>
        <v>-847.98076923076928</v>
      </c>
      <c r="BL158" s="43"/>
      <c r="BN158" s="61">
        <v>1.98</v>
      </c>
      <c r="BO158" s="70"/>
      <c r="BP158" s="61">
        <v>850.23076923076928</v>
      </c>
      <c r="BQ158" s="70"/>
      <c r="BR158" s="57">
        <f t="shared" si="411"/>
        <v>-848.25076923076927</v>
      </c>
      <c r="BS158" s="43"/>
      <c r="BU158" s="61">
        <v>6.12</v>
      </c>
      <c r="BV158" s="70"/>
      <c r="BW158" s="61">
        <v>0</v>
      </c>
      <c r="BX158" s="70"/>
      <c r="BY158" s="57">
        <f t="shared" si="412"/>
        <v>6.12</v>
      </c>
      <c r="BZ158" s="43"/>
      <c r="CB158" s="61">
        <f t="shared" si="413"/>
        <v>10.350000000000001</v>
      </c>
      <c r="CC158" s="70"/>
      <c r="CD158" s="61">
        <f t="shared" si="414"/>
        <v>1700.4615384615386</v>
      </c>
      <c r="CE158" s="70"/>
      <c r="CF158" s="57">
        <f t="shared" si="415"/>
        <v>-1690.1115384615387</v>
      </c>
      <c r="CG158" s="43"/>
      <c r="CI158" s="60">
        <v>12</v>
      </c>
      <c r="CJ158" s="70"/>
      <c r="CK158" s="60">
        <v>850.23076923076928</v>
      </c>
      <c r="CL158" s="70"/>
      <c r="CM158" s="57">
        <f t="shared" si="416"/>
        <v>-838.23076923076928</v>
      </c>
      <c r="CN158" s="43"/>
      <c r="CP158" s="60">
        <v>14.45</v>
      </c>
      <c r="CQ158" s="70"/>
      <c r="CR158" s="60">
        <v>850.23076923076928</v>
      </c>
      <c r="CS158" s="70"/>
      <c r="CT158" s="57">
        <f t="shared" si="417"/>
        <v>-835.78076923076924</v>
      </c>
      <c r="CU158" s="43"/>
      <c r="CW158" s="60">
        <v>0</v>
      </c>
      <c r="CX158" s="70"/>
      <c r="CY158" s="60">
        <v>850.23076923076928</v>
      </c>
      <c r="CZ158" s="70"/>
      <c r="DA158" s="57">
        <f t="shared" si="418"/>
        <v>-850.23076923076928</v>
      </c>
      <c r="DB158" s="43"/>
      <c r="DD158" s="60">
        <v>17.95</v>
      </c>
      <c r="DE158" s="70"/>
      <c r="DF158" s="60">
        <v>850.23076923076928</v>
      </c>
      <c r="DG158" s="70"/>
      <c r="DH158" s="57">
        <f t="shared" si="419"/>
        <v>-832.28076923076924</v>
      </c>
      <c r="DI158" s="43"/>
      <c r="DK158" s="61">
        <f t="shared" ref="DK158:DK160" si="426">CI158+CP158+CW158+DD158</f>
        <v>44.4</v>
      </c>
      <c r="DL158" s="75"/>
      <c r="DM158" s="14">
        <f t="shared" si="421"/>
        <v>3400.9230769230771</v>
      </c>
      <c r="DN158" s="75"/>
      <c r="DO158" s="57">
        <f t="shared" si="422"/>
        <v>-3356.523076923077</v>
      </c>
      <c r="DP158" s="78"/>
      <c r="DR158" s="61">
        <f>X158+AZ158+CB158+DK158</f>
        <v>60.54</v>
      </c>
      <c r="DS158" s="23"/>
      <c r="DT158" s="14">
        <v>0</v>
      </c>
      <c r="DU158" s="23"/>
      <c r="DV158" s="55"/>
      <c r="DW158" s="24"/>
    </row>
    <row r="159" spans="1:128">
      <c r="A159" s="9" t="s">
        <v>150</v>
      </c>
      <c r="B159" s="9"/>
      <c r="C159" s="22"/>
      <c r="D159" s="23"/>
      <c r="E159" s="22"/>
      <c r="F159" s="23"/>
      <c r="G159" s="15"/>
      <c r="H159" s="16"/>
      <c r="J159" s="22"/>
      <c r="K159" s="23"/>
      <c r="L159" s="22"/>
      <c r="M159" s="23"/>
      <c r="N159" s="15"/>
      <c r="O159" s="16"/>
      <c r="Q159" s="60"/>
      <c r="R159" s="23"/>
      <c r="S159" s="22"/>
      <c r="T159" s="23"/>
      <c r="U159" s="15"/>
      <c r="V159" s="16"/>
      <c r="X159" s="61"/>
      <c r="Y159" s="23"/>
      <c r="Z159" s="14"/>
      <c r="AA159" s="23"/>
      <c r="AB159" s="57"/>
      <c r="AC159" s="16"/>
      <c r="AE159" s="60"/>
      <c r="AF159" s="23"/>
      <c r="AG159" s="22"/>
      <c r="AH159" s="23"/>
      <c r="AI159" s="15"/>
      <c r="AJ159" s="16"/>
      <c r="AL159" s="60"/>
      <c r="AM159" s="23"/>
      <c r="AN159" s="22"/>
      <c r="AO159" s="23"/>
      <c r="AP159" s="15"/>
      <c r="AQ159" s="16"/>
      <c r="AS159" s="60"/>
      <c r="AT159" s="23"/>
      <c r="AU159" s="22"/>
      <c r="AV159" s="23"/>
      <c r="AW159" s="15"/>
      <c r="AX159" s="16"/>
      <c r="AZ159" s="61"/>
      <c r="BA159" s="23"/>
      <c r="BB159" s="14"/>
      <c r="BC159" s="23"/>
      <c r="BD159" s="15"/>
      <c r="BE159" s="16"/>
      <c r="BG159" s="61"/>
      <c r="BH159" s="70"/>
      <c r="BI159" s="61"/>
      <c r="BJ159" s="70"/>
      <c r="BK159" s="57"/>
      <c r="BL159" s="43"/>
      <c r="BN159" s="61"/>
      <c r="BO159" s="70"/>
      <c r="BP159" s="61"/>
      <c r="BQ159" s="70"/>
      <c r="BR159" s="57"/>
      <c r="BS159" s="43"/>
      <c r="BU159" s="61"/>
      <c r="BV159" s="70"/>
      <c r="BW159" s="61"/>
      <c r="BX159" s="70"/>
      <c r="BY159" s="57"/>
      <c r="BZ159" s="43"/>
      <c r="CB159" s="61"/>
      <c r="CC159" s="70"/>
      <c r="CD159" s="61"/>
      <c r="CE159" s="70"/>
      <c r="CF159" s="57"/>
      <c r="CG159" s="43"/>
      <c r="CI159" s="60"/>
      <c r="CJ159" s="70"/>
      <c r="CK159" s="60"/>
      <c r="CL159" s="70"/>
      <c r="CM159" s="57"/>
      <c r="CN159" s="43"/>
      <c r="CP159" s="60"/>
      <c r="CQ159" s="70"/>
      <c r="CR159" s="60"/>
      <c r="CS159" s="70"/>
      <c r="CT159" s="57"/>
      <c r="CU159" s="43"/>
      <c r="CW159" s="60">
        <v>557800</v>
      </c>
      <c r="CX159" s="70"/>
      <c r="CY159" s="60"/>
      <c r="CZ159" s="70"/>
      <c r="DA159" s="57"/>
      <c r="DB159" s="43"/>
      <c r="DD159" s="60">
        <v>0</v>
      </c>
      <c r="DE159" s="70"/>
      <c r="DF159" s="60"/>
      <c r="DG159" s="70"/>
      <c r="DH159" s="57"/>
      <c r="DI159" s="43"/>
      <c r="DK159" s="61">
        <f t="shared" si="426"/>
        <v>557800</v>
      </c>
      <c r="DL159" s="75"/>
      <c r="DM159" s="14"/>
      <c r="DN159" s="75"/>
      <c r="DO159" s="57"/>
      <c r="DP159" s="78"/>
      <c r="DR159" s="61">
        <f>X159+AZ159+CB159+DK159</f>
        <v>557800</v>
      </c>
      <c r="DS159" s="23"/>
      <c r="DT159" s="14"/>
      <c r="DU159" s="23"/>
      <c r="DV159" s="55"/>
      <c r="DW159" s="24"/>
    </row>
    <row r="160" spans="1:128">
      <c r="A160" s="9" t="s">
        <v>147</v>
      </c>
      <c r="B160" s="12"/>
      <c r="C160" s="22">
        <v>0</v>
      </c>
      <c r="D160" s="23"/>
      <c r="E160" s="22">
        <v>0</v>
      </c>
      <c r="F160" s="23"/>
      <c r="G160" s="15">
        <f>E160-C160</f>
        <v>0</v>
      </c>
      <c r="H160" s="16"/>
      <c r="J160" s="22">
        <v>0</v>
      </c>
      <c r="K160" s="23"/>
      <c r="L160" s="22"/>
      <c r="M160" s="23"/>
      <c r="N160" s="15">
        <f>L160-J160</f>
        <v>0</v>
      </c>
      <c r="O160" s="16"/>
      <c r="Q160" s="60">
        <v>0</v>
      </c>
      <c r="R160" s="23"/>
      <c r="S160" s="22"/>
      <c r="T160" s="23"/>
      <c r="U160" s="15">
        <f>S160-Q160</f>
        <v>0</v>
      </c>
      <c r="V160" s="16"/>
      <c r="X160" s="61">
        <f t="shared" si="408"/>
        <v>0</v>
      </c>
      <c r="Y160" s="23"/>
      <c r="Z160" s="14">
        <f t="shared" si="424"/>
        <v>0</v>
      </c>
      <c r="AA160" s="23"/>
      <c r="AB160" s="15"/>
      <c r="AC160" s="16"/>
      <c r="AE160" s="60">
        <v>0</v>
      </c>
      <c r="AF160" s="23"/>
      <c r="AG160" s="22"/>
      <c r="AH160" s="23"/>
      <c r="AI160" s="15">
        <f>AG160-AE160</f>
        <v>0</v>
      </c>
      <c r="AJ160" s="16"/>
      <c r="AL160" s="60">
        <v>0</v>
      </c>
      <c r="AM160" s="23"/>
      <c r="AN160" s="22"/>
      <c r="AO160" s="23"/>
      <c r="AP160" s="15">
        <f>AN160-AL160</f>
        <v>0</v>
      </c>
      <c r="AQ160" s="16"/>
      <c r="AS160" s="60">
        <v>0</v>
      </c>
      <c r="AT160" s="23"/>
      <c r="AU160" s="22"/>
      <c r="AV160" s="23"/>
      <c r="AW160" s="15">
        <f>AU160-AS160</f>
        <v>0</v>
      </c>
      <c r="AX160" s="16"/>
      <c r="AZ160" s="61">
        <f t="shared" si="425"/>
        <v>0</v>
      </c>
      <c r="BA160" s="23"/>
      <c r="BB160" s="14">
        <f t="shared" si="409"/>
        <v>0</v>
      </c>
      <c r="BC160" s="23"/>
      <c r="BD160" s="15">
        <f>BB160-AZ160</f>
        <v>0</v>
      </c>
      <c r="BE160" s="16"/>
      <c r="BG160" s="60">
        <v>0</v>
      </c>
      <c r="BH160" s="70"/>
      <c r="BI160" s="60">
        <v>0</v>
      </c>
      <c r="BJ160" s="70"/>
      <c r="BK160" s="57">
        <f t="shared" si="410"/>
        <v>0</v>
      </c>
      <c r="BL160" s="43"/>
      <c r="BN160" s="60">
        <v>12</v>
      </c>
      <c r="BO160" s="70"/>
      <c r="BP160" s="60"/>
      <c r="BQ160" s="70"/>
      <c r="BR160" s="57">
        <f t="shared" si="411"/>
        <v>12</v>
      </c>
      <c r="BS160" s="43"/>
      <c r="BU160" s="60">
        <v>2</v>
      </c>
      <c r="BV160" s="70"/>
      <c r="BW160" s="60"/>
      <c r="BX160" s="70"/>
      <c r="BY160" s="57">
        <f t="shared" si="412"/>
        <v>2</v>
      </c>
      <c r="BZ160" s="43"/>
      <c r="CB160" s="61">
        <f t="shared" si="413"/>
        <v>14</v>
      </c>
      <c r="CC160" s="70"/>
      <c r="CD160" s="61">
        <f t="shared" si="414"/>
        <v>0</v>
      </c>
      <c r="CE160" s="70"/>
      <c r="CF160" s="57">
        <f t="shared" si="415"/>
        <v>14</v>
      </c>
      <c r="CG160" s="43"/>
      <c r="CI160" s="60">
        <v>4</v>
      </c>
      <c r="CJ160" s="70"/>
      <c r="CK160" s="60">
        <v>0</v>
      </c>
      <c r="CL160" s="70"/>
      <c r="CM160" s="57">
        <f t="shared" si="416"/>
        <v>4</v>
      </c>
      <c r="CN160" s="43"/>
      <c r="CP160" s="60">
        <v>0</v>
      </c>
      <c r="CQ160" s="70"/>
      <c r="CR160" s="60">
        <v>0</v>
      </c>
      <c r="CS160" s="70"/>
      <c r="CT160" s="57">
        <f t="shared" si="417"/>
        <v>0</v>
      </c>
      <c r="CU160" s="43"/>
      <c r="CW160" s="60">
        <v>0</v>
      </c>
      <c r="CX160" s="70"/>
      <c r="CY160" s="60">
        <v>0</v>
      </c>
      <c r="CZ160" s="70"/>
      <c r="DA160" s="57">
        <f t="shared" si="418"/>
        <v>0</v>
      </c>
      <c r="DB160" s="43"/>
      <c r="DD160" s="60">
        <v>0</v>
      </c>
      <c r="DE160" s="70"/>
      <c r="DF160" s="60">
        <v>0</v>
      </c>
      <c r="DG160" s="70"/>
      <c r="DH160" s="57">
        <f t="shared" si="419"/>
        <v>0</v>
      </c>
      <c r="DI160" s="43"/>
      <c r="DK160" s="61">
        <f t="shared" si="426"/>
        <v>4</v>
      </c>
      <c r="DL160" s="75"/>
      <c r="DM160" s="14">
        <f t="shared" si="421"/>
        <v>0</v>
      </c>
      <c r="DN160" s="75"/>
      <c r="DO160" s="57">
        <f t="shared" si="422"/>
        <v>4</v>
      </c>
      <c r="DP160" s="78"/>
      <c r="DR160" s="61">
        <f t="shared" si="423"/>
        <v>18</v>
      </c>
      <c r="DS160" s="23"/>
      <c r="DT160" s="14">
        <f t="shared" ref="DT160" si="427">Z160+BB160+CD160+DM160</f>
        <v>0</v>
      </c>
      <c r="DU160" s="23"/>
      <c r="DV160" s="55"/>
      <c r="DW160" s="24"/>
    </row>
    <row r="161" spans="1:129" ht="16.7" thickBot="1">
      <c r="A161" s="11" t="s">
        <v>151</v>
      </c>
      <c r="B161" s="6"/>
      <c r="C161" s="17">
        <f>SUM(C157:C160)</f>
        <v>0</v>
      </c>
      <c r="D161" s="18">
        <f>C161/C13</f>
        <v>0</v>
      </c>
      <c r="E161" s="17">
        <f>SUM(E157:E160)</f>
        <v>0</v>
      </c>
      <c r="F161" s="18">
        <f>E161/E13</f>
        <v>0</v>
      </c>
      <c r="G161" s="17">
        <f>E161-C161</f>
        <v>0</v>
      </c>
      <c r="H161" s="18" t="e">
        <f>G161/E161</f>
        <v>#DIV/0!</v>
      </c>
      <c r="J161" s="17">
        <f>SUM(J157:J160)</f>
        <v>0</v>
      </c>
      <c r="K161" s="18">
        <f>J161/J13</f>
        <v>0</v>
      </c>
      <c r="L161" s="17">
        <f>SUM(L157:L160)</f>
        <v>0</v>
      </c>
      <c r="M161" s="18">
        <f>L161/L13</f>
        <v>0</v>
      </c>
      <c r="N161" s="17">
        <f>L161-J161</f>
        <v>0</v>
      </c>
      <c r="O161" s="18" t="e">
        <f>N161/L161</f>
        <v>#DIV/0!</v>
      </c>
      <c r="Q161" s="58">
        <f>SUM(Q157:Q160)</f>
        <v>6870.4000000000005</v>
      </c>
      <c r="R161" s="18">
        <f>Q161/Q13</f>
        <v>2.2451945666448345E-2</v>
      </c>
      <c r="S161" s="17">
        <f>SUM(S154:S160)</f>
        <v>0</v>
      </c>
      <c r="T161" s="18">
        <f>S161/S13</f>
        <v>0</v>
      </c>
      <c r="U161" s="17">
        <f>S161-Q161</f>
        <v>-6870.4000000000005</v>
      </c>
      <c r="V161" s="18" t="e">
        <f>U161/S161</f>
        <v>#DIV/0!</v>
      </c>
      <c r="X161" s="58">
        <f>SUM(X157:X160)</f>
        <v>6870.4000000000005</v>
      </c>
      <c r="Y161" s="18">
        <f>X161/X13</f>
        <v>6.2748885425023279E-3</v>
      </c>
      <c r="Z161" s="17">
        <f>SUM(Z154:Z160)</f>
        <v>0</v>
      </c>
      <c r="AA161" s="18">
        <f>Z161/Z13</f>
        <v>0</v>
      </c>
      <c r="AB161" s="17">
        <f>Z161-X161</f>
        <v>-6870.4000000000005</v>
      </c>
      <c r="AC161" s="18" t="e">
        <f>AB161/Z161</f>
        <v>#DIV/0!</v>
      </c>
      <c r="AE161" s="58">
        <f>SUM(AE154:AE160)</f>
        <v>1.25</v>
      </c>
      <c r="AF161" s="65" t="e">
        <f>AE161/AE13</f>
        <v>#DIV/0!</v>
      </c>
      <c r="AG161" s="17">
        <f>SUM(AG154:AG160)</f>
        <v>28688.00154173077</v>
      </c>
      <c r="AH161" s="18">
        <f>AG161/AG13</f>
        <v>4.9422959316214876E-2</v>
      </c>
      <c r="AI161" s="17">
        <f>SUM(AI154:AI160)</f>
        <v>27837.7707725</v>
      </c>
      <c r="AJ161" s="18">
        <f>AI161/AG161</f>
        <v>0.97036284427153319</v>
      </c>
      <c r="AL161" s="58">
        <f>SUM(AL154:AL160)</f>
        <v>0.59</v>
      </c>
      <c r="AM161" s="18" t="e">
        <f>AL161/AL13</f>
        <v>#DIV/0!</v>
      </c>
      <c r="AN161" s="17">
        <f>SUM(AN154:AN160)</f>
        <v>27660.093468230767</v>
      </c>
      <c r="AO161" s="18">
        <f>AN161/AN13</f>
        <v>4.9442554895584266E-2</v>
      </c>
      <c r="AP161" s="17">
        <f>AN161-AL161</f>
        <v>27659.503468230767</v>
      </c>
      <c r="AQ161" s="18">
        <f>AP161/AN161</f>
        <v>0.99997866963100912</v>
      </c>
      <c r="AS161" s="58">
        <f>SUM(AS154:AS160)</f>
        <v>2.36</v>
      </c>
      <c r="AT161" s="18" t="e">
        <f>AS161/AS13</f>
        <v>#DIV/0!</v>
      </c>
      <c r="AU161" s="17">
        <f>SUM(AU154:AU160)</f>
        <v>29991.09901073077</v>
      </c>
      <c r="AV161" s="18">
        <f>AU161/AU13</f>
        <v>4.939994039072252E-2</v>
      </c>
      <c r="AW161" s="17">
        <f>AU161-AS161</f>
        <v>29988.739010730769</v>
      </c>
      <c r="AX161" s="18">
        <f>AW161/AU161</f>
        <v>0.99992130998603435</v>
      </c>
      <c r="AZ161" s="58">
        <f>SUM(AZ154:AZ160)</f>
        <v>4.1999999999999993</v>
      </c>
      <c r="BA161" s="18" t="e">
        <f>AZ161/AZ3</f>
        <v>#DIV/0!</v>
      </c>
      <c r="BB161" s="17">
        <f>SUM(BB154:BB160)</f>
        <v>86339.194020692317</v>
      </c>
      <c r="BC161" s="18">
        <f>BB161/BB13</f>
        <v>4.942123497039639E-2</v>
      </c>
      <c r="BD161" s="17">
        <f>BB161-AZ161</f>
        <v>86334.99402069232</v>
      </c>
      <c r="BE161" s="18">
        <f>BD161/BB161</f>
        <v>0.99995135465361196</v>
      </c>
      <c r="BG161" s="58">
        <f>SUM(BG154:BG160)</f>
        <v>2.25</v>
      </c>
      <c r="BH161" s="68" t="e">
        <f>BG161/BG3</f>
        <v>#DIV/0!</v>
      </c>
      <c r="BI161" s="58">
        <f>SUM(BI154:BI160)</f>
        <v>30662.304078230776</v>
      </c>
      <c r="BJ161" s="68" t="e">
        <f>BI161/BI3</f>
        <v>#DIV/0!</v>
      </c>
      <c r="BK161" s="58">
        <f>SUM(BK154:BK160)</f>
        <v>-30660.054078230776</v>
      </c>
      <c r="BL161" s="68">
        <f>BK161/BI161</f>
        <v>-0.99992661999586663</v>
      </c>
      <c r="BN161" s="58">
        <f>SUM(BN154:BN160)</f>
        <v>13.98</v>
      </c>
      <c r="BO161" s="68" t="e">
        <f>BN161/BN3</f>
        <v>#DIV/0!</v>
      </c>
      <c r="BP161" s="58">
        <f>SUM(BP154:BP160)</f>
        <v>30140.125428230771</v>
      </c>
      <c r="BQ161" s="68" t="e">
        <f>BP161/BP3</f>
        <v>#DIV/0!</v>
      </c>
      <c r="BR161" s="58">
        <f>SUM(BR154:BR160)</f>
        <v>-30126.145428230771</v>
      </c>
      <c r="BS161" s="68">
        <f>BR161/BP161</f>
        <v>-0.99953616649561439</v>
      </c>
      <c r="BU161" s="58">
        <f>SUM(BU154:BU160)</f>
        <v>8.120000000000001</v>
      </c>
      <c r="BV161" s="68" t="e">
        <f>BU161/BU3</f>
        <v>#DIV/0!</v>
      </c>
      <c r="BW161" s="58">
        <f>SUM(BW154:BW160)</f>
        <v>0</v>
      </c>
      <c r="BX161" s="68" t="e">
        <f>BW161/BW3</f>
        <v>#DIV/0!</v>
      </c>
      <c r="BY161" s="58">
        <f>SUM(BY154:BY160)</f>
        <v>8.120000000000001</v>
      </c>
      <c r="BZ161" s="68" t="e">
        <f>BY161/BW161</f>
        <v>#DIV/0!</v>
      </c>
      <c r="CB161" s="58">
        <f>SUM(CB154:CB160)</f>
        <v>24.35</v>
      </c>
      <c r="CC161" s="68" t="e">
        <f>CB161/CB3</f>
        <v>#DIV/0!</v>
      </c>
      <c r="CD161" s="58">
        <f>SUM(CD154:CD160)</f>
        <v>60802.429506461551</v>
      </c>
      <c r="CE161" s="68" t="e">
        <f>CD161/CD3</f>
        <v>#DIV/0!</v>
      </c>
      <c r="CF161" s="58">
        <f>SUM(CF154:CF160)</f>
        <v>-60778.079506461552</v>
      </c>
      <c r="CG161" s="68">
        <f>CF161/CD161</f>
        <v>-0.99959952258161966</v>
      </c>
      <c r="CI161" s="58">
        <f>SUM(CI154:CI160)</f>
        <v>16</v>
      </c>
      <c r="CJ161" s="68" t="e">
        <f>CI161/CI3</f>
        <v>#DIV/0!</v>
      </c>
      <c r="CK161" s="58">
        <f>SUM(CK154:CK160)</f>
        <v>27175.648503230776</v>
      </c>
      <c r="CL161" s="68" t="e">
        <f>CK161/CK3</f>
        <v>#DIV/0!</v>
      </c>
      <c r="CM161" s="58">
        <f>SUM(CM154:CM160)</f>
        <v>-27159.648503230776</v>
      </c>
      <c r="CN161" s="68">
        <f>CM161/CK161</f>
        <v>-0.99941123760126283</v>
      </c>
      <c r="CP161" s="58">
        <f>SUM(CP154:CP160)</f>
        <v>14.45</v>
      </c>
      <c r="CQ161" s="68" t="e">
        <f>CP161/CP3</f>
        <v>#DIV/0!</v>
      </c>
      <c r="CR161" s="58">
        <f>SUM(CR154:CR160)</f>
        <v>1003.2307692307693</v>
      </c>
      <c r="CS161" s="68" t="e">
        <f>CR161/CR3</f>
        <v>#DIV/0!</v>
      </c>
      <c r="CT161" s="58">
        <f>SUM(CT154:CT160)</f>
        <v>-988.78076923076924</v>
      </c>
      <c r="CU161" s="68">
        <f>CT161/CR161</f>
        <v>-0.98559653427388438</v>
      </c>
      <c r="CW161" s="58">
        <f>SUM(CW154:CW160)</f>
        <v>557800</v>
      </c>
      <c r="CX161" s="68" t="e">
        <f>CW161/CW3</f>
        <v>#DIV/0!</v>
      </c>
      <c r="CY161" s="58">
        <f>SUM(CY154:CY160)</f>
        <v>850.23076923076928</v>
      </c>
      <c r="CZ161" s="68" t="e">
        <f>CY161/CY3</f>
        <v>#DIV/0!</v>
      </c>
      <c r="DA161" s="58">
        <f>SUM(DA154:DA160)</f>
        <v>-850.23076923076928</v>
      </c>
      <c r="DB161" s="68">
        <f>DA161/CY161</f>
        <v>-1</v>
      </c>
      <c r="DD161" s="58">
        <f>SUM(DD154:DD160)</f>
        <v>17.95</v>
      </c>
      <c r="DE161" s="68" t="e">
        <f>DD161/DD3</f>
        <v>#DIV/0!</v>
      </c>
      <c r="DF161" s="58">
        <f>SUM(DF154:DF160)</f>
        <v>850.23076923076928</v>
      </c>
      <c r="DG161" s="68" t="e">
        <f>DF161/DF3</f>
        <v>#DIV/0!</v>
      </c>
      <c r="DH161" s="58">
        <f>SUM(DH154:DH160)</f>
        <v>-832.28076923076924</v>
      </c>
      <c r="DI161" s="68">
        <f>DH161/DF161</f>
        <v>-0.97888808468289146</v>
      </c>
      <c r="DK161" s="58">
        <f>SUM(DK154:DK160)</f>
        <v>557848.4</v>
      </c>
      <c r="DL161" s="77" t="e">
        <f>DK161/DK3</f>
        <v>#DIV/0!</v>
      </c>
      <c r="DM161" s="17">
        <f>SUM(DM154:DM160)</f>
        <v>29879.340810923084</v>
      </c>
      <c r="DN161" s="77" t="e">
        <f>DM161/DM3</f>
        <v>#DIV/0!</v>
      </c>
      <c r="DO161" s="17">
        <f>SUM(DO154:DO160)</f>
        <v>-29830.940810923083</v>
      </c>
      <c r="DP161" s="77">
        <f>DO161/DM161</f>
        <v>-0.99838015168051142</v>
      </c>
      <c r="DR161" s="58">
        <f>SUM(DR154:DR160)</f>
        <v>564747.35</v>
      </c>
      <c r="DS161" s="18">
        <f>DR161/DR13</f>
        <v>0.20435101556200985</v>
      </c>
      <c r="DT161" s="17">
        <f>SUM(DT154:DT160)</f>
        <v>0</v>
      </c>
      <c r="DU161" s="18">
        <f>DT161/DT13</f>
        <v>0</v>
      </c>
      <c r="DV161" s="17">
        <f>DT161-DR161</f>
        <v>-564747.35</v>
      </c>
      <c r="DW161" s="18" t="e">
        <f>DV161/DT161</f>
        <v>#DIV/0!</v>
      </c>
      <c r="DX161" s="64"/>
    </row>
    <row r="162" spans="1:129" ht="16.7" thickTop="1">
      <c r="A162" s="9"/>
      <c r="B162" s="12"/>
      <c r="C162" s="22"/>
      <c r="D162" s="23"/>
      <c r="E162" s="22"/>
      <c r="F162" s="23"/>
      <c r="G162" s="15"/>
      <c r="H162" s="16"/>
      <c r="J162" s="22"/>
      <c r="K162" s="23"/>
      <c r="L162" s="22"/>
      <c r="M162" s="23"/>
      <c r="N162" s="15"/>
      <c r="O162" s="16"/>
      <c r="Q162" s="60"/>
      <c r="R162" s="23"/>
      <c r="S162" s="22"/>
      <c r="T162" s="23"/>
      <c r="U162" s="15"/>
      <c r="V162" s="16"/>
      <c r="X162" s="61"/>
      <c r="Y162" s="23"/>
      <c r="Z162" s="14"/>
      <c r="AA162" s="23"/>
      <c r="AB162" s="15"/>
      <c r="AC162" s="16"/>
      <c r="AE162" s="60"/>
      <c r="AF162" s="23"/>
      <c r="AG162" s="22"/>
      <c r="AH162" s="23"/>
      <c r="AI162" s="15"/>
      <c r="AJ162" s="16"/>
      <c r="AL162" s="60"/>
      <c r="AM162" s="23"/>
      <c r="AN162" s="22"/>
      <c r="AO162" s="23"/>
      <c r="AP162" s="15"/>
      <c r="AQ162" s="16"/>
      <c r="AS162" s="60"/>
      <c r="AT162" s="23"/>
      <c r="AU162" s="22"/>
      <c r="AV162" s="23"/>
      <c r="AW162" s="15"/>
      <c r="AX162" s="16"/>
      <c r="AZ162" s="61"/>
      <c r="BA162" s="23"/>
      <c r="BB162" s="14"/>
      <c r="BC162" s="23"/>
      <c r="BD162" s="15"/>
      <c r="BE162" s="16"/>
      <c r="BG162" s="60"/>
      <c r="BH162" s="70"/>
      <c r="BI162" s="60"/>
      <c r="BJ162" s="70"/>
      <c r="BK162" s="57"/>
      <c r="BL162" s="43"/>
      <c r="BN162" s="60"/>
      <c r="BO162" s="70"/>
      <c r="BP162" s="60"/>
      <c r="BQ162" s="70"/>
      <c r="BR162" s="57"/>
      <c r="BS162" s="43"/>
      <c r="BU162" s="60"/>
      <c r="BV162" s="70"/>
      <c r="BW162" s="60"/>
      <c r="BX162" s="70"/>
      <c r="BY162" s="57"/>
      <c r="BZ162" s="43"/>
      <c r="CB162" s="61"/>
      <c r="CC162" s="70"/>
      <c r="CD162" s="61"/>
      <c r="CE162" s="70"/>
      <c r="CF162" s="57"/>
      <c r="CG162" s="43"/>
      <c r="CI162" s="60"/>
      <c r="CJ162" s="70"/>
      <c r="CK162" s="60"/>
      <c r="CL162" s="70"/>
      <c r="CM162" s="57"/>
      <c r="CN162" s="43"/>
      <c r="CP162" s="60"/>
      <c r="CQ162" s="70"/>
      <c r="CR162" s="60"/>
      <c r="CS162" s="70"/>
      <c r="CT162" s="57"/>
      <c r="CU162" s="43"/>
      <c r="CW162" s="60"/>
      <c r="CX162" s="70"/>
      <c r="CY162" s="60"/>
      <c r="CZ162" s="70"/>
      <c r="DA162" s="57"/>
      <c r="DB162" s="43"/>
      <c r="DD162" s="60"/>
      <c r="DE162" s="70"/>
      <c r="DF162" s="60"/>
      <c r="DG162" s="70"/>
      <c r="DH162" s="57"/>
      <c r="DI162" s="43"/>
      <c r="DK162" s="61"/>
      <c r="DL162" s="75"/>
      <c r="DM162" s="14"/>
      <c r="DN162" s="75"/>
      <c r="DO162" s="15"/>
      <c r="DP162" s="78"/>
      <c r="DR162" s="61"/>
      <c r="DS162" s="23"/>
      <c r="DT162" s="14"/>
      <c r="DU162" s="23"/>
      <c r="DV162" s="55"/>
      <c r="DW162" s="24"/>
    </row>
    <row r="163" spans="1:129">
      <c r="A163" s="7"/>
      <c r="B163" s="7"/>
      <c r="C163" s="22"/>
      <c r="D163" s="23"/>
      <c r="E163" s="22"/>
      <c r="F163" s="23"/>
      <c r="G163" s="24"/>
      <c r="H163" s="24"/>
      <c r="J163" s="22"/>
      <c r="K163" s="23"/>
      <c r="L163" s="22"/>
      <c r="M163" s="23"/>
      <c r="N163" s="24"/>
      <c r="O163" s="24"/>
      <c r="Q163" s="60"/>
      <c r="R163" s="23"/>
      <c r="S163" s="22"/>
      <c r="T163" s="23"/>
      <c r="U163" s="24"/>
      <c r="V163" s="24"/>
      <c r="X163" s="22"/>
      <c r="Y163" s="23"/>
      <c r="Z163" s="22"/>
      <c r="AA163" s="23"/>
      <c r="AB163" s="24"/>
      <c r="AC163" s="24"/>
      <c r="AE163" s="60"/>
      <c r="AF163" s="23"/>
      <c r="AG163" s="22"/>
      <c r="AH163" s="23"/>
      <c r="AI163" s="24"/>
      <c r="AJ163" s="24"/>
      <c r="AL163" s="60"/>
      <c r="AM163" s="23"/>
      <c r="AN163" s="22"/>
      <c r="AO163" s="23"/>
      <c r="AP163" s="24"/>
      <c r="AQ163" s="24"/>
      <c r="AS163" s="60"/>
      <c r="AT163" s="23"/>
      <c r="AU163" s="22"/>
      <c r="AV163" s="23"/>
      <c r="AW163" s="24"/>
      <c r="AX163" s="24"/>
      <c r="AZ163" s="60"/>
      <c r="BA163" s="23"/>
      <c r="BB163" s="22"/>
      <c r="BC163" s="23"/>
      <c r="BD163" s="24"/>
      <c r="BE163" s="24"/>
      <c r="BG163" s="60"/>
      <c r="BH163" s="70"/>
      <c r="BI163" s="60"/>
      <c r="BJ163" s="70"/>
      <c r="BK163" s="55"/>
      <c r="BL163" s="71"/>
      <c r="BN163" s="60"/>
      <c r="BO163" s="70"/>
      <c r="BP163" s="60"/>
      <c r="BQ163" s="70"/>
      <c r="BR163" s="55"/>
      <c r="BS163" s="71"/>
      <c r="BU163" s="60"/>
      <c r="BV163" s="70"/>
      <c r="BW163" s="60"/>
      <c r="BX163" s="70"/>
      <c r="BY163" s="55"/>
      <c r="BZ163" s="71"/>
      <c r="CB163" s="60"/>
      <c r="CC163" s="70"/>
      <c r="CD163" s="60"/>
      <c r="CE163" s="70"/>
      <c r="CF163" s="55"/>
      <c r="CG163" s="71"/>
      <c r="CI163" s="60"/>
      <c r="CJ163" s="70"/>
      <c r="CK163" s="60"/>
      <c r="CL163" s="70"/>
      <c r="CM163" s="55"/>
      <c r="CN163" s="71"/>
      <c r="CP163" s="60"/>
      <c r="CQ163" s="70"/>
      <c r="CR163" s="60"/>
      <c r="CS163" s="70"/>
      <c r="CT163" s="55"/>
      <c r="CU163" s="71"/>
      <c r="CW163" s="60"/>
      <c r="CX163" s="70"/>
      <c r="CY163" s="60"/>
      <c r="CZ163" s="70"/>
      <c r="DA163" s="55"/>
      <c r="DB163" s="71"/>
      <c r="DD163" s="60"/>
      <c r="DE163" s="70"/>
      <c r="DF163" s="60"/>
      <c r="DG163" s="70"/>
      <c r="DH163" s="55"/>
      <c r="DI163" s="71"/>
      <c r="DK163" s="60"/>
      <c r="DL163" s="75"/>
      <c r="DM163" s="22"/>
      <c r="DN163" s="75"/>
      <c r="DO163" s="24"/>
      <c r="DP163" s="79"/>
      <c r="DR163" s="60"/>
      <c r="DS163" s="23"/>
      <c r="DT163" s="22"/>
      <c r="DU163" s="23"/>
      <c r="DV163" s="55"/>
      <c r="DW163" s="24"/>
    </row>
    <row r="164" spans="1:129">
      <c r="A164" s="6" t="s">
        <v>152</v>
      </c>
      <c r="B164" s="6"/>
      <c r="C164" s="22"/>
      <c r="D164" s="23"/>
      <c r="E164" s="22"/>
      <c r="F164" s="23"/>
      <c r="G164" s="15"/>
      <c r="H164" s="15"/>
      <c r="J164" s="22"/>
      <c r="K164" s="23"/>
      <c r="L164" s="22"/>
      <c r="M164" s="23"/>
      <c r="N164" s="15"/>
      <c r="O164" s="15"/>
      <c r="Q164" s="60"/>
      <c r="R164" s="23"/>
      <c r="S164" s="22"/>
      <c r="T164" s="23"/>
      <c r="U164" s="15"/>
      <c r="V164" s="15"/>
      <c r="X164" s="22"/>
      <c r="Y164" s="23"/>
      <c r="Z164" s="22"/>
      <c r="AA164" s="23"/>
      <c r="AB164" s="15"/>
      <c r="AC164" s="15"/>
      <c r="AE164" s="60"/>
      <c r="AF164" s="23"/>
      <c r="AG164" s="22"/>
      <c r="AH164" s="23"/>
      <c r="AI164" s="15"/>
      <c r="AJ164" s="15"/>
      <c r="AL164" s="60"/>
      <c r="AM164" s="23"/>
      <c r="AN164" s="22"/>
      <c r="AO164" s="23"/>
      <c r="AP164" s="15"/>
      <c r="AQ164" s="15"/>
      <c r="AS164" s="60"/>
      <c r="AT164" s="23"/>
      <c r="AU164" s="22"/>
      <c r="AV164" s="23"/>
      <c r="AW164" s="15"/>
      <c r="AX164" s="15"/>
      <c r="AZ164" s="60"/>
      <c r="BA164" s="23"/>
      <c r="BB164" s="22"/>
      <c r="BC164" s="23"/>
      <c r="BD164" s="15"/>
      <c r="BE164" s="15"/>
      <c r="BG164" s="60"/>
      <c r="BH164" s="70"/>
      <c r="BI164" s="60"/>
      <c r="BJ164" s="70"/>
      <c r="BK164" s="57"/>
      <c r="BN164" s="60"/>
      <c r="BO164" s="70"/>
      <c r="BP164" s="60"/>
      <c r="BQ164" s="70"/>
      <c r="BR164" s="57"/>
      <c r="BU164" s="60"/>
      <c r="BV164" s="70"/>
      <c r="BW164" s="60"/>
      <c r="BX164" s="70"/>
      <c r="BY164" s="57"/>
      <c r="CB164" s="60"/>
      <c r="CC164" s="70"/>
      <c r="CD164" s="60"/>
      <c r="CE164" s="70"/>
      <c r="CF164" s="57"/>
      <c r="CI164" s="60"/>
      <c r="CJ164" s="70"/>
      <c r="CK164" s="60"/>
      <c r="CL164" s="70"/>
      <c r="CM164" s="57"/>
      <c r="CP164" s="60"/>
      <c r="CQ164" s="70"/>
      <c r="CR164" s="60"/>
      <c r="CS164" s="70"/>
      <c r="CT164" s="57"/>
      <c r="CW164" s="60"/>
      <c r="CX164" s="70"/>
      <c r="CY164" s="60"/>
      <c r="CZ164" s="70"/>
      <c r="DA164" s="57"/>
      <c r="DD164" s="60"/>
      <c r="DE164" s="70"/>
      <c r="DF164" s="60"/>
      <c r="DG164" s="70"/>
      <c r="DH164" s="57"/>
      <c r="DK164" s="60"/>
      <c r="DL164" s="75"/>
      <c r="DM164" s="22"/>
      <c r="DN164" s="75"/>
      <c r="DO164" s="15"/>
      <c r="DR164" s="60"/>
      <c r="DS164" s="23"/>
      <c r="DT164" s="22"/>
      <c r="DU164" s="23"/>
      <c r="DV164" s="57"/>
      <c r="DW164" s="15"/>
    </row>
    <row r="165" spans="1:129">
      <c r="A165" s="9" t="s">
        <v>153</v>
      </c>
      <c r="B165" s="6"/>
      <c r="C165" s="22"/>
      <c r="D165" s="23"/>
      <c r="E165" s="22"/>
      <c r="F165" s="23"/>
      <c r="G165" s="15"/>
      <c r="H165" s="15"/>
      <c r="J165" s="22"/>
      <c r="K165" s="23"/>
      <c r="L165" s="22"/>
      <c r="M165" s="23"/>
      <c r="N165" s="15"/>
      <c r="O165" s="15"/>
      <c r="Q165" s="60"/>
      <c r="R165" s="23"/>
      <c r="S165" s="22"/>
      <c r="T165" s="23"/>
      <c r="U165" s="15"/>
      <c r="V165" s="15"/>
      <c r="X165" s="22">
        <v>0</v>
      </c>
      <c r="Y165" s="23"/>
      <c r="Z165" s="22">
        <v>0</v>
      </c>
      <c r="AA165" s="23"/>
      <c r="AB165" s="15"/>
      <c r="AC165" s="15"/>
      <c r="AE165" s="60"/>
      <c r="AF165" s="23"/>
      <c r="AG165" s="22"/>
      <c r="AH165" s="23"/>
      <c r="AI165" s="15"/>
      <c r="AJ165" s="15"/>
      <c r="AL165" s="60"/>
      <c r="AM165" s="23"/>
      <c r="AN165" s="22"/>
      <c r="AO165" s="23"/>
      <c r="AP165" s="15"/>
      <c r="AQ165" s="15"/>
      <c r="AS165" s="60"/>
      <c r="AT165" s="23"/>
      <c r="AU165" s="22"/>
      <c r="AV165" s="23"/>
      <c r="AW165" s="15"/>
      <c r="AX165" s="15"/>
      <c r="AZ165" s="60">
        <v>0</v>
      </c>
      <c r="BA165" s="23"/>
      <c r="BB165" s="22">
        <v>0</v>
      </c>
      <c r="BC165" s="23"/>
      <c r="BD165" s="15"/>
      <c r="BE165" s="15"/>
      <c r="BG165" s="60">
        <v>0</v>
      </c>
      <c r="BH165" s="70"/>
      <c r="BI165" s="60">
        <v>0</v>
      </c>
      <c r="BJ165" s="70"/>
      <c r="BK165" s="57"/>
      <c r="BN165" s="60">
        <v>6401.42</v>
      </c>
      <c r="BO165" s="70"/>
      <c r="BP165" s="60">
        <v>0</v>
      </c>
      <c r="BQ165" s="70"/>
      <c r="BR165" s="57"/>
      <c r="BU165" s="60">
        <v>0</v>
      </c>
      <c r="BV165" s="70"/>
      <c r="BW165" s="60"/>
      <c r="BX165" s="70"/>
      <c r="BY165" s="57"/>
      <c r="CB165" s="61">
        <f t="shared" ref="CB165:CB172" si="428">BG165+BN165+BU165</f>
        <v>6401.42</v>
      </c>
      <c r="CC165" s="70"/>
      <c r="CD165" s="60"/>
      <c r="CE165" s="70"/>
      <c r="CF165" s="57"/>
      <c r="CI165" s="60">
        <v>0</v>
      </c>
      <c r="CJ165" s="70"/>
      <c r="CK165" s="60"/>
      <c r="CL165" s="70"/>
      <c r="CM165" s="57"/>
      <c r="CP165" s="60"/>
      <c r="CQ165" s="70"/>
      <c r="CR165" s="60"/>
      <c r="CS165" s="70"/>
      <c r="CT165" s="57"/>
      <c r="CW165" s="60">
        <v>0</v>
      </c>
      <c r="CX165" s="70"/>
      <c r="CY165" s="60"/>
      <c r="CZ165" s="70"/>
      <c r="DA165" s="57"/>
      <c r="DD165" s="60">
        <v>0</v>
      </c>
      <c r="DE165" s="70"/>
      <c r="DF165" s="60"/>
      <c r="DG165" s="70"/>
      <c r="DH165" s="57"/>
      <c r="DK165" s="60"/>
      <c r="DL165" s="75"/>
      <c r="DM165" s="22"/>
      <c r="DN165" s="75"/>
      <c r="DO165" s="15"/>
      <c r="DR165" s="61">
        <f>X165+AZ165+CB165+DK165</f>
        <v>6401.42</v>
      </c>
      <c r="DS165" s="23"/>
      <c r="DT165" s="14">
        <f t="shared" ref="DT165:DT171" si="429">Z165+BB165+CD165+DM165</f>
        <v>0</v>
      </c>
      <c r="DU165" s="23"/>
      <c r="DV165" s="57"/>
      <c r="DW165" s="15"/>
    </row>
    <row r="166" spans="1:129">
      <c r="A166" s="9" t="s">
        <v>154</v>
      </c>
      <c r="B166" s="12"/>
      <c r="C166" s="22">
        <v>17970</v>
      </c>
      <c r="D166" s="23"/>
      <c r="E166" s="60">
        <f>(E13-(E49+E50+E51+E52+-E108+E127))*0.05</f>
        <v>13310.931422000001</v>
      </c>
      <c r="F166" s="23"/>
      <c r="G166" s="15">
        <f>E166-C166</f>
        <v>-4659.0685779999985</v>
      </c>
      <c r="H166" s="16"/>
      <c r="J166" s="22">
        <v>19342</v>
      </c>
      <c r="K166" s="23"/>
      <c r="L166" s="60">
        <f>(L13-(L49+L50+L51+L52+-L108+L127))*0.05</f>
        <v>18631.843154311591</v>
      </c>
      <c r="M166" s="23"/>
      <c r="N166" s="15">
        <f>L166-J166</f>
        <v>-710.15684568840879</v>
      </c>
      <c r="O166" s="16"/>
      <c r="Q166" s="60">
        <v>14357</v>
      </c>
      <c r="R166" s="23"/>
      <c r="S166" s="60">
        <f>(S13-(S49+S50+S51+S52+-S108+S127))*0.05</f>
        <v>24189.736098706766</v>
      </c>
      <c r="T166" s="23"/>
      <c r="U166" s="15">
        <f>S166-Q166</f>
        <v>9832.7360987067659</v>
      </c>
      <c r="V166" s="16"/>
      <c r="X166" s="61">
        <f t="shared" ref="X166:X172" si="430">C166+J166+Q166</f>
        <v>51669</v>
      </c>
      <c r="Y166" s="23"/>
      <c r="Z166" s="14">
        <f>E166+L166+S166</f>
        <v>56132.510675018362</v>
      </c>
      <c r="AA166" s="23"/>
      <c r="AB166" s="15">
        <f>Z166-X166</f>
        <v>4463.5106750183622</v>
      </c>
      <c r="AC166" s="16"/>
      <c r="AE166" s="60">
        <v>0</v>
      </c>
      <c r="AF166" s="23"/>
      <c r="AG166" s="60">
        <f>(AG13-(AG49+AG50+AG51+AG52+-AG108+AG127))*0.05</f>
        <v>28569.471589426012</v>
      </c>
      <c r="AH166" s="23"/>
      <c r="AI166" s="15">
        <f>AG166-AE166</f>
        <v>28569.471589426012</v>
      </c>
      <c r="AJ166" s="16"/>
      <c r="AL166" s="60">
        <v>0</v>
      </c>
      <c r="AM166" s="23"/>
      <c r="AN166" s="60">
        <f>(AN13-(AN49+AN50+AN51+AN52+-AN108+AN127))*0.05</f>
        <v>27516.274722339156</v>
      </c>
      <c r="AO166" s="23"/>
      <c r="AP166" s="15">
        <f>AN166-AL166</f>
        <v>27516.274722339156</v>
      </c>
      <c r="AQ166" s="16"/>
      <c r="AS166" s="60">
        <v>0</v>
      </c>
      <c r="AT166" s="23"/>
      <c r="AU166" s="60">
        <f>(AU13-(AU49+AU50+AU51+AU52+-AU108+AU127))*0.05</f>
        <v>29904.706597165918</v>
      </c>
      <c r="AV166" s="23"/>
      <c r="AW166" s="15">
        <f>AU166-AS166</f>
        <v>29904.706597165918</v>
      </c>
      <c r="AX166" s="16"/>
      <c r="AZ166" s="61">
        <f>AE166+AL166+AS166</f>
        <v>0</v>
      </c>
      <c r="BA166" s="23"/>
      <c r="BB166" s="14">
        <f t="shared" ref="BB166:BB171" si="431">AG166+AN166+AU166</f>
        <v>85990.452908931082</v>
      </c>
      <c r="BC166" s="23"/>
      <c r="BD166" s="15">
        <f>BB166-AZ166</f>
        <v>85990.452908931082</v>
      </c>
      <c r="BE166" s="16"/>
      <c r="BG166" s="60">
        <v>0</v>
      </c>
      <c r="BH166" s="70"/>
      <c r="BI166" s="60">
        <f>(BI13-(BI49+BI50+BI51+BI52+-BI108+BI127))*0.05</f>
        <v>30592.491110970543</v>
      </c>
      <c r="BJ166" s="70"/>
      <c r="BK166" s="57">
        <f t="shared" ref="BK166:BK172" si="432">BG166-BI166</f>
        <v>-30592.491110970543</v>
      </c>
      <c r="BL166" s="43"/>
      <c r="BN166" s="60">
        <v>10410</v>
      </c>
      <c r="BO166" s="70"/>
      <c r="BP166" s="60">
        <f>(BP13-(BP49+BP50+BP51+BP52+-BP108+BP127))*0.05</f>
        <v>30057.375099608031</v>
      </c>
      <c r="BQ166" s="70"/>
      <c r="BR166" s="57">
        <f>BN166-BP166</f>
        <v>-19647.375099608031</v>
      </c>
      <c r="BS166" s="43"/>
      <c r="BU166" s="60">
        <v>60530</v>
      </c>
      <c r="BV166" s="70"/>
      <c r="BW166" s="60">
        <f>(BW13-(BW49+BW50+BW51+BW52+-BW108+BW127))*0.05</f>
        <v>14324.650000000001</v>
      </c>
      <c r="BX166" s="70"/>
      <c r="BY166" s="57">
        <f t="shared" ref="BY166:BY172" si="433">BU166-BW166</f>
        <v>46205.35</v>
      </c>
      <c r="BZ166" s="43"/>
      <c r="CB166" s="61">
        <f t="shared" si="428"/>
        <v>70940</v>
      </c>
      <c r="CC166" s="70"/>
      <c r="CD166" s="61">
        <f>BI166+BP166+BW166</f>
        <v>74974.516210578586</v>
      </c>
      <c r="CE166" s="70"/>
      <c r="CF166" s="57">
        <f t="shared" ref="CF166:CF172" si="434">CB166-CD166</f>
        <v>-4034.5162105785857</v>
      </c>
      <c r="CG166" s="43"/>
      <c r="CI166" s="60">
        <v>17091</v>
      </c>
      <c r="CJ166" s="70"/>
      <c r="CK166" s="60">
        <f>(CK13-(CK49+CK50+CK51+CK52+-CK108+CK127))*0.05</f>
        <v>15348.7</v>
      </c>
      <c r="CL166" s="70"/>
      <c r="CM166" s="57">
        <f t="shared" ref="CM166:CM172" si="435">CI166-CK166</f>
        <v>1742.2999999999993</v>
      </c>
      <c r="CN166" s="43"/>
      <c r="CP166" s="60">
        <v>15696</v>
      </c>
      <c r="CQ166" s="70"/>
      <c r="CR166" s="60">
        <f>(CR13-(CR49+CR50+CR51+CR52+-CR108+CR127))*0.05</f>
        <v>14475.7</v>
      </c>
      <c r="CS166" s="70"/>
      <c r="CT166" s="57">
        <f t="shared" ref="CT166:CT172" si="436">CP166-CR166</f>
        <v>1220.2999999999993</v>
      </c>
      <c r="CU166" s="43"/>
      <c r="CW166" s="60">
        <v>12512</v>
      </c>
      <c r="CX166" s="70"/>
      <c r="CY166" s="60">
        <f>(CY13-(CY49+CY50+CY51+CY52+-CY108+CY127))*0.05-10153</f>
        <v>3077.9000000000015</v>
      </c>
      <c r="CZ166" s="70"/>
      <c r="DA166" s="57">
        <f t="shared" ref="DA166:DA172" si="437">CW166-CY166</f>
        <v>9434.0999999999985</v>
      </c>
      <c r="DB166" s="43"/>
      <c r="DD166" s="60">
        <v>7279</v>
      </c>
      <c r="DE166" s="70"/>
      <c r="DF166" s="60">
        <v>0</v>
      </c>
      <c r="DG166" s="70"/>
      <c r="DH166" s="57">
        <f t="shared" ref="DH166:DH172" si="438">DD166-DF166</f>
        <v>7279</v>
      </c>
      <c r="DI166" s="43"/>
      <c r="DK166" s="61">
        <f>CI166+CP166+CW166+DD166</f>
        <v>52578</v>
      </c>
      <c r="DL166" s="75"/>
      <c r="DM166" s="14">
        <f t="shared" ref="DM166:DM172" si="439">CK166+CR166+CY166+DF166</f>
        <v>32902.300000000003</v>
      </c>
      <c r="DN166" s="75"/>
      <c r="DO166" s="57">
        <f t="shared" ref="DO166:DO172" si="440">DK166-DM166</f>
        <v>19675.699999999997</v>
      </c>
      <c r="DP166" s="78"/>
      <c r="DR166" s="61">
        <f t="shared" ref="DR166:DR171" si="441">X166+AZ166+CB166+DK166</f>
        <v>175187</v>
      </c>
      <c r="DS166" s="23"/>
      <c r="DT166" s="14">
        <f t="shared" si="429"/>
        <v>249999.77979452803</v>
      </c>
      <c r="DU166" s="23"/>
      <c r="DV166" s="57">
        <f>DT166-DR166</f>
        <v>74812.779794528033</v>
      </c>
      <c r="DW166" s="16"/>
    </row>
    <row r="167" spans="1:129">
      <c r="A167" s="9" t="s">
        <v>155</v>
      </c>
      <c r="B167" s="9"/>
      <c r="C167" s="22">
        <v>1996.29</v>
      </c>
      <c r="D167" s="23"/>
      <c r="E167" s="22">
        <v>850.23076923076928</v>
      </c>
      <c r="F167" s="23"/>
      <c r="G167" s="15"/>
      <c r="H167" s="16"/>
      <c r="J167" s="22">
        <v>1996.29</v>
      </c>
      <c r="K167" s="23"/>
      <c r="L167" s="22">
        <v>850.23076923076928</v>
      </c>
      <c r="M167" s="23"/>
      <c r="N167" s="15"/>
      <c r="O167" s="16"/>
      <c r="Q167" s="60">
        <v>1996.29</v>
      </c>
      <c r="R167" s="23"/>
      <c r="S167" s="22">
        <v>850.23076923076928</v>
      </c>
      <c r="T167" s="23"/>
      <c r="U167" s="15"/>
      <c r="V167" s="16"/>
      <c r="X167" s="61">
        <f t="shared" si="430"/>
        <v>5988.87</v>
      </c>
      <c r="Y167" s="23"/>
      <c r="Z167" s="14">
        <f t="shared" ref="Z167:Z168" si="442">E167+L167+S167</f>
        <v>2550.6923076923076</v>
      </c>
      <c r="AA167" s="23"/>
      <c r="AB167" s="57"/>
      <c r="AC167" s="16"/>
      <c r="AE167" s="60">
        <v>1996.29</v>
      </c>
      <c r="AF167" s="23"/>
      <c r="AG167" s="22">
        <v>850.23076923076928</v>
      </c>
      <c r="AH167" s="23"/>
      <c r="AI167" s="15"/>
      <c r="AJ167" s="16"/>
      <c r="AL167" s="60">
        <v>1996.29</v>
      </c>
      <c r="AM167" s="23"/>
      <c r="AN167" s="22">
        <v>850.23076923076928</v>
      </c>
      <c r="AO167" s="23"/>
      <c r="AP167" s="15"/>
      <c r="AQ167" s="16"/>
      <c r="AS167" s="60">
        <v>1996.29</v>
      </c>
      <c r="AT167" s="23"/>
      <c r="AU167" s="22">
        <v>850.23076923076928</v>
      </c>
      <c r="AV167" s="23"/>
      <c r="AW167" s="15"/>
      <c r="AX167" s="16"/>
      <c r="AZ167" s="61">
        <f t="shared" ref="AZ167:AZ172" si="443">AE167+AL167+AS167</f>
        <v>5988.87</v>
      </c>
      <c r="BA167" s="23"/>
      <c r="BB167" s="14">
        <f t="shared" si="431"/>
        <v>2550.6923076923076</v>
      </c>
      <c r="BC167" s="23"/>
      <c r="BD167" s="15"/>
      <c r="BE167" s="16"/>
      <c r="BG167" s="61">
        <v>2596.29</v>
      </c>
      <c r="BH167" s="70"/>
      <c r="BI167" s="61">
        <v>850.23076923076928</v>
      </c>
      <c r="BJ167" s="70"/>
      <c r="BK167" s="57">
        <f t="shared" si="432"/>
        <v>1746.0592307692307</v>
      </c>
      <c r="BL167" s="43"/>
      <c r="BN167" s="61">
        <v>1996.29</v>
      </c>
      <c r="BO167" s="70"/>
      <c r="BP167" s="61">
        <v>850.23076923076928</v>
      </c>
      <c r="BQ167" s="70"/>
      <c r="BR167" s="57">
        <f>BN167-BP167</f>
        <v>1146.0592307692307</v>
      </c>
      <c r="BS167" s="43"/>
      <c r="BU167" s="61">
        <v>0</v>
      </c>
      <c r="BV167" s="70"/>
      <c r="BW167" s="61">
        <v>0</v>
      </c>
      <c r="BX167" s="70"/>
      <c r="BY167" s="57">
        <f t="shared" si="433"/>
        <v>0</v>
      </c>
      <c r="BZ167" s="43"/>
      <c r="CB167" s="61">
        <f t="shared" si="428"/>
        <v>4592.58</v>
      </c>
      <c r="CC167" s="70"/>
      <c r="CD167" s="61">
        <f>BI167+BP167+BW167</f>
        <v>1700.4615384615386</v>
      </c>
      <c r="CE167" s="70"/>
      <c r="CF167" s="57">
        <f t="shared" si="434"/>
        <v>2892.1184615384614</v>
      </c>
      <c r="CG167" s="43"/>
      <c r="CI167" s="60">
        <v>0</v>
      </c>
      <c r="CJ167" s="70"/>
      <c r="CK167" s="60">
        <v>0</v>
      </c>
      <c r="CL167" s="70"/>
      <c r="CM167" s="57">
        <f t="shared" si="435"/>
        <v>0</v>
      </c>
      <c r="CN167" s="43"/>
      <c r="CP167" s="60">
        <v>0</v>
      </c>
      <c r="CQ167" s="70"/>
      <c r="CR167" s="60">
        <v>0</v>
      </c>
      <c r="CS167" s="70"/>
      <c r="CT167" s="57">
        <f t="shared" si="436"/>
        <v>0</v>
      </c>
      <c r="CU167" s="43"/>
      <c r="CW167" s="60">
        <v>0</v>
      </c>
      <c r="CX167" s="70"/>
      <c r="CY167" s="60">
        <v>0</v>
      </c>
      <c r="CZ167" s="70"/>
      <c r="DA167" s="57">
        <f t="shared" si="437"/>
        <v>0</v>
      </c>
      <c r="DB167" s="43"/>
      <c r="DD167" s="60">
        <v>0</v>
      </c>
      <c r="DE167" s="70"/>
      <c r="DF167" s="60"/>
      <c r="DG167" s="70"/>
      <c r="DH167" s="57">
        <f t="shared" si="438"/>
        <v>0</v>
      </c>
      <c r="DI167" s="43"/>
      <c r="DK167" s="61">
        <f t="shared" ref="DK167:DK172" si="444">CI167+CP167+CW167+DD167</f>
        <v>0</v>
      </c>
      <c r="DL167" s="75"/>
      <c r="DM167" s="14">
        <f t="shared" si="439"/>
        <v>0</v>
      </c>
      <c r="DN167" s="75"/>
      <c r="DO167" s="57">
        <f t="shared" si="440"/>
        <v>0</v>
      </c>
      <c r="DP167" s="78"/>
      <c r="DR167" s="61">
        <f t="shared" si="441"/>
        <v>16570.32</v>
      </c>
      <c r="DS167" s="23"/>
      <c r="DT167" s="14">
        <f t="shared" si="429"/>
        <v>6801.8461538461543</v>
      </c>
      <c r="DU167" s="23"/>
      <c r="DV167" s="57"/>
      <c r="DW167" s="16"/>
    </row>
    <row r="168" spans="1:129">
      <c r="A168" s="9" t="s">
        <v>156</v>
      </c>
      <c r="B168" s="12"/>
      <c r="C168" s="22">
        <f>1555.88</f>
        <v>1555.88</v>
      </c>
      <c r="D168" s="23"/>
      <c r="E168" s="22"/>
      <c r="F168" s="23"/>
      <c r="G168" s="15">
        <f>E168-C168</f>
        <v>-1555.88</v>
      </c>
      <c r="H168" s="16"/>
      <c r="J168" s="22">
        <v>0</v>
      </c>
      <c r="K168" s="23"/>
      <c r="L168" s="22"/>
      <c r="M168" s="23"/>
      <c r="N168" s="15">
        <f>L168-J168</f>
        <v>0</v>
      </c>
      <c r="O168" s="16"/>
      <c r="Q168" s="60">
        <v>0</v>
      </c>
      <c r="R168" s="23"/>
      <c r="S168" s="22"/>
      <c r="T168" s="23"/>
      <c r="U168" s="15">
        <f>S168-Q168</f>
        <v>0</v>
      </c>
      <c r="V168" s="16"/>
      <c r="X168" s="61">
        <f t="shared" si="430"/>
        <v>1555.88</v>
      </c>
      <c r="Y168" s="23"/>
      <c r="Z168" s="14">
        <f t="shared" si="442"/>
        <v>0</v>
      </c>
      <c r="AA168" s="23"/>
      <c r="AB168" s="15"/>
      <c r="AC168" s="16"/>
      <c r="AE168" s="60">
        <v>0</v>
      </c>
      <c r="AF168" s="23"/>
      <c r="AG168" s="22"/>
      <c r="AH168" s="23"/>
      <c r="AI168" s="15">
        <f>AG168-AE168</f>
        <v>0</v>
      </c>
      <c r="AJ168" s="16"/>
      <c r="AL168" s="60">
        <v>-3572.96</v>
      </c>
      <c r="AM168" s="23"/>
      <c r="AN168" s="22"/>
      <c r="AO168" s="23"/>
      <c r="AP168" s="15">
        <f>AN168-AL168</f>
        <v>3572.96</v>
      </c>
      <c r="AQ168" s="16"/>
      <c r="AS168" s="60">
        <v>0</v>
      </c>
      <c r="AT168" s="23"/>
      <c r="AU168" s="22"/>
      <c r="AV168" s="23"/>
      <c r="AW168" s="15">
        <f>AU168-AS168</f>
        <v>0</v>
      </c>
      <c r="AX168" s="16"/>
      <c r="AZ168" s="61">
        <f t="shared" si="443"/>
        <v>-3572.96</v>
      </c>
      <c r="BA168" s="23"/>
      <c r="BB168" s="14">
        <f t="shared" si="431"/>
        <v>0</v>
      </c>
      <c r="BC168" s="23"/>
      <c r="BD168" s="15">
        <f>BB168-AZ168</f>
        <v>3572.96</v>
      </c>
      <c r="BE168" s="16"/>
      <c r="BG168" s="60">
        <v>0</v>
      </c>
      <c r="BH168" s="70"/>
      <c r="BI168" s="60"/>
      <c r="BJ168" s="70"/>
      <c r="BK168" s="57">
        <f t="shared" si="432"/>
        <v>0</v>
      </c>
      <c r="BL168" s="43"/>
      <c r="BN168" s="60">
        <v>40.64</v>
      </c>
      <c r="BO168" s="70"/>
      <c r="BP168" s="60"/>
      <c r="BQ168" s="70"/>
      <c r="BR168" s="57">
        <f t="shared" ref="BR168:BR172" si="445">BN168-BP168</f>
        <v>40.64</v>
      </c>
      <c r="BS168" s="43"/>
      <c r="BU168" s="60">
        <v>0</v>
      </c>
      <c r="BV168" s="70"/>
      <c r="BW168" s="60">
        <v>0</v>
      </c>
      <c r="BX168" s="70"/>
      <c r="BY168" s="57">
        <f t="shared" si="433"/>
        <v>0</v>
      </c>
      <c r="BZ168" s="43"/>
      <c r="CB168" s="61">
        <f t="shared" si="428"/>
        <v>40.64</v>
      </c>
      <c r="CC168" s="70"/>
      <c r="CD168" s="61">
        <f t="shared" ref="CD168:CD171" si="446">BI168+BP168+BW168</f>
        <v>0</v>
      </c>
      <c r="CE168" s="70"/>
      <c r="CF168" s="57">
        <f t="shared" si="434"/>
        <v>40.64</v>
      </c>
      <c r="CG168" s="43"/>
      <c r="CI168" s="60">
        <v>-1696.3</v>
      </c>
      <c r="CJ168" s="70"/>
      <c r="CK168" s="60">
        <v>0</v>
      </c>
      <c r="CL168" s="70"/>
      <c r="CM168" s="57">
        <f t="shared" si="435"/>
        <v>-1696.3</v>
      </c>
      <c r="CN168" s="43"/>
      <c r="CP168" s="60">
        <v>2561.92</v>
      </c>
      <c r="CQ168" s="70"/>
      <c r="CR168" s="60">
        <v>0</v>
      </c>
      <c r="CS168" s="70"/>
      <c r="CT168" s="57">
        <f t="shared" si="436"/>
        <v>2561.92</v>
      </c>
      <c r="CU168" s="43"/>
      <c r="CW168" s="60">
        <v>16299.6</v>
      </c>
      <c r="CX168" s="70"/>
      <c r="CY168" s="60">
        <v>0</v>
      </c>
      <c r="CZ168" s="70"/>
      <c r="DA168" s="57">
        <f t="shared" si="437"/>
        <v>16299.6</v>
      </c>
      <c r="DB168" s="43"/>
      <c r="DD168" s="60">
        <v>761.63</v>
      </c>
      <c r="DE168" s="70"/>
      <c r="DF168" s="60">
        <v>0</v>
      </c>
      <c r="DG168" s="70"/>
      <c r="DH168" s="57">
        <f t="shared" si="438"/>
        <v>761.63</v>
      </c>
      <c r="DI168" s="43"/>
      <c r="DK168" s="61">
        <f t="shared" si="444"/>
        <v>17926.850000000002</v>
      </c>
      <c r="DL168" s="75"/>
      <c r="DM168" s="14">
        <f t="shared" si="439"/>
        <v>0</v>
      </c>
      <c r="DN168" s="75"/>
      <c r="DO168" s="57">
        <f t="shared" si="440"/>
        <v>17926.850000000002</v>
      </c>
      <c r="DP168" s="78"/>
      <c r="DR168" s="61">
        <f t="shared" si="441"/>
        <v>15950.410000000002</v>
      </c>
      <c r="DS168" s="23"/>
      <c r="DT168" s="14">
        <f t="shared" si="429"/>
        <v>0</v>
      </c>
      <c r="DU168" s="23"/>
      <c r="DV168" s="57"/>
      <c r="DW168" s="16"/>
    </row>
    <row r="169" spans="1:129">
      <c r="A169" s="9" t="s">
        <v>157</v>
      </c>
      <c r="B169" s="12"/>
      <c r="C169" s="22">
        <v>375</v>
      </c>
      <c r="D169" s="23"/>
      <c r="E169" s="22">
        <v>0</v>
      </c>
      <c r="F169" s="23"/>
      <c r="G169" s="15"/>
      <c r="H169" s="16"/>
      <c r="J169" s="22">
        <v>375</v>
      </c>
      <c r="K169" s="23"/>
      <c r="L169" s="22">
        <v>0</v>
      </c>
      <c r="M169" s="23"/>
      <c r="N169" s="15"/>
      <c r="O169" s="16"/>
      <c r="Q169" s="60">
        <v>201.95</v>
      </c>
      <c r="R169" s="23"/>
      <c r="S169" s="22">
        <v>0</v>
      </c>
      <c r="T169" s="23"/>
      <c r="U169" s="15"/>
      <c r="V169" s="16"/>
      <c r="X169" s="61">
        <f t="shared" si="430"/>
        <v>951.95</v>
      </c>
      <c r="Y169" s="23"/>
      <c r="Z169" s="14">
        <f t="shared" ref="Z169:Z171" si="447">E169+L169+S169</f>
        <v>0</v>
      </c>
      <c r="AA169" s="23"/>
      <c r="AB169" s="15"/>
      <c r="AC169" s="16"/>
      <c r="AE169" s="60">
        <v>0</v>
      </c>
      <c r="AF169" s="23"/>
      <c r="AG169" s="22">
        <v>0</v>
      </c>
      <c r="AH169" s="23"/>
      <c r="AI169" s="15"/>
      <c r="AJ169" s="16"/>
      <c r="AL169" s="60">
        <v>0</v>
      </c>
      <c r="AM169" s="23"/>
      <c r="AN169" s="22">
        <v>0</v>
      </c>
      <c r="AO169" s="23"/>
      <c r="AP169" s="15"/>
      <c r="AQ169" s="16"/>
      <c r="AS169" s="60">
        <v>0</v>
      </c>
      <c r="AT169" s="23"/>
      <c r="AU169" s="22">
        <v>0</v>
      </c>
      <c r="AV169" s="23"/>
      <c r="AW169" s="15"/>
      <c r="AX169" s="16"/>
      <c r="AZ169" s="61">
        <f t="shared" si="443"/>
        <v>0</v>
      </c>
      <c r="BA169" s="23"/>
      <c r="BB169" s="14">
        <f t="shared" si="431"/>
        <v>0</v>
      </c>
      <c r="BC169" s="23"/>
      <c r="BD169" s="15"/>
      <c r="BE169" s="16"/>
      <c r="BG169" s="60">
        <v>0</v>
      </c>
      <c r="BH169" s="70"/>
      <c r="BI169" s="60">
        <v>0</v>
      </c>
      <c r="BJ169" s="70"/>
      <c r="BK169" s="57">
        <f t="shared" si="432"/>
        <v>0</v>
      </c>
      <c r="BL169" s="43"/>
      <c r="BN169" s="60">
        <v>0</v>
      </c>
      <c r="BO169" s="70"/>
      <c r="BP169" s="60">
        <v>0</v>
      </c>
      <c r="BQ169" s="70"/>
      <c r="BR169" s="57">
        <f t="shared" si="445"/>
        <v>0</v>
      </c>
      <c r="BS169" s="43"/>
      <c r="BU169" s="60">
        <v>0</v>
      </c>
      <c r="BV169" s="70"/>
      <c r="BW169" s="60">
        <v>0</v>
      </c>
      <c r="BX169" s="70"/>
      <c r="BY169" s="57">
        <f t="shared" si="433"/>
        <v>0</v>
      </c>
      <c r="BZ169" s="43"/>
      <c r="CB169" s="61">
        <f t="shared" si="428"/>
        <v>0</v>
      </c>
      <c r="CC169" s="70"/>
      <c r="CD169" s="61">
        <f t="shared" si="446"/>
        <v>0</v>
      </c>
      <c r="CE169" s="70"/>
      <c r="CF169" s="57">
        <f t="shared" si="434"/>
        <v>0</v>
      </c>
      <c r="CG169" s="43"/>
      <c r="CI169" s="60">
        <v>2090.08</v>
      </c>
      <c r="CJ169" s="70"/>
      <c r="CK169" s="60">
        <v>0</v>
      </c>
      <c r="CL169" s="70"/>
      <c r="CM169" s="57">
        <f t="shared" si="435"/>
        <v>2090.08</v>
      </c>
      <c r="CN169" s="43"/>
      <c r="CP169" s="60">
        <v>227.9</v>
      </c>
      <c r="CQ169" s="70"/>
      <c r="CR169" s="60">
        <v>0</v>
      </c>
      <c r="CS169" s="70"/>
      <c r="CT169" s="57">
        <f t="shared" si="436"/>
        <v>227.9</v>
      </c>
      <c r="CU169" s="43"/>
      <c r="CW169" s="60">
        <v>2796.99</v>
      </c>
      <c r="CX169" s="70"/>
      <c r="CY169" s="60">
        <v>0</v>
      </c>
      <c r="CZ169" s="70"/>
      <c r="DA169" s="57">
        <f t="shared" si="437"/>
        <v>2796.99</v>
      </c>
      <c r="DB169" s="43"/>
      <c r="DD169" s="60">
        <v>0</v>
      </c>
      <c r="DE169" s="70"/>
      <c r="DF169" s="60">
        <v>0</v>
      </c>
      <c r="DG169" s="70"/>
      <c r="DH169" s="57">
        <f t="shared" si="438"/>
        <v>0</v>
      </c>
      <c r="DI169" s="43"/>
      <c r="DK169" s="61">
        <f t="shared" si="444"/>
        <v>5114.9699999999993</v>
      </c>
      <c r="DL169" s="75"/>
      <c r="DM169" s="14">
        <f t="shared" si="439"/>
        <v>0</v>
      </c>
      <c r="DN169" s="75"/>
      <c r="DO169" s="57">
        <f t="shared" si="440"/>
        <v>5114.9699999999993</v>
      </c>
      <c r="DP169" s="78"/>
      <c r="DR169" s="61">
        <f t="shared" si="441"/>
        <v>6066.9199999999992</v>
      </c>
      <c r="DS169" s="23"/>
      <c r="DT169" s="14">
        <f t="shared" si="429"/>
        <v>0</v>
      </c>
      <c r="DU169" s="23"/>
      <c r="DV169" s="57"/>
      <c r="DW169" s="16"/>
    </row>
    <row r="170" spans="1:129">
      <c r="A170" s="9" t="s">
        <v>158</v>
      </c>
      <c r="B170" s="12"/>
      <c r="C170" s="22">
        <v>2774</v>
      </c>
      <c r="D170" s="23"/>
      <c r="E170" s="22">
        <v>2774.2307692307691</v>
      </c>
      <c r="F170" s="23"/>
      <c r="G170" s="15">
        <f>E170-C170</f>
        <v>0.23076923076905587</v>
      </c>
      <c r="H170" s="16"/>
      <c r="J170" s="22">
        <v>-2856.33</v>
      </c>
      <c r="K170" s="23"/>
      <c r="L170" s="22">
        <v>2774.2307692307691</v>
      </c>
      <c r="M170" s="23"/>
      <c r="N170" s="15">
        <f>L170-J170</f>
        <v>5630.5607692307694</v>
      </c>
      <c r="O170" s="16"/>
      <c r="Q170" s="60">
        <v>2774</v>
      </c>
      <c r="R170" s="23"/>
      <c r="S170" s="22">
        <v>2774.2307692307691</v>
      </c>
      <c r="T170" s="23"/>
      <c r="U170" s="15">
        <f>S170-Q170</f>
        <v>0.23076923076905587</v>
      </c>
      <c r="V170" s="16"/>
      <c r="X170" s="61">
        <f t="shared" si="430"/>
        <v>2691.67</v>
      </c>
      <c r="Y170" s="23"/>
      <c r="Z170" s="14">
        <f t="shared" si="447"/>
        <v>8322.6923076923067</v>
      </c>
      <c r="AA170" s="23"/>
      <c r="AB170" s="15">
        <f>Z170-X170</f>
        <v>5631.0223076923066</v>
      </c>
      <c r="AC170" s="16"/>
      <c r="AE170" s="60">
        <v>0</v>
      </c>
      <c r="AF170" s="23"/>
      <c r="AG170" s="22">
        <v>2774.2307692307691</v>
      </c>
      <c r="AH170" s="23"/>
      <c r="AI170" s="15">
        <f>AG170-AE170</f>
        <v>2774.2307692307691</v>
      </c>
      <c r="AJ170" s="16"/>
      <c r="AL170" s="60">
        <v>0</v>
      </c>
      <c r="AM170" s="23"/>
      <c r="AN170" s="22">
        <v>2774.2307692307691</v>
      </c>
      <c r="AO170" s="23"/>
      <c r="AP170" s="15">
        <f>AN170-AL170</f>
        <v>2774.2307692307691</v>
      </c>
      <c r="AQ170" s="16"/>
      <c r="AS170" s="60">
        <v>-8322</v>
      </c>
      <c r="AT170" s="23"/>
      <c r="AU170" s="22">
        <v>2774.2307692307691</v>
      </c>
      <c r="AV170" s="23"/>
      <c r="AW170" s="15">
        <f>AU170-AS170</f>
        <v>11096.23076923077</v>
      </c>
      <c r="AX170" s="16"/>
      <c r="AZ170" s="61">
        <f t="shared" si="443"/>
        <v>-8322</v>
      </c>
      <c r="BA170" s="23"/>
      <c r="BB170" s="14">
        <f t="shared" si="431"/>
        <v>8322.6923076923067</v>
      </c>
      <c r="BC170" s="23"/>
      <c r="BD170" s="15">
        <f>BB170-AZ170</f>
        <v>16644.692307692305</v>
      </c>
      <c r="BE170" s="16"/>
      <c r="BG170" s="60">
        <v>0</v>
      </c>
      <c r="BH170" s="70"/>
      <c r="BI170" s="60">
        <v>2774.2307692307691</v>
      </c>
      <c r="BJ170" s="70"/>
      <c r="BK170" s="57">
        <f t="shared" si="432"/>
        <v>-2774.2307692307691</v>
      </c>
      <c r="BL170" s="43"/>
      <c r="BN170" s="60">
        <v>0</v>
      </c>
      <c r="BO170" s="70"/>
      <c r="BP170" s="60">
        <v>2774.2307692307691</v>
      </c>
      <c r="BQ170" s="70"/>
      <c r="BR170" s="57">
        <f t="shared" si="445"/>
        <v>-2774.2307692307691</v>
      </c>
      <c r="BS170" s="43"/>
      <c r="BU170" s="60">
        <v>0</v>
      </c>
      <c r="BV170" s="70"/>
      <c r="BW170" s="60">
        <v>0</v>
      </c>
      <c r="BX170" s="70"/>
      <c r="BY170" s="57">
        <f t="shared" si="433"/>
        <v>0</v>
      </c>
      <c r="BZ170" s="43"/>
      <c r="CB170" s="61">
        <f t="shared" si="428"/>
        <v>0</v>
      </c>
      <c r="CC170" s="70"/>
      <c r="CD170" s="61">
        <f t="shared" si="446"/>
        <v>5548.4615384615381</v>
      </c>
      <c r="CE170" s="70"/>
      <c r="CF170" s="57">
        <f t="shared" si="434"/>
        <v>-5548.4615384615381</v>
      </c>
      <c r="CG170" s="43"/>
      <c r="CI170" s="60"/>
      <c r="CJ170" s="70"/>
      <c r="CK170" s="60">
        <v>0</v>
      </c>
      <c r="CL170" s="70"/>
      <c r="CM170" s="57">
        <f t="shared" si="435"/>
        <v>0</v>
      </c>
      <c r="CN170" s="43"/>
      <c r="CP170" s="60">
        <v>0</v>
      </c>
      <c r="CQ170" s="70"/>
      <c r="CR170" s="60">
        <v>0</v>
      </c>
      <c r="CS170" s="70"/>
      <c r="CT170" s="57">
        <f t="shared" si="436"/>
        <v>0</v>
      </c>
      <c r="CU170" s="43"/>
      <c r="CW170" s="60">
        <v>0</v>
      </c>
      <c r="CX170" s="70"/>
      <c r="CY170" s="60"/>
      <c r="CZ170" s="70"/>
      <c r="DA170" s="57">
        <f t="shared" si="437"/>
        <v>0</v>
      </c>
      <c r="DB170" s="43"/>
      <c r="DD170" s="60">
        <v>0</v>
      </c>
      <c r="DE170" s="70"/>
      <c r="DF170" s="60">
        <v>0</v>
      </c>
      <c r="DG170" s="70"/>
      <c r="DH170" s="57">
        <f t="shared" si="438"/>
        <v>0</v>
      </c>
      <c r="DI170" s="43"/>
      <c r="DK170" s="61">
        <f t="shared" si="444"/>
        <v>0</v>
      </c>
      <c r="DL170" s="75"/>
      <c r="DM170" s="14">
        <f t="shared" si="439"/>
        <v>0</v>
      </c>
      <c r="DN170" s="75"/>
      <c r="DO170" s="57">
        <f t="shared" si="440"/>
        <v>0</v>
      </c>
      <c r="DP170" s="78"/>
      <c r="DR170" s="61">
        <f t="shared" si="441"/>
        <v>-5630.33</v>
      </c>
      <c r="DS170" s="23"/>
      <c r="DT170" s="14">
        <f t="shared" si="429"/>
        <v>22193.846153846152</v>
      </c>
      <c r="DU170" s="23"/>
      <c r="DV170" s="57">
        <f>DT170-DR170</f>
        <v>27824.176153846151</v>
      </c>
      <c r="DW170" s="16"/>
    </row>
    <row r="171" spans="1:129">
      <c r="A171" s="9" t="s">
        <v>159</v>
      </c>
      <c r="B171" s="12"/>
      <c r="C171" s="55">
        <f>1170+1300</f>
        <v>2470</v>
      </c>
      <c r="D171" s="33"/>
      <c r="E171" s="55">
        <v>2470</v>
      </c>
      <c r="F171" s="33"/>
      <c r="G171" s="57">
        <f>E171-C171</f>
        <v>0</v>
      </c>
      <c r="H171" s="39"/>
      <c r="J171" s="55">
        <f>1300+1170</f>
        <v>2470</v>
      </c>
      <c r="K171" s="33"/>
      <c r="L171" s="55">
        <v>2470</v>
      </c>
      <c r="M171" s="33"/>
      <c r="N171" s="57">
        <f>L171-J171</f>
        <v>0</v>
      </c>
      <c r="O171" s="39"/>
      <c r="Q171" s="55">
        <f>1300+1170</f>
        <v>2470</v>
      </c>
      <c r="R171" s="33"/>
      <c r="S171" s="22">
        <v>2470</v>
      </c>
      <c r="T171" s="33"/>
      <c r="U171" s="57">
        <f>S171-Q171</f>
        <v>0</v>
      </c>
      <c r="V171" s="39"/>
      <c r="X171" s="61">
        <f t="shared" si="430"/>
        <v>7410</v>
      </c>
      <c r="Y171" s="33"/>
      <c r="Z171" s="61">
        <f t="shared" si="447"/>
        <v>7410</v>
      </c>
      <c r="AA171" s="33"/>
      <c r="AB171" s="57">
        <f>Z171-X171</f>
        <v>0</v>
      </c>
      <c r="AC171" s="39"/>
      <c r="AE171" s="55">
        <f>1300+1170</f>
        <v>2470</v>
      </c>
      <c r="AF171" s="33"/>
      <c r="AG171" s="55">
        <v>2470</v>
      </c>
      <c r="AH171" s="33"/>
      <c r="AI171" s="57">
        <f>AG171-AE171</f>
        <v>0</v>
      </c>
      <c r="AJ171" s="39"/>
      <c r="AL171" s="55">
        <v>2470</v>
      </c>
      <c r="AM171" s="33"/>
      <c r="AN171" s="55">
        <v>2470</v>
      </c>
      <c r="AO171" s="33"/>
      <c r="AP171" s="57">
        <f>AN171-AL171</f>
        <v>0</v>
      </c>
      <c r="AQ171" s="39"/>
      <c r="AS171" s="55">
        <v>2470</v>
      </c>
      <c r="AT171" s="33"/>
      <c r="AU171" s="55">
        <v>2470</v>
      </c>
      <c r="AV171" s="33"/>
      <c r="AW171" s="57">
        <f>AU171-AS171</f>
        <v>0</v>
      </c>
      <c r="AX171" s="39"/>
      <c r="AZ171" s="61">
        <f t="shared" si="443"/>
        <v>7410</v>
      </c>
      <c r="BA171" s="33"/>
      <c r="BB171" s="61">
        <f t="shared" si="431"/>
        <v>7410</v>
      </c>
      <c r="BC171" s="33"/>
      <c r="BD171" s="57">
        <f>BB171-AZ171</f>
        <v>0</v>
      </c>
      <c r="BE171" s="39"/>
      <c r="BG171" s="55">
        <f>1300+1170</f>
        <v>2470</v>
      </c>
      <c r="BH171" s="70"/>
      <c r="BI171" s="55">
        <v>2470</v>
      </c>
      <c r="BJ171" s="70"/>
      <c r="BK171" s="57">
        <f t="shared" si="432"/>
        <v>0</v>
      </c>
      <c r="BL171" s="43"/>
      <c r="BN171" s="55">
        <v>2470</v>
      </c>
      <c r="BO171" s="70"/>
      <c r="BP171" s="55">
        <v>2470</v>
      </c>
      <c r="BQ171" s="70"/>
      <c r="BR171" s="57">
        <f t="shared" si="445"/>
        <v>0</v>
      </c>
      <c r="BS171" s="43"/>
      <c r="BU171" s="55">
        <f>1300+1170</f>
        <v>2470</v>
      </c>
      <c r="BV171" s="70"/>
      <c r="BW171" s="55">
        <v>1225</v>
      </c>
      <c r="BX171" s="70"/>
      <c r="BY171" s="57">
        <f t="shared" si="433"/>
        <v>1245</v>
      </c>
      <c r="BZ171" s="43"/>
      <c r="CB171" s="61">
        <f t="shared" si="428"/>
        <v>7410</v>
      </c>
      <c r="CC171" s="70"/>
      <c r="CD171" s="61">
        <f t="shared" si="446"/>
        <v>6165</v>
      </c>
      <c r="CE171" s="70"/>
      <c r="CF171" s="57">
        <f t="shared" si="434"/>
        <v>1245</v>
      </c>
      <c r="CG171" s="43"/>
      <c r="CI171" s="55">
        <f>1170+1300</f>
        <v>2470</v>
      </c>
      <c r="CJ171" s="70"/>
      <c r="CK171" s="55">
        <v>1225</v>
      </c>
      <c r="CL171" s="70"/>
      <c r="CM171" s="57">
        <f t="shared" si="435"/>
        <v>1245</v>
      </c>
      <c r="CN171" s="43"/>
      <c r="CP171" s="55">
        <f>1300+1170</f>
        <v>2470</v>
      </c>
      <c r="CQ171" s="70"/>
      <c r="CR171" s="55">
        <v>1225</v>
      </c>
      <c r="CS171" s="70"/>
      <c r="CT171" s="57">
        <f t="shared" si="436"/>
        <v>1245</v>
      </c>
      <c r="CU171" s="43"/>
      <c r="CW171" s="55">
        <f>1300+1170</f>
        <v>2470</v>
      </c>
      <c r="CX171" s="70"/>
      <c r="CY171" s="55">
        <v>1225</v>
      </c>
      <c r="CZ171" s="70"/>
      <c r="DA171" s="57">
        <f t="shared" si="437"/>
        <v>1245</v>
      </c>
      <c r="DB171" s="43"/>
      <c r="DD171" s="55">
        <f>1300+1170</f>
        <v>2470</v>
      </c>
      <c r="DE171" s="70"/>
      <c r="DF171" s="55">
        <v>1225</v>
      </c>
      <c r="DG171" s="70"/>
      <c r="DH171" s="57">
        <f t="shared" si="438"/>
        <v>1245</v>
      </c>
      <c r="DI171" s="43"/>
      <c r="DK171" s="61">
        <f t="shared" si="444"/>
        <v>9880</v>
      </c>
      <c r="DL171" s="70"/>
      <c r="DM171" s="61">
        <f t="shared" si="439"/>
        <v>4900</v>
      </c>
      <c r="DN171" s="70"/>
      <c r="DO171" s="57">
        <f t="shared" si="440"/>
        <v>4980</v>
      </c>
      <c r="DP171" s="43"/>
      <c r="DR171" s="61">
        <f t="shared" si="441"/>
        <v>32110</v>
      </c>
      <c r="DS171" s="33"/>
      <c r="DT171" s="14">
        <f t="shared" si="429"/>
        <v>25885</v>
      </c>
      <c r="DU171" s="33"/>
      <c r="DV171" s="57">
        <f>DT171-DR171</f>
        <v>-6225</v>
      </c>
      <c r="DW171" s="39"/>
    </row>
    <row r="172" spans="1:129">
      <c r="A172" s="9" t="s">
        <v>160</v>
      </c>
      <c r="B172" s="12"/>
      <c r="C172" s="55"/>
      <c r="D172" s="33"/>
      <c r="E172" s="55"/>
      <c r="F172" s="33"/>
      <c r="G172" s="57"/>
      <c r="H172" s="39"/>
      <c r="J172" s="55"/>
      <c r="K172" s="33"/>
      <c r="L172" s="55"/>
      <c r="M172" s="33"/>
      <c r="N172" s="57"/>
      <c r="O172" s="39"/>
      <c r="Q172" s="55">
        <v>7743.28</v>
      </c>
      <c r="R172" s="33"/>
      <c r="S172" s="22"/>
      <c r="T172" s="33"/>
      <c r="U172" s="57"/>
      <c r="V172" s="39"/>
      <c r="X172" s="61">
        <f t="shared" si="430"/>
        <v>7743.28</v>
      </c>
      <c r="Y172" s="33"/>
      <c r="Z172" s="61">
        <f t="shared" ref="Z172" si="448">E172+L172+S172</f>
        <v>0</v>
      </c>
      <c r="AA172" s="33"/>
      <c r="AB172" s="57"/>
      <c r="AC172" s="39"/>
      <c r="AE172" s="55">
        <v>0</v>
      </c>
      <c r="AF172" s="33"/>
      <c r="AG172" s="55"/>
      <c r="AH172" s="33"/>
      <c r="AI172" s="57"/>
      <c r="AJ172" s="39"/>
      <c r="AL172" s="55">
        <v>0</v>
      </c>
      <c r="AM172" s="33"/>
      <c r="AN172" s="55"/>
      <c r="AO172" s="33"/>
      <c r="AP172" s="57"/>
      <c r="AQ172" s="39"/>
      <c r="AS172" s="55">
        <v>0</v>
      </c>
      <c r="AT172" s="33"/>
      <c r="AU172" s="55"/>
      <c r="AV172" s="33"/>
      <c r="AW172" s="57"/>
      <c r="AX172" s="39"/>
      <c r="AZ172" s="61">
        <f t="shared" si="443"/>
        <v>0</v>
      </c>
      <c r="BA172" s="33"/>
      <c r="BB172" s="61"/>
      <c r="BC172" s="33"/>
      <c r="BD172" s="57"/>
      <c r="BE172" s="39"/>
      <c r="BG172" s="55">
        <v>0</v>
      </c>
      <c r="BH172" s="70"/>
      <c r="BI172" s="55"/>
      <c r="BJ172" s="70"/>
      <c r="BK172" s="57">
        <f t="shared" si="432"/>
        <v>0</v>
      </c>
      <c r="BL172" s="43"/>
      <c r="BN172" s="55">
        <v>0</v>
      </c>
      <c r="BO172" s="70"/>
      <c r="BP172" s="55"/>
      <c r="BQ172" s="70"/>
      <c r="BR172" s="57">
        <f t="shared" si="445"/>
        <v>0</v>
      </c>
      <c r="BS172" s="43"/>
      <c r="BU172" s="55">
        <v>0</v>
      </c>
      <c r="BV172" s="70"/>
      <c r="BW172" s="55"/>
      <c r="BX172" s="70"/>
      <c r="BY172" s="57">
        <f t="shared" si="433"/>
        <v>0</v>
      </c>
      <c r="BZ172" s="43"/>
      <c r="CB172" s="61">
        <f t="shared" si="428"/>
        <v>0</v>
      </c>
      <c r="CC172" s="70"/>
      <c r="CD172" s="61">
        <v>0</v>
      </c>
      <c r="CE172" s="70"/>
      <c r="CF172" s="57">
        <f t="shared" si="434"/>
        <v>0</v>
      </c>
      <c r="CG172" s="43"/>
      <c r="CI172" s="55">
        <v>0</v>
      </c>
      <c r="CJ172" s="70"/>
      <c r="CK172" s="55">
        <v>0</v>
      </c>
      <c r="CL172" s="70"/>
      <c r="CM172" s="57">
        <f t="shared" si="435"/>
        <v>0</v>
      </c>
      <c r="CN172" s="43"/>
      <c r="CP172" s="55">
        <v>0</v>
      </c>
      <c r="CQ172" s="70"/>
      <c r="CR172" s="55">
        <v>0</v>
      </c>
      <c r="CS172" s="70"/>
      <c r="CT172" s="57">
        <f t="shared" si="436"/>
        <v>0</v>
      </c>
      <c r="CU172" s="43"/>
      <c r="CW172" s="55">
        <v>0</v>
      </c>
      <c r="CX172" s="70"/>
      <c r="CY172" s="55">
        <v>0</v>
      </c>
      <c r="CZ172" s="70"/>
      <c r="DA172" s="57">
        <f t="shared" si="437"/>
        <v>0</v>
      </c>
      <c r="DB172" s="43"/>
      <c r="DD172" s="55">
        <v>0</v>
      </c>
      <c r="DE172" s="70"/>
      <c r="DF172" s="55">
        <v>0</v>
      </c>
      <c r="DG172" s="70"/>
      <c r="DH172" s="57">
        <f t="shared" si="438"/>
        <v>0</v>
      </c>
      <c r="DI172" s="43"/>
      <c r="DK172" s="61">
        <f t="shared" si="444"/>
        <v>0</v>
      </c>
      <c r="DL172" s="70"/>
      <c r="DM172" s="61">
        <f t="shared" si="439"/>
        <v>0</v>
      </c>
      <c r="DN172" s="70"/>
      <c r="DO172" s="57">
        <f t="shared" si="440"/>
        <v>0</v>
      </c>
      <c r="DP172" s="43"/>
      <c r="DR172" s="61">
        <f t="shared" ref="DR172" si="449">X172+AZ172+CB172+DK172</f>
        <v>7743.28</v>
      </c>
      <c r="DS172" s="33"/>
      <c r="DT172" s="14">
        <f t="shared" ref="DT172" si="450">Z172+BB172+CD172+DM172</f>
        <v>0</v>
      </c>
      <c r="DU172" s="33"/>
      <c r="DV172" s="57"/>
      <c r="DW172" s="39"/>
    </row>
    <row r="173" spans="1:129" ht="16.7" thickBot="1">
      <c r="A173" s="11" t="s">
        <v>161</v>
      </c>
      <c r="B173" s="6"/>
      <c r="C173" s="17">
        <f>SUM(C166:C171)</f>
        <v>27141.170000000002</v>
      </c>
      <c r="D173" s="18">
        <f>C173/C13</f>
        <v>7.1288102623126251E-2</v>
      </c>
      <c r="E173" s="17">
        <f>SUM(E166:E171)</f>
        <v>19405.39296046154</v>
      </c>
      <c r="F173" s="18">
        <f>E173/E13</f>
        <v>7.032850579128945E-2</v>
      </c>
      <c r="G173" s="17">
        <f>E173-C173</f>
        <v>-7735.7770395384614</v>
      </c>
      <c r="H173" s="18">
        <f>G173/E173</f>
        <v>-0.39864057663249053</v>
      </c>
      <c r="J173" s="17">
        <f>SUM(J166:J171)</f>
        <v>21326.959999999999</v>
      </c>
      <c r="K173" s="18">
        <f>J173/J13</f>
        <v>5.224965863222842E-2</v>
      </c>
      <c r="L173" s="17">
        <f>SUM(L166:L171)</f>
        <v>24726.30469277313</v>
      </c>
      <c r="M173" s="18">
        <f>L173/L13</f>
        <v>6.47080497873007E-2</v>
      </c>
      <c r="N173" s="17">
        <f>L173-J173</f>
        <v>3399.3446927731311</v>
      </c>
      <c r="O173" s="18">
        <f>N173/L173</f>
        <v>0.13747888069043626</v>
      </c>
      <c r="Q173" s="58">
        <f>SUM(Q166:Q172)</f>
        <v>29542.52</v>
      </c>
      <c r="R173" s="18">
        <f>Q173/Q13</f>
        <v>9.6542712780909923E-2</v>
      </c>
      <c r="S173" s="17">
        <f>SUM(S166:S171)</f>
        <v>30284.197637168305</v>
      </c>
      <c r="T173" s="18">
        <f>S173/S13</f>
        <v>6.1422537074900169E-2</v>
      </c>
      <c r="U173" s="17">
        <f>S173-Q173</f>
        <v>741.6776371683045</v>
      </c>
      <c r="V173" s="18">
        <f>U173/S173</f>
        <v>2.4490582384062605E-2</v>
      </c>
      <c r="X173" s="58">
        <f>SUM(X165:X172)</f>
        <v>78010.649999999994</v>
      </c>
      <c r="Y173" s="18">
        <f>X173/X13</f>
        <v>7.1248855070761397E-2</v>
      </c>
      <c r="Z173" s="17">
        <f>SUM(Z166:Z171)</f>
        <v>74415.895290402972</v>
      </c>
      <c r="AA173" s="18">
        <f>Z173/Z13</f>
        <v>6.4648030428821099E-2</v>
      </c>
      <c r="AB173" s="17">
        <f>Z173-X173</f>
        <v>-3594.7547095970222</v>
      </c>
      <c r="AC173" s="18">
        <f>AB173/Z173</f>
        <v>-4.8306275098468361E-2</v>
      </c>
      <c r="AE173" s="58">
        <f>SUM(AE166:AE172)</f>
        <v>4466.29</v>
      </c>
      <c r="AF173" s="18" t="e">
        <f>AE173/AE13</f>
        <v>#DIV/0!</v>
      </c>
      <c r="AG173" s="17">
        <f>SUM(AG166:AG171)</f>
        <v>34663.933127887547</v>
      </c>
      <c r="AH173" s="18">
        <f>AG173/AG13</f>
        <v>5.9718142242410829E-2</v>
      </c>
      <c r="AI173" s="17">
        <f>SUM(AI166:AI171)</f>
        <v>31343.702358656781</v>
      </c>
      <c r="AJ173" s="18">
        <f>AI173/AG173</f>
        <v>0.90421655970252257</v>
      </c>
      <c r="AL173" s="58">
        <f>SUM(AL166:AL172)</f>
        <v>893.32999999999993</v>
      </c>
      <c r="AM173" s="18" t="e">
        <f>AL173/AL13</f>
        <v>#DIV/0!</v>
      </c>
      <c r="AN173" s="17">
        <f>SUM(AN166:AN171)</f>
        <v>33610.736260800695</v>
      </c>
      <c r="AO173" s="18">
        <f>AN173/AN13</f>
        <v>6.0079358537393164E-2</v>
      </c>
      <c r="AP173" s="17">
        <f>AN173-AL173</f>
        <v>32717.406260800693</v>
      </c>
      <c r="AQ173" s="18">
        <f>AP173/AN173</f>
        <v>0.97342129035590719</v>
      </c>
      <c r="AS173" s="58">
        <f>SUM(AS166:AS172)</f>
        <v>-3855.71</v>
      </c>
      <c r="AT173" s="18" t="e">
        <f>AS173/AS13</f>
        <v>#DIV/0!</v>
      </c>
      <c r="AU173" s="17">
        <f>SUM(AU166:AU171)</f>
        <v>35999.168135627457</v>
      </c>
      <c r="AV173" s="18">
        <f>AU173/AU13</f>
        <v>5.9296151814219968E-2</v>
      </c>
      <c r="AW173" s="17">
        <f>AU173-AS173</f>
        <v>39854.878135627456</v>
      </c>
      <c r="AX173" s="18">
        <f>AW173/AU173</f>
        <v>1.1071055304798585</v>
      </c>
      <c r="AZ173" s="58">
        <f>SUM(AZ165:AZ172)</f>
        <v>1503.9099999999999</v>
      </c>
      <c r="BA173" s="18" t="e">
        <f>AZ173/AZ13</f>
        <v>#DIV/0!</v>
      </c>
      <c r="BB173" s="17">
        <f>SUM(BB166:BB171)</f>
        <v>104273.83752431571</v>
      </c>
      <c r="BC173" s="18">
        <f>BB173/BB13</f>
        <v>5.9687166228573743E-2</v>
      </c>
      <c r="BD173" s="17">
        <f>BB173-AZ173</f>
        <v>102769.9275243157</v>
      </c>
      <c r="BE173" s="18">
        <f>BD173/BB173</f>
        <v>0.98557730265130694</v>
      </c>
      <c r="BG173" s="58">
        <f>SUM(BG165:BG172)</f>
        <v>5066.29</v>
      </c>
      <c r="BH173" s="68" t="e">
        <f>BG173/BG13</f>
        <v>#DIV/0!</v>
      </c>
      <c r="BI173" s="58">
        <f>SUM(BI166:BI171)</f>
        <v>36686.952649432082</v>
      </c>
      <c r="BJ173" s="68">
        <f>BI173/BI13</f>
        <v>5.9092919454335022E-2</v>
      </c>
      <c r="BK173" s="58">
        <f>SUM(BK166:BK171)</f>
        <v>-31620.662649432081</v>
      </c>
      <c r="BL173" s="68">
        <f>BK173/BI173</f>
        <v>-0.8619048562465319</v>
      </c>
      <c r="BN173" s="58">
        <f>SUM(BN165:BN172)</f>
        <v>21318.35</v>
      </c>
      <c r="BO173" s="68">
        <f>BN173/BN13</f>
        <v>9.6474406621769995E-2</v>
      </c>
      <c r="BP173" s="58">
        <f>SUM(BP166:BP171)</f>
        <v>36151.836638069566</v>
      </c>
      <c r="BQ173" s="68">
        <f>BP173/BP13</f>
        <v>5.9250250572509551E-2</v>
      </c>
      <c r="BR173" s="58">
        <f>SUM(BR166:BR171)</f>
        <v>-21234.906638069569</v>
      </c>
      <c r="BS173" s="68">
        <f>BR173/BP173</f>
        <v>-0.58738112950278787</v>
      </c>
      <c r="BU173" s="58">
        <f>SUM(BU165:BU172)</f>
        <v>63000</v>
      </c>
      <c r="BV173" s="68">
        <f>BU173/BU13</f>
        <v>0.19176389298965996</v>
      </c>
      <c r="BW173" s="58">
        <f>SUM(BW166:BW171)</f>
        <v>15549.650000000001</v>
      </c>
      <c r="BX173" s="68">
        <f>BW173/BW13</f>
        <v>5.2874679089378929E-2</v>
      </c>
      <c r="BY173" s="58">
        <f>SUM(BY166:BY171)</f>
        <v>47450.35</v>
      </c>
      <c r="BZ173" s="68">
        <f>BY173/BW173</f>
        <v>3.0515381375143487</v>
      </c>
      <c r="CB173" s="58">
        <f>SUM(CB165:CB172)</f>
        <v>89384.639999999999</v>
      </c>
      <c r="CC173" s="68">
        <f>CB173/CB13</f>
        <v>0.1626644724420597</v>
      </c>
      <c r="CD173" s="58">
        <f>SUM(CD166:CD171)</f>
        <v>88388.439287501649</v>
      </c>
      <c r="CE173" s="68">
        <f>CD173/CD13</f>
        <v>5.795678198613291E-2</v>
      </c>
      <c r="CF173" s="58">
        <f>SUM(CF166:CF171)</f>
        <v>-5405.2192875016626</v>
      </c>
      <c r="CG173" s="68">
        <f>CF173/CD173</f>
        <v>-6.1153011989724934E-2</v>
      </c>
      <c r="CI173" s="58">
        <f>SUM(CI165:CI172)</f>
        <v>19954.78</v>
      </c>
      <c r="CJ173" s="68">
        <f>CI173/CI13</f>
        <v>5.4958740417161138E-2</v>
      </c>
      <c r="CK173" s="58">
        <f>SUM(CK166:CK172)</f>
        <v>16573.7</v>
      </c>
      <c r="CL173" s="68">
        <f>CK173/CK13</f>
        <v>5.2693877810560591E-2</v>
      </c>
      <c r="CM173" s="58">
        <f>SUM(CM166:CM172)</f>
        <v>3381.079999999999</v>
      </c>
      <c r="CN173" s="68">
        <f>CM173/CK173</f>
        <v>0.20400272721239066</v>
      </c>
      <c r="CP173" s="58">
        <f>SUM(CP165:CP172)</f>
        <v>20955.82</v>
      </c>
      <c r="CQ173" s="68">
        <f>CP173/CP13</f>
        <v>6.2619929056234327E-2</v>
      </c>
      <c r="CR173" s="58">
        <f>SUM(CR166:CR172)</f>
        <v>15700.7</v>
      </c>
      <c r="CS173" s="68">
        <f>CR173/CR13</f>
        <v>5.2846516324469878E-2</v>
      </c>
      <c r="CT173" s="58">
        <f>SUM(CT166:CT172)</f>
        <v>5255.119999999999</v>
      </c>
      <c r="CU173" s="68">
        <f>CT173/CR173</f>
        <v>0.33470609590655187</v>
      </c>
      <c r="CW173" s="58">
        <f>SUM(CW165:CW172)</f>
        <v>34078.589999999997</v>
      </c>
      <c r="CX173" s="68">
        <f>CW173/CW13</f>
        <v>0.12800864214285715</v>
      </c>
      <c r="CY173" s="58">
        <f>SUM(CY166:CY172)</f>
        <v>4302.9000000000015</v>
      </c>
      <c r="CZ173" s="68">
        <f>CY173/CY13</f>
        <v>1.5804900624791098E-2</v>
      </c>
      <c r="DA173" s="58">
        <f>SUM(DA166:DA172)</f>
        <v>29775.689999999995</v>
      </c>
      <c r="DB173" s="68">
        <f>DA173/CY173</f>
        <v>6.9199121522693963</v>
      </c>
      <c r="DD173" s="58">
        <f>SUM(DD165:DD172)</f>
        <v>10510.630000000001</v>
      </c>
      <c r="DE173" s="68">
        <f>DD173/DD13</f>
        <v>6.7701970215366322E-2</v>
      </c>
      <c r="DF173" s="58">
        <f>SUM(DF166:DF172)</f>
        <v>1225</v>
      </c>
      <c r="DG173" s="68">
        <f>DF173/DF13</f>
        <v>4.3038935304575126E-3</v>
      </c>
      <c r="DH173" s="58">
        <f>SUM(DH166:DH172)</f>
        <v>9285.630000000001</v>
      </c>
      <c r="DI173" s="68">
        <f>DH173/DF173</f>
        <v>7.5801061224489805</v>
      </c>
      <c r="DK173" s="58">
        <f>SUM(DK165:DK172)</f>
        <v>85499.82</v>
      </c>
      <c r="DL173" s="77">
        <f>DK173/DK13</f>
        <v>7.6393210711101223E-2</v>
      </c>
      <c r="DM173" s="17">
        <f>SUM(DM166:DM172)</f>
        <v>37802.300000000003</v>
      </c>
      <c r="DN173" s="77">
        <f>DM173/DM13</f>
        <v>3.2350995502800586E-2</v>
      </c>
      <c r="DO173" s="17">
        <f>SUM(DO166:DO172)</f>
        <v>47697.520000000004</v>
      </c>
      <c r="DP173" s="77">
        <f>DO173/DM173</f>
        <v>1.2617623795377531</v>
      </c>
      <c r="DR173" s="58">
        <f>SUM(DR165:DR172)</f>
        <v>254399.02000000005</v>
      </c>
      <c r="DS173" s="18">
        <f>DR173/DR13</f>
        <v>9.2053018212445034E-2</v>
      </c>
      <c r="DT173" s="17">
        <f>SUM(DT166:DT171)</f>
        <v>304880.47210222034</v>
      </c>
      <c r="DU173" s="18">
        <f>DT173/DT13</f>
        <v>5.4523958206867805E-2</v>
      </c>
      <c r="DV173" s="17">
        <f>DT173-DR173</f>
        <v>50481.452102220297</v>
      </c>
      <c r="DW173" s="18">
        <f>DV173/DT173</f>
        <v>0.16557784680054835</v>
      </c>
      <c r="DX173" s="64"/>
    </row>
    <row r="174" spans="1:129" ht="16.7" thickTop="1">
      <c r="A174" s="6"/>
      <c r="B174" s="6"/>
      <c r="C174" s="51"/>
      <c r="D174" s="18"/>
      <c r="E174" s="51"/>
      <c r="F174" s="18"/>
      <c r="G174" s="51"/>
      <c r="H174" s="18"/>
      <c r="J174" s="51"/>
      <c r="K174" s="18"/>
      <c r="L174" s="51"/>
      <c r="M174" s="18"/>
      <c r="N174" s="51"/>
      <c r="O174" s="18"/>
      <c r="Q174" s="37"/>
      <c r="R174" s="18"/>
      <c r="S174" s="51"/>
      <c r="T174" s="18"/>
      <c r="U174" s="51"/>
      <c r="V174" s="18"/>
      <c r="X174" s="51"/>
      <c r="Y174" s="18"/>
      <c r="Z174" s="51"/>
      <c r="AA174" s="18"/>
      <c r="AB174" s="51"/>
      <c r="AC174" s="18"/>
      <c r="AE174" s="51"/>
      <c r="AF174" s="18"/>
      <c r="AG174" s="51"/>
      <c r="AH174" s="18"/>
      <c r="AI174" s="51"/>
      <c r="AJ174" s="18"/>
      <c r="AL174" s="37"/>
      <c r="AM174" s="18"/>
      <c r="AN174" s="51"/>
      <c r="AO174" s="18"/>
      <c r="AP174" s="51"/>
      <c r="AQ174" s="18"/>
      <c r="AS174" s="37"/>
      <c r="AT174" s="18"/>
      <c r="AU174" s="51"/>
      <c r="AV174" s="18"/>
      <c r="AW174" s="51"/>
      <c r="AX174" s="18"/>
      <c r="AZ174" s="37"/>
      <c r="BA174" s="18"/>
      <c r="BB174" s="51"/>
      <c r="BC174" s="18"/>
      <c r="BD174" s="51"/>
      <c r="BE174" s="18"/>
      <c r="BG174" s="37"/>
      <c r="BH174" s="68"/>
      <c r="BI174" s="37"/>
      <c r="BJ174" s="68"/>
      <c r="BK174" s="37"/>
      <c r="BL174" s="68"/>
      <c r="BN174" s="37"/>
      <c r="BO174" s="68"/>
      <c r="BP174" s="37"/>
      <c r="BQ174" s="68"/>
      <c r="BR174" s="37"/>
      <c r="BS174" s="68"/>
      <c r="BU174" s="37"/>
      <c r="BV174" s="68"/>
      <c r="BW174" s="37"/>
      <c r="BX174" s="68"/>
      <c r="BY174" s="37"/>
      <c r="BZ174" s="68"/>
      <c r="CB174" s="37"/>
      <c r="CC174" s="68"/>
      <c r="CD174" s="37"/>
      <c r="CE174" s="68"/>
      <c r="CF174" s="37"/>
      <c r="CG174" s="68"/>
      <c r="CI174" s="37"/>
      <c r="CJ174" s="68"/>
      <c r="CK174" s="37"/>
      <c r="CL174" s="68"/>
      <c r="CM174" s="37"/>
      <c r="CN174" s="68"/>
      <c r="CP174" s="37"/>
      <c r="CQ174" s="68"/>
      <c r="CR174" s="37"/>
      <c r="CS174" s="68"/>
      <c r="CT174" s="37"/>
      <c r="CU174" s="68"/>
      <c r="CW174" s="37"/>
      <c r="CX174" s="68"/>
      <c r="CY174" s="37"/>
      <c r="CZ174" s="68"/>
      <c r="DA174" s="37"/>
      <c r="DB174" s="68"/>
      <c r="DD174" s="37"/>
      <c r="DE174" s="68"/>
      <c r="DF174" s="37"/>
      <c r="DG174" s="68"/>
      <c r="DH174" s="37"/>
      <c r="DI174" s="68"/>
      <c r="DK174" s="37"/>
      <c r="DL174" s="77"/>
      <c r="DM174" s="51"/>
      <c r="DN174" s="77"/>
      <c r="DO174" s="51"/>
      <c r="DP174" s="77"/>
      <c r="DR174" s="37"/>
      <c r="DS174" s="18"/>
      <c r="DT174" s="51"/>
      <c r="DU174" s="18"/>
      <c r="DV174" s="37"/>
      <c r="DW174" s="18"/>
    </row>
    <row r="175" spans="1:129">
      <c r="A175" s="6"/>
      <c r="B175" s="6"/>
      <c r="C175" s="21"/>
      <c r="D175" s="16"/>
      <c r="E175" s="21"/>
      <c r="F175" s="16"/>
      <c r="G175" s="21"/>
      <c r="H175" s="16"/>
      <c r="J175" s="21"/>
      <c r="K175" s="16"/>
      <c r="L175" s="21"/>
      <c r="M175" s="16"/>
      <c r="N175" s="21"/>
      <c r="O175" s="16"/>
      <c r="Q175" s="46"/>
      <c r="R175" s="16"/>
      <c r="S175" s="21"/>
      <c r="T175" s="16"/>
      <c r="U175" s="21"/>
      <c r="V175" s="16"/>
      <c r="X175" s="21"/>
      <c r="Y175" s="16"/>
      <c r="Z175" s="21"/>
      <c r="AA175" s="16"/>
      <c r="AB175" s="21"/>
      <c r="AC175" s="16"/>
      <c r="AE175" s="21"/>
      <c r="AF175" s="16"/>
      <c r="AG175" s="21"/>
      <c r="AH175" s="16"/>
      <c r="AI175" s="21"/>
      <c r="AJ175" s="16"/>
      <c r="AL175" s="46"/>
      <c r="AM175" s="16"/>
      <c r="AN175" s="21"/>
      <c r="AO175" s="16"/>
      <c r="AP175" s="21"/>
      <c r="AQ175" s="16"/>
      <c r="AS175" s="46"/>
      <c r="AT175" s="16"/>
      <c r="AU175" s="21"/>
      <c r="AV175" s="16"/>
      <c r="AW175" s="21"/>
      <c r="AX175" s="16"/>
      <c r="AZ175" s="46"/>
      <c r="BA175" s="16"/>
      <c r="BB175" s="21"/>
      <c r="BC175" s="16"/>
      <c r="BD175" s="21"/>
      <c r="BE175" s="16"/>
      <c r="BG175" s="46"/>
      <c r="BH175" s="43"/>
      <c r="BI175" s="46"/>
      <c r="BJ175" s="43"/>
      <c r="BK175" s="46"/>
      <c r="BL175" s="43"/>
      <c r="BN175" s="46"/>
      <c r="BO175" s="43"/>
      <c r="BP175" s="46"/>
      <c r="BQ175" s="43"/>
      <c r="BR175" s="46"/>
      <c r="BS175" s="43"/>
      <c r="BU175" s="46"/>
      <c r="BV175" s="43"/>
      <c r="BW175" s="46"/>
      <c r="BX175" s="43"/>
      <c r="BY175" s="46"/>
      <c r="BZ175" s="43"/>
      <c r="CB175" s="46"/>
      <c r="CC175" s="43"/>
      <c r="CD175" s="46"/>
      <c r="CE175" s="43"/>
      <c r="CF175" s="46"/>
      <c r="CG175" s="43"/>
      <c r="CI175" s="46"/>
      <c r="CJ175" s="43"/>
      <c r="CK175" s="46"/>
      <c r="CL175" s="43"/>
      <c r="CM175" s="46"/>
      <c r="CN175" s="43"/>
      <c r="CP175" s="46"/>
      <c r="CQ175" s="43"/>
      <c r="CR175" s="46"/>
      <c r="CS175" s="43"/>
      <c r="CT175" s="46"/>
      <c r="CU175" s="43"/>
      <c r="CW175" s="46"/>
      <c r="CX175" s="43"/>
      <c r="CY175" s="46"/>
      <c r="CZ175" s="43"/>
      <c r="DA175" s="46"/>
      <c r="DB175" s="43"/>
      <c r="DD175" s="46"/>
      <c r="DE175" s="43"/>
      <c r="DF175" s="46"/>
      <c r="DG175" s="43"/>
      <c r="DH175" s="46"/>
      <c r="DI175" s="43"/>
      <c r="DK175" s="46"/>
      <c r="DL175" s="78"/>
      <c r="DM175" s="21"/>
      <c r="DN175" s="78"/>
      <c r="DO175" s="21"/>
      <c r="DP175" s="78"/>
      <c r="DR175" s="46"/>
      <c r="DS175" s="16"/>
      <c r="DT175" s="21"/>
      <c r="DU175" s="16"/>
      <c r="DV175" s="21"/>
      <c r="DW175" s="16"/>
    </row>
    <row r="176" spans="1:129" ht="16.7" thickBot="1">
      <c r="A176" s="11" t="s">
        <v>162</v>
      </c>
      <c r="B176" s="6"/>
      <c r="C176" s="25">
        <f>C153-C173</f>
        <v>-13563.960000000039</v>
      </c>
      <c r="D176" s="20">
        <f>C176/C13</f>
        <v>-3.5626650304905139E-2</v>
      </c>
      <c r="E176" s="25">
        <f>E153-E173</f>
        <v>-42894.911751230757</v>
      </c>
      <c r="F176" s="20">
        <f>E176/E13</f>
        <v>-0.15545859110711518</v>
      </c>
      <c r="G176" s="17">
        <f>C176-E176</f>
        <v>29330.951751230717</v>
      </c>
      <c r="H176" s="18">
        <f>G176/E176</f>
        <v>-0.68378627099959344</v>
      </c>
      <c r="J176" s="25">
        <f>J153-J173</f>
        <v>10494.986000000055</v>
      </c>
      <c r="K176" s="20">
        <f>J176/J13</f>
        <v>2.5712030024439458E-2</v>
      </c>
      <c r="L176" s="25">
        <f>L153-L173</f>
        <v>-1164.6174497741558</v>
      </c>
      <c r="M176" s="20">
        <f>L176/L13</f>
        <v>-3.0477713859593056E-3</v>
      </c>
      <c r="N176" s="17">
        <f>J176-L176</f>
        <v>11659.603449774211</v>
      </c>
      <c r="O176" s="18">
        <f>N176/L176</f>
        <v>-10.011530783808244</v>
      </c>
      <c r="Q176" s="59">
        <f>Q153+Q161-Q173</f>
        <v>-12960.190000000006</v>
      </c>
      <c r="R176" s="20">
        <f>Q176/Q13</f>
        <v>-4.2352917109170836E-2</v>
      </c>
      <c r="S176" s="25">
        <f>S153-S173</f>
        <v>42423.863837927209</v>
      </c>
      <c r="T176" s="20">
        <f>S176/S13</f>
        <v>8.6044259143503984E-2</v>
      </c>
      <c r="U176" s="17">
        <f>Q176-S176</f>
        <v>-55384.053837927218</v>
      </c>
      <c r="V176" s="18">
        <f>U176/S176</f>
        <v>-1.3054929190210514</v>
      </c>
      <c r="X176" s="25">
        <f>X153-X173+X161</f>
        <v>-16029.163999999866</v>
      </c>
      <c r="Y176" s="20">
        <f>X176/X13</f>
        <v>-1.4639790627836796E-2</v>
      </c>
      <c r="Z176" s="25">
        <f>Z153-Z173</f>
        <v>-1635.6653630777</v>
      </c>
      <c r="AA176" s="20">
        <f>Z176/Z13</f>
        <v>-1.4209671704003934E-3</v>
      </c>
      <c r="AB176" s="17">
        <f>X176-Z176</f>
        <v>-14393.498636922166</v>
      </c>
      <c r="AC176" s="18">
        <f>AB176/Z176</f>
        <v>8.799782010324579</v>
      </c>
      <c r="AE176" s="25">
        <f>AE153-AE173+AE161</f>
        <v>-58739.020000000004</v>
      </c>
      <c r="AF176" s="20" t="e">
        <f>AE176/AE13</f>
        <v>#DIV/0!</v>
      </c>
      <c r="AG176" s="25">
        <f>AG153-AG173</f>
        <v>75723.26875282306</v>
      </c>
      <c r="AH176" s="20">
        <f>AG176/AG13</f>
        <v>0.13045412122617284</v>
      </c>
      <c r="AI176" s="17">
        <f>AE176-AG176</f>
        <v>-134462.28875282308</v>
      </c>
      <c r="AJ176" s="18">
        <f>AI176/AG176</f>
        <v>-1.7757063445284795</v>
      </c>
      <c r="AL176" s="59">
        <f>AL153-AL173+AL161</f>
        <v>-65663.489999999991</v>
      </c>
      <c r="AM176" s="20" t="e">
        <f>AL176/AL13</f>
        <v>#DIV/0!</v>
      </c>
      <c r="AN176" s="25">
        <f>AN153-AN173</f>
        <v>70423.310021647005</v>
      </c>
      <c r="AO176" s="20">
        <f>AN176/AN13</f>
        <v>0.12588201755981798</v>
      </c>
      <c r="AP176" s="17">
        <f>AL176-AN176</f>
        <v>-136086.80002164701</v>
      </c>
      <c r="AQ176" s="18">
        <f>AP176/AN176</f>
        <v>-1.9324112993242735</v>
      </c>
      <c r="AS176" s="59">
        <f>AS153-AS173+AS161</f>
        <v>-67085.639999999985</v>
      </c>
      <c r="AT176" s="20" t="e">
        <f>AS176/AS13</f>
        <v>#DIV/0!</v>
      </c>
      <c r="AU176" s="25">
        <f>AU153-AU173</f>
        <v>97274.812350285007</v>
      </c>
      <c r="AV176" s="20">
        <f>AU176/AU13</f>
        <v>0.16022653687693952</v>
      </c>
      <c r="AW176" s="17">
        <f>AS176-AU176</f>
        <v>-164360.45235028499</v>
      </c>
      <c r="AX176" s="18">
        <f>AW176/AU176</f>
        <v>-1.6896506750218721</v>
      </c>
      <c r="AZ176" s="59">
        <f>AZ153+AZ161-AZ173</f>
        <v>-191488.15</v>
      </c>
      <c r="BA176" s="20" t="e">
        <f>AZ176/AZ13</f>
        <v>#DIV/0!</v>
      </c>
      <c r="BB176" s="25">
        <f>BB153-BB173</f>
        <v>243421.39112475503</v>
      </c>
      <c r="BC176" s="20">
        <f>BB176/BB13</f>
        <v>0.13933632232788842</v>
      </c>
      <c r="BD176" s="17">
        <f>AZ176-BB176</f>
        <v>-434909.54112475505</v>
      </c>
      <c r="BE176" s="18">
        <f>BD176/BB176</f>
        <v>-1.7866529277283651</v>
      </c>
      <c r="BG176" s="59">
        <f>BG153+BG161-BG173</f>
        <v>-78439.549999999988</v>
      </c>
      <c r="BH176" s="69" t="e">
        <f>BG176/BG13</f>
        <v>#DIV/0!</v>
      </c>
      <c r="BI176" s="59">
        <f>BI153-BI173</f>
        <v>103201.90026038789</v>
      </c>
      <c r="BJ176" s="69">
        <f>BI176/BI13</f>
        <v>0.16623080248437652</v>
      </c>
      <c r="BK176" s="58">
        <f>BG176-BI176</f>
        <v>-181641.45026038788</v>
      </c>
      <c r="BL176" s="68">
        <f>BK176/BI176</f>
        <v>-1.7600591636596785</v>
      </c>
      <c r="BN176" s="59">
        <f>BN153+BN161-BN173</f>
        <v>-37360.088000000018</v>
      </c>
      <c r="BO176" s="69">
        <f>BN176/BN13</f>
        <v>-0.16906994777443432</v>
      </c>
      <c r="BP176" s="59">
        <f>BP153-BP173</f>
        <v>95406.68049900062</v>
      </c>
      <c r="BQ176" s="69">
        <f>BP176/BP13</f>
        <v>0.15636466225631293</v>
      </c>
      <c r="BR176" s="58">
        <f>BN176-BP176</f>
        <v>-132766.76849900064</v>
      </c>
      <c r="BS176" s="68">
        <f>BR176/BP176</f>
        <v>-1.3915877567964579</v>
      </c>
      <c r="BU176" s="59">
        <f>BU153+BU161-BU173</f>
        <v>-10779.54</v>
      </c>
      <c r="BV176" s="69">
        <f>BU176/BU13</f>
        <v>-3.2811532619646977E-2</v>
      </c>
      <c r="BW176" s="59">
        <f>BW153-BW173</f>
        <v>-18302.650000000001</v>
      </c>
      <c r="BX176" s="69">
        <f>BW176/BW13</f>
        <v>-6.2235918186918752E-2</v>
      </c>
      <c r="BY176" s="58">
        <f>BU176-BW176</f>
        <v>7523.1100000000006</v>
      </c>
      <c r="BZ176" s="68">
        <f>BY176/BW176</f>
        <v>-0.41103938500708914</v>
      </c>
      <c r="CB176" s="59">
        <f>CB153+CB161-CB173</f>
        <v>-126579.17799999987</v>
      </c>
      <c r="CC176" s="69">
        <f>CB176/CB13</f>
        <v>-0.23035205166703751</v>
      </c>
      <c r="CD176" s="59">
        <f>CD153-CD173</f>
        <v>180305.93075938858</v>
      </c>
      <c r="CE176" s="69">
        <f>CD176/CD13</f>
        <v>0.1182275827479885</v>
      </c>
      <c r="CF176" s="59">
        <f>CF153-CF173</f>
        <v>-300508.03875938844</v>
      </c>
      <c r="CG176" s="68">
        <f>CF176/CD176</f>
        <v>-1.6666564294016764</v>
      </c>
      <c r="CI176" s="59">
        <f>CI153+CI161-CI173</f>
        <v>775.38999999992666</v>
      </c>
      <c r="CJ176" s="69">
        <f>CI176/CI13</f>
        <v>2.1355513682465325E-3</v>
      </c>
      <c r="CK176" s="59">
        <f>CK153-CK173</f>
        <v>-5317.7000000000007</v>
      </c>
      <c r="CL176" s="69">
        <f>CK176/CK13</f>
        <v>-1.6906920846474719E-2</v>
      </c>
      <c r="CM176" s="58">
        <f>CI176-CK176</f>
        <v>6093.0899999999274</v>
      </c>
      <c r="CN176" s="68">
        <f>CM176/CK176</f>
        <v>-1.1458130394719384</v>
      </c>
      <c r="CP176" s="59">
        <f>CP153+CP161-CP173</f>
        <v>-1635.4600000000828</v>
      </c>
      <c r="CQ176" s="69">
        <f>CP176/CP13</f>
        <v>-4.8870618842075456E-3</v>
      </c>
      <c r="CR176" s="59">
        <f>CR153-CR173</f>
        <v>-1581.5040000000045</v>
      </c>
      <c r="CS176" s="69">
        <f>CR176/CR13</f>
        <v>-5.3231369909121657E-3</v>
      </c>
      <c r="CT176" s="58">
        <f>CP176-CR176</f>
        <v>-53.956000000078348</v>
      </c>
      <c r="CU176" s="68">
        <f>CT176/CR176</f>
        <v>3.4116891263049724E-2</v>
      </c>
      <c r="CW176" s="59">
        <f>CW153+CW161-CW173</f>
        <v>521068.28</v>
      </c>
      <c r="CX176" s="69">
        <f>CW176/CW13</f>
        <v>1.9572770759152329</v>
      </c>
      <c r="CY176" s="59">
        <f>CY153-CY173</f>
        <v>-926.41476923076698</v>
      </c>
      <c r="CZ176" s="69">
        <f>CY176/CY13</f>
        <v>-3.4027965709245035E-3</v>
      </c>
      <c r="DA176" s="58">
        <f>CW176-CY176</f>
        <v>521994.69476923079</v>
      </c>
      <c r="DB176" s="68">
        <f>DA176/CY176</f>
        <v>-563.45679290352894</v>
      </c>
      <c r="DD176" s="59">
        <f>DD153+DD161-DD173</f>
        <v>-38217.200000000019</v>
      </c>
      <c r="DE176" s="69">
        <f>DD176/DD13</f>
        <v>-0.24616790203010655</v>
      </c>
      <c r="DF176" s="59">
        <f>DF153-DF173</f>
        <v>7497.4852307692345</v>
      </c>
      <c r="DG176" s="69">
        <f>DF176/DF13</f>
        <v>2.6341533207680377E-2</v>
      </c>
      <c r="DH176" s="58">
        <f>DD176-DF176</f>
        <v>-45714.685230769253</v>
      </c>
      <c r="DI176" s="68">
        <f>DH176/DF176</f>
        <v>-6.0973358164360096</v>
      </c>
      <c r="DK176" s="59">
        <f>DK153+DK161-DK173</f>
        <v>481991.00999999995</v>
      </c>
      <c r="DL176" s="76">
        <f>DK176/DK13</f>
        <v>0.4306540152691139</v>
      </c>
      <c r="DM176" s="25">
        <f>DM153-DM173</f>
        <v>-328.13353846147947</v>
      </c>
      <c r="DN176" s="76">
        <f>DM176/DM13</f>
        <v>-2.8081483473453643E-4</v>
      </c>
      <c r="DO176" s="17">
        <f>DK176-DM176</f>
        <v>482319.14353846142</v>
      </c>
      <c r="DP176" s="77">
        <f>DO176/DM176</f>
        <v>-1469.8867595184338</v>
      </c>
      <c r="DR176" s="59">
        <f>DR153+DR161-DR173</f>
        <v>147894.51800000048</v>
      </c>
      <c r="DS176" s="20">
        <f>DR176/DR13</f>
        <v>5.3514894668127339E-2</v>
      </c>
      <c r="DT176" s="25">
        <f>DT153-DT173</f>
        <v>421763.52298260463</v>
      </c>
      <c r="DU176" s="20">
        <f>DT176/DT13</f>
        <v>7.5426991245850242E-2</v>
      </c>
      <c r="DV176" s="17">
        <f>DR176-DT176</f>
        <v>-273869.00498260418</v>
      </c>
      <c r="DW176" s="18">
        <f>DV176/DT176</f>
        <v>-0.649342558232329</v>
      </c>
      <c r="DX176" s="64"/>
      <c r="DY176" s="64"/>
    </row>
    <row r="177" spans="1:129" ht="16.7" thickTop="1">
      <c r="A177" s="6"/>
      <c r="B177" s="6"/>
      <c r="C177" s="35"/>
      <c r="D177" s="36"/>
      <c r="E177" s="35"/>
      <c r="F177" s="36"/>
      <c r="G177" s="37"/>
      <c r="H177" s="38"/>
      <c r="J177" s="35"/>
      <c r="K177" s="36"/>
      <c r="L177" s="35"/>
      <c r="M177" s="36"/>
      <c r="N177" s="37"/>
      <c r="O177" s="38"/>
      <c r="Q177" s="35"/>
      <c r="R177" s="36"/>
      <c r="S177" s="35"/>
      <c r="T177" s="36"/>
      <c r="U177" s="37"/>
      <c r="V177" s="38"/>
      <c r="X177" s="35"/>
      <c r="Y177" s="36"/>
      <c r="Z177" s="35"/>
      <c r="AA177" s="36"/>
      <c r="AB177" s="37"/>
      <c r="AC177" s="38"/>
      <c r="AE177" s="35"/>
      <c r="AF177" s="36"/>
      <c r="AG177" s="35"/>
      <c r="AH177" s="36"/>
      <c r="AI177" s="37"/>
      <c r="AJ177" s="38"/>
      <c r="AL177" s="35"/>
      <c r="AM177" s="36"/>
      <c r="AN177" s="35"/>
      <c r="AO177" s="36"/>
      <c r="AP177" s="37"/>
      <c r="AQ177" s="38"/>
      <c r="AS177" s="35"/>
      <c r="AT177" s="36"/>
      <c r="AU177" s="35"/>
      <c r="AV177" s="36"/>
      <c r="AW177" s="37"/>
      <c r="AX177" s="38"/>
      <c r="AZ177" s="35"/>
      <c r="BA177" s="36"/>
      <c r="BB177" s="35"/>
      <c r="BC177" s="36"/>
      <c r="BD177" s="37"/>
      <c r="BE177" s="38"/>
      <c r="BG177" s="35"/>
      <c r="BH177" s="69"/>
      <c r="BI177" s="35"/>
      <c r="BJ177" s="69"/>
      <c r="BK177" s="37"/>
      <c r="BL177" s="68"/>
      <c r="BN177" s="35"/>
      <c r="BO177" s="69"/>
      <c r="BP177" s="35"/>
      <c r="BQ177" s="69"/>
      <c r="BR177" s="37"/>
      <c r="BS177" s="68"/>
      <c r="BU177" s="35"/>
      <c r="BV177" s="69"/>
      <c r="BW177" s="35"/>
      <c r="BX177" s="69"/>
      <c r="BY177" s="37"/>
      <c r="BZ177" s="68"/>
      <c r="CB177" s="35"/>
      <c r="CC177" s="69"/>
      <c r="CD177" s="35"/>
      <c r="CE177" s="69"/>
      <c r="CF177" s="37"/>
      <c r="CG177" s="68"/>
      <c r="CI177" s="35"/>
      <c r="CJ177" s="69"/>
      <c r="CK177" s="35"/>
      <c r="CL177" s="69"/>
      <c r="CM177" s="37"/>
      <c r="CN177" s="68"/>
      <c r="CP177" s="35"/>
      <c r="CQ177" s="69"/>
      <c r="CR177" s="35"/>
      <c r="CS177" s="69"/>
      <c r="CT177" s="37"/>
      <c r="CU177" s="68"/>
      <c r="CW177" s="35"/>
      <c r="CX177" s="69"/>
      <c r="CY177" s="35"/>
      <c r="CZ177" s="69"/>
      <c r="DA177" s="37"/>
      <c r="DB177" s="68"/>
      <c r="DD177" s="35"/>
      <c r="DE177" s="69"/>
      <c r="DF177" s="35"/>
      <c r="DG177" s="69"/>
      <c r="DH177" s="37"/>
      <c r="DI177" s="68"/>
      <c r="DK177" s="35"/>
      <c r="DL177" s="69"/>
      <c r="DM177" s="35"/>
      <c r="DN177" s="69"/>
      <c r="DO177" s="37"/>
      <c r="DP177" s="68"/>
      <c r="DR177" s="35"/>
      <c r="DS177" s="36"/>
      <c r="DT177" s="35"/>
      <c r="DU177" s="36"/>
      <c r="DV177" s="37"/>
      <c r="DW177" s="38"/>
    </row>
    <row r="178" spans="1:129" ht="16.7" thickBot="1">
      <c r="A178" s="11" t="s">
        <v>163</v>
      </c>
      <c r="B178" s="6"/>
      <c r="C178" s="25">
        <f>+C176+C171</f>
        <v>-11093.960000000039</v>
      </c>
      <c r="D178" s="20">
        <f>C178/C13</f>
        <v>-2.9139029709362583E-2</v>
      </c>
      <c r="E178" s="25">
        <f>+E176+E171</f>
        <v>-40424.911751230757</v>
      </c>
      <c r="F178" s="20">
        <f>E178/E13</f>
        <v>-0.14650688321547797</v>
      </c>
      <c r="G178" s="17">
        <f>C178-E178</f>
        <v>29330.951751230717</v>
      </c>
      <c r="H178" s="18">
        <f>G178/E178</f>
        <v>-0.72556625309980349</v>
      </c>
      <c r="J178" s="25">
        <f>+J176+J171</f>
        <v>12964.986000000055</v>
      </c>
      <c r="K178" s="20">
        <f>J178/J13</f>
        <v>3.176336865036665E-2</v>
      </c>
      <c r="L178" s="25">
        <f>+L176+L171</f>
        <v>1305.3825502258442</v>
      </c>
      <c r="M178" s="20">
        <f>L178/L13</f>
        <v>3.4161497280333825E-3</v>
      </c>
      <c r="N178" s="17">
        <f>J178-L178</f>
        <v>11659.603449774211</v>
      </c>
      <c r="O178" s="18">
        <f>N178/L178</f>
        <v>8.9319437032132711</v>
      </c>
      <c r="Q178" s="59">
        <f>+Q176+Q171</f>
        <v>-10490.190000000006</v>
      </c>
      <c r="R178" s="20">
        <f>Q178/Q13</f>
        <v>-3.4281144607405667E-2</v>
      </c>
      <c r="S178" s="25">
        <f>+S176+S171</f>
        <v>44893.863837927209</v>
      </c>
      <c r="T178" s="20">
        <f>S178/S13</f>
        <v>9.1053923536553727E-2</v>
      </c>
      <c r="U178" s="17">
        <f>Q178-S178</f>
        <v>-55384.053837927218</v>
      </c>
      <c r="V178" s="18">
        <f>U178/S178</f>
        <v>-1.2336664546823366</v>
      </c>
      <c r="X178" s="25">
        <f>+X176+X171</f>
        <v>-8619.1639999998661</v>
      </c>
      <c r="Y178" s="20">
        <f>X178/X13</f>
        <v>-7.8720734498060798E-3</v>
      </c>
      <c r="Z178" s="25">
        <f>+Z176+Z171</f>
        <v>5774.3346369223</v>
      </c>
      <c r="AA178" s="20">
        <f>Z178/Z13</f>
        <v>5.0163927996454676E-3</v>
      </c>
      <c r="AB178" s="17">
        <f>X178-Z178</f>
        <v>-14393.498636922166</v>
      </c>
      <c r="AC178" s="18">
        <f>AB178/Z178</f>
        <v>-2.4926679075520033</v>
      </c>
      <c r="AE178" s="25">
        <f>+AE176+AE171</f>
        <v>-56269.020000000004</v>
      </c>
      <c r="AF178" s="20" t="e">
        <f>AE178/AE13</f>
        <v>#DIV/0!</v>
      </c>
      <c r="AG178" s="25">
        <f>+AG176+AG171</f>
        <v>78193.26875282306</v>
      </c>
      <c r="AH178" s="20">
        <f>AG178/AG13</f>
        <v>0.13470937439650874</v>
      </c>
      <c r="AI178" s="17">
        <f>AE178-AG178</f>
        <v>-134462.28875282308</v>
      </c>
      <c r="AJ178" s="18">
        <f>AI178/AG178</f>
        <v>-1.7196146279275286</v>
      </c>
      <c r="AL178" s="59">
        <f>+AL176+AL171</f>
        <v>-63193.489999999991</v>
      </c>
      <c r="AM178" s="20" t="e">
        <f>AL178/AL13</f>
        <v>#DIV/0!</v>
      </c>
      <c r="AN178" s="25">
        <f>+AN176+AN171</f>
        <v>72893.310021647005</v>
      </c>
      <c r="AO178" s="20">
        <f>AN178/AN13</f>
        <v>0.13029715486701321</v>
      </c>
      <c r="AP178" s="17">
        <f>AL178-AN178</f>
        <v>-136086.80002164701</v>
      </c>
      <c r="AQ178" s="18">
        <f>AP178/AN178</f>
        <v>-1.866931272310635</v>
      </c>
      <c r="AS178" s="59">
        <f>+AS176+AS171</f>
        <v>-64615.639999999985</v>
      </c>
      <c r="AT178" s="20" t="e">
        <f>AS178/AS13</f>
        <v>#DIV/0!</v>
      </c>
      <c r="AU178" s="25">
        <f>+AU176+AU171</f>
        <v>99744.812350285007</v>
      </c>
      <c r="AV178" s="20">
        <f>AU178/AU13</f>
        <v>0.16429500574903477</v>
      </c>
      <c r="AW178" s="17">
        <f>AS178-AU178</f>
        <v>-164360.45235028499</v>
      </c>
      <c r="AX178" s="18">
        <f>AW178/AU178</f>
        <v>-1.6478095299140172</v>
      </c>
      <c r="AZ178" s="59">
        <f>+AZ176+AZ171</f>
        <v>-184078.15</v>
      </c>
      <c r="BA178" s="20" t="e">
        <f>AZ178/AZ13</f>
        <v>#DIV/0!</v>
      </c>
      <c r="BB178" s="25">
        <f>+BB176+BB171</f>
        <v>250831.39112475503</v>
      </c>
      <c r="BC178" s="20">
        <f>BB178/BB13</f>
        <v>0.14357786471526429</v>
      </c>
      <c r="BD178" s="17">
        <f>AZ178-BB178</f>
        <v>-434909.54112475505</v>
      </c>
      <c r="BE178" s="18">
        <f>BD178/BB178</f>
        <v>-1.7338720611266945</v>
      </c>
      <c r="BG178" s="59">
        <f>+BG176+BG171</f>
        <v>-75969.549999999988</v>
      </c>
      <c r="BH178" s="69" t="e">
        <f>BG178/BG13</f>
        <v>#DIV/0!</v>
      </c>
      <c r="BI178" s="59">
        <f>+BI176+BI171</f>
        <v>105671.90026038789</v>
      </c>
      <c r="BJ178" s="69">
        <f>BI178/BI13</f>
        <v>0.17020931529373809</v>
      </c>
      <c r="BK178" s="58">
        <f>BG178-BI178</f>
        <v>-181641.45026038788</v>
      </c>
      <c r="BL178" s="68">
        <f>BK178/BI178</f>
        <v>-1.7189191243159454</v>
      </c>
      <c r="BN178" s="59">
        <f>+BN176+BN171</f>
        <v>-34890.088000000018</v>
      </c>
      <c r="BO178" s="69">
        <f>BN178/BN13</f>
        <v>-0.15789216974021628</v>
      </c>
      <c r="BP178" s="59">
        <f>+BP176+BP171</f>
        <v>97876.68049900062</v>
      </c>
      <c r="BQ178" s="69">
        <f>BP178/BP13</f>
        <v>0.16041281395547136</v>
      </c>
      <c r="BR178" s="58">
        <f>BN178-BP178</f>
        <v>-132766.76849900064</v>
      </c>
      <c r="BS178" s="68">
        <f>BR178/BP178</f>
        <v>-1.3564698743574193</v>
      </c>
      <c r="BU178" s="59">
        <f>+BU176+BU171</f>
        <v>-8309.5400000000009</v>
      </c>
      <c r="BV178" s="69">
        <f>BU178/BU13</f>
        <v>-2.5293170465925385E-2</v>
      </c>
      <c r="BW178" s="59">
        <f>+BW176+BW171</f>
        <v>-17077.650000000001</v>
      </c>
      <c r="BX178" s="69">
        <f>BW178/BW13</f>
        <v>-5.8070455820596091E-2</v>
      </c>
      <c r="BY178" s="58">
        <f>BU178-BW178</f>
        <v>8768.11</v>
      </c>
      <c r="BZ178" s="68">
        <f>BY178/BW178</f>
        <v>-0.51342602758576272</v>
      </c>
      <c r="CB178" s="59">
        <f>+CB176+CB171</f>
        <v>-119169.17799999987</v>
      </c>
      <c r="CC178" s="69">
        <f>CB178/CB13</f>
        <v>-0.21686714261783552</v>
      </c>
      <c r="CD178" s="59">
        <f>+CD176+CD171</f>
        <v>186470.93075938858</v>
      </c>
      <c r="CE178" s="69">
        <f>CD178/CD13</f>
        <v>0.12227000689106345</v>
      </c>
      <c r="CF178" s="58">
        <f>CB178-CD178</f>
        <v>-305640.10875938844</v>
      </c>
      <c r="CG178" s="68">
        <f>CF178/CD178</f>
        <v>-1.6390764368188249</v>
      </c>
      <c r="CI178" s="59">
        <f>+CI176+CI171</f>
        <v>3245.3899999999267</v>
      </c>
      <c r="CJ178" s="69">
        <f>CI178/CI13</f>
        <v>8.9383369078710247E-3</v>
      </c>
      <c r="CK178" s="59">
        <f>+CK176+CK171</f>
        <v>-4092.7000000000007</v>
      </c>
      <c r="CL178" s="69">
        <f>CK178/CK13</f>
        <v>-1.3012196052497713E-2</v>
      </c>
      <c r="CM178" s="58">
        <f>CI178-CK178</f>
        <v>7338.0899999999274</v>
      </c>
      <c r="CN178" s="68">
        <f>CM178/CK178</f>
        <v>-1.792970410731284</v>
      </c>
      <c r="CP178" s="59">
        <f>+CP176+CP171</f>
        <v>834.5399999999172</v>
      </c>
      <c r="CQ178" s="69">
        <f>CP178/CP13</f>
        <v>2.4937623817433349E-3</v>
      </c>
      <c r="CR178" s="59">
        <f>+CR176+CR171</f>
        <v>-356.50400000000445</v>
      </c>
      <c r="CS178" s="69">
        <f>CR178/CR13</f>
        <v>-1.1999461460787764E-3</v>
      </c>
      <c r="CT178" s="58">
        <f>CP178-CR178</f>
        <v>1191.0439999999217</v>
      </c>
      <c r="CU178" s="68">
        <f>CT178/CR178</f>
        <v>-3.340899400847976</v>
      </c>
      <c r="CW178" s="59">
        <f>+CW176+CW171</f>
        <v>523538.28</v>
      </c>
      <c r="CX178" s="69">
        <f>CW178/CW13</f>
        <v>1.9665550814340311</v>
      </c>
      <c r="CY178" s="59">
        <f>+CY176+CY171</f>
        <v>298.58523076923302</v>
      </c>
      <c r="CZ178" s="69">
        <f>CY178/CY13</f>
        <v>1.0967277650742624E-3</v>
      </c>
      <c r="DA178" s="58">
        <f>CW178-CY178</f>
        <v>523239.69476923079</v>
      </c>
      <c r="DB178" s="68">
        <f>DA178/CY178</f>
        <v>1752.3964377649543</v>
      </c>
      <c r="DD178" s="59">
        <f>+DD176+DD171</f>
        <v>-35747.200000000019</v>
      </c>
      <c r="DE178" s="69">
        <f>DD178/DD13</f>
        <v>-0.23025792646898843</v>
      </c>
      <c r="DF178" s="59">
        <f>+DF176+DF171</f>
        <v>8722.4852307692345</v>
      </c>
      <c r="DG178" s="69">
        <f>DF178/DF13</f>
        <v>3.0645426738137888E-2</v>
      </c>
      <c r="DH178" s="58">
        <f>DD178-DF178</f>
        <v>-44469.685230769253</v>
      </c>
      <c r="DI178" s="68">
        <f>DH178/DF178</f>
        <v>-5.0982815165910553</v>
      </c>
      <c r="DK178" s="25">
        <f>+DK176+DK171</f>
        <v>491871.00999999995</v>
      </c>
      <c r="DL178" s="76">
        <f>DK178/DK13</f>
        <v>0.43948169375809409</v>
      </c>
      <c r="DM178" s="25">
        <f>+DM176+DM171</f>
        <v>4571.8664615385205</v>
      </c>
      <c r="DN178" s="76">
        <f>DM178/DM13</f>
        <v>3.912577576936787E-3</v>
      </c>
      <c r="DO178" s="17">
        <f>DK178-DM178</f>
        <v>487299.14353846142</v>
      </c>
      <c r="DP178" s="77">
        <f>DO178/DM178</f>
        <v>106.58647789429877</v>
      </c>
      <c r="DR178" s="59">
        <f>+DR176+DR171</f>
        <v>180004.51800000048</v>
      </c>
      <c r="DS178" s="20">
        <f>DR178/DR13</f>
        <v>6.5133738226571897E-2</v>
      </c>
      <c r="DT178" s="25">
        <f>+DT176+DT171</f>
        <v>447648.52298260463</v>
      </c>
      <c r="DU178" s="20">
        <f>DT178/DT13</f>
        <v>8.0056191169522534E-2</v>
      </c>
      <c r="DV178" s="17">
        <f>DR178-DT178</f>
        <v>-267644.00498260418</v>
      </c>
      <c r="DW178" s="18">
        <f>DV178/DT178</f>
        <v>-0.59788872573361462</v>
      </c>
      <c r="DY178" s="64"/>
    </row>
    <row r="179" spans="1:129" ht="16.7" thickTop="1">
      <c r="A179" s="6"/>
      <c r="B179" s="6"/>
      <c r="C179" s="30"/>
      <c r="E179" s="30"/>
      <c r="J179" s="30"/>
      <c r="L179" s="30"/>
      <c r="Q179" s="48"/>
      <c r="S179" s="30"/>
      <c r="X179" s="6"/>
      <c r="Z179" s="6"/>
      <c r="AE179" s="48"/>
      <c r="AG179" s="30"/>
      <c r="AL179" s="48"/>
      <c r="AN179" s="30"/>
      <c r="AS179" s="48"/>
      <c r="AU179" s="30"/>
      <c r="AZ179" s="6"/>
      <c r="BB179" s="6"/>
      <c r="BG179" s="48"/>
      <c r="BI179" s="48"/>
      <c r="BN179" s="48"/>
      <c r="BP179" s="48"/>
      <c r="BU179" s="48"/>
      <c r="BW179" s="48"/>
      <c r="CB179" s="6"/>
      <c r="CD179" s="6"/>
      <c r="CI179" s="48"/>
      <c r="CK179" s="48"/>
      <c r="CP179" s="48"/>
      <c r="CR179" s="48"/>
      <c r="CW179" s="48"/>
      <c r="CY179" s="48"/>
      <c r="DD179" s="48"/>
      <c r="DF179" s="48"/>
      <c r="DK179" s="6"/>
      <c r="DM179" s="6"/>
      <c r="DR179" s="6"/>
      <c r="DT179" s="6"/>
    </row>
    <row r="180" spans="1:129">
      <c r="A180" s="6"/>
      <c r="B180" s="6"/>
      <c r="C180" s="30"/>
      <c r="E180" s="30"/>
      <c r="J180" s="30"/>
      <c r="L180" s="30"/>
      <c r="Q180" s="48"/>
      <c r="S180" s="30"/>
      <c r="X180" s="6"/>
      <c r="Z180" s="6"/>
      <c r="AE180" s="48"/>
      <c r="AG180" s="30"/>
      <c r="AL180" s="48"/>
      <c r="AN180" s="30"/>
      <c r="AS180" s="48"/>
      <c r="AU180" s="30"/>
      <c r="AZ180" s="6"/>
      <c r="BB180" s="6"/>
      <c r="BG180" s="48"/>
      <c r="BI180" s="48"/>
      <c r="BN180" s="48"/>
      <c r="BP180" s="48"/>
      <c r="BU180" s="48">
        <f>+BU176+14742.55</f>
        <v>3963.0099999999984</v>
      </c>
      <c r="BW180" s="48"/>
      <c r="CB180" s="6"/>
      <c r="CD180" s="6"/>
      <c r="CI180" s="48"/>
      <c r="CK180" s="48"/>
      <c r="CP180" s="48"/>
      <c r="CR180" s="48"/>
      <c r="CW180" s="48"/>
      <c r="CY180" s="48"/>
      <c r="DD180" s="48"/>
      <c r="DF180" s="48"/>
      <c r="DK180" s="6"/>
      <c r="DM180" s="6"/>
      <c r="DR180" s="6"/>
      <c r="DT180" s="6"/>
    </row>
    <row r="181" spans="1:129">
      <c r="A181" s="6" t="s">
        <v>164</v>
      </c>
      <c r="B181" s="6"/>
      <c r="C181"/>
      <c r="E181"/>
      <c r="J181"/>
      <c r="L181"/>
      <c r="Q181"/>
      <c r="S181"/>
      <c r="X181"/>
      <c r="Z181"/>
      <c r="AE181"/>
      <c r="AG181"/>
      <c r="AL181"/>
      <c r="AN181"/>
      <c r="AS181"/>
      <c r="AU181"/>
      <c r="AZ181"/>
      <c r="BB181"/>
      <c r="BG181"/>
      <c r="BI181"/>
      <c r="BN181"/>
      <c r="BP181"/>
      <c r="BU181"/>
      <c r="BW181"/>
      <c r="CB181"/>
      <c r="CD181"/>
      <c r="CI181"/>
      <c r="CK181"/>
      <c r="CP181"/>
      <c r="CR181"/>
      <c r="CW181"/>
      <c r="CY181"/>
      <c r="DD181"/>
      <c r="DF181"/>
      <c r="DK181"/>
      <c r="DM181"/>
      <c r="DR181"/>
      <c r="DT181"/>
    </row>
    <row r="182" spans="1:129">
      <c r="A182" s="6"/>
      <c r="B182" s="6"/>
      <c r="C182"/>
      <c r="E182"/>
      <c r="J182"/>
      <c r="L182"/>
      <c r="Q182"/>
      <c r="S182"/>
      <c r="X182"/>
      <c r="Z182"/>
      <c r="AE182"/>
      <c r="AG182"/>
      <c r="AL182"/>
      <c r="AN182"/>
      <c r="AS182"/>
      <c r="AU182"/>
      <c r="AZ182"/>
      <c r="BB182"/>
      <c r="BG182"/>
      <c r="BI182"/>
      <c r="BN182"/>
      <c r="BP182"/>
      <c r="BU182"/>
      <c r="BW182"/>
      <c r="CB182"/>
      <c r="CD182"/>
      <c r="CI182"/>
      <c r="CK182"/>
      <c r="CP182"/>
      <c r="CR182"/>
      <c r="CW182"/>
      <c r="CY182"/>
      <c r="DD182"/>
      <c r="DF182"/>
      <c r="DK182"/>
      <c r="DM182"/>
      <c r="DR182"/>
      <c r="DT182"/>
    </row>
    <row r="183" spans="1:129">
      <c r="A183" s="6" t="s">
        <v>26</v>
      </c>
      <c r="B183" s="6"/>
      <c r="C183"/>
      <c r="E183"/>
      <c r="J183"/>
      <c r="L183"/>
      <c r="Q183"/>
      <c r="S183"/>
      <c r="X183"/>
      <c r="Z183"/>
      <c r="AE183"/>
      <c r="AG183"/>
      <c r="AL183"/>
      <c r="AN183"/>
      <c r="AS183"/>
      <c r="AU183"/>
      <c r="AZ183"/>
      <c r="BB183"/>
      <c r="BG183"/>
      <c r="BI183"/>
      <c r="BN183"/>
      <c r="BP183"/>
      <c r="BU183"/>
      <c r="BW183"/>
      <c r="CB183"/>
      <c r="CD183"/>
      <c r="CI183"/>
      <c r="CK183"/>
      <c r="CP183"/>
      <c r="CR183"/>
      <c r="CW183"/>
      <c r="CY183"/>
      <c r="DD183"/>
      <c r="DF183"/>
      <c r="DK183"/>
      <c r="DM183"/>
      <c r="DR183"/>
      <c r="DT183"/>
    </row>
    <row r="184" spans="1:129">
      <c r="A184" s="29" t="s">
        <v>26</v>
      </c>
      <c r="B184" s="29"/>
      <c r="C184" s="16">
        <f>C16/C7</f>
        <v>0.31502870812113443</v>
      </c>
      <c r="D184" s="16"/>
      <c r="E184" s="16">
        <f>E16/E7</f>
        <v>0.30599809033303432</v>
      </c>
      <c r="F184" s="16"/>
      <c r="H184"/>
      <c r="J184" s="16">
        <f>J16/J7</f>
        <v>0.30816626892501281</v>
      </c>
      <c r="K184" s="16"/>
      <c r="L184" s="16">
        <f>L16/L7</f>
        <v>0.30600220632479774</v>
      </c>
      <c r="M184" s="16"/>
      <c r="O184"/>
      <c r="Q184" s="39">
        <f>Q16/Q7</f>
        <v>0.27830762516404017</v>
      </c>
      <c r="R184" s="16"/>
      <c r="S184" s="16">
        <f>S16/S7</f>
        <v>0.30600130188514263</v>
      </c>
      <c r="T184" s="16"/>
      <c r="V184"/>
      <c r="X184" s="16">
        <f>X16/X7</f>
        <v>0.30251813135619254</v>
      </c>
      <c r="Y184" s="16"/>
      <c r="Z184" s="16">
        <f>Z16/Z7</f>
        <v>0.30600083229296715</v>
      </c>
      <c r="AA184" s="16"/>
      <c r="AC184"/>
      <c r="AE184" s="39" t="e">
        <f>AE16/AE7</f>
        <v>#DIV/0!</v>
      </c>
      <c r="AF184" s="16"/>
      <c r="AG184" s="16">
        <f>AG16/AG7</f>
        <v>0.30599927928324444</v>
      </c>
      <c r="AH184" s="16"/>
      <c r="AJ184"/>
      <c r="AL184" s="39" t="e">
        <f>AL16/AL7</f>
        <v>#DIV/0!</v>
      </c>
      <c r="AM184" s="16"/>
      <c r="AN184" s="16">
        <f>AN16/AN7</f>
        <v>0.30600065075550431</v>
      </c>
      <c r="AO184" s="16"/>
      <c r="AQ184"/>
      <c r="AS184" s="39" t="e">
        <f>AS16/AS7</f>
        <v>#DIV/0!</v>
      </c>
      <c r="AT184" s="16"/>
      <c r="AU184" s="16">
        <f>AU16/AU7</f>
        <v>0.30599974751194059</v>
      </c>
      <c r="AV184" s="16"/>
      <c r="AX184"/>
      <c r="AZ184" s="39" t="e">
        <f>AZ16/AZ7</f>
        <v>#DIV/0!</v>
      </c>
      <c r="BA184" s="16"/>
      <c r="BB184" s="16">
        <f>BB16/BB7</f>
        <v>0.30599988118142224</v>
      </c>
      <c r="BC184" s="16"/>
      <c r="BE184"/>
      <c r="BG184" s="39" t="e">
        <f>BG16/BG7</f>
        <v>#DIV/0!</v>
      </c>
      <c r="BH184" s="43"/>
      <c r="BI184" s="39">
        <f>BI16/BI7</f>
        <v>0.30600135798277833</v>
      </c>
      <c r="BJ184" s="43"/>
      <c r="BL184" s="72"/>
      <c r="BN184" s="39">
        <f>BN16/BN7</f>
        <v>0.32964312007953356</v>
      </c>
      <c r="BO184" s="43"/>
      <c r="BP184" s="39">
        <f>BP16/BP7</f>
        <v>0.30599934576382076</v>
      </c>
      <c r="BQ184" s="43"/>
      <c r="BS184" s="72"/>
      <c r="BU184" s="39">
        <f>BU16/BU7</f>
        <v>0.32612633372387007</v>
      </c>
      <c r="BV184" s="43"/>
      <c r="BW184" s="39">
        <f>BW16/BW7</f>
        <v>0.30700160455651543</v>
      </c>
      <c r="BX184" s="43"/>
      <c r="BZ184" s="72"/>
      <c r="CB184" s="39">
        <f>CB16/CB7</f>
        <v>0.32713190796017322</v>
      </c>
      <c r="CC184" s="43"/>
      <c r="CD184" s="39">
        <f>CD16/CD7</f>
        <v>0.30619683449217067</v>
      </c>
      <c r="CE184" s="43"/>
      <c r="CG184" s="72"/>
      <c r="CI184" s="39">
        <f>CI16/CI7</f>
        <v>0.3294284588624089</v>
      </c>
      <c r="CJ184" s="43"/>
      <c r="CK184" s="39">
        <f>CK16/CK7</f>
        <v>0.30699758566900814</v>
      </c>
      <c r="CL184" s="43"/>
      <c r="CN184" s="72"/>
      <c r="CP184" s="39">
        <f>CP16/CP7</f>
        <v>0.3306365524825558</v>
      </c>
      <c r="CQ184" s="43"/>
      <c r="CR184" s="39">
        <f>CR16/CR7</f>
        <v>0.30699890609222485</v>
      </c>
      <c r="CS184" s="43"/>
      <c r="CU184" s="72"/>
      <c r="CW184" s="39">
        <f>CW16/CW7</f>
        <v>0.33878017052249831</v>
      </c>
      <c r="CX184" s="43"/>
      <c r="CY184" s="39">
        <f>CY16/CY7</f>
        <v>0.30700183654729107</v>
      </c>
      <c r="CZ184" s="43"/>
      <c r="DB184" s="72"/>
      <c r="DD184" s="39">
        <f>DD16/DD7</f>
        <v>0.3361577595047453</v>
      </c>
      <c r="DE184" s="43"/>
      <c r="DF184" s="39">
        <f>DF16/DF7</f>
        <v>0.30699934123847167</v>
      </c>
      <c r="DG184" s="43"/>
      <c r="DI184" s="72"/>
      <c r="DK184" s="39">
        <f>DK16/DK7</f>
        <v>0.33290918917513945</v>
      </c>
      <c r="DL184" s="78"/>
      <c r="DM184" s="16">
        <f>DM16/DM7</f>
        <v>0.30699933943266089</v>
      </c>
      <c r="DN184" s="78"/>
      <c r="DP184" s="80"/>
      <c r="DR184" s="39">
        <f>DR16/DR7</f>
        <v>0.3196292622789525</v>
      </c>
      <c r="DS184" s="16"/>
      <c r="DT184" s="16">
        <f>DT16/DT7</f>
        <v>0.30626593200791141</v>
      </c>
      <c r="DU184" s="16"/>
      <c r="DW184"/>
    </row>
    <row r="185" spans="1:129">
      <c r="A185" s="29" t="s">
        <v>27</v>
      </c>
      <c r="B185" s="29"/>
      <c r="C185" s="16">
        <f>C17/C8</f>
        <v>0.23051238042353417</v>
      </c>
      <c r="D185" s="16"/>
      <c r="E185" s="16">
        <f>E17/E8</f>
        <v>0.25499653133361966</v>
      </c>
      <c r="F185" s="16"/>
      <c r="H185"/>
      <c r="J185" s="16">
        <f>J17/J8</f>
        <v>0.23506653529753921</v>
      </c>
      <c r="K185" s="16"/>
      <c r="L185" s="16">
        <f>L17/L8</f>
        <v>0.25499737607938555</v>
      </c>
      <c r="M185" s="16"/>
      <c r="O185"/>
      <c r="Q185" s="39">
        <f>Q17/Q8</f>
        <v>0.24621788250484183</v>
      </c>
      <c r="R185" s="16"/>
      <c r="S185" s="16">
        <f>S17/S8</f>
        <v>0.25499621009040319</v>
      </c>
      <c r="T185" s="16"/>
      <c r="V185"/>
      <c r="X185" s="16">
        <f>X17/X8</f>
        <v>0.23653068013963868</v>
      </c>
      <c r="Y185" s="16"/>
      <c r="Z185" s="16">
        <f>Z17/Z8</f>
        <v>0.25499667416299771</v>
      </c>
      <c r="AA185" s="16"/>
      <c r="AC185"/>
      <c r="AE185" s="39" t="e">
        <f>AE17/AE8</f>
        <v>#DIV/0!</v>
      </c>
      <c r="AF185" s="16"/>
      <c r="AG185" s="16">
        <f>AG17/AG8</f>
        <v>0.25500541762849199</v>
      </c>
      <c r="AH185" s="16"/>
      <c r="AJ185"/>
      <c r="AL185" s="39" t="e">
        <f>AL17/AL8</f>
        <v>#DIV/0!</v>
      </c>
      <c r="AM185" s="16"/>
      <c r="AN185" s="16">
        <f>AN17/AN8</f>
        <v>0.25500610997963341</v>
      </c>
      <c r="AO185" s="16"/>
      <c r="AQ185"/>
      <c r="AS185" s="39" t="e">
        <f>AS17/AS8</f>
        <v>#DIV/0!</v>
      </c>
      <c r="AT185" s="16"/>
      <c r="AU185" s="16">
        <f>AU17/AU8</f>
        <v>0.25499587118084227</v>
      </c>
      <c r="AV185" s="16"/>
      <c r="AX185"/>
      <c r="AZ185" s="39" t="e">
        <f>AZ17/AZ8</f>
        <v>#DIV/0!</v>
      </c>
      <c r="BA185" s="16"/>
      <c r="BB185" s="16">
        <f>BB17/BB8</f>
        <v>0.25500232180777521</v>
      </c>
      <c r="BC185" s="16"/>
      <c r="BE185"/>
      <c r="BG185" s="39" t="e">
        <f>BG17/BG8</f>
        <v>#DIV/0!</v>
      </c>
      <c r="BH185" s="43"/>
      <c r="BI185" s="39">
        <f>BI17/BI8</f>
        <v>0.25499552201553349</v>
      </c>
      <c r="BJ185" s="43"/>
      <c r="BL185" s="72"/>
      <c r="BN185" s="39">
        <f>BN17/BN8</f>
        <v>0.27441916806964234</v>
      </c>
      <c r="BO185" s="43"/>
      <c r="BP185" s="39">
        <f>BP17/BP8</f>
        <v>0.25499335215644092</v>
      </c>
      <c r="BQ185" s="43"/>
      <c r="BS185" s="72"/>
      <c r="BU185" s="39">
        <f>BU17/BU8</f>
        <v>0.25424221953403608</v>
      </c>
      <c r="BV185" s="43"/>
      <c r="BW185" s="39">
        <f>BW17/BW8</f>
        <v>0.24798531061919821</v>
      </c>
      <c r="BX185" s="43"/>
      <c r="BZ185" s="72"/>
      <c r="CB185" s="39">
        <f>CB17/CB8</f>
        <v>0.26298863464430977</v>
      </c>
      <c r="CC185" s="43"/>
      <c r="CD185" s="39">
        <f>CD17/CD8</f>
        <v>0.25374105400130126</v>
      </c>
      <c r="CE185" s="43"/>
      <c r="CG185" s="72"/>
      <c r="CI185" s="39">
        <f>CI17/CI8</f>
        <v>0.23467445016933072</v>
      </c>
      <c r="CJ185" s="43"/>
      <c r="CK185" s="39">
        <f>CK17/CK8</f>
        <v>0.24798906304645027</v>
      </c>
      <c r="CL185" s="43"/>
      <c r="CN185" s="72"/>
      <c r="CP185" s="39">
        <f>CP17/CP8</f>
        <v>0.26135560150266463</v>
      </c>
      <c r="CQ185" s="43"/>
      <c r="CR185" s="39">
        <f>CR17/CR8</f>
        <v>0.24799730730393807</v>
      </c>
      <c r="CS185" s="43"/>
      <c r="CU185" s="72"/>
      <c r="CW185" s="39">
        <f>CW17/CW8</f>
        <v>0.24765996960999492</v>
      </c>
      <c r="CX185" s="43"/>
      <c r="CY185" s="39">
        <f>CY17/CY8</f>
        <v>0.24800734618916437</v>
      </c>
      <c r="CZ185" s="43"/>
      <c r="DB185" s="72"/>
      <c r="DD185" s="39">
        <f>DD17/DD8</f>
        <v>0.22834203919078813</v>
      </c>
      <c r="DE185" s="43"/>
      <c r="DF185" s="39">
        <f>DF17/DF8</f>
        <v>0.24800618346625444</v>
      </c>
      <c r="DG185" s="43"/>
      <c r="DI185" s="72"/>
      <c r="DK185" s="39">
        <f>DK17/DK8</f>
        <v>0.24466462008169565</v>
      </c>
      <c r="DL185" s="78"/>
      <c r="DM185" s="16">
        <f>DM17/DM8</f>
        <v>0.24799958922046025</v>
      </c>
      <c r="DN185" s="78"/>
      <c r="DP185" s="80"/>
      <c r="DR185" s="39">
        <f>DR17/DR8</f>
        <v>0.24505535849397128</v>
      </c>
      <c r="DS185" s="16"/>
      <c r="DT185" s="16">
        <f>DT17/DT8</f>
        <v>0.25328950113057047</v>
      </c>
      <c r="DU185" s="16"/>
      <c r="DW185"/>
    </row>
    <row r="186" spans="1:129">
      <c r="A186" s="29" t="s">
        <v>28</v>
      </c>
      <c r="B186" s="29"/>
      <c r="C186" s="16">
        <f>C18/C9</f>
        <v>0.21460985556882448</v>
      </c>
      <c r="D186" s="16"/>
      <c r="E186" s="16">
        <f>E18/E9</f>
        <v>0.19500000000000001</v>
      </c>
      <c r="F186" s="16"/>
      <c r="G186" s="15"/>
      <c r="H186"/>
      <c r="J186" s="16">
        <f>J18/J9</f>
        <v>0.30687432755685085</v>
      </c>
      <c r="K186" s="16"/>
      <c r="L186" s="16">
        <f>L18/L9</f>
        <v>0.19497936726272352</v>
      </c>
      <c r="M186" s="16"/>
      <c r="N186" s="15"/>
      <c r="O186"/>
      <c r="Q186" s="39">
        <f>Q18/Q9</f>
        <v>0.33027412917611354</v>
      </c>
      <c r="R186" s="16"/>
      <c r="S186" s="16">
        <f>S18/S9</f>
        <v>0.19496268656716417</v>
      </c>
      <c r="T186" s="16"/>
      <c r="U186" s="15"/>
      <c r="V186"/>
      <c r="X186" s="16">
        <f>X18/X9</f>
        <v>0.27769481720647093</v>
      </c>
      <c r="Y186" s="16"/>
      <c r="Z186" s="16">
        <f>Z18/Z9</f>
        <v>0.19497716894977168</v>
      </c>
      <c r="AA186" s="16"/>
      <c r="AB186" s="15"/>
      <c r="AC186"/>
      <c r="AE186" s="39" t="e">
        <f>AE18/AE9</f>
        <v>#DIV/0!</v>
      </c>
      <c r="AF186" s="16"/>
      <c r="AG186" s="16">
        <f>AG18/AG9</f>
        <v>0.19504188363142405</v>
      </c>
      <c r="AH186" s="16"/>
      <c r="AI186" s="15"/>
      <c r="AJ186"/>
      <c r="AL186" s="39" t="e">
        <f>AL18/AL9</f>
        <v>#DIV/0!</v>
      </c>
      <c r="AM186" s="16"/>
      <c r="AN186" s="16">
        <f>AN18/AN9</f>
        <v>0.19495008807985909</v>
      </c>
      <c r="AO186" s="16"/>
      <c r="AP186" s="15"/>
      <c r="AQ186"/>
      <c r="AS186" s="39" t="e">
        <f>AS18/AS9</f>
        <v>#DIV/0!</v>
      </c>
      <c r="AT186" s="16"/>
      <c r="AU186" s="16">
        <f>AU18/AU9</f>
        <v>0.19502164502164501</v>
      </c>
      <c r="AV186" s="16"/>
      <c r="AW186" s="15"/>
      <c r="AX186"/>
      <c r="AZ186" s="39" t="e">
        <f>AZ18/AZ9</f>
        <v>#DIV/0!</v>
      </c>
      <c r="BA186" s="16"/>
      <c r="BB186" s="16">
        <f>BB18/BB9</f>
        <v>0.19500545338297792</v>
      </c>
      <c r="BC186" s="16"/>
      <c r="BD186" s="15"/>
      <c r="BE186"/>
      <c r="BG186" s="39" t="e">
        <f>BG18/BG9</f>
        <v>#DIV/0!</v>
      </c>
      <c r="BH186" s="43"/>
      <c r="BI186" s="39">
        <f>BI18/BI9</f>
        <v>0.19504709493068051</v>
      </c>
      <c r="BJ186" s="43"/>
      <c r="BK186" s="57"/>
      <c r="BL186" s="72"/>
      <c r="BN186" s="39">
        <f>BN18/BN9</f>
        <v>0.37029863200748481</v>
      </c>
      <c r="BO186" s="43"/>
      <c r="BP186" s="39">
        <f>BP18/BP9</f>
        <v>0.19502476846866251</v>
      </c>
      <c r="BQ186" s="43"/>
      <c r="BR186" s="57"/>
      <c r="BS186" s="72"/>
      <c r="BU186" s="39">
        <f>BU18/BU9</f>
        <v>0.31753982783469015</v>
      </c>
      <c r="BV186" s="43"/>
      <c r="BW186" s="39">
        <f>BW18/BW9</f>
        <v>0.19483168990139407</v>
      </c>
      <c r="BX186" s="43"/>
      <c r="BY186" s="57"/>
      <c r="BZ186" s="72"/>
      <c r="CB186" s="39">
        <f>CB18/CB9</f>
        <v>0.34049486759156372</v>
      </c>
      <c r="CC186" s="43"/>
      <c r="CD186" s="39">
        <f>CD18/CD9</f>
        <v>0.19500830411515041</v>
      </c>
      <c r="CE186" s="43"/>
      <c r="CF186" s="57"/>
      <c r="CG186" s="72"/>
      <c r="CI186" s="39">
        <f>CI18/CI9</f>
        <v>0.39456870855188669</v>
      </c>
      <c r="CJ186" s="43"/>
      <c r="CK186" s="39">
        <f>CK18/CK9</f>
        <v>0.19491255961844198</v>
      </c>
      <c r="CL186" s="43"/>
      <c r="CM186" s="57"/>
      <c r="CN186" s="72"/>
      <c r="CP186" s="39">
        <f>CP18/CP9</f>
        <v>0.1848790832078934</v>
      </c>
      <c r="CQ186" s="43"/>
      <c r="CR186" s="39">
        <f>CR18/CR9</f>
        <v>0.19488387748232919</v>
      </c>
      <c r="CS186" s="43"/>
      <c r="CT186" s="57"/>
      <c r="CU186" s="72"/>
      <c r="CW186" s="39">
        <f>CW18/CW9</f>
        <v>0.22478557745243843</v>
      </c>
      <c r="CX186" s="43"/>
      <c r="CY186" s="39">
        <f>CY18/CY9</f>
        <v>0.19500550863018729</v>
      </c>
      <c r="CZ186" s="43"/>
      <c r="DA186" s="57"/>
      <c r="DB186" s="72"/>
      <c r="DD186" s="39">
        <f>DD18/DD9</f>
        <v>0.18353021282695658</v>
      </c>
      <c r="DE186" s="43"/>
      <c r="DF186" s="39">
        <f>DF18/DF9</f>
        <v>0.19501054111033028</v>
      </c>
      <c r="DG186" s="43"/>
      <c r="DH186" s="57"/>
      <c r="DI186" s="72"/>
      <c r="DK186" s="39">
        <f>DK18/DK9</f>
        <v>0.2468145596486811</v>
      </c>
      <c r="DL186" s="78"/>
      <c r="DM186" s="16">
        <f>DM18/DM9</f>
        <v>0.1949507916131793</v>
      </c>
      <c r="DN186" s="78"/>
      <c r="DO186" s="15"/>
      <c r="DP186" s="80"/>
      <c r="DR186" s="39">
        <f>DR18/DR9</f>
        <v>0.27264778680572799</v>
      </c>
      <c r="DS186" s="16"/>
      <c r="DT186" s="16">
        <f>DT18/DT9</f>
        <v>0.19499160965535045</v>
      </c>
      <c r="DU186" s="16"/>
      <c r="DV186" s="15"/>
      <c r="DW186"/>
    </row>
    <row r="187" spans="1:129">
      <c r="A187" s="5" t="s">
        <v>165</v>
      </c>
      <c r="B187" s="5"/>
      <c r="C187" s="18">
        <f>(C16+C18+C17)/(C7+C9+C8)</f>
        <v>0.3017779201922246</v>
      </c>
      <c r="D187" s="16"/>
      <c r="E187" s="18">
        <f>(E16+E18+E17)/(E7+E9+E8)</f>
        <v>0.29630058472760956</v>
      </c>
      <c r="F187" s="16"/>
      <c r="G187" s="21"/>
      <c r="H187"/>
      <c r="J187" s="18">
        <f>(J16+J18+J17)/(J7+J9+J8)</f>
        <v>0.29805195305463061</v>
      </c>
      <c r="K187" s="16"/>
      <c r="L187" s="18">
        <f>(L16+L18+L17)/(L7+L9+L8)</f>
        <v>0.29630377982929801</v>
      </c>
      <c r="M187" s="16"/>
      <c r="N187" s="21">
        <f>(L187-J187)*(J7+J9)</f>
        <v>-459.61335898479183</v>
      </c>
      <c r="O187"/>
      <c r="Q187" s="38">
        <f>(Q16+Q18+Q17)/(Q7+Q9+Q8)</f>
        <v>0.27440244429468358</v>
      </c>
      <c r="R187" s="16"/>
      <c r="S187" s="18">
        <f>(S16+S18+S17)/(S7+S9+S8)</f>
        <v>0.29630269616445903</v>
      </c>
      <c r="T187" s="16"/>
      <c r="U187" s="21">
        <f>(S187-Q187)*(Q7+Q9)</f>
        <v>4119.006598750485</v>
      </c>
      <c r="V187"/>
      <c r="X187" s="18">
        <f>(X16+X18+X17)/(X7+X9+X8)</f>
        <v>0.29297583189958659</v>
      </c>
      <c r="Y187" s="16"/>
      <c r="Z187" s="18">
        <f>(Z16+Z18+Z17)/(Z7+Z9+Z8)</f>
        <v>0.29630254977425802</v>
      </c>
      <c r="AA187" s="16"/>
      <c r="AB187" s="21">
        <f>(Z187-X187)*(X7+X9)</f>
        <v>2321.0634698159261</v>
      </c>
      <c r="AC187"/>
      <c r="AE187" s="38" t="e">
        <f>(AE16+AE18+AE17)/(AE7+AE9+AE8)</f>
        <v>#DIV/0!</v>
      </c>
      <c r="AF187" s="16"/>
      <c r="AG187" s="18">
        <f>(AG16+AG18+AG17)/(AG7+AG9+AG8)</f>
        <v>0.29630402575898651</v>
      </c>
      <c r="AH187" s="16"/>
      <c r="AI187" s="21" t="e">
        <f>(AG187-AE187)*(AE7+AE9)</f>
        <v>#DIV/0!</v>
      </c>
      <c r="AJ187"/>
      <c r="AL187" s="38" t="e">
        <f>(AL16+AL18+AL17)/(AL7+AL9+AL8)</f>
        <v>#DIV/0!</v>
      </c>
      <c r="AM187" s="16"/>
      <c r="AN187" s="18">
        <f>(AN16+AN18+AN17)/(AN7+AN9+AN8)</f>
        <v>0.29630317047866517</v>
      </c>
      <c r="AO187" s="16"/>
      <c r="AP187" s="21"/>
      <c r="AQ187"/>
      <c r="AS187" s="38" t="e">
        <f>(AS16+AS18+AS17)/(AS7+AS9+AS8)</f>
        <v>#DIV/0!</v>
      </c>
      <c r="AT187" s="16"/>
      <c r="AU187" s="18">
        <f>(AU16+AU18+AU17)/(AU7+AU9+AU8)</f>
        <v>0.29630246831016027</v>
      </c>
      <c r="AV187" s="16"/>
      <c r="AW187" s="21" t="e">
        <f>(AU187-AS187)*(AS7+AS9)</f>
        <v>#DIV/0!</v>
      </c>
      <c r="AX187"/>
      <c r="AZ187" s="38" t="e">
        <f>(AZ16+AZ18+AZ17)/(AZ7+AZ9+AZ8)</f>
        <v>#DIV/0!</v>
      </c>
      <c r="BA187" s="16"/>
      <c r="BB187" s="18">
        <f>(BB16+BB18+BB17)/(BB7+BB9+BB8)</f>
        <v>0.29630321064041359</v>
      </c>
      <c r="BC187" s="16"/>
      <c r="BD187" s="21" t="e">
        <f>(BB187-AZ187)*(AZ7+AZ9)</f>
        <v>#DIV/0!</v>
      </c>
      <c r="BE187"/>
      <c r="BG187" s="38" t="e">
        <f>(BG16+BG18+BG17)/(BG7+BG9+BG8)</f>
        <v>#DIV/0!</v>
      </c>
      <c r="BH187" s="43"/>
      <c r="BI187" s="38">
        <f>(BI16+BI18+BI17)/(BI7+BI9+BI8)</f>
        <v>0.29630423781873699</v>
      </c>
      <c r="BJ187" s="43"/>
      <c r="BK187" s="46" t="e">
        <f>(BI187-BG187)*(BG7+BG9)</f>
        <v>#DIV/0!</v>
      </c>
      <c r="BL187" s="72"/>
      <c r="BN187" s="38">
        <f>(BN16+BN18+BN17)/(BN7+BN9+BN8)</f>
        <v>0.32202091575288089</v>
      </c>
      <c r="BO187" s="43"/>
      <c r="BP187" s="38">
        <f>(BP16+BP18+BP17)/(BP7+BP9+BP8)</f>
        <v>0.29630195265626702</v>
      </c>
      <c r="BQ187" s="43"/>
      <c r="BR187" s="46">
        <f>(BP187-BN187)*(BN7+BN9)</f>
        <v>-3640.290327554133</v>
      </c>
      <c r="BS187" s="72"/>
      <c r="BU187" s="38">
        <f>(BU16+BU18+BU17)/(BU7+BU9+BU8)</f>
        <v>0.31660884762204372</v>
      </c>
      <c r="BV187" s="43"/>
      <c r="BW187" s="38">
        <f>(BW16+BW18+BW17)/(BW7+BW9+BW8)</f>
        <v>0.29763696704811304</v>
      </c>
      <c r="BX187" s="43"/>
      <c r="BY187" s="46">
        <f>(BW187-BU187)*(BU7+BU9)</f>
        <v>-4000.6070967829628</v>
      </c>
      <c r="BZ187" s="72"/>
      <c r="CB187" s="38">
        <f>(CB16+CB18+CB17)/(CB7+CB9+CB8)</f>
        <v>0.31846111618478079</v>
      </c>
      <c r="CC187" s="43"/>
      <c r="CD187" s="38">
        <f>(CD16+CD18+CD17)/(CD7+CD9+CD8)</f>
        <v>0.29655998588998733</v>
      </c>
      <c r="CE187" s="43"/>
      <c r="CF187" s="46">
        <f>(CD187-CB187)*(CB7+CB9)</f>
        <v>-7718.2090838270915</v>
      </c>
      <c r="CG187" s="72"/>
      <c r="CI187" s="38">
        <f>(CI16+CI18+CI17)/(CI7+CI9+CI8)</f>
        <v>0.31673154398754694</v>
      </c>
      <c r="CJ187" s="43"/>
      <c r="CK187" s="38">
        <f>(CK16+CK18+CK17)/(CK7+CK9+CK8)</f>
        <v>0.29763539865025268</v>
      </c>
      <c r="CL187" s="43"/>
      <c r="CM187" s="46">
        <f>(CK187-CI187)*(CI7+CI9)</f>
        <v>-4343.5597594045284</v>
      </c>
      <c r="CN187" s="72"/>
      <c r="CP187" s="38">
        <f>(CP16+CP18+CP17)/(CP7+CP9+CP8)</f>
        <v>0.31828212289765495</v>
      </c>
      <c r="CQ187" s="43"/>
      <c r="CR187" s="38">
        <f>(CR16+CR18+CR17)/(CR7+CR9+CR8)</f>
        <v>0.29763715920565464</v>
      </c>
      <c r="CS187" s="43"/>
      <c r="CT187" s="46">
        <f>(CR187-CP187)*(CP7+CP9)</f>
        <v>-4374.9809904340718</v>
      </c>
      <c r="CU187" s="72"/>
      <c r="CW187" s="38">
        <f>(CW16+CW18+CW17)/(CW7+CW9+CW8)</f>
        <v>0.32249471376520111</v>
      </c>
      <c r="CX187" s="43"/>
      <c r="CY187" s="38">
        <f>(CY16+CY18+CY17)/(CY7+CY9+CY8)</f>
        <v>0.29764236879738282</v>
      </c>
      <c r="CZ187" s="43"/>
      <c r="DA187" s="46">
        <f>(CY187-CW187)*(CW7+CW9)</f>
        <v>-4080.3949332371799</v>
      </c>
      <c r="DB187" s="72"/>
      <c r="DD187" s="38">
        <f>(DD16+DD18+DD17)/(DD7+DD9+DD8)</f>
        <v>0.31697848767210357</v>
      </c>
      <c r="DE187" s="43"/>
      <c r="DF187" s="38">
        <f>(DF16+DF18+DF17)/(DF7+DF9+DF8)</f>
        <v>0.29764040680379822</v>
      </c>
      <c r="DG187" s="43"/>
      <c r="DH187" s="46">
        <f>(DF187-DD187)*(DD7+DD9)</f>
        <v>-1891.9227705738292</v>
      </c>
      <c r="DI187" s="72"/>
      <c r="DK187" s="38">
        <f>(DK16+DK18+DK17)/(DK7+DK9+DK8)</f>
        <v>0.31859256216013759</v>
      </c>
      <c r="DL187" s="78"/>
      <c r="DM187" s="18">
        <f>(DM16+DM18+DM17)/(DM7+DM9+DM8)</f>
        <v>0.29763869015424849</v>
      </c>
      <c r="DN187" s="78"/>
      <c r="DO187" s="21">
        <f>(DM187-DK187)*(DK7+DK9)</f>
        <v>-14696.881127496654</v>
      </c>
      <c r="DP187" s="80"/>
      <c r="DR187" s="38">
        <f>(DR16+DR18+DR17)/(DR7+DR9+DR8)</f>
        <v>0.30838771723481595</v>
      </c>
      <c r="DS187" s="16"/>
      <c r="DT187" s="18">
        <f>(DT16+DT18+DT17)/(DT7+DT9+DT8)</f>
        <v>0.29665186295928547</v>
      </c>
      <c r="DU187" s="16"/>
      <c r="DV187" s="21">
        <f>(DT187-DR187)*(DR7+DR9)</f>
        <v>-20555.434670044928</v>
      </c>
      <c r="DW187"/>
    </row>
    <row r="188" spans="1:129">
      <c r="A188" s="5"/>
      <c r="B188" s="5"/>
      <c r="C188" s="16"/>
      <c r="D188" s="16"/>
      <c r="E188" s="16"/>
      <c r="F188" s="16"/>
      <c r="G188" s="15"/>
      <c r="H188"/>
      <c r="J188" s="16"/>
      <c r="K188" s="16"/>
      <c r="L188" s="16"/>
      <c r="M188" s="16"/>
      <c r="N188" s="15"/>
      <c r="O188"/>
      <c r="Q188" s="39"/>
      <c r="R188" s="16"/>
      <c r="S188" s="16"/>
      <c r="T188" s="16"/>
      <c r="U188" s="15"/>
      <c r="V188"/>
      <c r="X188" s="16"/>
      <c r="Y188" s="16"/>
      <c r="Z188" s="16"/>
      <c r="AA188" s="16"/>
      <c r="AB188" s="15"/>
      <c r="AC188"/>
      <c r="AE188" s="39"/>
      <c r="AF188" s="16"/>
      <c r="AG188" s="16"/>
      <c r="AH188" s="16"/>
      <c r="AI188" s="15"/>
      <c r="AJ188"/>
      <c r="AL188" s="39"/>
      <c r="AM188" s="16"/>
      <c r="AN188" s="16"/>
      <c r="AO188" s="16"/>
      <c r="AP188" s="15"/>
      <c r="AQ188"/>
      <c r="AS188" s="39"/>
      <c r="AT188" s="16"/>
      <c r="AU188" s="16"/>
      <c r="AV188" s="16"/>
      <c r="AW188" s="15"/>
      <c r="AX188"/>
      <c r="AZ188" s="39"/>
      <c r="BA188" s="16"/>
      <c r="BB188" s="16"/>
      <c r="BC188" s="16"/>
      <c r="BD188" s="15"/>
      <c r="BE188"/>
      <c r="BG188" s="39"/>
      <c r="BH188" s="43"/>
      <c r="BI188" s="39"/>
      <c r="BJ188" s="43"/>
      <c r="BK188" s="57"/>
      <c r="BL188" s="72"/>
      <c r="BN188" s="39"/>
      <c r="BO188" s="43"/>
      <c r="BP188" s="39"/>
      <c r="BQ188" s="43"/>
      <c r="BR188" s="57"/>
      <c r="BS188" s="72"/>
      <c r="BU188" s="39"/>
      <c r="BV188" s="43"/>
      <c r="BW188" s="39"/>
      <c r="BX188" s="43"/>
      <c r="BY188" s="57"/>
      <c r="BZ188" s="72"/>
      <c r="CB188" s="39"/>
      <c r="CC188" s="43"/>
      <c r="CD188" s="39"/>
      <c r="CE188" s="43"/>
      <c r="CF188" s="57"/>
      <c r="CG188" s="72"/>
      <c r="CI188" s="39"/>
      <c r="CJ188" s="43"/>
      <c r="CK188" s="39"/>
      <c r="CL188" s="43"/>
      <c r="CM188" s="57"/>
      <c r="CN188" s="72"/>
      <c r="CP188" s="39"/>
      <c r="CQ188" s="43"/>
      <c r="CR188" s="39"/>
      <c r="CS188" s="43"/>
      <c r="CT188" s="57"/>
      <c r="CU188" s="72"/>
      <c r="CW188" s="39"/>
      <c r="CX188" s="43"/>
      <c r="CY188" s="39"/>
      <c r="CZ188" s="43"/>
      <c r="DA188" s="57"/>
      <c r="DB188" s="72"/>
      <c r="DD188" s="39"/>
      <c r="DE188" s="43"/>
      <c r="DF188" s="39"/>
      <c r="DG188" s="43"/>
      <c r="DH188" s="57"/>
      <c r="DI188" s="72"/>
      <c r="DK188" s="39"/>
      <c r="DL188" s="78"/>
      <c r="DM188" s="16"/>
      <c r="DN188" s="78"/>
      <c r="DO188" s="15"/>
      <c r="DP188" s="80"/>
      <c r="DR188" s="39"/>
      <c r="DS188" s="16"/>
      <c r="DT188" s="16"/>
      <c r="DU188" s="16"/>
      <c r="DV188" s="15"/>
      <c r="DW188"/>
    </row>
    <row r="189" spans="1:129">
      <c r="A189" s="5" t="s">
        <v>166</v>
      </c>
      <c r="B189" s="5"/>
      <c r="C189" s="16"/>
      <c r="D189" s="16"/>
      <c r="E189" s="16"/>
      <c r="F189" s="16"/>
      <c r="G189" s="15"/>
      <c r="J189" s="16"/>
      <c r="K189" s="16"/>
      <c r="L189" s="16"/>
      <c r="M189" s="16"/>
      <c r="N189" s="15"/>
      <c r="Q189" s="39"/>
      <c r="R189" s="16"/>
      <c r="S189" s="16"/>
      <c r="T189" s="16"/>
      <c r="U189" s="15"/>
      <c r="X189" s="16"/>
      <c r="Y189" s="16"/>
      <c r="Z189" s="16"/>
      <c r="AA189" s="16"/>
      <c r="AB189" s="15"/>
      <c r="AE189" s="39"/>
      <c r="AF189" s="16"/>
      <c r="AG189" s="16"/>
      <c r="AH189" s="16"/>
      <c r="AI189" s="15"/>
      <c r="AL189" s="39"/>
      <c r="AM189" s="16"/>
      <c r="AN189" s="16"/>
      <c r="AO189" s="16"/>
      <c r="AP189" s="15"/>
      <c r="AS189" s="39"/>
      <c r="AT189" s="16"/>
      <c r="AU189" s="16"/>
      <c r="AV189" s="16"/>
      <c r="AW189" s="15"/>
      <c r="AZ189" s="39"/>
      <c r="BA189" s="16"/>
      <c r="BB189" s="16"/>
      <c r="BC189" s="16"/>
      <c r="BD189" s="15"/>
      <c r="BG189" s="39"/>
      <c r="BH189" s="43"/>
      <c r="BI189" s="39"/>
      <c r="BJ189" s="43"/>
      <c r="BK189" s="57"/>
      <c r="BN189" s="39"/>
      <c r="BO189" s="43"/>
      <c r="BP189" s="39"/>
      <c r="BQ189" s="43"/>
      <c r="BR189" s="57"/>
      <c r="BU189" s="39"/>
      <c r="BV189" s="43"/>
      <c r="BW189" s="39"/>
      <c r="BX189" s="43"/>
      <c r="BY189" s="57"/>
      <c r="CB189" s="39"/>
      <c r="CC189" s="43"/>
      <c r="CD189" s="39"/>
      <c r="CE189" s="43"/>
      <c r="CF189" s="57"/>
      <c r="CI189" s="39"/>
      <c r="CJ189" s="43"/>
      <c r="CK189" s="39"/>
      <c r="CL189" s="43"/>
      <c r="CM189" s="57"/>
      <c r="CP189" s="39"/>
      <c r="CQ189" s="43"/>
      <c r="CR189" s="39"/>
      <c r="CS189" s="43"/>
      <c r="CT189" s="57"/>
      <c r="CW189" s="39"/>
      <c r="CX189" s="43"/>
      <c r="CY189" s="39"/>
      <c r="CZ189" s="43"/>
      <c r="DA189" s="57"/>
      <c r="DD189" s="39"/>
      <c r="DE189" s="43"/>
      <c r="DF189" s="39"/>
      <c r="DG189" s="43"/>
      <c r="DH189" s="57"/>
      <c r="DK189" s="39"/>
      <c r="DL189" s="78"/>
      <c r="DM189" s="16"/>
      <c r="DN189" s="78"/>
      <c r="DO189" s="15"/>
      <c r="DR189" s="39"/>
      <c r="DS189" s="16"/>
      <c r="DT189" s="16"/>
      <c r="DU189" s="16"/>
      <c r="DV189" s="15"/>
    </row>
    <row r="190" spans="1:129">
      <c r="A190" s="29" t="s">
        <v>29</v>
      </c>
      <c r="B190" s="29"/>
      <c r="C190" s="16">
        <f>C19/C10</f>
        <v>0.2008955254834863</v>
      </c>
      <c r="D190" s="16"/>
      <c r="E190" s="16">
        <f>E19/E10</f>
        <v>0.20400345311319737</v>
      </c>
      <c r="F190" s="16"/>
      <c r="G190" s="15"/>
      <c r="J190" s="16">
        <f>J19/J10</f>
        <v>0.21372476968389009</v>
      </c>
      <c r="K190" s="16"/>
      <c r="L190" s="16">
        <f>L19/L10</f>
        <v>0.20398940314788841</v>
      </c>
      <c r="M190" s="16"/>
      <c r="N190" s="15">
        <f>(L190-J190)*J10</f>
        <v>-260.96185444911993</v>
      </c>
      <c r="Q190" s="39">
        <f>Q19/Q10</f>
        <v>0.19485910945829893</v>
      </c>
      <c r="R190" s="16"/>
      <c r="S190" s="16">
        <f>S19/S10</f>
        <v>0.20399166641504876</v>
      </c>
      <c r="T190" s="16"/>
      <c r="U190" s="15">
        <f>(S190-Q190)*Q10</f>
        <v>213.43032186962191</v>
      </c>
      <c r="X190" s="16">
        <f>X19/X10</f>
        <v>0.20362586739076499</v>
      </c>
      <c r="Y190" s="16"/>
      <c r="Z190" s="16">
        <f>Z19/Z10</f>
        <v>0.20399374038100904</v>
      </c>
      <c r="AA190" s="16"/>
      <c r="AB190" s="15">
        <f>(Z190-X190)*X10</f>
        <v>27.32728689489306</v>
      </c>
      <c r="AE190" s="39" t="e">
        <f>AE19/AE10</f>
        <v>#DIV/0!</v>
      </c>
      <c r="AF190" s="16"/>
      <c r="AG190" s="16">
        <f>AG19/AG10</f>
        <v>0.20399579390115669</v>
      </c>
      <c r="AH190" s="16"/>
      <c r="AI190" s="15" t="e">
        <f>(AG190-AE190)*AE10</f>
        <v>#DIV/0!</v>
      </c>
      <c r="AL190" s="39" t="e">
        <f>AL19/AL10</f>
        <v>#DIV/0!</v>
      </c>
      <c r="AM190" s="16"/>
      <c r="AN190" s="16">
        <f>AN19/AN10</f>
        <v>0.2039969131695894</v>
      </c>
      <c r="AO190" s="16"/>
      <c r="AP190" s="15"/>
      <c r="AS190" s="39" t="e">
        <f>AS19/AS10</f>
        <v>#DIV/0!</v>
      </c>
      <c r="AT190" s="16"/>
      <c r="AU190" s="16">
        <f>AU19/AU10</f>
        <v>0.20399205512370958</v>
      </c>
      <c r="AV190" s="16"/>
      <c r="AW190" s="15" t="e">
        <f>(AU190-AS190)*AS10</f>
        <v>#DIV/0!</v>
      </c>
      <c r="AZ190" s="39" t="e">
        <f>AZ19/AZ10</f>
        <v>#DIV/0!</v>
      </c>
      <c r="BA190" s="16"/>
      <c r="BB190" s="16">
        <f>BB19/BB10</f>
        <v>0.20399485304769452</v>
      </c>
      <c r="BC190" s="16"/>
      <c r="BD190" s="15" t="e">
        <f>(BB190-AZ190)*AZ10</f>
        <v>#DIV/0!</v>
      </c>
      <c r="BG190" s="39" t="e">
        <f>BG19/BG10</f>
        <v>#DIV/0!</v>
      </c>
      <c r="BH190" s="43"/>
      <c r="BI190" s="39">
        <f>BI19/BI10</f>
        <v>0.20399012061482388</v>
      </c>
      <c r="BJ190" s="43"/>
      <c r="BK190" s="57" t="e">
        <f>(BI190-BG190)*BG10</f>
        <v>#DIV/0!</v>
      </c>
      <c r="BN190" s="39">
        <f>BN19/BN10</f>
        <v>0.21058388112467546</v>
      </c>
      <c r="BO190" s="43"/>
      <c r="BP190" s="39">
        <f>BP19/BP10</f>
        <v>0.2040014639502257</v>
      </c>
      <c r="BQ190" s="43"/>
      <c r="BR190" s="57">
        <f>(BP190-BN190)*BN10</f>
        <v>-59.58074905453207</v>
      </c>
      <c r="BU190" s="39">
        <f>BU19/BU10</f>
        <v>0.24986171504681318</v>
      </c>
      <c r="BV190" s="43"/>
      <c r="BW190" s="39">
        <f>BW19/BW10</f>
        <v>0.20402380277699064</v>
      </c>
      <c r="BX190" s="43"/>
      <c r="BY190" s="57">
        <f>(BW190-BU190)*BU10</f>
        <v>-585.05219325587996</v>
      </c>
      <c r="CB190" s="39">
        <f>CB19/CB10</f>
        <v>0.23356451982580792</v>
      </c>
      <c r="CC190" s="43"/>
      <c r="CD190" s="39">
        <f>CD19/CD10</f>
        <v>0.20400067774311542</v>
      </c>
      <c r="CE190" s="43"/>
      <c r="CF190" s="57">
        <f>(CD190-CB190)*CB10</f>
        <v>-644.93521503393686</v>
      </c>
      <c r="CI190" s="39">
        <f>CI19/CI10</f>
        <v>0.21618397294901678</v>
      </c>
      <c r="CJ190" s="43"/>
      <c r="CK190" s="39">
        <f>CK19/CK10</f>
        <v>0.20400593471810088</v>
      </c>
      <c r="CL190" s="43"/>
      <c r="CM190" s="57">
        <f>(CK190-CI190)*CI10</f>
        <v>-185.47761127596462</v>
      </c>
      <c r="CP190" s="39">
        <f>CP19/CP10</f>
        <v>0.23346794871794871</v>
      </c>
      <c r="CQ190" s="43"/>
      <c r="CR190" s="39">
        <f>CR19/CR10</f>
        <v>0.20397172669134972</v>
      </c>
      <c r="CS190" s="43"/>
      <c r="CT190" s="57">
        <f>(CR190-CP190)*CP10</f>
        <v>-414.1269572534498</v>
      </c>
      <c r="CW190" s="39">
        <f>CW19/CW10</f>
        <v>0.21228910608666471</v>
      </c>
      <c r="CX190" s="43"/>
      <c r="CY190" s="39">
        <f>CY19/CY10</f>
        <v>0.20397918579736762</v>
      </c>
      <c r="CZ190" s="43"/>
      <c r="DA190" s="57">
        <f>(CY190-CW190)*CW10</f>
        <v>-99.050094888276604</v>
      </c>
      <c r="DD190" s="39">
        <f>DD19/DD10</f>
        <v>0.19941348259917255</v>
      </c>
      <c r="DE190" s="43"/>
      <c r="DF190" s="39">
        <f>DF19/DF10</f>
        <v>0.20400515282820003</v>
      </c>
      <c r="DG190" s="43"/>
      <c r="DH190" s="57">
        <f>(DF190-DD190)*DD10</f>
        <v>37.734345942147861</v>
      </c>
      <c r="DK190" s="39">
        <f>DK19/DK10</f>
        <v>0.2173664183937824</v>
      </c>
      <c r="DL190" s="78"/>
      <c r="DM190" s="16">
        <f>DM19/DM10</f>
        <v>0.20399081456547474</v>
      </c>
      <c r="DN190" s="78"/>
      <c r="DO190" s="15">
        <f>(DM190-DK190)*DK10</f>
        <v>-660.8618339490248</v>
      </c>
      <c r="DR190" s="39">
        <f>DR19/DR10</f>
        <v>0.21058010933726679</v>
      </c>
      <c r="DS190" s="16"/>
      <c r="DT190" s="16">
        <f>DT19/DT10</f>
        <v>0.20399544254428731</v>
      </c>
      <c r="DU190" s="16"/>
      <c r="DV190" s="15">
        <f>(DT190-DR190)*DR10</f>
        <v>-958.11886430613674</v>
      </c>
    </row>
    <row r="191" spans="1:129">
      <c r="A191" s="29" t="s">
        <v>30</v>
      </c>
      <c r="B191" s="29"/>
      <c r="C191" s="16">
        <f>C20/C11</f>
        <v>0.16659041598280225</v>
      </c>
      <c r="D191" s="16"/>
      <c r="E191" s="16">
        <f>E20/E11</f>
        <v>0.16799715259063405</v>
      </c>
      <c r="F191" s="16"/>
      <c r="G191" s="15"/>
      <c r="J191" s="16">
        <f>J20/J11</f>
        <v>0.16542496576452831</v>
      </c>
      <c r="K191" s="16"/>
      <c r="L191" s="16">
        <f>L20/L11</f>
        <v>0.16799148201861472</v>
      </c>
      <c r="M191" s="16"/>
      <c r="N191" s="15">
        <f>(L191-J191)*J11</f>
        <v>153.96261524057689</v>
      </c>
      <c r="Q191" s="39">
        <f>Q20/Q11</f>
        <v>0.15997946443205779</v>
      </c>
      <c r="R191" s="16"/>
      <c r="S191" s="16">
        <f>S20/S11</f>
        <v>0.16799931707594684</v>
      </c>
      <c r="T191" s="16"/>
      <c r="U191" s="15">
        <f>(S191-Q191)*Q11</f>
        <v>388.50395726033543</v>
      </c>
      <c r="X191" s="16">
        <f>X20/X11</f>
        <v>0.16416766970965815</v>
      </c>
      <c r="Y191" s="16"/>
      <c r="Z191" s="16">
        <f>Z20/Z11</f>
        <v>0.16799619727837262</v>
      </c>
      <c r="AA191" s="16"/>
      <c r="AB191" s="15">
        <f>(Z191-X191)*X11</f>
        <v>616.55863723620246</v>
      </c>
      <c r="AE191" s="39" t="e">
        <f>AE20/AE11</f>
        <v>#DIV/0!</v>
      </c>
      <c r="AF191" s="16"/>
      <c r="AG191" s="16">
        <f>AG20/AG11</f>
        <v>0.16800609085525758</v>
      </c>
      <c r="AH191" s="16"/>
      <c r="AI191" s="15" t="e">
        <f>(AG191-AE191)*AE11</f>
        <v>#DIV/0!</v>
      </c>
      <c r="AL191" s="39" t="e">
        <f>AL20/AL11</f>
        <v>#DIV/0!</v>
      </c>
      <c r="AM191" s="16"/>
      <c r="AN191" s="16">
        <f>AN20/AN11</f>
        <v>0.16800000000000001</v>
      </c>
      <c r="AO191" s="16"/>
      <c r="AP191" s="15"/>
      <c r="AS191" s="39" t="e">
        <f>AS20/AS11</f>
        <v>#DIV/0!</v>
      </c>
      <c r="AT191" s="16"/>
      <c r="AU191" s="16">
        <f>AU20/AU11</f>
        <v>0.16800314283733506</v>
      </c>
      <c r="AV191" s="16"/>
      <c r="AW191" s="15" t="e">
        <f>(AU191-AS191)*AS11</f>
        <v>#DIV/0!</v>
      </c>
      <c r="AZ191" s="39" t="e">
        <f>AZ20/AZ11</f>
        <v>#DIV/0!</v>
      </c>
      <c r="BA191" s="16"/>
      <c r="BB191" s="16">
        <f>BB20/BB11</f>
        <v>0.16800311592777151</v>
      </c>
      <c r="BC191" s="16"/>
      <c r="BD191" s="15" t="e">
        <f>(BB191-AZ191)*AZ11</f>
        <v>#DIV/0!</v>
      </c>
      <c r="BG191" s="39" t="e">
        <f>BG20/BG11</f>
        <v>#DIV/0!</v>
      </c>
      <c r="BH191" s="43"/>
      <c r="BI191" s="39">
        <f>BI20/BI11</f>
        <v>0.16799430527778719</v>
      </c>
      <c r="BJ191" s="43"/>
      <c r="BK191" s="57" t="e">
        <f>(BI191-BG191)*BG11</f>
        <v>#DIV/0!</v>
      </c>
      <c r="BN191" s="39">
        <f>BN20/BN11</f>
        <v>0.17890942025140008</v>
      </c>
      <c r="BO191" s="43"/>
      <c r="BP191" s="39">
        <f>BP20/BP11</f>
        <v>0.16800413888250174</v>
      </c>
      <c r="BQ191" s="43"/>
      <c r="BR191" s="57">
        <f>(BP191-BN191)*BN11</f>
        <v>-462.36811738330499</v>
      </c>
      <c r="BU191" s="39">
        <f>BU20/BU11</f>
        <v>0.13841872610607922</v>
      </c>
      <c r="BV191" s="43"/>
      <c r="BW191" s="39">
        <f>BW20/BW11</f>
        <v>0.1670029243080271</v>
      </c>
      <c r="BX191" s="43"/>
      <c r="BY191" s="57">
        <f>(BW191-BU191)*BU11</f>
        <v>1933.1393199283643</v>
      </c>
      <c r="CB191" s="39">
        <f>CB20/CB11</f>
        <v>0.15402151448446852</v>
      </c>
      <c r="CC191" s="43"/>
      <c r="CD191" s="39">
        <f>CD20/CD11</f>
        <v>0.16779904916300845</v>
      </c>
      <c r="CE191" s="43"/>
      <c r="CF191" s="57">
        <f>(CD191-CB191)*CB11</f>
        <v>1515.9173411173267</v>
      </c>
      <c r="CI191" s="39">
        <f>CI20/CI11</f>
        <v>0.13895486283838476</v>
      </c>
      <c r="CJ191" s="43"/>
      <c r="CK191" s="39">
        <f>CK20/CK11</f>
        <v>0.16700226795820175</v>
      </c>
      <c r="CL191" s="43"/>
      <c r="CM191" s="57">
        <f>(CK191-CI191)*CI11</f>
        <v>2094.5844214587005</v>
      </c>
      <c r="CP191" s="39">
        <f>CP20/CP11</f>
        <v>0.17659755765442597</v>
      </c>
      <c r="CQ191" s="43"/>
      <c r="CR191" s="39">
        <f>CR20/CR11</f>
        <v>0.16699203410748345</v>
      </c>
      <c r="CS191" s="43"/>
      <c r="CT191" s="57">
        <f>(CR191-CP191)*CP11</f>
        <v>-574.91267698866807</v>
      </c>
      <c r="CW191" s="39">
        <f>CW20/CW11</f>
        <v>0.17031663974151856</v>
      </c>
      <c r="CX191" s="43"/>
      <c r="CY191" s="39">
        <f>CY20/CY11</f>
        <v>0.16700132229785983</v>
      </c>
      <c r="CZ191" s="43"/>
      <c r="DA191" s="57">
        <f>(CY191-CW191)*CW11</f>
        <v>-153.91361232185668</v>
      </c>
      <c r="DD191" s="39">
        <f>DD20/DD11</f>
        <v>0.19789781559440897</v>
      </c>
      <c r="DE191" s="43"/>
      <c r="DF191" s="39">
        <f>DF20/DF11</f>
        <v>0.16700238909448634</v>
      </c>
      <c r="DG191" s="43"/>
      <c r="DH191" s="57">
        <f>(DF191-DD191)*DD11</f>
        <v>-738.36825315032604</v>
      </c>
      <c r="DK191" s="39">
        <f>DK20/DK11</f>
        <v>0.16393649405144287</v>
      </c>
      <c r="DL191" s="78"/>
      <c r="DM191" s="16">
        <f>DM20/DM11</f>
        <v>0.16699947511353522</v>
      </c>
      <c r="DN191" s="78"/>
      <c r="DO191" s="15">
        <f>(DM191-DK191)*DK11</f>
        <v>627.4712736484156</v>
      </c>
      <c r="DR191" s="39">
        <f>DR20/DR11</f>
        <v>0.16172250720004047</v>
      </c>
      <c r="DS191" s="16"/>
      <c r="DT191" s="16">
        <f>DT20/DT11</f>
        <v>0.16772853734121446</v>
      </c>
      <c r="DU191" s="16"/>
      <c r="DV191" s="15">
        <f>(DT191-DR191)*DR11</f>
        <v>2858.4371923050353</v>
      </c>
    </row>
    <row r="192" spans="1:129">
      <c r="A192" s="29" t="s">
        <v>31</v>
      </c>
      <c r="B192" s="29"/>
      <c r="C192" s="16">
        <f>C21/C12</f>
        <v>0.2051802037565672</v>
      </c>
      <c r="D192" s="16"/>
      <c r="E192" s="16">
        <f>E21/E12</f>
        <v>0.24097950097393564</v>
      </c>
      <c r="F192" s="16"/>
      <c r="G192" s="15"/>
      <c r="J192" s="16">
        <f>J21/J12</f>
        <v>0.20009236321375051</v>
      </c>
      <c r="K192" s="16"/>
      <c r="L192" s="16">
        <f>L21/L12</f>
        <v>0.24099129269926323</v>
      </c>
      <c r="M192" s="16"/>
      <c r="N192" s="15">
        <f>(L192-J192)*J12</f>
        <v>668.6361486939046</v>
      </c>
      <c r="Q192" s="39">
        <f>Q21/Q12</f>
        <v>0.18254238901137246</v>
      </c>
      <c r="R192" s="16"/>
      <c r="S192" s="16">
        <f>S21/S12</f>
        <v>0.24101951827242524</v>
      </c>
      <c r="T192" s="16"/>
      <c r="U192" s="15">
        <f>(S192-Q192)*Q12</f>
        <v>884.83381644518272</v>
      </c>
      <c r="X192" s="16">
        <f>X21/X12</f>
        <v>0.19651910174856665</v>
      </c>
      <c r="Y192" s="16"/>
      <c r="Z192" s="16">
        <f>Z21/Z12</f>
        <v>0.24100055586436908</v>
      </c>
      <c r="AA192" s="16"/>
      <c r="AB192" s="15">
        <f>(Z192-X192)*X12</f>
        <v>2186.3893523068373</v>
      </c>
      <c r="AE192" s="39" t="e">
        <f>AE21/AE12</f>
        <v>#DIV/0!</v>
      </c>
      <c r="AF192" s="16"/>
      <c r="AG192" s="16">
        <f>AG21/AG12</f>
        <v>0.24101591780942722</v>
      </c>
      <c r="AH192" s="16"/>
      <c r="AI192" s="15" t="e">
        <f>(AG192-AE192)*AE12</f>
        <v>#DIV/0!</v>
      </c>
      <c r="AL192" s="39" t="e">
        <f>AL21/AL12</f>
        <v>#DIV/0!</v>
      </c>
      <c r="AM192" s="16"/>
      <c r="AN192" s="16">
        <f>AN21/AN12</f>
        <v>0.24101015646445237</v>
      </c>
      <c r="AO192" s="16"/>
      <c r="AP192" s="15"/>
      <c r="AS192" s="39" t="e">
        <f>AS21/AS12</f>
        <v>#DIV/0!</v>
      </c>
      <c r="AT192" s="16"/>
      <c r="AU192" s="16">
        <f>AU21/AU12</f>
        <v>0.24102023608768972</v>
      </c>
      <c r="AV192" s="16"/>
      <c r="AW192" s="15" t="e">
        <f>(AU192-AS192)*AS12</f>
        <v>#DIV/0!</v>
      </c>
      <c r="AZ192" s="39" t="e">
        <f>AZ21/AZ12</f>
        <v>#DIV/0!</v>
      </c>
      <c r="BA192" s="16"/>
      <c r="BB192" s="16">
        <f>BB21/BB12</f>
        <v>0.24101557349429362</v>
      </c>
      <c r="BC192" s="16"/>
      <c r="BD192" s="15" t="e">
        <f>(BB192-AZ192)*AZ12</f>
        <v>#DIV/0!</v>
      </c>
      <c r="BG192" s="39" t="e">
        <f>BG21/BG12</f>
        <v>#DIV/0!</v>
      </c>
      <c r="BH192" s="43"/>
      <c r="BI192" s="39">
        <f>BI21/BI12</f>
        <v>0.24100259718844044</v>
      </c>
      <c r="BJ192" s="43"/>
      <c r="BK192" s="57" t="e">
        <f>(BI192-BG192)*BG12</f>
        <v>#DIV/0!</v>
      </c>
      <c r="BN192" s="39">
        <f>BN21/BN12</f>
        <v>0.33309366391184575</v>
      </c>
      <c r="BO192" s="43"/>
      <c r="BP192" s="39">
        <f>BP21/BP12</f>
        <v>0.24098154362416108</v>
      </c>
      <c r="BQ192" s="43"/>
      <c r="BR192" s="57">
        <f>(BP192-BN192)*BN12</f>
        <v>-334.36699664429534</v>
      </c>
      <c r="BU192" s="39">
        <f>BU21/BU12</f>
        <v>0.350558926273212</v>
      </c>
      <c r="BV192" s="43"/>
      <c r="BW192" s="39">
        <f>BW21/BW12</f>
        <v>0.24100994644223411</v>
      </c>
      <c r="BX192" s="43"/>
      <c r="BY192" s="57">
        <f>(BW192-BU192)*BU12</f>
        <v>-595.83690130068874</v>
      </c>
      <c r="CB192" s="39">
        <f>CB21/CB12</f>
        <v>0.34356819936045874</v>
      </c>
      <c r="CC192" s="43"/>
      <c r="CD192" s="39">
        <f>CD21/CD12</f>
        <v>0.2409956565319078</v>
      </c>
      <c r="CE192" s="43"/>
      <c r="CF192" s="57">
        <f>(CD192-CB192)*CB12</f>
        <v>-930.23039091212843</v>
      </c>
      <c r="CI192" s="39">
        <f>CI21/CI12</f>
        <v>0.27848102893890675</v>
      </c>
      <c r="CJ192" s="43"/>
      <c r="CK192" s="39">
        <f>CK21/CK12</f>
        <v>0.24099833081631031</v>
      </c>
      <c r="CL192" s="43"/>
      <c r="CM192" s="57">
        <f>(CK192-CI192)*CI12</f>
        <v>-291.42797790318735</v>
      </c>
      <c r="CP192" s="39">
        <f>CP21/CP12</f>
        <v>0.17620393670929713</v>
      </c>
      <c r="CQ192" s="43"/>
      <c r="CR192" s="39">
        <f>CR21/CR12</f>
        <v>0.24099629754291485</v>
      </c>
      <c r="CS192" s="43"/>
      <c r="CT192" s="57">
        <f>(CR192-CP192)*CP12</f>
        <v>939.78079771120827</v>
      </c>
      <c r="CW192" s="39">
        <f>CW21/CW12</f>
        <v>0.13826015913611822</v>
      </c>
      <c r="CX192" s="43"/>
      <c r="CY192" s="39">
        <f>CY21/CY12</f>
        <v>0.24095500459136823</v>
      </c>
      <c r="CZ192" s="43"/>
      <c r="DA192" s="57">
        <f>(CY192-CW192)*CW12</f>
        <v>1445.5326446280992</v>
      </c>
      <c r="DD192" s="39">
        <f>DD21/DD12</f>
        <v>0.13734804647761356</v>
      </c>
      <c r="DE192" s="43"/>
      <c r="DF192" s="39">
        <f>DF21/DF12</f>
        <v>0.24101888449714537</v>
      </c>
      <c r="DG192" s="43"/>
      <c r="DH192" s="57">
        <f>(DF192-DD192)*DD12</f>
        <v>826.46495740008777</v>
      </c>
      <c r="DK192" s="39">
        <f>DK21/DK12</f>
        <v>0.17510638427468631</v>
      </c>
      <c r="DL192" s="78"/>
      <c r="DM192" s="16">
        <f>DM21/DM12</f>
        <v>0.24099272571673086</v>
      </c>
      <c r="DN192" s="78"/>
      <c r="DO192" s="15">
        <f>(DM192-DK192)*DK12</f>
        <v>2920.5774591356444</v>
      </c>
      <c r="DR192" s="39">
        <f>DR21/DR12</f>
        <v>0.20026769553075621</v>
      </c>
      <c r="DS192" s="16"/>
      <c r="DT192" s="16">
        <f>DT21/DT12</f>
        <v>0.24100221987699699</v>
      </c>
      <c r="DU192" s="16"/>
      <c r="DV192" s="15">
        <f>(DT192-DR192)*DR12</f>
        <v>4177.2985869209233</v>
      </c>
    </row>
    <row r="193" spans="1:127">
      <c r="A193" s="4" t="s">
        <v>167</v>
      </c>
      <c r="B193" s="4"/>
      <c r="C193" s="18">
        <f>(C19+C20+C21)/(C10+C11+C12)</f>
        <v>0.18257726841986222</v>
      </c>
      <c r="D193" s="16"/>
      <c r="E193" s="18">
        <f>(E19+E20+E21)/(E10+E11+E12)</f>
        <v>0.1891797404186514</v>
      </c>
      <c r="F193" s="16"/>
      <c r="G193" s="21"/>
      <c r="J193" s="18">
        <f>(J19+J20+J21)/(J10+J11+J12)</f>
        <v>0.18347236361168473</v>
      </c>
      <c r="K193" s="16"/>
      <c r="L193" s="18">
        <f>(L19+L20+L21)/(L10+L11+L12)</f>
        <v>0.18917440649619757</v>
      </c>
      <c r="M193" s="16"/>
      <c r="N193" s="21">
        <f>(L193-J193)*(J10+J11+J12)</f>
        <v>588.12580923730809</v>
      </c>
      <c r="Q193" s="38">
        <f>(Q19+Q20+Q21)/(Q10+Q11+Q12)</f>
        <v>0.17328168495863963</v>
      </c>
      <c r="R193" s="16"/>
      <c r="S193" s="18">
        <f>(S19+S20+S21)/(S10+S11+S12)</f>
        <v>0.18918390139318003</v>
      </c>
      <c r="T193" s="16"/>
      <c r="U193" s="21">
        <f>(S193-Q193)*(Q10+Q11+Q12)</f>
        <v>1382.6075534161041</v>
      </c>
      <c r="X193" s="18">
        <f>(X19+X20+X21)/(X10+X11+X12)</f>
        <v>0.180060839280896</v>
      </c>
      <c r="Y193" s="16"/>
      <c r="Z193" s="18">
        <f>(Z19+Z20+Z21)/(Z10+Z11+Z12)</f>
        <v>0.18917975201561513</v>
      </c>
      <c r="AA193" s="16"/>
      <c r="AB193" s="21">
        <f>(Z193-X193)*(X10+X11+X12)</f>
        <v>2594.1544956335565</v>
      </c>
      <c r="AE193" s="38" t="e">
        <f>(AE19+AE20+AE21)/(AE10+AE11+AE12)</f>
        <v>#DIV/0!</v>
      </c>
      <c r="AF193" s="16"/>
      <c r="AG193" s="18">
        <f>(AG19+AG20+AG21)/(AG10+AG11+AG12)</f>
        <v>0.18918825346046519</v>
      </c>
      <c r="AH193" s="16"/>
      <c r="AI193" s="21" t="e">
        <f>(AG193-AE193)*(AE10+AE11+AE12)</f>
        <v>#DIV/0!</v>
      </c>
      <c r="AL193" s="38" t="e">
        <f>(AL19+AL20+AL21)/(AL10+AL11+AL12)</f>
        <v>#DIV/0!</v>
      </c>
      <c r="AM193" s="16"/>
      <c r="AN193" s="18">
        <f>(AN19+AN20+AN21)/(AN10+AN11+AN12)</f>
        <v>0.18918433474390567</v>
      </c>
      <c r="AO193" s="16"/>
      <c r="AP193" s="21"/>
      <c r="AS193" s="38" t="e">
        <f>(AS19+AS20+AS21)/(AS10+AS11+AS12)</f>
        <v>#DIV/0!</v>
      </c>
      <c r="AT193" s="16"/>
      <c r="AU193" s="18">
        <f>(AU19+AU20+AU21)/(AU10+AU11+AU12)</f>
        <v>0.18918614735810707</v>
      </c>
      <c r="AV193" s="16"/>
      <c r="AW193" s="21" t="e">
        <f>(AU193-AS193)*(AS10+AS11+AS12)</f>
        <v>#DIV/0!</v>
      </c>
      <c r="AZ193" s="38" t="e">
        <f>(AZ19+AZ20+AZ21)/(AZ10+AZ11+AZ12)</f>
        <v>#DIV/0!</v>
      </c>
      <c r="BA193" s="16"/>
      <c r="BB193" s="18">
        <f>(BB19+BB20+BB21)/(BB10+BB11+BB12)</f>
        <v>0.18918626668292493</v>
      </c>
      <c r="BC193" s="16"/>
      <c r="BD193" s="21" t="e">
        <f>(BB193-AZ193)*(AZ10+AZ11+AZ12)</f>
        <v>#DIV/0!</v>
      </c>
      <c r="BG193" s="38" t="e">
        <f>(BG19+BG20+BG21)/(BG10+BG11+BG12)</f>
        <v>#DIV/0!</v>
      </c>
      <c r="BH193" s="43"/>
      <c r="BI193" s="38">
        <f>(BI19+BI20+BI21)/(BI10+BI11+BI12)</f>
        <v>0.18917799084570414</v>
      </c>
      <c r="BJ193" s="43"/>
      <c r="BK193" s="46" t="e">
        <f>(BI193-BG193)*(BG10+BG11+BG12)</f>
        <v>#DIV/0!</v>
      </c>
      <c r="BN193" s="38">
        <f>(BN19+BN20+BN21)/(BN10+BN11+BN12)</f>
        <v>0.19427596743285452</v>
      </c>
      <c r="BO193" s="43"/>
      <c r="BP193" s="38">
        <f>(BP19+BP20+BP21)/(BP10+BP11+BP12)</f>
        <v>0.18918349197984255</v>
      </c>
      <c r="BQ193" s="43"/>
      <c r="BR193" s="46">
        <f>(BP193-BN193)*(BN10+BN11+BN12)</f>
        <v>-280.49380257567219</v>
      </c>
      <c r="BU193" s="38">
        <f>(BU19+BU20+BU21)/(BU10+BU11+BU12)</f>
        <v>0.16843350655902248</v>
      </c>
      <c r="BV193" s="43"/>
      <c r="BW193" s="38">
        <f>(BW19+BW20+BW21)/(BW10+BW11+BW12)</f>
        <v>0.18772867616055278</v>
      </c>
      <c r="BX193" s="43"/>
      <c r="BY193" s="46">
        <f>(BW193-BU193)*(BU10+BU11+BU12)</f>
        <v>1656.1458915139888</v>
      </c>
      <c r="CB193" s="38">
        <f>(CB19+CB20+CB21)/(CB10+CB11+CB12)</f>
        <v>0.17853486071468613</v>
      </c>
      <c r="CC193" s="43"/>
      <c r="CD193" s="38">
        <f>(CD19+CD20+CD21)/(CD10+CD11+CD12)</f>
        <v>0.18889962584487702</v>
      </c>
      <c r="CE193" s="43"/>
      <c r="CF193" s="46">
        <f>(CD193-CB193)*(CB10+CB11+CB12)</f>
        <v>1460.521856978484</v>
      </c>
      <c r="CI193" s="38">
        <f>(CI19+CI20+CI21)/(CI10+CI11+CI12)</f>
        <v>0.16210108649530408</v>
      </c>
      <c r="CJ193" s="43"/>
      <c r="CK193" s="38">
        <f>(CK19+CK20+CK21)/(CK10+CK11+CK12)</f>
        <v>0.18772255570251298</v>
      </c>
      <c r="CL193" s="43"/>
      <c r="CM193" s="46">
        <f>(CK193-CI193)*(CI10+CI11+CI12)</f>
        <v>2502.8498734611858</v>
      </c>
      <c r="CP193" s="38">
        <f>(CP19+CP20+CP21)/(CP10+CP11+CP12)</f>
        <v>0.18556565396032434</v>
      </c>
      <c r="CQ193" s="43"/>
      <c r="CR193" s="38">
        <f>(CR19+CR20+CR21)/(CR10+CR11+CR12)</f>
        <v>0.18770784247728037</v>
      </c>
      <c r="CS193" s="43"/>
      <c r="CT193" s="46">
        <f>(CR193-CP193)*(CP10+CP11+CP12)</f>
        <v>189.36260989565818</v>
      </c>
      <c r="CW193" s="38">
        <f>(CW19+CW20+CW21)/(CW10+CW11+CW12)</f>
        <v>0.17099412459179375</v>
      </c>
      <c r="CX193" s="43"/>
      <c r="CY193" s="38">
        <f>(CY19+CY20+CY21)/(CY10+CY11+CY12)</f>
        <v>0.18770844658625097</v>
      </c>
      <c r="CZ193" s="43"/>
      <c r="DA193" s="46">
        <f>(CY193-CW193)*(CW10+CW11+CW12)</f>
        <v>1210.4595559995887</v>
      </c>
      <c r="DD193" s="38">
        <f>(DD19+DD20+DD21)/(DD10+DD11+DD12)</f>
        <v>0.18616771300627405</v>
      </c>
      <c r="DE193" s="43"/>
      <c r="DF193" s="38">
        <f>(DF19+DF20+DF21)/(DF10+DF11+DF12)</f>
        <v>0.18772573323777</v>
      </c>
      <c r="DG193" s="43"/>
      <c r="DH193" s="46">
        <f>(DF193-DD193)*(DD10+DD11+DD12)</f>
        <v>62.459410739632062</v>
      </c>
      <c r="DK193" s="38">
        <f>(DK19+DK20+DK21)/(DK10+DK11+DK12)</f>
        <v>0.1744357708820711</v>
      </c>
      <c r="DL193" s="78"/>
      <c r="DM193" s="18">
        <f>(DM19+DM20+DM21)/(DM10+DM11+DM12)</f>
        <v>0.18771630147162022</v>
      </c>
      <c r="DN193" s="78"/>
      <c r="DO193" s="21">
        <f>(DM193-DK193)*(DK10+DK11+DK12)</f>
        <v>3965.458994546897</v>
      </c>
      <c r="DR193" s="38">
        <f>(DR19+DR20+DR21)/(DR10+DR11+DR12)</f>
        <v>0.17700174336535443</v>
      </c>
      <c r="DS193" s="16"/>
      <c r="DT193" s="18">
        <f>(DT19+DT20+DT21)/(DT10+DT11+DT12)</f>
        <v>0.18879849758355613</v>
      </c>
      <c r="DU193" s="16"/>
      <c r="DV193" s="21">
        <f>(DT193-DR193)*(DR10+DR11+DR12)</f>
        <v>8540.6706253463708</v>
      </c>
    </row>
    <row r="194" spans="1:127">
      <c r="A194" s="4"/>
      <c r="B194" s="4"/>
      <c r="C194" s="16"/>
      <c r="D194" s="16"/>
      <c r="E194" s="16"/>
      <c r="F194" s="16"/>
      <c r="G194" s="15"/>
      <c r="J194" s="16"/>
      <c r="K194" s="16"/>
      <c r="L194" s="16"/>
      <c r="M194" s="16"/>
      <c r="N194" s="15"/>
      <c r="Q194" s="39"/>
      <c r="R194" s="16"/>
      <c r="S194" s="16"/>
      <c r="T194" s="16"/>
      <c r="U194" s="15"/>
      <c r="X194" s="16"/>
      <c r="Y194" s="16"/>
      <c r="Z194" s="16"/>
      <c r="AA194" s="16"/>
      <c r="AB194" s="15"/>
      <c r="AE194" s="39"/>
      <c r="AF194" s="16"/>
      <c r="AG194" s="16"/>
      <c r="AH194" s="16"/>
      <c r="AI194" s="15"/>
      <c r="AL194" s="39"/>
      <c r="AM194" s="16"/>
      <c r="AN194" s="16"/>
      <c r="AO194" s="16"/>
      <c r="AP194" s="15"/>
      <c r="AS194" s="39"/>
      <c r="AT194" s="16"/>
      <c r="AU194" s="16"/>
      <c r="AV194" s="16"/>
      <c r="AW194" s="15"/>
      <c r="AZ194" s="39"/>
      <c r="BA194" s="16"/>
      <c r="BB194" s="16"/>
      <c r="BC194" s="16"/>
      <c r="BD194" s="15"/>
      <c r="BG194" s="39"/>
      <c r="BH194" s="43"/>
      <c r="BI194" s="39"/>
      <c r="BJ194" s="43"/>
      <c r="BK194" s="57"/>
      <c r="BN194" s="39"/>
      <c r="BO194" s="43"/>
      <c r="BP194" s="39"/>
      <c r="BQ194" s="43"/>
      <c r="BR194" s="57"/>
      <c r="BU194" s="39"/>
      <c r="BV194" s="43"/>
      <c r="BW194" s="39"/>
      <c r="BX194" s="43"/>
      <c r="BY194" s="57"/>
      <c r="CB194" s="39"/>
      <c r="CC194" s="43"/>
      <c r="CD194" s="39"/>
      <c r="CE194" s="43"/>
      <c r="CF194" s="57"/>
      <c r="CI194" s="39"/>
      <c r="CJ194" s="43"/>
      <c r="CK194" s="39"/>
      <c r="CL194" s="43"/>
      <c r="CM194" s="57"/>
      <c r="CP194" s="39"/>
      <c r="CQ194" s="43"/>
      <c r="CR194" s="39"/>
      <c r="CS194" s="43"/>
      <c r="CT194" s="57"/>
      <c r="CW194" s="39"/>
      <c r="CX194" s="43"/>
      <c r="CY194" s="39"/>
      <c r="CZ194" s="43"/>
      <c r="DA194" s="57"/>
      <c r="DD194" s="39"/>
      <c r="DE194" s="43"/>
      <c r="DF194" s="39"/>
      <c r="DG194" s="43"/>
      <c r="DH194" s="57"/>
      <c r="DK194" s="39"/>
      <c r="DL194" s="78"/>
      <c r="DM194" s="16"/>
      <c r="DN194" s="78"/>
      <c r="DO194" s="15"/>
      <c r="DR194" s="39"/>
      <c r="DS194" s="16"/>
      <c r="DT194" s="16"/>
      <c r="DU194" s="16"/>
      <c r="DV194" s="15"/>
    </row>
    <row r="195" spans="1:127">
      <c r="A195" s="4" t="s">
        <v>35</v>
      </c>
      <c r="B195" s="4"/>
      <c r="C195" s="16">
        <f>C23/C13</f>
        <v>0.27317518598064594</v>
      </c>
      <c r="D195" s="16"/>
      <c r="E195" s="16">
        <f>E23/E13</f>
        <v>0.26964936123946726</v>
      </c>
      <c r="F195" s="16"/>
      <c r="G195" s="15"/>
      <c r="J195" s="16">
        <f>J23/J13</f>
        <v>0.26909842281780949</v>
      </c>
      <c r="K195" s="16"/>
      <c r="L195" s="16">
        <f>L23/L13</f>
        <v>0.26965018933793222</v>
      </c>
      <c r="M195" s="16"/>
      <c r="N195" s="15">
        <f>(L195-J195)*(J7+J9+J10+J11+J12)</f>
        <v>201.97614863872442</v>
      </c>
      <c r="Q195" s="39">
        <f>Q23/Q13</f>
        <v>0.2456712587318115</v>
      </c>
      <c r="R195" s="16"/>
      <c r="S195" s="16">
        <f>S23/S13</f>
        <v>0.26965177761957787</v>
      </c>
      <c r="T195" s="16"/>
      <c r="U195" s="15">
        <f>(S195-Q195)*(Q7+Q9+Q10+Q11+Q12)</f>
        <v>6595.234053731524</v>
      </c>
      <c r="X195" s="16">
        <f>X23/X13</f>
        <v>0.26396857053876072</v>
      </c>
      <c r="Y195" s="16"/>
      <c r="Z195" s="16">
        <f>Z23/Z13</f>
        <v>0.2696506711447294</v>
      </c>
      <c r="AA195" s="16"/>
      <c r="AB195" s="15">
        <f>(Z195-X195)*(X7+X9+X10+X11+X12)</f>
        <v>5580.8706312339982</v>
      </c>
      <c r="AE195" s="39" t="e">
        <f>AE23/AE13</f>
        <v>#DIV/0!</v>
      </c>
      <c r="AF195" s="16"/>
      <c r="AG195" s="16">
        <f>AG23/AG13</f>
        <v>0.26965384290707872</v>
      </c>
      <c r="AH195" s="16"/>
      <c r="AI195" s="15" t="e">
        <f>(AG195-AE195)*(AE7+AE9+AE10+AE11+AE12)</f>
        <v>#DIV/0!</v>
      </c>
      <c r="AL195" s="39" t="e">
        <f>AL23/AL13</f>
        <v>#DIV/0!</v>
      </c>
      <c r="AM195" s="16"/>
      <c r="AN195" s="16">
        <f>AN23/AN13</f>
        <v>0.26965227665572117</v>
      </c>
      <c r="AO195" s="16"/>
      <c r="AP195" s="15"/>
      <c r="AS195" s="39" t="e">
        <f>AS23/AS13</f>
        <v>#DIV/0!</v>
      </c>
      <c r="AT195" s="16"/>
      <c r="AU195" s="16">
        <f>AU23/AU13</f>
        <v>0.26965218709027061</v>
      </c>
      <c r="AV195" s="16"/>
      <c r="AW195" s="15" t="e">
        <f>(AU195-AS195)*(AS7+AS9+AS10+AS11+AS12)</f>
        <v>#DIV/0!</v>
      </c>
      <c r="AZ195" s="39" t="e">
        <f>AZ23/AZ13</f>
        <v>#DIV/0!</v>
      </c>
      <c r="BA195" s="16"/>
      <c r="BB195" s="16">
        <f>BB23/BB13</f>
        <v>0.26965276593211474</v>
      </c>
      <c r="BC195" s="16"/>
      <c r="BD195" s="15" t="e">
        <f>(BB195-AZ195)*(AZ7+AZ9+AZ10+AZ11+AZ12)</f>
        <v>#DIV/0!</v>
      </c>
      <c r="BG195" s="39" t="e">
        <f>BG23/BG13</f>
        <v>#DIV/0!</v>
      </c>
      <c r="BH195" s="43"/>
      <c r="BI195" s="39">
        <f>BI23/BI13</f>
        <v>0.26965135664065332</v>
      </c>
      <c r="BJ195" s="43"/>
      <c r="BK195" s="57" t="e">
        <f>(BI195-BG195)*(BG7+BG9+BG10+BG11+BG12)</f>
        <v>#DIV/0!</v>
      </c>
      <c r="BN195" s="39">
        <f>BN23/BN13</f>
        <v>0.29017919064288739</v>
      </c>
      <c r="BO195" s="43"/>
      <c r="BP195" s="39">
        <f>BP23/BP13</f>
        <v>0.26965115421491259</v>
      </c>
      <c r="BQ195" s="43"/>
      <c r="BR195" s="57">
        <f>(BP195-BN195)*(BN7+BN9+BN10+BN11+BN12)</f>
        <v>-4036.2461297102968</v>
      </c>
      <c r="BU195" s="39">
        <f>BU23/BU13</f>
        <v>0.27789625877776392</v>
      </c>
      <c r="BV195" s="43"/>
      <c r="BW195" s="39">
        <f>BW23/BW13</f>
        <v>0.2701599877586412</v>
      </c>
      <c r="BX195" s="43"/>
      <c r="BY195" s="57">
        <f>(BW195-BU195)*(BU7+BU9+BU10+BU11+BU12)</f>
        <v>-2295.3709520512589</v>
      </c>
      <c r="CB195" s="39">
        <f>CB23/CB13</f>
        <v>0.2825790352612173</v>
      </c>
      <c r="CC195" s="43"/>
      <c r="CD195" s="39">
        <f>CD23/CD13</f>
        <v>0.26974935658902022</v>
      </c>
      <c r="CE195" s="43"/>
      <c r="CF195" s="57">
        <f>(CD195-CB195)*(CB7+CB9+CB10+CB11+CB12)</f>
        <v>-6329.1839108954218</v>
      </c>
      <c r="CI195" s="39">
        <f>CI23/CI13</f>
        <v>0.2751294071584473</v>
      </c>
      <c r="CJ195" s="43"/>
      <c r="CK195" s="39">
        <f>CK23/CK13</f>
        <v>0.27015718791331772</v>
      </c>
      <c r="CL195" s="43"/>
      <c r="CM195" s="57">
        <f>(CK195-CI195)*(CI7+CI9+CI10+CI11+CI12)</f>
        <v>-1616.6825803523227</v>
      </c>
      <c r="CP195" s="39">
        <f>CP23/CP13</f>
        <v>0.28322556483251793</v>
      </c>
      <c r="CQ195" s="43"/>
      <c r="CR195" s="39">
        <f>CR23/CR13</f>
        <v>0.27015483002356111</v>
      </c>
      <c r="CS195" s="43"/>
      <c r="CT195" s="57">
        <f>(CR195-CP195)*(CP7+CP9+CP10+CP11+CP12)</f>
        <v>-3925.2981198253956</v>
      </c>
      <c r="CW195" s="39">
        <f>CW23/CW13</f>
        <v>0.28128178162948136</v>
      </c>
      <c r="CX195" s="43"/>
      <c r="CY195" s="39">
        <f>CY23/CY13</f>
        <v>0.2701587872955471</v>
      </c>
      <c r="CZ195" s="43"/>
      <c r="DA195" s="57">
        <f>(CY195-CW195)*(CW7+CW9+CW10+CW11+CW12)</f>
        <v>-2631.7673086047939</v>
      </c>
      <c r="DD195" s="39">
        <f>DD23/DD13</f>
        <v>0.28319994826359363</v>
      </c>
      <c r="DE195" s="43"/>
      <c r="DF195" s="39">
        <f>DF23/DF13</f>
        <v>0.27016154532614728</v>
      </c>
      <c r="DG195" s="43"/>
      <c r="DH195" s="57">
        <f>(DF195-DD195)*(DD7+DD9+DD10+DD11+DD12)</f>
        <v>-1798.295778725442</v>
      </c>
      <c r="DK195" s="39">
        <f>DK23/DK13</f>
        <v>0.28013314426495084</v>
      </c>
      <c r="DL195" s="78"/>
      <c r="DM195" s="16">
        <f>DM23/DM13</f>
        <v>0.2701580224303704</v>
      </c>
      <c r="DN195" s="78"/>
      <c r="DO195" s="15">
        <f>(DM195-DK195)*(DK7+DK9+DK10+DK11+DK12)</f>
        <v>-9974.9627313871752</v>
      </c>
      <c r="DR195" s="39">
        <f>DR23/DR13</f>
        <v>0.27409947259243078</v>
      </c>
      <c r="DS195" s="16"/>
      <c r="DT195" s="16">
        <f>DT23/DT13</f>
        <v>0.26978426336704953</v>
      </c>
      <c r="DU195" s="16"/>
      <c r="DV195" s="15">
        <f>(DT195-DR195)*(DR7+DR9+DR10+DR11+DR12)</f>
        <v>-10682.26639043051</v>
      </c>
    </row>
    <row r="196" spans="1:127">
      <c r="C196" s="16"/>
      <c r="D196" s="16"/>
      <c r="E196" s="16"/>
      <c r="F196" s="16"/>
      <c r="G196" s="15"/>
      <c r="J196" s="16"/>
      <c r="K196" s="16"/>
      <c r="L196" s="16"/>
      <c r="M196" s="16"/>
      <c r="N196" s="15"/>
      <c r="Q196" s="39"/>
      <c r="R196" s="16"/>
      <c r="S196" s="16"/>
      <c r="T196" s="16"/>
      <c r="U196" s="15"/>
      <c r="X196" s="16"/>
      <c r="Y196" s="16"/>
      <c r="Z196" s="16"/>
      <c r="AA196" s="16"/>
      <c r="AB196" s="15"/>
      <c r="AE196" s="39"/>
      <c r="AF196" s="16"/>
      <c r="AG196" s="16"/>
      <c r="AH196" s="16"/>
      <c r="AI196" s="15"/>
      <c r="AL196" s="39"/>
      <c r="AM196" s="16"/>
      <c r="AN196" s="16"/>
      <c r="AO196" s="16"/>
      <c r="AP196" s="15"/>
      <c r="AS196" s="39"/>
      <c r="AT196" s="16"/>
      <c r="AU196" s="16"/>
      <c r="AV196" s="16"/>
      <c r="AW196" s="15"/>
      <c r="AZ196" s="39"/>
      <c r="BA196" s="16"/>
      <c r="BB196" s="16"/>
      <c r="BC196" s="16"/>
      <c r="BD196" s="15"/>
      <c r="BG196" s="39"/>
      <c r="BH196" s="43"/>
      <c r="BI196" s="39"/>
      <c r="BJ196" s="43"/>
      <c r="BK196" s="57"/>
      <c r="BN196" s="39"/>
      <c r="BO196" s="43"/>
      <c r="BP196" s="39"/>
      <c r="BQ196" s="43"/>
      <c r="BR196" s="57"/>
      <c r="BU196" s="39"/>
      <c r="BV196" s="43"/>
      <c r="BW196" s="39"/>
      <c r="BX196" s="43"/>
      <c r="BY196" s="57"/>
      <c r="CB196" s="39"/>
      <c r="CC196" s="43"/>
      <c r="CD196" s="39"/>
      <c r="CE196" s="43"/>
      <c r="CF196" s="57"/>
      <c r="CI196" s="39"/>
      <c r="CJ196" s="43"/>
      <c r="CK196" s="39"/>
      <c r="CL196" s="43"/>
      <c r="CM196" s="57"/>
      <c r="CP196" s="39"/>
      <c r="CQ196" s="43"/>
      <c r="CR196" s="39"/>
      <c r="CS196" s="43"/>
      <c r="CT196" s="57"/>
      <c r="CW196" s="39"/>
      <c r="CX196" s="43"/>
      <c r="CY196" s="39"/>
      <c r="CZ196" s="43"/>
      <c r="DA196" s="57"/>
      <c r="DD196" s="39"/>
      <c r="DE196" s="43"/>
      <c r="DF196" s="39"/>
      <c r="DG196" s="43"/>
      <c r="DH196" s="57"/>
      <c r="DK196" s="39"/>
      <c r="DL196" s="78"/>
      <c r="DM196" s="16"/>
      <c r="DN196" s="78"/>
      <c r="DO196" s="15"/>
      <c r="DR196" s="39"/>
      <c r="DS196" s="16"/>
      <c r="DT196" s="16"/>
      <c r="DU196" s="16"/>
      <c r="DV196" s="15"/>
    </row>
    <row r="197" spans="1:127">
      <c r="A197" s="4" t="s">
        <v>168</v>
      </c>
      <c r="B197" s="4"/>
      <c r="C197" s="16"/>
      <c r="D197" s="16"/>
      <c r="E197" s="16"/>
      <c r="F197" s="16"/>
      <c r="G197" s="15"/>
      <c r="J197" s="16"/>
      <c r="K197" s="16"/>
      <c r="L197" s="16"/>
      <c r="M197" s="16"/>
      <c r="N197" s="15"/>
      <c r="Q197" s="39"/>
      <c r="R197" s="16"/>
      <c r="S197" s="16"/>
      <c r="T197" s="16"/>
      <c r="U197" s="15"/>
      <c r="X197" s="16"/>
      <c r="Y197" s="16"/>
      <c r="Z197" s="16"/>
      <c r="AA197" s="16"/>
      <c r="AB197" s="15"/>
      <c r="AE197" s="39"/>
      <c r="AF197" s="16"/>
      <c r="AG197" s="16"/>
      <c r="AH197" s="16"/>
      <c r="AI197" s="15"/>
      <c r="AL197" s="39"/>
      <c r="AM197" s="16"/>
      <c r="AN197" s="16"/>
      <c r="AO197" s="16"/>
      <c r="AP197" s="15"/>
      <c r="AS197" s="39"/>
      <c r="AT197" s="16"/>
      <c r="AU197" s="16"/>
      <c r="AV197" s="16"/>
      <c r="AW197" s="15"/>
      <c r="AZ197" s="39"/>
      <c r="BA197" s="16"/>
      <c r="BB197" s="16"/>
      <c r="BC197" s="16"/>
      <c r="BD197" s="15"/>
      <c r="BG197" s="39"/>
      <c r="BH197" s="43"/>
      <c r="BI197" s="39"/>
      <c r="BJ197" s="43"/>
      <c r="BK197" s="57"/>
      <c r="BN197" s="39"/>
      <c r="BO197" s="43"/>
      <c r="BP197" s="39"/>
      <c r="BQ197" s="43"/>
      <c r="BR197" s="57"/>
      <c r="BU197" s="39"/>
      <c r="BV197" s="43"/>
      <c r="BW197" s="39"/>
      <c r="BX197" s="43"/>
      <c r="BY197" s="57"/>
      <c r="CB197" s="39"/>
      <c r="CC197" s="43"/>
      <c r="CD197" s="39"/>
      <c r="CE197" s="43"/>
      <c r="CF197" s="57"/>
      <c r="CI197" s="39"/>
      <c r="CJ197" s="43"/>
      <c r="CK197" s="39"/>
      <c r="CL197" s="43"/>
      <c r="CM197" s="57"/>
      <c r="CP197" s="39"/>
      <c r="CQ197" s="43"/>
      <c r="CR197" s="39"/>
      <c r="CS197" s="43"/>
      <c r="CT197" s="57"/>
      <c r="CW197" s="39"/>
      <c r="CX197" s="43"/>
      <c r="CY197" s="39"/>
      <c r="CZ197" s="43"/>
      <c r="DA197" s="57"/>
      <c r="DD197" s="39"/>
      <c r="DE197" s="43"/>
      <c r="DF197" s="39"/>
      <c r="DG197" s="43"/>
      <c r="DH197" s="57"/>
      <c r="DK197" s="39"/>
      <c r="DL197" s="78"/>
      <c r="DM197" s="16"/>
      <c r="DN197" s="78"/>
      <c r="DO197" s="15"/>
      <c r="DR197" s="39"/>
      <c r="DS197" s="16"/>
      <c r="DT197" s="16"/>
      <c r="DU197" s="16"/>
      <c r="DV197" s="15"/>
    </row>
    <row r="198" spans="1:127">
      <c r="A198" s="29" t="s">
        <v>169</v>
      </c>
      <c r="B198" s="29"/>
      <c r="C198" s="16">
        <f>C27/C13</f>
        <v>0.12280482689478578</v>
      </c>
      <c r="D198" s="16"/>
      <c r="E198" s="16">
        <f>E27/E13</f>
        <v>0.16461357252876688</v>
      </c>
      <c r="F198" s="16"/>
      <c r="G198" s="15"/>
      <c r="J198" s="16">
        <f>J27/J13</f>
        <v>7.9471789186061875E-2</v>
      </c>
      <c r="K198" s="16"/>
      <c r="L198" s="16">
        <f>L27/L13</f>
        <v>0.1188654902504704</v>
      </c>
      <c r="M198" s="16"/>
      <c r="N198" s="15">
        <f>(L198-J198)*J13</f>
        <v>16079.490447319045</v>
      </c>
      <c r="Q198" s="39">
        <f>Q27/Q13</f>
        <v>0.13232491296047583</v>
      </c>
      <c r="R198" s="16"/>
      <c r="S198" s="16">
        <f>S27/S13</f>
        <v>9.2123063318507156E-2</v>
      </c>
      <c r="T198" s="16"/>
      <c r="U198" s="15">
        <f>(S198-Q198)*Q13</f>
        <v>-12301.953331061746</v>
      </c>
      <c r="X198" s="16">
        <f>X27/X13</f>
        <v>0.10931119060484494</v>
      </c>
      <c r="Y198" s="16"/>
      <c r="Z198" s="16">
        <f>Z27/Z13</f>
        <v>0.11837705554633726</v>
      </c>
      <c r="AA198" s="16"/>
      <c r="AB198" s="15">
        <f>(Z198-X198)*X13</f>
        <v>9926.2509719718655</v>
      </c>
      <c r="AE198" s="39" t="e">
        <f>AE27/AE13</f>
        <v>#DIV/0!</v>
      </c>
      <c r="AF198" s="16"/>
      <c r="AG198" s="16">
        <f>AG27/AG13</f>
        <v>7.984026434252893E-2</v>
      </c>
      <c r="AH198" s="16"/>
      <c r="AI198" s="15" t="e">
        <f>(AG198-AE198)*AE13</f>
        <v>#DIV/0!</v>
      </c>
      <c r="AL198" s="39" t="e">
        <f>AL27/AL13</f>
        <v>#DIV/0!</v>
      </c>
      <c r="AM198" s="16"/>
      <c r="AN198" s="16">
        <f>AN27/AN13</f>
        <v>8.2840130916864929E-2</v>
      </c>
      <c r="AO198" s="16"/>
      <c r="AP198" s="15"/>
      <c r="AS198" s="39" t="e">
        <f>AS27/AS13</f>
        <v>#DIV/0!</v>
      </c>
      <c r="AT198" s="16"/>
      <c r="AU198" s="16">
        <f>AU27/AU13</f>
        <v>7.6335676683555481E-2</v>
      </c>
      <c r="AV198" s="16"/>
      <c r="AW198" s="15" t="e">
        <f>(AU198-AS198)*AS13</f>
        <v>#DIV/0!</v>
      </c>
      <c r="AZ198" s="39" t="e">
        <f>AZ27/AZ13</f>
        <v>#DIV/0!</v>
      </c>
      <c r="BA198" s="16"/>
      <c r="BB198" s="16">
        <f>BB27/BB13</f>
        <v>7.958301230791423E-2</v>
      </c>
      <c r="BC198" s="16"/>
      <c r="BD198" s="15" t="e">
        <f>(BB198-AZ198)*AZ13</f>
        <v>#DIV/0!</v>
      </c>
      <c r="BG198" s="39" t="e">
        <f>BG27/BG13</f>
        <v>#DIV/0!</v>
      </c>
      <c r="BH198" s="43"/>
      <c r="BI198" s="39">
        <f>BI27/BI13</f>
        <v>7.4647853294353569E-2</v>
      </c>
      <c r="BJ198" s="43"/>
      <c r="BK198" s="57" t="e">
        <f>(BI198-BG198)*BG13</f>
        <v>#DIV/0!</v>
      </c>
      <c r="BN198" s="39">
        <f>BN27/BN13</f>
        <v>0.13058690349074767</v>
      </c>
      <c r="BO198" s="43"/>
      <c r="BP198" s="39">
        <f>BP27/BP13</f>
        <v>7.5954470585343062E-2</v>
      </c>
      <c r="BQ198" s="43"/>
      <c r="BR198" s="57">
        <f>(BP198-BN198)*BN13</f>
        <v>-12072.355423703815</v>
      </c>
      <c r="BU198" s="39">
        <f>BU27/BU13</f>
        <v>8.4216035722873783E-2</v>
      </c>
      <c r="BV198" s="43"/>
      <c r="BW198" s="39">
        <f>BW27/BW13</f>
        <v>0.14209497254195216</v>
      </c>
      <c r="BX198" s="43"/>
      <c r="BY198" s="57">
        <f>(BW198-BU198)*BU13</f>
        <v>19014.909234235001</v>
      </c>
      <c r="CB198" s="39">
        <f>CB27/CB13</f>
        <v>0.13885325316151509</v>
      </c>
      <c r="CC198" s="43"/>
      <c r="CD198" s="39">
        <f>CD27/CD13</f>
        <v>8.8176647050145079E-2</v>
      </c>
      <c r="CE198" s="43"/>
      <c r="CF198" s="57">
        <f>(CD198-CB198)*CB13</f>
        <v>-27846.954689507071</v>
      </c>
      <c r="CI198" s="39">
        <f>CI27/CI13</f>
        <v>0.10447332448769243</v>
      </c>
      <c r="CJ198" s="43"/>
      <c r="CK198" s="39">
        <f>CK27/CK13</f>
        <v>0.13285939566588667</v>
      </c>
      <c r="CL198" s="43"/>
      <c r="CM198" s="57">
        <f>(CK198-CI198)*CI13</f>
        <v>10306.600936005691</v>
      </c>
      <c r="CP198" s="39">
        <f>CP27/CP13</f>
        <v>0.1156332820430791</v>
      </c>
      <c r="CQ198" s="43"/>
      <c r="CR198" s="39">
        <f>CR27/CR13</f>
        <v>0.14065297879501851</v>
      </c>
      <c r="CS198" s="43"/>
      <c r="CT198" s="57">
        <f>(CR198-CP198)*CP13</f>
        <v>8372.8657871423711</v>
      </c>
      <c r="CW198" s="39">
        <f>CW27/CW13</f>
        <v>0.14513651646051526</v>
      </c>
      <c r="CX198" s="43"/>
      <c r="CY198" s="39">
        <f>CY27/CY13</f>
        <v>0.1534907126144624</v>
      </c>
      <c r="CZ198" s="43"/>
      <c r="DA198" s="57">
        <f>(CY198-CW198)*CW13</f>
        <v>2224.0625378419236</v>
      </c>
      <c r="DD198" s="39">
        <f>DD27/DD13</f>
        <v>0.20249482587626766</v>
      </c>
      <c r="DE198" s="43"/>
      <c r="DF198" s="39">
        <f>DF27/DF13</f>
        <v>0.14681722681694576</v>
      </c>
      <c r="DG198" s="43"/>
      <c r="DH198" s="57">
        <f>(DF198-DD198)*DD13</f>
        <v>-8643.8642943371269</v>
      </c>
      <c r="DK198" s="39">
        <f>DK27/DK13</f>
        <v>0.1310794638043068</v>
      </c>
      <c r="DL198" s="78"/>
      <c r="DM198" s="16">
        <f>DM27/DM13</f>
        <v>0.14304774048891533</v>
      </c>
      <c r="DN198" s="78"/>
      <c r="DO198" s="15">
        <f>(DM198-DK198)*DK13</f>
        <v>13394.979641764501</v>
      </c>
      <c r="DR198" s="39">
        <f>DR27/DR13</f>
        <v>0.13529986283070469</v>
      </c>
      <c r="DS198" s="16"/>
      <c r="DT198" s="16">
        <f>DT27/DT13</f>
        <v>0.10317527168494472</v>
      </c>
      <c r="DU198" s="16"/>
      <c r="DV198" s="15">
        <f>(DT198-DR198)*DR13</f>
        <v>-88779.973368403313</v>
      </c>
    </row>
    <row r="199" spans="1:127">
      <c r="A199" s="29" t="s">
        <v>41</v>
      </c>
      <c r="B199" s="29"/>
      <c r="C199" s="16">
        <f>(C32+C33)/C13</f>
        <v>7.7117531783431156E-2</v>
      </c>
      <c r="D199" s="16"/>
      <c r="E199" s="16">
        <f>(E32+E33)/E13</f>
        <v>6.7000090604330889E-2</v>
      </c>
      <c r="F199" s="16"/>
      <c r="G199" s="15"/>
      <c r="J199" s="16">
        <f>(J32+J33)/J13</f>
        <v>6.8088633246372904E-2</v>
      </c>
      <c r="K199" s="16"/>
      <c r="L199" s="16">
        <f>(L32+L33)/L13</f>
        <v>6.699971998398413E-2</v>
      </c>
      <c r="M199" s="16"/>
      <c r="N199" s="15">
        <f>(L199-J199)*J13</f>
        <v>-444.46624529926493</v>
      </c>
      <c r="Q199" s="39">
        <f>(Q32+Q33)/Q13</f>
        <v>7.0197656467061637E-2</v>
      </c>
      <c r="R199" s="16"/>
      <c r="S199" s="16">
        <f>(S32+S33)/S13</f>
        <v>6.6999697797573046E-2</v>
      </c>
      <c r="T199" s="16"/>
      <c r="U199" s="15">
        <f>(S199-Q199)*Q13</f>
        <v>-978.59025535090859</v>
      </c>
      <c r="X199" s="16">
        <f>(X32+X33)/X13</f>
        <v>7.1817635576805997E-2</v>
      </c>
      <c r="Y199" s="16"/>
      <c r="Z199" s="16">
        <f>(Z32+Z33)/Z13</f>
        <v>6.6999799321166925E-2</v>
      </c>
      <c r="AA199" s="16"/>
      <c r="AB199" s="15">
        <f>(Z199-X199)*X13</f>
        <v>-5275.0677540389797</v>
      </c>
      <c r="AE199" s="39" t="e">
        <f>(AE32+AE33)/AE13</f>
        <v>#DIV/0!</v>
      </c>
      <c r="AF199" s="16"/>
      <c r="AG199" s="16">
        <f>(AG32+AG33)/AG13</f>
        <v>6.7000425525317028E-2</v>
      </c>
      <c r="AH199" s="16"/>
      <c r="AI199" s="15" t="e">
        <f>(AG199-AE199)*AE13</f>
        <v>#DIV/0!</v>
      </c>
      <c r="AL199" s="39" t="e">
        <f>(AL32+AL33)/AL13</f>
        <v>#DIV/0!</v>
      </c>
      <c r="AM199" s="16"/>
      <c r="AN199" s="16">
        <f>(AN32+AN33)/AN13</f>
        <v>6.7001049265424828E-2</v>
      </c>
      <c r="AO199" s="16"/>
      <c r="AP199" s="15"/>
      <c r="AS199" s="39" t="e">
        <f>(AS32+AS33)/AS13</f>
        <v>#DIV/0!</v>
      </c>
      <c r="AT199" s="16"/>
      <c r="AU199" s="16">
        <f>(AU32+AU33)/AU13</f>
        <v>6.6999611271800069E-2</v>
      </c>
      <c r="AV199" s="16"/>
      <c r="AW199" s="15" t="e">
        <f>(AU199-AS199)*AS13</f>
        <v>#DIV/0!</v>
      </c>
      <c r="AZ199" s="39" t="e">
        <f>(AZ32+AZ33)/AZ13</f>
        <v>#DIV/0!</v>
      </c>
      <c r="BA199" s="16"/>
      <c r="BB199" s="16">
        <f>(BB32+BB33)/BB13</f>
        <v>6.7000342299911961E-2</v>
      </c>
      <c r="BC199" s="16"/>
      <c r="BD199" s="15" t="e">
        <f>(BB199-AZ199)*AZ13</f>
        <v>#DIV/0!</v>
      </c>
      <c r="BG199" s="39" t="e">
        <f>(BG32+BG33)/BG13</f>
        <v>#DIV/0!</v>
      </c>
      <c r="BH199" s="43"/>
      <c r="BI199" s="39">
        <f>(BI32+BI33)/BI13</f>
        <v>6.70000885903662E-2</v>
      </c>
      <c r="BJ199" s="43"/>
      <c r="BK199" s="57" t="e">
        <f>(BI199-BG199)*BG13</f>
        <v>#DIV/0!</v>
      </c>
      <c r="BN199" s="39">
        <f>(BN32+BN33)/BN13</f>
        <v>6.5556220037502125E-2</v>
      </c>
      <c r="BO199" s="43"/>
      <c r="BP199" s="39">
        <f>(BP32+BP33)/BP13</f>
        <v>6.6999369012791826E-2</v>
      </c>
      <c r="BQ199" s="43"/>
      <c r="BR199" s="57">
        <f>(BP199-BN199)*BN13</f>
        <v>318.89861813801281</v>
      </c>
      <c r="BU199" s="39">
        <f>(BU32+BU33)/BU13</f>
        <v>6.1483613318763342E-2</v>
      </c>
      <c r="BV199" s="43"/>
      <c r="BW199" s="39">
        <f>(BW32+BW33)/BW13</f>
        <v>6.6814016355815492E-2</v>
      </c>
      <c r="BX199" s="43"/>
      <c r="BY199" s="57">
        <f>(BW199-BU199)*BU13</f>
        <v>1751.191979359706</v>
      </c>
      <c r="CB199" s="39">
        <f>(CB32+CB33)/CB13</f>
        <v>6.3121348803914956E-2</v>
      </c>
      <c r="CC199" s="43"/>
      <c r="CD199" s="39">
        <f>(CD32+CD33)/CD13</f>
        <v>6.6963919807222591E-2</v>
      </c>
      <c r="CE199" s="43"/>
      <c r="CF199" s="57">
        <f>(CD199-CB199)*CB13</f>
        <v>2111.5048704162059</v>
      </c>
      <c r="CI199" s="39">
        <f>(CI32+CI33)/CI13</f>
        <v>8.1273429674731015E-2</v>
      </c>
      <c r="CJ199" s="43"/>
      <c r="CK199" s="39">
        <f>(CK32+CK33)/CK13</f>
        <v>6.6305702512971812E-2</v>
      </c>
      <c r="CL199" s="43"/>
      <c r="CM199" s="57">
        <f>(CK199-CI199)*CI13</f>
        <v>-5434.5805661817121</v>
      </c>
      <c r="CP199" s="39">
        <f>(CP32+CP33)/CP13</f>
        <v>7.5411017036645669E-2</v>
      </c>
      <c r="CQ199" s="43"/>
      <c r="CR199" s="39">
        <f>(CR32+CR33)/CR13</f>
        <v>6.673510602490744E-2</v>
      </c>
      <c r="CS199" s="43"/>
      <c r="CT199" s="57">
        <f>(CR199-CP199)*CP13</f>
        <v>-2903.4020357118798</v>
      </c>
      <c r="CW199" s="39">
        <f>(CW32+CW33)/CW13</f>
        <v>8.1902701819063797E-2</v>
      </c>
      <c r="CX199" s="43"/>
      <c r="CY199" s="39">
        <f>(CY32+CY33)/CY13</f>
        <v>6.7441441904712934E-2</v>
      </c>
      <c r="CZ199" s="43"/>
      <c r="DA199" s="57">
        <f>(CY199-CW199)*CW13</f>
        <v>-3849.8912202710003</v>
      </c>
      <c r="DD199" s="39">
        <f>(DD32+DD33)/DD13</f>
        <v>5.5669648616917478E-2</v>
      </c>
      <c r="DE199" s="43"/>
      <c r="DF199" s="39">
        <f>(DF32+DF33)/DF13</f>
        <v>6.7073984808134188E-2</v>
      </c>
      <c r="DG199" s="43"/>
      <c r="DH199" s="57">
        <f>(DF199-DD199)*DD13</f>
        <v>1770.5062012254693</v>
      </c>
      <c r="DK199" s="39">
        <f>(DK32+DK33)/DK13</f>
        <v>7.6118632383525453E-2</v>
      </c>
      <c r="DL199" s="78"/>
      <c r="DM199" s="16">
        <f>(DM32+DM33)/DM13</f>
        <v>6.6866637284393307E-2</v>
      </c>
      <c r="DN199" s="78"/>
      <c r="DO199" s="15">
        <f>(DM199-DK199)*DK13</f>
        <v>-10354.898141514146</v>
      </c>
      <c r="DR199" s="39">
        <f>(DR32+DR33)/DR13</f>
        <v>7.1830325110042226E-2</v>
      </c>
      <c r="DS199" s="16"/>
      <c r="DT199" s="16">
        <f>(DT32+DT33)/DT13</f>
        <v>6.6962356029378653E-2</v>
      </c>
      <c r="DU199" s="16"/>
      <c r="DV199" s="15">
        <f>(DT199-DR199)*DR13</f>
        <v>-13453.188038365577</v>
      </c>
    </row>
    <row r="200" spans="1:127">
      <c r="A200" s="29" t="s">
        <v>43</v>
      </c>
      <c r="B200" s="29"/>
      <c r="C200" s="16">
        <f>(C34+C36)/C13</f>
        <v>0.11296205582453063</v>
      </c>
      <c r="D200" s="16"/>
      <c r="E200" s="16">
        <f>(E34+E36)/E13</f>
        <v>0.10649995469783456</v>
      </c>
      <c r="F200" s="16"/>
      <c r="G200" s="15"/>
      <c r="J200" s="16">
        <f>(J34+J36)/J13</f>
        <v>0.11408723457867187</v>
      </c>
      <c r="K200" s="16"/>
      <c r="L200" s="16">
        <f>(L34+L36)/L13</f>
        <v>0.10650029702633459</v>
      </c>
      <c r="M200" s="16"/>
      <c r="N200" s="15">
        <f>(L200-J200)*J13</f>
        <v>-3096.791786528348</v>
      </c>
      <c r="Q200" s="39">
        <f>(Q34+Q36)/Q13</f>
        <v>0.11187581261017397</v>
      </c>
      <c r="R200" s="16"/>
      <c r="S200" s="16">
        <f>(S34+S36)/S13</f>
        <v>0.10649897474277301</v>
      </c>
      <c r="T200" s="16"/>
      <c r="U200" s="15">
        <f>(S200-Q200)*Q13</f>
        <v>-1645.3374434891577</v>
      </c>
      <c r="X200" s="16">
        <f>(X34+X36)/X13</f>
        <v>0.11307793210821576</v>
      </c>
      <c r="Y200" s="16"/>
      <c r="Z200" s="16">
        <f>(Z34+Z36)/Z13</f>
        <v>0.10649964859485724</v>
      </c>
      <c r="AA200" s="16"/>
      <c r="AB200" s="15">
        <f>(Z200-X200)*X13</f>
        <v>-7202.5883398647893</v>
      </c>
      <c r="AE200" s="39" t="e">
        <f>(AE34+AE36)/AE13</f>
        <v>#DIV/0!</v>
      </c>
      <c r="AF200" s="16"/>
      <c r="AG200" s="16">
        <f>(AG34+AG36)/AG13</f>
        <v>0.10650020070323658</v>
      </c>
      <c r="AH200" s="16"/>
      <c r="AI200" s="15" t="e">
        <f>(AG200-AE200)*AE13</f>
        <v>#DIV/0!</v>
      </c>
      <c r="AL200" s="39" t="e">
        <f>(AL34+AL36)/AL13</f>
        <v>#DIV/0!</v>
      </c>
      <c r="AM200" s="16"/>
      <c r="AN200" s="16">
        <f>(AN34+AN36)/AN13</f>
        <v>0.10649954686748689</v>
      </c>
      <c r="AO200" s="16"/>
      <c r="AP200" s="15"/>
      <c r="AS200" s="39" t="e">
        <f>(AS34+AS36)/AS13</f>
        <v>#DIV/0!</v>
      </c>
      <c r="AT200" s="16"/>
      <c r="AU200" s="16">
        <f>(AU34+AU36)/AU13</f>
        <v>0.10649999670569323</v>
      </c>
      <c r="AV200" s="16"/>
      <c r="AW200" s="15" t="e">
        <f>(AU200-AS200)*AS13</f>
        <v>#DIV/0!</v>
      </c>
      <c r="AZ200" s="39" t="e">
        <f>(AZ34+AZ36)/AZ13</f>
        <v>#DIV/0!</v>
      </c>
      <c r="BA200" s="16"/>
      <c r="BB200" s="16">
        <f>(BB34+BB36)/BB13</f>
        <v>0.10649992043530475</v>
      </c>
      <c r="BC200" s="16"/>
      <c r="BD200" s="15" t="e">
        <f>(BB200-AZ200)*AZ13</f>
        <v>#DIV/0!</v>
      </c>
      <c r="BG200" s="39" t="e">
        <f>(BG34+BG36)/BG13</f>
        <v>#DIV/0!</v>
      </c>
      <c r="BH200" s="43"/>
      <c r="BI200" s="39">
        <f>(BI34+BI36)/BI13</f>
        <v>0.10649850604427907</v>
      </c>
      <c r="BJ200" s="43"/>
      <c r="BK200" s="57" t="e">
        <f>(BI200-BG200)*BG13</f>
        <v>#DIV/0!</v>
      </c>
      <c r="BN200" s="39">
        <f>(BN34+BN36)/BN13</f>
        <v>0.10867714617297995</v>
      </c>
      <c r="BO200" s="43"/>
      <c r="BP200" s="39">
        <f>(BP34+BP36)/BP13</f>
        <v>0.10650080717194811</v>
      </c>
      <c r="BQ200" s="43"/>
      <c r="BR200" s="57">
        <f>(BP200-BN200)*BN13</f>
        <v>-480.91466086486014</v>
      </c>
      <c r="BU200" s="39">
        <f>(BU34+BU36)/BU13</f>
        <v>0.10414334807581675</v>
      </c>
      <c r="BV200" s="43"/>
      <c r="BW200" s="39">
        <f>(BW34+BW36)/BW13</f>
        <v>0.11043745855789992</v>
      </c>
      <c r="BX200" s="43"/>
      <c r="BY200" s="57">
        <f>(BW200-BU200)*BU13</f>
        <v>2067.7978225683019</v>
      </c>
      <c r="CB200" s="39">
        <f>(CB34+CB36)/CB13</f>
        <v>0.10628501401675314</v>
      </c>
      <c r="CC200" s="43"/>
      <c r="CD200" s="39">
        <f>(CD34+CD36)/CD13</f>
        <v>0.10725898726292149</v>
      </c>
      <c r="CE200" s="43"/>
      <c r="CF200" s="57">
        <f>(CD200-CB200)*CB13</f>
        <v>535.20136678523522</v>
      </c>
      <c r="CI200" s="39">
        <f>(CI34+CI36)/CI13</f>
        <v>0.11071819898814213</v>
      </c>
      <c r="CJ200" s="43"/>
      <c r="CK200" s="39">
        <f>(CK34+CK36)/CK13</f>
        <v>0.11024773629056872</v>
      </c>
      <c r="CL200" s="43"/>
      <c r="CM200" s="57">
        <f>(CK200-CI200)*CI13</f>
        <v>-170.81868247024855</v>
      </c>
      <c r="CP200" s="39">
        <f>(CP34+CP36)/CP13</f>
        <v>0.11885335339084779</v>
      </c>
      <c r="CQ200" s="43"/>
      <c r="CR200" s="39">
        <f>(CR34+CR36)/CR13</f>
        <v>0.11040727027936721</v>
      </c>
      <c r="CS200" s="43"/>
      <c r="CT200" s="57">
        <f>(CR200-CP200)*CP13</f>
        <v>-2826.4899059575946</v>
      </c>
      <c r="CW200" s="39">
        <f>(CW34+CW36)/CW13</f>
        <v>0.1161637843684839</v>
      </c>
      <c r="CX200" s="43"/>
      <c r="CY200" s="39">
        <f>(CY34+CY36)/CY13</f>
        <v>0.1106736063412072</v>
      </c>
      <c r="CZ200" s="43"/>
      <c r="DA200" s="57">
        <f>(CY200-CW200)*CW13</f>
        <v>-1461.6007395014126</v>
      </c>
      <c r="DD200" s="39">
        <f>(DD34+DD36)/DD13</f>
        <v>8.889463737848434E-2</v>
      </c>
      <c r="DE200" s="43"/>
      <c r="DF200" s="39">
        <f>(DF34+DF36)/DF13</f>
        <v>0.11053452600957045</v>
      </c>
      <c r="DG200" s="43"/>
      <c r="DH200" s="57">
        <f>(DF200-DD200)*DD13</f>
        <v>3359.5604665420583</v>
      </c>
      <c r="DK200" s="39">
        <f>(DK34+DK36)/DK13</f>
        <v>0.1114187763559924</v>
      </c>
      <c r="DL200" s="78"/>
      <c r="DM200" s="16">
        <f>(DM34+DM36)/DM13</f>
        <v>0.11045737930090158</v>
      </c>
      <c r="DN200" s="78"/>
      <c r="DO200" s="15">
        <f>(DM200-DK200)*DK13</f>
        <v>-1076.0023619068882</v>
      </c>
      <c r="DR200" s="39">
        <f>(DR34+DR36)/DR13</f>
        <v>0.11108356224161847</v>
      </c>
      <c r="DS200" s="16"/>
      <c r="DT200" s="16">
        <f>(DT34+DT36)/DT13</f>
        <v>0.10753389098337011</v>
      </c>
      <c r="DU200" s="16"/>
      <c r="DV200" s="15">
        <f>(DT200-DR200)*DR13</f>
        <v>-9809.9215751566135</v>
      </c>
    </row>
    <row r="201" spans="1:127">
      <c r="A201" s="29" t="s">
        <v>44</v>
      </c>
      <c r="B201" s="29"/>
      <c r="C201" s="39">
        <f>+C35/C13</f>
        <v>9.0427450147100904E-3</v>
      </c>
      <c r="D201" s="16"/>
      <c r="E201" s="16">
        <f>+E35/E13</f>
        <v>6.088611035607502E-3</v>
      </c>
      <c r="F201" s="16"/>
      <c r="G201" s="15"/>
      <c r="J201" s="39">
        <f>+J35/J13</f>
        <v>1.0834860561355981E-2</v>
      </c>
      <c r="K201" s="16"/>
      <c r="L201" s="16">
        <f>+L35/L13</f>
        <v>4.3965131463593989E-3</v>
      </c>
      <c r="M201" s="16"/>
      <c r="N201" s="15"/>
      <c r="Q201" s="39">
        <f>+Q35/Q13</f>
        <v>1.4507458807980244E-2</v>
      </c>
      <c r="R201" s="16"/>
      <c r="S201" s="16">
        <f>+S35/S13</f>
        <v>3.4073830689569148E-3</v>
      </c>
      <c r="T201" s="16"/>
      <c r="U201" s="15"/>
      <c r="X201" s="39">
        <f>+X35/X13</f>
        <v>1.1238118603485486E-2</v>
      </c>
      <c r="Y201" s="16"/>
      <c r="Z201" s="16">
        <f>+Z35/Z13</f>
        <v>4.3784472670757276E-3</v>
      </c>
      <c r="AA201" s="16"/>
      <c r="AB201" s="15"/>
      <c r="AE201" s="39" t="e">
        <f>+AE35/AE13</f>
        <v>#DIV/0!</v>
      </c>
      <c r="AF201" s="16"/>
      <c r="AG201" s="16">
        <f>+AG35/AG13</f>
        <v>2.8942612656535603E-3</v>
      </c>
      <c r="AH201" s="16"/>
      <c r="AI201" s="15"/>
      <c r="AL201" s="39" t="e">
        <f>+AL35/AL13</f>
        <v>#DIV/0!</v>
      </c>
      <c r="AM201" s="16"/>
      <c r="AN201" s="16">
        <f>+AN35/AN13</f>
        <v>3.0030083708858339E-3</v>
      </c>
      <c r="AO201" s="16"/>
      <c r="AP201" s="15"/>
      <c r="AS201" s="39" t="e">
        <f>+AS35/AS13</f>
        <v>#DIV/0!</v>
      </c>
      <c r="AT201" s="16"/>
      <c r="AU201" s="16">
        <f>+AU35/AU13</f>
        <v>2.7672176943805715E-3</v>
      </c>
      <c r="AV201" s="16"/>
      <c r="AW201" s="15"/>
      <c r="AZ201" s="39" t="e">
        <f>+AZ35/AZ13</f>
        <v>#DIV/0!</v>
      </c>
      <c r="BA201" s="16"/>
      <c r="BB201" s="16">
        <f>+BB35/BB13</f>
        <v>2.884935712871049E-3</v>
      </c>
      <c r="BC201" s="16"/>
      <c r="BD201" s="15"/>
      <c r="BG201" s="39" t="e">
        <f>+BG35/BG13</f>
        <v>#DIV/0!</v>
      </c>
      <c r="BH201" s="43"/>
      <c r="BI201" s="39">
        <f>+BI35/BI13</f>
        <v>2.7060330039382443E-3</v>
      </c>
      <c r="BJ201" s="43"/>
      <c r="BK201" s="57" t="e">
        <f>(BI201-BG201)*BG14</f>
        <v>#DIV/0!</v>
      </c>
      <c r="BN201" s="39">
        <f>+BN35/BN13</f>
        <v>1.6617328316456924E-2</v>
      </c>
      <c r="BO201" s="43"/>
      <c r="BP201" s="39">
        <f>+BP35/BP13</f>
        <v>2.7533987265530892E-3</v>
      </c>
      <c r="BQ201" s="43"/>
      <c r="BR201" s="57">
        <f>(BP201-BN201)*BN14</f>
        <v>0</v>
      </c>
      <c r="BU201" s="39">
        <f>+BU35/BU13</f>
        <v>1.138529627521467E-2</v>
      </c>
      <c r="BV201" s="43"/>
      <c r="BW201" s="39">
        <f>+BW35/BW13</f>
        <v>1.2581396535015386E-2</v>
      </c>
      <c r="BX201" s="43"/>
      <c r="BY201" s="57">
        <f>(BW201-BU201)*BU14</f>
        <v>0</v>
      </c>
      <c r="CB201" s="39">
        <f>+CB35/CB13</f>
        <v>1.3489276631080276E-2</v>
      </c>
      <c r="CC201" s="43"/>
      <c r="CD201" s="39">
        <f>+CD35/CD13</f>
        <v>4.6292805271871875E-3</v>
      </c>
      <c r="CE201" s="43"/>
      <c r="CF201" s="57">
        <f>(CD201-CB201)*CB14</f>
        <v>0</v>
      </c>
      <c r="CI201" s="39">
        <f>+CI35/CI13</f>
        <v>0</v>
      </c>
      <c r="CJ201" s="43"/>
      <c r="CK201" s="39">
        <f>+CK35/CK13</f>
        <v>0</v>
      </c>
      <c r="CL201" s="43"/>
      <c r="CM201" s="57">
        <f>(CK201-CI201)*CI14</f>
        <v>0</v>
      </c>
      <c r="CP201" s="39">
        <f>+CP35/CP13</f>
        <v>0</v>
      </c>
      <c r="CQ201" s="43"/>
      <c r="CR201" s="39">
        <f>+CR35/CR13</f>
        <v>0</v>
      </c>
      <c r="CS201" s="43"/>
      <c r="CT201" s="57">
        <f>(CR201-CP201)*CP14</f>
        <v>0</v>
      </c>
      <c r="CW201" s="39">
        <f>+CW35/CW13</f>
        <v>0</v>
      </c>
      <c r="CX201" s="43"/>
      <c r="CY201" s="39">
        <f>+CY35/CY13</f>
        <v>0</v>
      </c>
      <c r="CZ201" s="43"/>
      <c r="DA201" s="57">
        <f>(CY201-CW201)*CW14</f>
        <v>0</v>
      </c>
      <c r="DD201" s="39">
        <f>+DD35/DD13</f>
        <v>5.0886156652968839E-3</v>
      </c>
      <c r="DE201" s="43"/>
      <c r="DF201" s="39">
        <f>+DF35/DF13</f>
        <v>0</v>
      </c>
      <c r="DG201" s="43"/>
      <c r="DH201" s="57">
        <f>(DF201-DD201)*DD14</f>
        <v>0</v>
      </c>
      <c r="DK201" s="39">
        <f>+DK35/DK13</f>
        <v>7.0585688322817477E-4</v>
      </c>
      <c r="DL201" s="78"/>
      <c r="DM201" s="16">
        <f>+DM35/DM13</f>
        <v>0</v>
      </c>
      <c r="DN201" s="78"/>
      <c r="DO201" s="15">
        <f>(DM201-DK201)*DK14</f>
        <v>0</v>
      </c>
      <c r="DR201" s="39">
        <f>+DR35/DR13</f>
        <v>7.4203775142832797E-3</v>
      </c>
      <c r="DS201" s="16"/>
      <c r="DT201" s="16">
        <f>+DT35/DT13</f>
        <v>3.065268946947777E-3</v>
      </c>
      <c r="DU201" s="16"/>
      <c r="DV201" s="15"/>
    </row>
    <row r="202" spans="1:127">
      <c r="A202" s="29" t="s">
        <v>170</v>
      </c>
      <c r="B202" s="29"/>
      <c r="C202" s="16">
        <f>C58/C13</f>
        <v>0.10024490111106413</v>
      </c>
      <c r="D202" s="16"/>
      <c r="E202" s="16">
        <f>E58/E13</f>
        <v>0.14001268460632418</v>
      </c>
      <c r="F202" s="16"/>
      <c r="G202" s="15"/>
      <c r="J202" s="16">
        <f>J58/J13</f>
        <v>0.11094052379358171</v>
      </c>
      <c r="K202" s="16"/>
      <c r="L202" s="16">
        <f>L58/L13</f>
        <v>0.10756278770337145</v>
      </c>
      <c r="M202" s="16"/>
      <c r="N202" s="15">
        <f>(L202-J202)*J13</f>
        <v>-1378.7045575458972</v>
      </c>
      <c r="Q202" s="39">
        <f>Q58/Q13</f>
        <v>0.10904781646135714</v>
      </c>
      <c r="R202" s="16"/>
      <c r="S202" s="16">
        <f>S58/S13</f>
        <v>8.8593987997087495E-2</v>
      </c>
      <c r="T202" s="16"/>
      <c r="U202" s="15">
        <f>(S202-Q202)*Q13</f>
        <v>-6258.9668249071556</v>
      </c>
      <c r="X202" s="16">
        <f>X58/X13</f>
        <v>0.10669241650621192</v>
      </c>
      <c r="Y202" s="16"/>
      <c r="Z202" s="16">
        <f>Z58/Z13</f>
        <v>0.10721635871297976</v>
      </c>
      <c r="AA202" s="16"/>
      <c r="AB202" s="15">
        <f>(Z202-X202)*X13</f>
        <v>573.66637080413489</v>
      </c>
      <c r="AE202" s="39" t="e">
        <f>AE58/AE13</f>
        <v>#DIV/0!</v>
      </c>
      <c r="AF202" s="16"/>
      <c r="AG202" s="16">
        <f>AG58/AG13</f>
        <v>7.8965094864581309E-2</v>
      </c>
      <c r="AH202" s="16"/>
      <c r="AI202" s="15" t="e">
        <f>(AG202-AE202)*AE13</f>
        <v>#DIV/0!</v>
      </c>
      <c r="AL202" s="39" t="e">
        <f>AL58/AL13</f>
        <v>#DIV/0!</v>
      </c>
      <c r="AM202" s="16"/>
      <c r="AN202" s="16">
        <f>AN58/AN13</f>
        <v>8.1059775954125474E-2</v>
      </c>
      <c r="AO202" s="16"/>
      <c r="AP202" s="15"/>
      <c r="AS202" s="39" t="e">
        <f>AS58/AS13</f>
        <v>#DIV/0!</v>
      </c>
      <c r="AT202" s="16"/>
      <c r="AU202" s="16">
        <f>AU58/AU13</f>
        <v>7.6520157863180852E-2</v>
      </c>
      <c r="AV202" s="16"/>
      <c r="AW202" s="15" t="e">
        <f>(AU202-AS202)*AS13</f>
        <v>#DIV/0!</v>
      </c>
      <c r="AZ202" s="39" t="e">
        <f>AZ58/AZ13</f>
        <v>#DIV/0!</v>
      </c>
      <c r="BA202" s="16"/>
      <c r="BB202" s="16">
        <f>BB58/BB13</f>
        <v>7.8786220539597454E-2</v>
      </c>
      <c r="BC202" s="16"/>
      <c r="BD202" s="15" t="e">
        <f>(BB202-AZ202)*AZ13</f>
        <v>#DIV/0!</v>
      </c>
      <c r="BG202" s="39" t="e">
        <f>BG58/BG13</f>
        <v>#DIV/0!</v>
      </c>
      <c r="BH202" s="43"/>
      <c r="BI202" s="39">
        <f>BI58/BI13</f>
        <v>7.5342079618578209E-2</v>
      </c>
      <c r="BJ202" s="43"/>
      <c r="BK202" s="57" t="e">
        <f>(BI202-BG202)*BG13</f>
        <v>#DIV/0!</v>
      </c>
      <c r="BN202" s="39">
        <f>BN58/BN13</f>
        <v>0.10796104431219669</v>
      </c>
      <c r="BO202" s="43"/>
      <c r="BP202" s="39">
        <f>BP58/BP13</f>
        <v>7.6254394375199749E-2</v>
      </c>
      <c r="BQ202" s="43"/>
      <c r="BR202" s="57">
        <f>(BP202-BN202)*BN13</f>
        <v>-7006.3500191754538</v>
      </c>
      <c r="BU202" s="39">
        <f>BU58/BU13</f>
        <v>6.1349256838817888E-2</v>
      </c>
      <c r="BV202" s="43"/>
      <c r="BW202" s="39">
        <f>BW58/BW13</f>
        <v>0.10052535831477294</v>
      </c>
      <c r="BX202" s="43"/>
      <c r="BY202" s="57">
        <f>(BW202-BU202)*BU13</f>
        <v>12870.485441794037</v>
      </c>
      <c r="CB202" s="39">
        <f>CB58/CB13</f>
        <v>9.4317402912067028E-2</v>
      </c>
      <c r="CC202" s="43"/>
      <c r="CD202" s="39">
        <f>CD58/CD13</f>
        <v>8.0563250987656349E-2</v>
      </c>
      <c r="CE202" s="43"/>
      <c r="CF202" s="57">
        <f>(CD202-CB202)*CB13</f>
        <v>-7557.94980804223</v>
      </c>
      <c r="CI202" s="39">
        <f>CI58/CI13</f>
        <v>0.10315545692465182</v>
      </c>
      <c r="CJ202" s="43"/>
      <c r="CK202" s="39">
        <f>CK58/CK13</f>
        <v>9.3867636585614006E-2</v>
      </c>
      <c r="CL202" s="43"/>
      <c r="CM202" s="57">
        <f>(CK202-CI202)*CI15</f>
        <v>0</v>
      </c>
      <c r="CP202" s="39">
        <f>CP58/CP13</f>
        <v>8.7581906605559826E-2</v>
      </c>
      <c r="CQ202" s="43"/>
      <c r="CR202" s="39">
        <f>CR58/CR13</f>
        <v>9.8064624705486367E-2</v>
      </c>
      <c r="CS202" s="43"/>
      <c r="CT202" s="57">
        <f>(CR202-CP202)*CP13</f>
        <v>3508.0517803769735</v>
      </c>
      <c r="CW202" s="39">
        <f>CW58/CW13</f>
        <v>9.6305960224551776E-2</v>
      </c>
      <c r="CX202" s="43"/>
      <c r="CY202" s="39">
        <f>CY58/CY13</f>
        <v>0.10497665756966916</v>
      </c>
      <c r="CZ202" s="43"/>
      <c r="DA202" s="57">
        <f>(CY202-CW202)*CW13</f>
        <v>2308.3218046214688</v>
      </c>
      <c r="DD202" s="39">
        <f>DD58/DD13</f>
        <v>0.12777745821843958</v>
      </c>
      <c r="DE202" s="43"/>
      <c r="DF202" s="39">
        <f>DF58/DF13</f>
        <v>0.10138567804768363</v>
      </c>
      <c r="DG202" s="43"/>
      <c r="DH202" s="57">
        <f>(DF202-DD202)*DD13</f>
        <v>-4097.2845477574074</v>
      </c>
      <c r="DK202" s="39">
        <f>DK58/DK13</f>
        <v>0.10028498301543043</v>
      </c>
      <c r="DL202" s="78"/>
      <c r="DM202" s="16">
        <f>DM58/DM13</f>
        <v>9.9354303148039586E-2</v>
      </c>
      <c r="DN202" s="78"/>
      <c r="DO202" s="15">
        <f>(DM202-DK202)*DK13</f>
        <v>-1041.623468876897</v>
      </c>
      <c r="DR202" s="39">
        <f>DR58/DR13</f>
        <v>0.11106212799007602</v>
      </c>
      <c r="DS202" s="16"/>
      <c r="DT202" s="16">
        <f>DT58/DT13</f>
        <v>8.9421620947840535E-2</v>
      </c>
      <c r="DU202" s="16"/>
      <c r="DV202" s="15">
        <f>(DT202-DR202)*DR13</f>
        <v>-59806.01060947634</v>
      </c>
    </row>
    <row r="203" spans="1:127">
      <c r="A203" s="4" t="s">
        <v>171</v>
      </c>
      <c r="B203" s="4"/>
      <c r="C203" s="18">
        <f>(C58+C37+C27)/C13</f>
        <v>0.42217206062852175</v>
      </c>
      <c r="D203" s="16"/>
      <c r="E203" s="18">
        <f>(E58+E37+E27)/E13</f>
        <v>0.48421491347286399</v>
      </c>
      <c r="F203" s="16"/>
      <c r="G203" s="21"/>
      <c r="J203" s="18">
        <f>(J58+J37+J27)/J13</f>
        <v>0.38342304136604438</v>
      </c>
      <c r="K203" s="16"/>
      <c r="L203" s="18">
        <f>(L58+L37+L27)/L13</f>
        <v>0.40432480811051996</v>
      </c>
      <c r="M203" s="16"/>
      <c r="N203" s="21">
        <f>(L203-J203)*J13</f>
        <v>8531.5608744245874</v>
      </c>
      <c r="Q203" s="38">
        <f>(Q58+Q37+Q27)/Q13</f>
        <v>0.43795365730704888</v>
      </c>
      <c r="R203" s="16"/>
      <c r="S203" s="18">
        <f>(S58+S37+S27)/S13</f>
        <v>0.35762310692489763</v>
      </c>
      <c r="T203" s="16"/>
      <c r="U203" s="21">
        <f>(S203-Q203)*Q13</f>
        <v>-24581.522757303068</v>
      </c>
      <c r="X203" s="18">
        <f>(X58+X37+X27)/X13</f>
        <v>0.41213729339956418</v>
      </c>
      <c r="Y203" s="16"/>
      <c r="Z203" s="18">
        <f>(Z58+Z37+Z27)/Z13</f>
        <v>0.40347130944241688</v>
      </c>
      <c r="AA203" s="16"/>
      <c r="AB203" s="21">
        <f>(Z203-X203)*X13</f>
        <v>-9488.4197186778456</v>
      </c>
      <c r="AE203" s="38" t="e">
        <f>(AE58+AE37+AE27)/AE13</f>
        <v>#DIV/0!</v>
      </c>
      <c r="AF203" s="16"/>
      <c r="AG203" s="18">
        <f>(AG58+AG37+AG27)/AG13</f>
        <v>0.33520024670131743</v>
      </c>
      <c r="AH203" s="16"/>
      <c r="AI203" s="21" t="e">
        <f>(AG203-AE203)*AE13</f>
        <v>#DIV/0!</v>
      </c>
      <c r="AL203" s="38" t="e">
        <f>(AL58+AL37+AL27)/AL13</f>
        <v>#DIV/0!</v>
      </c>
      <c r="AM203" s="16"/>
      <c r="AN203" s="18">
        <f>(AN58+AN37+AN27)/AN13</f>
        <v>0.34040351137478797</v>
      </c>
      <c r="AO203" s="16"/>
      <c r="AP203" s="21"/>
      <c r="AS203" s="38" t="e">
        <f>(AS58+AS37+AS27)/AS13</f>
        <v>#DIV/0!</v>
      </c>
      <c r="AT203" s="16"/>
      <c r="AU203" s="18">
        <f>(AU58+AU37+AU27)/AU13</f>
        <v>0.3291226602186102</v>
      </c>
      <c r="AV203" s="16"/>
      <c r="AW203" s="21" t="e">
        <f>(AU203-AS203)*AS13</f>
        <v>#DIV/0!</v>
      </c>
      <c r="AZ203" s="38" t="e">
        <f>(AZ58+AZ37+AZ27)/AZ13</f>
        <v>#DIV/0!</v>
      </c>
      <c r="BA203" s="16"/>
      <c r="BB203" s="18">
        <f>(BB58+BB37+BB27)/BB13</f>
        <v>0.33475443129559945</v>
      </c>
      <c r="BC203" s="16"/>
      <c r="BD203" s="21" t="e">
        <f>(BB203-AZ203)*AZ13</f>
        <v>#DIV/0!</v>
      </c>
      <c r="BG203" s="38" t="e">
        <f>(BG58+BG37+BG27)/BG13</f>
        <v>#DIV/0!</v>
      </c>
      <c r="BH203" s="43"/>
      <c r="BI203" s="38">
        <f>(BI58+BI37+BI27)/BI13</f>
        <v>0.3261945605515153</v>
      </c>
      <c r="BJ203" s="43"/>
      <c r="BK203" s="46" t="e">
        <f>(BI203-BG203)*BG13</f>
        <v>#DIV/0!</v>
      </c>
      <c r="BN203" s="38">
        <f>(BN58+BN37+BN27)/BN13</f>
        <v>0.42939864232988334</v>
      </c>
      <c r="BO203" s="43"/>
      <c r="BP203" s="38">
        <f>(BP58+BP37+BP27)/BP13</f>
        <v>0.32846243987183582</v>
      </c>
      <c r="BQ203" s="43"/>
      <c r="BR203" s="46">
        <f>(BP203-BN203)*BN13</f>
        <v>-22304.291542394963</v>
      </c>
      <c r="BU203" s="38">
        <f>(BU58+BU37+BU27)/BU13</f>
        <v>0.32257755023148649</v>
      </c>
      <c r="BV203" s="43"/>
      <c r="BW203" s="38">
        <f>(BW58+BW37+BW27)/BW13</f>
        <v>0.43245320230545592</v>
      </c>
      <c r="BX203" s="43"/>
      <c r="BY203" s="46">
        <f>(BW203-BU203)*BU13</f>
        <v>36097.338100209105</v>
      </c>
      <c r="CB203" s="38">
        <f>(CB58+CB37+CB27)/CB13</f>
        <v>0.41606629552533042</v>
      </c>
      <c r="CC203" s="43"/>
      <c r="CD203" s="38">
        <f>(CD58+CD37+CD27)/CD13</f>
        <v>0.34759208563513272</v>
      </c>
      <c r="CE203" s="43"/>
      <c r="CF203" s="46">
        <f>(CD203-CB203)*CB13</f>
        <v>-37626.794028424796</v>
      </c>
      <c r="CI203" s="38">
        <f>(CI58+CI37+CI27)/CI13</f>
        <v>0.39962041007521737</v>
      </c>
      <c r="CJ203" s="43"/>
      <c r="CK203" s="38">
        <f>(CK58+CK37+CK27)/CK13</f>
        <v>0.40328047105504122</v>
      </c>
      <c r="CL203" s="43"/>
      <c r="CM203" s="46">
        <f>(CK203-CI203)*CI13</f>
        <v>1328.9189505544723</v>
      </c>
      <c r="CP203" s="38">
        <f>(CP58+CP37+CP27)/CP13</f>
        <v>0.39747955907613242</v>
      </c>
      <c r="CQ203" s="43"/>
      <c r="CR203" s="38">
        <f>(CR58+CR37+CR27)/CR13</f>
        <v>0.41585997980477951</v>
      </c>
      <c r="CS203" s="43"/>
      <c r="CT203" s="46">
        <f>(CR203-CP203)*CP13</f>
        <v>6151.0256258498566</v>
      </c>
      <c r="CW203" s="38">
        <f>(CW58+CW37+CW27)/CW13</f>
        <v>0.43950896287261476</v>
      </c>
      <c r="CX203" s="43"/>
      <c r="CY203" s="38">
        <f>(CY58+CY37+CY27)/CY13</f>
        <v>0.43658241843005169</v>
      </c>
      <c r="CZ203" s="43"/>
      <c r="DA203" s="46">
        <f>(CY203-CW203)*CW13</f>
        <v>-779.10761730902823</v>
      </c>
      <c r="DD203" s="38">
        <f>(DD58+DD37+DD27)/DD13</f>
        <v>0.47992518575540599</v>
      </c>
      <c r="DE203" s="43"/>
      <c r="DF203" s="38">
        <f>(DF58+DF37+DF27)/DF13</f>
        <v>0.42581141568233399</v>
      </c>
      <c r="DG203" s="43"/>
      <c r="DH203" s="46">
        <f>(DF203-DD203)*DD13</f>
        <v>-8401.0821743270189</v>
      </c>
      <c r="DK203" s="38">
        <f>(DK58+DK37+DK27)/DK13</f>
        <v>0.41960771244248324</v>
      </c>
      <c r="DL203" s="78"/>
      <c r="DM203" s="18">
        <f>(DM58+DM37+DM27)/DM13</f>
        <v>0.41972606022224979</v>
      </c>
      <c r="DN203" s="78"/>
      <c r="DO203" s="21">
        <f>(DM203-DK203)*DK13</f>
        <v>132.4556694665676</v>
      </c>
      <c r="DR203" s="38">
        <f>(DR58+DR37+DR27)/DR13</f>
        <v>0.43669625568672465</v>
      </c>
      <c r="DS203" s="16"/>
      <c r="DT203" s="18">
        <f>(DT58+DT37+DT27)/DT13</f>
        <v>0.37015840859248178</v>
      </c>
      <c r="DU203" s="16"/>
      <c r="DV203" s="21">
        <f>(DT203-DR203)*DR13</f>
        <v>-183884.9330786721</v>
      </c>
    </row>
    <row r="204" spans="1:127">
      <c r="C204" s="16"/>
      <c r="D204" s="16"/>
      <c r="E204" s="16"/>
      <c r="F204" s="16"/>
      <c r="G204" s="15"/>
      <c r="J204" s="16"/>
      <c r="K204" s="16"/>
      <c r="L204" s="16"/>
      <c r="M204" s="16"/>
      <c r="N204" s="15"/>
      <c r="Q204" s="39"/>
      <c r="R204" s="16"/>
      <c r="S204" s="16"/>
      <c r="T204" s="16"/>
      <c r="U204" s="15"/>
      <c r="X204" s="16"/>
      <c r="Y204" s="16"/>
      <c r="Z204" s="16"/>
      <c r="AA204" s="16"/>
      <c r="AB204" s="15"/>
      <c r="AE204" s="39"/>
      <c r="AF204" s="16"/>
      <c r="AG204" s="16"/>
      <c r="AH204" s="16"/>
      <c r="AI204" s="15"/>
      <c r="AL204" s="39"/>
      <c r="AM204" s="16"/>
      <c r="AN204" s="16"/>
      <c r="AO204" s="16"/>
      <c r="AP204" s="15"/>
      <c r="AS204" s="39"/>
      <c r="AT204" s="16"/>
      <c r="AU204" s="16"/>
      <c r="AV204" s="16"/>
      <c r="AW204" s="15"/>
      <c r="AZ204" s="39"/>
      <c r="BA204" s="16"/>
      <c r="BB204" s="16"/>
      <c r="BC204" s="16"/>
      <c r="BD204" s="15"/>
      <c r="BG204" s="39"/>
      <c r="BH204" s="43"/>
      <c r="BI204" s="39"/>
      <c r="BJ204" s="43"/>
      <c r="BK204" s="57"/>
      <c r="BN204" s="39"/>
      <c r="BO204" s="43"/>
      <c r="BP204" s="39"/>
      <c r="BQ204" s="43"/>
      <c r="BR204" s="57"/>
      <c r="BU204" s="39"/>
      <c r="BV204" s="43"/>
      <c r="BW204" s="39"/>
      <c r="BX204" s="43"/>
      <c r="BY204" s="57"/>
      <c r="CB204" s="39"/>
      <c r="CC204" s="43"/>
      <c r="CD204" s="39"/>
      <c r="CE204" s="43"/>
      <c r="CF204" s="57"/>
      <c r="CI204" s="39"/>
      <c r="CJ204" s="43"/>
      <c r="CK204" s="39"/>
      <c r="CL204" s="43"/>
      <c r="CM204" s="57"/>
      <c r="CP204" s="39"/>
      <c r="CQ204" s="43"/>
      <c r="CR204" s="39"/>
      <c r="CS204" s="43"/>
      <c r="CT204" s="57"/>
      <c r="CW204" s="39"/>
      <c r="CX204" s="43"/>
      <c r="CY204" s="39"/>
      <c r="CZ204" s="43"/>
      <c r="DA204" s="57"/>
      <c r="DD204" s="39"/>
      <c r="DE204" s="43"/>
      <c r="DF204" s="39"/>
      <c r="DG204" s="43"/>
      <c r="DH204" s="57"/>
      <c r="DK204" s="39"/>
      <c r="DL204" s="78"/>
      <c r="DM204" s="16"/>
      <c r="DN204" s="78"/>
      <c r="DO204" s="15"/>
      <c r="DR204" s="39"/>
      <c r="DS204" s="16"/>
      <c r="DT204" s="16"/>
      <c r="DU204" s="16"/>
      <c r="DV204" s="15"/>
    </row>
    <row r="205" spans="1:127">
      <c r="A205" s="4" t="s">
        <v>172</v>
      </c>
      <c r="B205" s="4"/>
      <c r="C205" s="18"/>
      <c r="D205" s="18">
        <f>D23+D27+D37+D58</f>
        <v>0.57254241971438191</v>
      </c>
      <c r="E205" s="18"/>
      <c r="F205" s="18">
        <f>F23+F27+F37+F58</f>
        <v>0.58925070218356435</v>
      </c>
      <c r="G205" s="21"/>
      <c r="H205" s="4"/>
      <c r="J205" s="18"/>
      <c r="K205" s="18">
        <f>K23+K27+K37+K58</f>
        <v>0.57304967499779191</v>
      </c>
      <c r="L205" s="18"/>
      <c r="M205" s="18">
        <f>M23+M27+M37+M58</f>
        <v>0.5551095071979818</v>
      </c>
      <c r="N205" s="21">
        <f>(L205-J205)*J13</f>
        <v>0</v>
      </c>
      <c r="O205" s="4"/>
      <c r="Q205" s="38"/>
      <c r="R205" s="18">
        <f>R23+R29+R37+R58</f>
        <v>0.68950717940047057</v>
      </c>
      <c r="S205" s="18"/>
      <c r="T205" s="18">
        <f>T23+T29+T37+T58</f>
        <v>0.63092565211835794</v>
      </c>
      <c r="U205" s="21">
        <f>(S205-Q205)*Q13</f>
        <v>0</v>
      </c>
      <c r="V205" s="4"/>
      <c r="X205" s="18"/>
      <c r="Y205" s="18">
        <f>Y23+Y29+Y37+Y58</f>
        <v>0.68103780358223376</v>
      </c>
      <c r="Z205" s="18"/>
      <c r="AA205" s="18">
        <f>AA23+AA29+AA37+AA58</f>
        <v>0.67781317408758457</v>
      </c>
      <c r="AB205" s="21">
        <f>(Z205-X205)*X13</f>
        <v>0</v>
      </c>
      <c r="AC205" s="4"/>
      <c r="AE205" s="38"/>
      <c r="AF205" s="18" t="e">
        <f>AF23+AF29+AF37+AF58</f>
        <v>#DIV/0!</v>
      </c>
      <c r="AG205" s="18"/>
      <c r="AH205" s="18">
        <f>AH23+AH29+AH37+AH58</f>
        <v>0.60795508382159635</v>
      </c>
      <c r="AI205" s="21">
        <f>(AG205-AE205)*AE13</f>
        <v>0</v>
      </c>
      <c r="AJ205" s="4"/>
      <c r="AL205" s="38"/>
      <c r="AM205" s="18" t="e">
        <f>AM23+AM27+AM37+AM58</f>
        <v>#DIV/0!</v>
      </c>
      <c r="AN205" s="18"/>
      <c r="AO205" s="18">
        <f>AO23+AO27+AO37+AO58</f>
        <v>0.52721565711364426</v>
      </c>
      <c r="AP205" s="21"/>
      <c r="AQ205" s="4"/>
      <c r="AS205" s="38"/>
      <c r="AT205" s="18" t="e">
        <f>AT23+AT27+AT37+AT58</f>
        <v>#DIV/0!</v>
      </c>
      <c r="AU205" s="18"/>
      <c r="AV205" s="18">
        <f>AV23+AV27+AV37+AV58</f>
        <v>0.52243917062532541</v>
      </c>
      <c r="AW205" s="21">
        <f>(AU205-AS205)*AS13</f>
        <v>0</v>
      </c>
      <c r="AX205" s="4"/>
      <c r="AZ205" s="38"/>
      <c r="BA205" s="18" t="e">
        <f>BA23+BA27+BA37+BA58</f>
        <v>#DIV/0!</v>
      </c>
      <c r="BB205" s="18"/>
      <c r="BC205" s="18">
        <f>BC23+BC27+BC37+BC58</f>
        <v>0.52482418491979999</v>
      </c>
      <c r="BD205" s="21">
        <f>(BB205-AZ205)*AZ13</f>
        <v>0</v>
      </c>
      <c r="BE205" s="4"/>
      <c r="BG205" s="38"/>
      <c r="BH205" s="68" t="e">
        <f>BH23+BH27+BH37+BH58</f>
        <v>#DIV/0!</v>
      </c>
      <c r="BI205" s="38"/>
      <c r="BJ205" s="68">
        <f>BJ23+BJ27+BJ37+BJ58</f>
        <v>0.52119806389781509</v>
      </c>
      <c r="BK205" s="46">
        <f>(BI205-BG205)*BG13</f>
        <v>0</v>
      </c>
      <c r="BL205" s="73"/>
      <c r="BN205" s="38"/>
      <c r="BO205" s="68">
        <f>BO23+BO27+BO37+BO58</f>
        <v>0.58899092948202303</v>
      </c>
      <c r="BP205" s="38"/>
      <c r="BQ205" s="68">
        <f>BQ23+BQ27+BQ37+BQ58</f>
        <v>0.52215912350140536</v>
      </c>
      <c r="BR205" s="46">
        <f>(BP205-BN205)*BN13</f>
        <v>0</v>
      </c>
      <c r="BS205" s="73"/>
      <c r="BU205" s="38"/>
      <c r="BV205" s="68">
        <f>BV23+BV27+BV37+BV58</f>
        <v>0.51625777328637656</v>
      </c>
      <c r="BW205" s="38"/>
      <c r="BX205" s="68">
        <f>BX23+BX27+BX37+BX58</f>
        <v>0.56051821752214492</v>
      </c>
      <c r="BY205" s="46">
        <f>(BW205-BU205)*BU13</f>
        <v>0</v>
      </c>
      <c r="BZ205" s="73"/>
      <c r="CB205" s="38"/>
      <c r="CC205" s="68">
        <f>CC23+CC27+CC37+CC58</f>
        <v>0.55979207762503269</v>
      </c>
      <c r="CD205" s="38"/>
      <c r="CE205" s="68">
        <f>CE23+CE27+CE37+CE58</f>
        <v>0.52916479517400783</v>
      </c>
      <c r="CF205" s="46">
        <f>(CD205-CB205)*CB13</f>
        <v>0</v>
      </c>
      <c r="CG205" s="73"/>
      <c r="CI205" s="38"/>
      <c r="CJ205" s="68">
        <f>CJ23+CJ27+CJ37+CJ58</f>
        <v>0.57027649274597225</v>
      </c>
      <c r="CK205" s="38"/>
      <c r="CL205" s="68">
        <f>CL23+CL27+CL37+CL58</f>
        <v>0.54057826330247227</v>
      </c>
      <c r="CM205" s="46">
        <f>(CK205-CI205)*CI13</f>
        <v>0</v>
      </c>
      <c r="CN205" s="73"/>
      <c r="CP205" s="38"/>
      <c r="CQ205" s="68">
        <f>CQ23+CQ27+CQ37+CQ58</f>
        <v>0.56507184186557124</v>
      </c>
      <c r="CR205" s="38"/>
      <c r="CS205" s="68">
        <f>CS23+CS27+CS37+CS58</f>
        <v>0.54536183103332214</v>
      </c>
      <c r="CT205" s="46">
        <f>(CR205-CP205)*CP13</f>
        <v>0</v>
      </c>
      <c r="CU205" s="73"/>
      <c r="CW205" s="38"/>
      <c r="CX205" s="68">
        <f>CX23+CX27+CX37+CX58</f>
        <v>0.57565422804158084</v>
      </c>
      <c r="CY205" s="38"/>
      <c r="CZ205" s="68">
        <f>CZ23+CZ27+CZ37+CZ58</f>
        <v>0.55325049311113639</v>
      </c>
      <c r="DA205" s="46">
        <f>(CY205-CW205)*CW13</f>
        <v>0</v>
      </c>
      <c r="DB205" s="73"/>
      <c r="DD205" s="38"/>
      <c r="DE205" s="68">
        <f>DE23+DE27+DE37+DE58</f>
        <v>0.56063030814273196</v>
      </c>
      <c r="DF205" s="38"/>
      <c r="DG205" s="68">
        <f>DG23+DG27+DG37+DG58</f>
        <v>0.54915573419153552</v>
      </c>
      <c r="DH205" s="46">
        <f>(DF205-DD205)*DD13</f>
        <v>0</v>
      </c>
      <c r="DI205" s="73"/>
      <c r="DK205" s="38"/>
      <c r="DL205" s="77">
        <f>DL23+DL27+DL37+DL58</f>
        <v>0.56866139290312723</v>
      </c>
      <c r="DM205" s="18"/>
      <c r="DN205" s="77">
        <f>DN23+DN27+DN37+DN58</f>
        <v>0.54683634216370491</v>
      </c>
      <c r="DO205" s="21">
        <f>(DM205-DK205)*DK13</f>
        <v>0</v>
      </c>
      <c r="DP205" s="81"/>
      <c r="DR205" s="38"/>
      <c r="DS205" s="18">
        <f>DS23+DS29+DS37+DS58</f>
        <v>0.71985234725842384</v>
      </c>
      <c r="DT205" s="18"/>
      <c r="DU205" s="18">
        <f>DU23+DU29+DU37+DU58</f>
        <v>0.64350689658687499</v>
      </c>
      <c r="DV205" s="21">
        <f>(DT205-DR205)*DR13</f>
        <v>0</v>
      </c>
      <c r="DW205" s="4"/>
    </row>
    <row r="206" spans="1:127">
      <c r="C206" s="27"/>
      <c r="D206" s="16"/>
      <c r="E206" s="27"/>
      <c r="F206" s="16"/>
      <c r="G206" s="28"/>
      <c r="J206" s="27"/>
      <c r="K206" s="16"/>
      <c r="L206" s="27"/>
      <c r="M206" s="16"/>
      <c r="N206" s="28"/>
      <c r="Q206" s="49"/>
      <c r="R206" s="16"/>
      <c r="S206" s="27"/>
      <c r="T206" s="16"/>
      <c r="U206" s="28"/>
      <c r="X206" s="27"/>
      <c r="Y206" s="16"/>
      <c r="Z206" s="27"/>
      <c r="AA206" s="16"/>
      <c r="AB206" s="28"/>
      <c r="AE206" s="49"/>
      <c r="AF206" s="16"/>
      <c r="AG206" s="27"/>
      <c r="AH206" s="16"/>
      <c r="AI206" s="28"/>
      <c r="AL206" s="49"/>
      <c r="AM206" s="16"/>
      <c r="AN206" s="27"/>
      <c r="AO206" s="16"/>
      <c r="AP206" s="28"/>
      <c r="AS206" s="49"/>
      <c r="AT206" s="16"/>
      <c r="AU206" s="27"/>
      <c r="AV206" s="16"/>
      <c r="AW206" s="28"/>
      <c r="AZ206" s="49"/>
      <c r="BA206" s="16"/>
      <c r="BB206" s="27"/>
      <c r="BC206" s="16"/>
      <c r="BD206" s="28"/>
      <c r="BG206" s="49"/>
      <c r="BH206" s="43"/>
      <c r="BI206" s="49"/>
      <c r="BJ206" s="43"/>
      <c r="BK206" s="28"/>
      <c r="BN206" s="49"/>
      <c r="BO206" s="43"/>
      <c r="BP206" s="49"/>
      <c r="BQ206" s="43"/>
      <c r="BR206" s="28"/>
      <c r="BU206" s="49"/>
      <c r="BV206" s="43"/>
      <c r="BW206" s="49"/>
      <c r="BX206" s="43"/>
      <c r="BY206" s="28"/>
      <c r="CB206" s="49"/>
      <c r="CC206" s="43"/>
      <c r="CD206" s="49"/>
      <c r="CE206" s="43"/>
      <c r="CF206" s="28"/>
      <c r="CI206" s="49"/>
      <c r="CJ206" s="43"/>
      <c r="CK206" s="49"/>
      <c r="CL206" s="43"/>
      <c r="CM206" s="28"/>
      <c r="CP206" s="49"/>
      <c r="CQ206" s="43"/>
      <c r="CR206" s="49"/>
      <c r="CS206" s="43"/>
      <c r="CT206" s="28"/>
      <c r="CW206" s="49"/>
      <c r="CX206" s="43"/>
      <c r="CY206" s="49"/>
      <c r="CZ206" s="43"/>
      <c r="DA206" s="28"/>
      <c r="DD206" s="49"/>
      <c r="DE206" s="43"/>
      <c r="DF206" s="49"/>
      <c r="DG206" s="43"/>
      <c r="DH206" s="28"/>
      <c r="DK206" s="49"/>
      <c r="DL206" s="78"/>
      <c r="DM206" s="27"/>
      <c r="DN206" s="78"/>
      <c r="DO206" s="28"/>
      <c r="DR206" s="49"/>
      <c r="DS206" s="16"/>
      <c r="DT206" s="27"/>
      <c r="DU206" s="16"/>
      <c r="DV206" s="28"/>
    </row>
    <row r="207" spans="1:127">
      <c r="D207" s="16"/>
      <c r="F207" s="16"/>
      <c r="G207" s="28"/>
      <c r="K207" s="16"/>
      <c r="M207" s="16"/>
      <c r="N207" s="28"/>
      <c r="R207" s="16"/>
      <c r="T207" s="16"/>
      <c r="U207" s="28"/>
      <c r="Y207" s="16"/>
      <c r="AA207" s="16"/>
      <c r="AB207" s="28"/>
      <c r="AF207" s="16"/>
      <c r="AH207" s="16"/>
      <c r="AI207" s="28"/>
      <c r="AM207" s="16"/>
      <c r="AO207" s="16"/>
      <c r="AP207" s="28"/>
      <c r="AT207" s="16"/>
      <c r="AV207" s="16"/>
      <c r="AW207" s="28"/>
      <c r="BA207" s="16"/>
      <c r="BC207" s="16"/>
      <c r="BD207" s="28"/>
      <c r="BH207" s="43"/>
      <c r="BJ207" s="43"/>
      <c r="BK207" s="28"/>
      <c r="BO207" s="43"/>
      <c r="BQ207" s="43"/>
      <c r="BR207" s="28"/>
      <c r="BV207" s="43"/>
      <c r="BX207" s="43"/>
      <c r="BY207" s="28"/>
      <c r="CC207" s="43"/>
      <c r="CE207" s="43"/>
      <c r="CF207" s="28"/>
      <c r="CJ207" s="43"/>
      <c r="CL207" s="43"/>
      <c r="CM207" s="28"/>
      <c r="CQ207" s="43"/>
      <c r="CS207" s="43"/>
      <c r="CT207" s="28"/>
      <c r="CX207" s="43"/>
      <c r="CZ207" s="43"/>
      <c r="DA207" s="28"/>
      <c r="DE207" s="43"/>
      <c r="DG207" s="43"/>
      <c r="DH207" s="28"/>
      <c r="DL207" s="78"/>
      <c r="DN207" s="78"/>
      <c r="DO207" s="28"/>
      <c r="DS207" s="16"/>
      <c r="DU207" s="16"/>
      <c r="DV207" s="28"/>
    </row>
    <row r="208" spans="1:127">
      <c r="D208" s="13"/>
      <c r="F208" s="13"/>
      <c r="K208" s="13"/>
      <c r="M208" s="13"/>
      <c r="R208" s="13"/>
      <c r="T208" s="13"/>
      <c r="Y208" s="13"/>
      <c r="AA208" s="13"/>
      <c r="AF208" s="13"/>
      <c r="AH208" s="13"/>
      <c r="AM208" s="13"/>
      <c r="AO208" s="13"/>
      <c r="AT208" s="13"/>
      <c r="AV208" s="13"/>
      <c r="BA208" s="13"/>
      <c r="BC208" s="13"/>
      <c r="BH208" s="43"/>
      <c r="BJ208" s="43"/>
      <c r="BO208" s="43"/>
      <c r="BQ208" s="43"/>
      <c r="BV208" s="43"/>
      <c r="BX208" s="43"/>
      <c r="CC208" s="43"/>
      <c r="CE208" s="43"/>
      <c r="CJ208" s="43"/>
      <c r="CL208" s="43"/>
      <c r="CQ208" s="43"/>
      <c r="CS208" s="43"/>
      <c r="CX208" s="43"/>
      <c r="CZ208" s="43"/>
      <c r="DE208" s="43"/>
      <c r="DG208" s="43"/>
      <c r="DL208" s="78"/>
      <c r="DN208" s="78"/>
      <c r="DS208" s="13"/>
      <c r="DU208" s="13"/>
    </row>
    <row r="209" spans="4:126">
      <c r="D209" s="27"/>
      <c r="F209" s="27"/>
      <c r="G209" s="28"/>
      <c r="K209" s="27"/>
      <c r="M209" s="27"/>
      <c r="N209" s="28"/>
      <c r="R209" s="27"/>
      <c r="T209" s="27"/>
      <c r="U209" s="28"/>
      <c r="Y209" s="27"/>
      <c r="AA209" s="27"/>
      <c r="AB209" s="28"/>
      <c r="AF209" s="27"/>
      <c r="AH209" s="27"/>
      <c r="AI209" s="28"/>
      <c r="AM209" s="27"/>
      <c r="AO209" s="27"/>
      <c r="AP209" s="28"/>
      <c r="AT209" s="27"/>
      <c r="AV209" s="27"/>
      <c r="AW209" s="28"/>
      <c r="BA209" s="27"/>
      <c r="BC209" s="27"/>
      <c r="BD209" s="28"/>
      <c r="BH209" s="43"/>
      <c r="BJ209" s="43"/>
      <c r="BK209" s="28"/>
      <c r="BO209" s="43"/>
      <c r="BQ209" s="43"/>
      <c r="BR209" s="28"/>
      <c r="BV209" s="43"/>
      <c r="BX209" s="43"/>
      <c r="BY209" s="28"/>
      <c r="CC209" s="43"/>
      <c r="CE209" s="43"/>
      <c r="CF209" s="28"/>
      <c r="CJ209" s="43"/>
      <c r="CL209" s="43"/>
      <c r="CM209" s="28"/>
      <c r="CQ209" s="43"/>
      <c r="CS209" s="43"/>
      <c r="CT209" s="28"/>
      <c r="CX209" s="43"/>
      <c r="CZ209" s="43"/>
      <c r="DA209" s="28"/>
      <c r="DE209" s="43"/>
      <c r="DG209" s="43"/>
      <c r="DH209" s="28"/>
      <c r="DL209" s="78"/>
      <c r="DN209" s="78"/>
      <c r="DO209" s="28"/>
      <c r="DS209" s="27"/>
      <c r="DU209" s="27"/>
      <c r="DV209" s="28"/>
    </row>
  </sheetData>
  <mergeCells count="20">
    <mergeCell ref="A1:DW1"/>
    <mergeCell ref="A2:DW2"/>
    <mergeCell ref="C4:H4"/>
    <mergeCell ref="J4:O4"/>
    <mergeCell ref="Q4:V4"/>
    <mergeCell ref="X4:AC4"/>
    <mergeCell ref="AE4:AJ4"/>
    <mergeCell ref="AL4:AQ4"/>
    <mergeCell ref="AS4:AX4"/>
    <mergeCell ref="AZ4:BE4"/>
    <mergeCell ref="CW4:DB4"/>
    <mergeCell ref="DD4:DI4"/>
    <mergeCell ref="DK4:DP4"/>
    <mergeCell ref="DR4:DW4"/>
    <mergeCell ref="BG4:BL4"/>
    <mergeCell ref="BN4:BS4"/>
    <mergeCell ref="BU4:BZ4"/>
    <mergeCell ref="CB4:CG4"/>
    <mergeCell ref="CI4:CN4"/>
    <mergeCell ref="CP4:CU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EC4934533634F85AF6A7824AC92CF" ma:contentTypeVersion="15" ma:contentTypeDescription="Create a new document." ma:contentTypeScope="" ma:versionID="2bafd0309285f288bd0b68441a4fb619">
  <xsd:schema xmlns:xsd="http://www.w3.org/2001/XMLSchema" xmlns:xs="http://www.w3.org/2001/XMLSchema" xmlns:p="http://schemas.microsoft.com/office/2006/metadata/properties" xmlns:ns2="e64acbb9-cc03-4dbe-afb2-f128b381e51c" xmlns:ns3="2ab07028-a885-4d4d-9aa0-a3d2dfc9281f" targetNamespace="http://schemas.microsoft.com/office/2006/metadata/properties" ma:root="true" ma:fieldsID="63706f31f40429447f3976f489e29cac" ns2:_="" ns3:_="">
    <xsd:import namespace="e64acbb9-cc03-4dbe-afb2-f128b381e51c"/>
    <xsd:import namespace="2ab07028-a885-4d4d-9aa0-a3d2dfc92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acbb9-cc03-4dbe-afb2-f128b381e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03bd534-3c83-462d-affb-d1c4071c3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07028-a885-4d4d-9aa0-a3d2dfc92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3f7f8-47bb-4143-a225-a6028f106818}" ma:internalName="TaxCatchAll" ma:showField="CatchAllData" ma:web="2ab07028-a885-4d4d-9aa0-a3d2dfc92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b07028-a885-4d4d-9aa0-a3d2dfc9281f" xsi:nil="true"/>
    <lcf76f155ced4ddcb4097134ff3c332f xmlns="e64acbb9-cc03-4dbe-afb2-f128b381e5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DC17D3-482A-4827-B7A9-79F43FCEC52A}"/>
</file>

<file path=customXml/itemProps2.xml><?xml version="1.0" encoding="utf-8"?>
<ds:datastoreItem xmlns:ds="http://schemas.openxmlformats.org/officeDocument/2006/customXml" ds:itemID="{2FC8D6DC-1665-47E3-9CA9-2D67BA9A7A15}"/>
</file>

<file path=customXml/itemProps3.xml><?xml version="1.0" encoding="utf-8"?>
<ds:datastoreItem xmlns:ds="http://schemas.openxmlformats.org/officeDocument/2006/customXml" ds:itemID="{8E362053-E3DC-4264-AA9B-20E5A5361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William Groben</cp:lastModifiedBy>
  <cp:revision/>
  <dcterms:created xsi:type="dcterms:W3CDTF">2017-02-02T17:33:17Z</dcterms:created>
  <dcterms:modified xsi:type="dcterms:W3CDTF">2023-02-28T02:59:01Z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0x0101004EFEC4934533634F85AF6A7824AC92CF</vt:lpwstr>
  </property>
</Properties>
</file>