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0"/>
  <workbookPr/>
  <mc:AlternateContent xmlns:mc="http://schemas.openxmlformats.org/markup-compatibility/2006">
    <mc:Choice Requires="x15">
      <x15ac:absPath xmlns:x15ac="http://schemas.microsoft.com/office/spreadsheetml/2010/11/ac" url="https://starrestaurantgroup.sharepoint.com/sites/DoiMoi/Shared Documents/Finance/Investor Reports/2020/P13/"/>
    </mc:Choice>
  </mc:AlternateContent>
  <xr:revisionPtr revIDLastSave="0" documentId="8_{EB10426F-CE73-4549-9846-0B34D0A08635}" xr6:coauthVersionLast="47" xr6:coauthVersionMax="47" xr10:uidLastSave="{00000000-0000-0000-0000-000000000000}"/>
  <bookViews>
    <workbookView xWindow="0" yWindow="500" windowWidth="28800" windowHeight="16180" xr2:uid="{00000000-000D-0000-FFFF-FFFF00000000}"/>
  </bookViews>
  <sheets>
    <sheet name="Sheet1" sheetId="1" r:id="rId1"/>
    <sheet name="Doi Moi 2020 Budget" sheetId="3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X15" i="1"/>
  <c r="DY153" i="1"/>
  <c r="DK126" i="1"/>
  <c r="DK169" i="1" l="1"/>
  <c r="DK80" i="1"/>
  <c r="DR7" i="1" l="1"/>
  <c r="DK108" i="1"/>
  <c r="DK58" i="1"/>
  <c r="DK26" i="1"/>
  <c r="CP135" i="1" l="1"/>
  <c r="DD126" i="1" l="1"/>
  <c r="DD141" i="1" s="1"/>
  <c r="DD70" i="1"/>
  <c r="DR117" i="1" l="1"/>
  <c r="DY117" i="1" s="1"/>
  <c r="DD86" i="1" l="1"/>
  <c r="DD82" i="1"/>
  <c r="DD104" i="1"/>
  <c r="DD121" i="1"/>
  <c r="DD112" i="1"/>
  <c r="DD58" i="1"/>
  <c r="DD94" i="1"/>
  <c r="DE19" i="1"/>
  <c r="DE18" i="1"/>
  <c r="DE17" i="1"/>
  <c r="DE16" i="1"/>
  <c r="DE15" i="1"/>
  <c r="DD22" i="1"/>
  <c r="DD31" i="1" l="1"/>
  <c r="DD36" i="1" s="1"/>
  <c r="DD169" i="1"/>
  <c r="DD26" i="1"/>
  <c r="CW88" i="1" l="1"/>
  <c r="DR101" i="1" l="1"/>
  <c r="DR102" i="1"/>
  <c r="DY102" i="1" s="1"/>
  <c r="DR110" i="1"/>
  <c r="DY110" i="1" s="1"/>
  <c r="DR160" i="1"/>
  <c r="CW140" i="1"/>
  <c r="CW26" i="1" l="1"/>
  <c r="CW35" i="1" l="1"/>
  <c r="CW167" i="1" l="1"/>
  <c r="CW108" i="1"/>
  <c r="CW86" i="1"/>
  <c r="CW94" i="1" s="1"/>
  <c r="CW70" i="1"/>
  <c r="CW58" i="1"/>
  <c r="CP93" i="1" l="1"/>
  <c r="DR90" i="1"/>
  <c r="DY90" i="1" s="1"/>
  <c r="CP70" i="1" l="1"/>
  <c r="CP26" i="1"/>
  <c r="CP27" i="1"/>
  <c r="X40" i="1" l="1"/>
  <c r="X41" i="1"/>
  <c r="X42" i="1"/>
  <c r="X43" i="1"/>
  <c r="X44" i="1"/>
  <c r="X45" i="1"/>
  <c r="X47" i="1"/>
  <c r="X48" i="1"/>
  <c r="X50" i="1"/>
  <c r="X51" i="1"/>
  <c r="X52" i="1"/>
  <c r="X53" i="1"/>
  <c r="X54" i="1"/>
  <c r="X55" i="1"/>
  <c r="X56" i="1"/>
  <c r="X57" i="1"/>
  <c r="X39" i="1"/>
  <c r="X150" i="1"/>
  <c r="X151" i="1"/>
  <c r="X152" i="1"/>
  <c r="X149" i="1"/>
  <c r="X145" i="1"/>
  <c r="X125" i="1"/>
  <c r="X126" i="1"/>
  <c r="X127" i="1"/>
  <c r="X129" i="1"/>
  <c r="X130" i="1"/>
  <c r="X131" i="1"/>
  <c r="X132" i="1"/>
  <c r="X133" i="1"/>
  <c r="X134" i="1"/>
  <c r="X136" i="1"/>
  <c r="X137" i="1"/>
  <c r="X138" i="1"/>
  <c r="X139" i="1"/>
  <c r="X140" i="1"/>
  <c r="X124" i="1"/>
  <c r="X116" i="1"/>
  <c r="X118" i="1"/>
  <c r="X119" i="1"/>
  <c r="X120" i="1"/>
  <c r="X115" i="1"/>
  <c r="X111" i="1"/>
  <c r="X108" i="1"/>
  <c r="X109" i="1"/>
  <c r="X107" i="1"/>
  <c r="X98" i="1"/>
  <c r="X99" i="1"/>
  <c r="X100" i="1"/>
  <c r="X103" i="1"/>
  <c r="X97" i="1"/>
  <c r="X87" i="1"/>
  <c r="X88" i="1"/>
  <c r="X92" i="1"/>
  <c r="X93" i="1"/>
  <c r="X86" i="1"/>
  <c r="X62" i="1"/>
  <c r="X63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9" i="1"/>
  <c r="X81" i="1"/>
  <c r="X61" i="1"/>
  <c r="X32" i="1"/>
  <c r="X33" i="1"/>
  <c r="X34" i="1"/>
  <c r="X31" i="1"/>
  <c r="X27" i="1"/>
  <c r="X16" i="1"/>
  <c r="X17" i="1"/>
  <c r="X18" i="1"/>
  <c r="X19" i="1"/>
  <c r="X20" i="1"/>
  <c r="X21" i="1"/>
  <c r="X8" i="1"/>
  <c r="X9" i="1"/>
  <c r="X10" i="1"/>
  <c r="X11" i="1"/>
  <c r="X7" i="1"/>
  <c r="CI85" i="1"/>
  <c r="DY85" i="1" s="1"/>
  <c r="CI150" i="1"/>
  <c r="CI151" i="1"/>
  <c r="CI152" i="1"/>
  <c r="CI149" i="1"/>
  <c r="CI144" i="1"/>
  <c r="CI125" i="1"/>
  <c r="CI126" i="1"/>
  <c r="CI127" i="1"/>
  <c r="CI128" i="1"/>
  <c r="CI129" i="1"/>
  <c r="CI130" i="1"/>
  <c r="CI131" i="1"/>
  <c r="CI133" i="1"/>
  <c r="CI134" i="1"/>
  <c r="CI135" i="1"/>
  <c r="CI136" i="1"/>
  <c r="CI137" i="1"/>
  <c r="CI138" i="1"/>
  <c r="CI139" i="1"/>
  <c r="CI140" i="1"/>
  <c r="CI124" i="1"/>
  <c r="CI116" i="1"/>
  <c r="CI118" i="1"/>
  <c r="CI119" i="1"/>
  <c r="CI120" i="1"/>
  <c r="CI115" i="1"/>
  <c r="CI107" i="1"/>
  <c r="CI109" i="1"/>
  <c r="CI111" i="1"/>
  <c r="CI108" i="1"/>
  <c r="CI98" i="1"/>
  <c r="CI99" i="1"/>
  <c r="CI100" i="1"/>
  <c r="CI101" i="1"/>
  <c r="CI103" i="1"/>
  <c r="CI97" i="1"/>
  <c r="CI87" i="1"/>
  <c r="CI89" i="1"/>
  <c r="CI91" i="1"/>
  <c r="CI92" i="1"/>
  <c r="CI86" i="1"/>
  <c r="CI62" i="1"/>
  <c r="CI63" i="1"/>
  <c r="CI65" i="1"/>
  <c r="CI66" i="1"/>
  <c r="CI67" i="1"/>
  <c r="CI68" i="1"/>
  <c r="CI69" i="1"/>
  <c r="CI72" i="1"/>
  <c r="CI73" i="1"/>
  <c r="CI74" i="1"/>
  <c r="CI75" i="1"/>
  <c r="CI76" i="1"/>
  <c r="CI77" i="1"/>
  <c r="CI78" i="1"/>
  <c r="CI79" i="1"/>
  <c r="CI80" i="1"/>
  <c r="CI81" i="1"/>
  <c r="CI61" i="1"/>
  <c r="CI40" i="1"/>
  <c r="CI41" i="1"/>
  <c r="CI42" i="1"/>
  <c r="CI43" i="1"/>
  <c r="CI44" i="1"/>
  <c r="CI45" i="1"/>
  <c r="CI46" i="1"/>
  <c r="CI47" i="1"/>
  <c r="CI48" i="1"/>
  <c r="CI49" i="1"/>
  <c r="CI50" i="1"/>
  <c r="CI51" i="1"/>
  <c r="CI52" i="1"/>
  <c r="CI53" i="1"/>
  <c r="CI54" i="1"/>
  <c r="CI55" i="1"/>
  <c r="CI56" i="1"/>
  <c r="CI57" i="1"/>
  <c r="CI34" i="1"/>
  <c r="CI27" i="1"/>
  <c r="CI16" i="1"/>
  <c r="CI17" i="1"/>
  <c r="CI18" i="1"/>
  <c r="CI19" i="1"/>
  <c r="CI20" i="1"/>
  <c r="CI21" i="1"/>
  <c r="CI15" i="1"/>
  <c r="CI7" i="1"/>
  <c r="CP109" i="1" l="1"/>
  <c r="DR74" i="1"/>
  <c r="DY74" i="1" s="1"/>
  <c r="DR73" i="1"/>
  <c r="DY73" i="1" s="1"/>
  <c r="CP64" i="1"/>
  <c r="CP58" i="1"/>
  <c r="CP35" i="1"/>
  <c r="BU70" i="1" l="1"/>
  <c r="BU71" i="1"/>
  <c r="CI71" i="1" s="1"/>
  <c r="BU26" i="1"/>
  <c r="CB58" i="1"/>
  <c r="CB26" i="1" l="1"/>
  <c r="BU32" i="1"/>
  <c r="BU33" i="1"/>
  <c r="CI33" i="1" s="1"/>
  <c r="BU31" i="1"/>
  <c r="CI31" i="1" s="1"/>
  <c r="BU39" i="1"/>
  <c r="CI39" i="1" s="1"/>
  <c r="BU36" i="1" l="1"/>
  <c r="CI32" i="1"/>
  <c r="BU169" i="1"/>
  <c r="BU167" i="1"/>
  <c r="CB167" i="1"/>
  <c r="BU132" i="1"/>
  <c r="CB132" i="1"/>
  <c r="BU88" i="1"/>
  <c r="CI88" i="1" s="1"/>
  <c r="CB88" i="1"/>
  <c r="CI132" i="1" l="1"/>
  <c r="CB93" i="1"/>
  <c r="CI93" i="1" s="1"/>
  <c r="CB35" i="1" l="1"/>
  <c r="CI35" i="1" s="1"/>
  <c r="BU58" i="1"/>
  <c r="BN26" i="1" l="1"/>
  <c r="CI26" i="1" s="1"/>
  <c r="BN70" i="1"/>
  <c r="CI70" i="1" s="1"/>
  <c r="BN145" i="1"/>
  <c r="CI145" i="1" s="1"/>
  <c r="BN64" i="1"/>
  <c r="CI64" i="1" s="1"/>
  <c r="BN153" i="1" l="1"/>
  <c r="BN169" i="1"/>
  <c r="BN58" i="1"/>
  <c r="AC211" i="3" l="1"/>
  <c r="AB211" i="3"/>
  <c r="AA211" i="3"/>
  <c r="Z211" i="3"/>
  <c r="Y211" i="3"/>
  <c r="V211" i="3"/>
  <c r="U211" i="3"/>
  <c r="T211" i="3"/>
  <c r="S211" i="3"/>
  <c r="R211" i="3"/>
  <c r="Q211" i="3"/>
  <c r="P211" i="3"/>
  <c r="O211" i="3"/>
  <c r="N211" i="3"/>
  <c r="AB210" i="3"/>
  <c r="AB212" i="3" s="1"/>
  <c r="AA210" i="3"/>
  <c r="Z210" i="3"/>
  <c r="Y210" i="3"/>
  <c r="V210" i="3"/>
  <c r="U210" i="3"/>
  <c r="T210" i="3"/>
  <c r="T212" i="3" s="1"/>
  <c r="S210" i="3"/>
  <c r="S212" i="3" s="1"/>
  <c r="R210" i="3"/>
  <c r="R212" i="3" s="1"/>
  <c r="Q210" i="3"/>
  <c r="P210" i="3"/>
  <c r="O210" i="3"/>
  <c r="N210" i="3"/>
  <c r="AC209" i="3"/>
  <c r="AC208" i="3"/>
  <c r="U183" i="3"/>
  <c r="T183" i="3"/>
  <c r="S183" i="3"/>
  <c r="R183" i="3"/>
  <c r="Q183" i="3"/>
  <c r="P183" i="3"/>
  <c r="M183" i="3"/>
  <c r="F182" i="3"/>
  <c r="G182" i="3" s="1"/>
  <c r="H182" i="3" s="1"/>
  <c r="AB181" i="3"/>
  <c r="AA181" i="3"/>
  <c r="Z181" i="3"/>
  <c r="Y181" i="3"/>
  <c r="X181" i="3"/>
  <c r="V181" i="3"/>
  <c r="G181" i="3"/>
  <c r="H181" i="3" s="1"/>
  <c r="AB180" i="3"/>
  <c r="AA180" i="3"/>
  <c r="Z180" i="3"/>
  <c r="Y180" i="3"/>
  <c r="V180" i="3"/>
  <c r="O180" i="3"/>
  <c r="O183" i="3" s="1"/>
  <c r="N180" i="3"/>
  <c r="N183" i="3" s="1"/>
  <c r="H180" i="3"/>
  <c r="H179" i="3"/>
  <c r="AC178" i="3"/>
  <c r="J178" i="3" s="1"/>
  <c r="J183" i="3" s="1"/>
  <c r="H178" i="3"/>
  <c r="V171" i="3"/>
  <c r="U171" i="3"/>
  <c r="S171" i="3"/>
  <c r="R171" i="3"/>
  <c r="Q171" i="3"/>
  <c r="P171" i="3"/>
  <c r="O171" i="3"/>
  <c r="N171" i="3"/>
  <c r="F171" i="3"/>
  <c r="AB170" i="3"/>
  <c r="AA170" i="3"/>
  <c r="Z170" i="3"/>
  <c r="Y170" i="3"/>
  <c r="X170" i="3"/>
  <c r="AC169" i="3"/>
  <c r="G169" i="3"/>
  <c r="H169" i="3" s="1"/>
  <c r="AC168" i="3"/>
  <c r="X167" i="3"/>
  <c r="T167" i="3"/>
  <c r="T171" i="3" s="1"/>
  <c r="G167" i="3"/>
  <c r="H167" i="3" s="1"/>
  <c r="X164" i="3"/>
  <c r="V164" i="3"/>
  <c r="U164" i="3"/>
  <c r="T164" i="3"/>
  <c r="S164" i="3"/>
  <c r="R164" i="3"/>
  <c r="Q164" i="3"/>
  <c r="P164" i="3"/>
  <c r="O164" i="3"/>
  <c r="N164" i="3"/>
  <c r="F164" i="3"/>
  <c r="AB163" i="3"/>
  <c r="AB164" i="3" s="1"/>
  <c r="AA163" i="3"/>
  <c r="AA164" i="3" s="1"/>
  <c r="Z163" i="3"/>
  <c r="Z164" i="3" s="1"/>
  <c r="Y163" i="3"/>
  <c r="G163" i="3"/>
  <c r="H163" i="3" s="1"/>
  <c r="AC162" i="3"/>
  <c r="G162" i="3"/>
  <c r="H162" i="3" s="1"/>
  <c r="F155" i="3"/>
  <c r="G154" i="3"/>
  <c r="H154" i="3" s="1"/>
  <c r="AB153" i="3"/>
  <c r="AA153" i="3"/>
  <c r="Z153" i="3"/>
  <c r="Y153" i="3"/>
  <c r="X153" i="3"/>
  <c r="V153" i="3"/>
  <c r="U153" i="3"/>
  <c r="T153" i="3"/>
  <c r="G153" i="3"/>
  <c r="H153" i="3" s="1"/>
  <c r="G152" i="3"/>
  <c r="H152" i="3" s="1"/>
  <c r="J152" i="3" s="1"/>
  <c r="AC151" i="3"/>
  <c r="G151" i="3"/>
  <c r="H151" i="3" s="1"/>
  <c r="AB150" i="3"/>
  <c r="AA150" i="3"/>
  <c r="Z150" i="3"/>
  <c r="Y150" i="3"/>
  <c r="X150" i="3"/>
  <c r="V150" i="3"/>
  <c r="G150" i="3"/>
  <c r="H150" i="3" s="1"/>
  <c r="G149" i="3"/>
  <c r="H149" i="3" s="1"/>
  <c r="J149" i="3" s="1"/>
  <c r="E149" i="3"/>
  <c r="AB148" i="3"/>
  <c r="AA148" i="3"/>
  <c r="Z148" i="3"/>
  <c r="Y148" i="3"/>
  <c r="X148" i="3"/>
  <c r="V148" i="3"/>
  <c r="G148" i="3"/>
  <c r="H148" i="3" s="1"/>
  <c r="AB147" i="3"/>
  <c r="AA147" i="3"/>
  <c r="Z147" i="3"/>
  <c r="Y147" i="3"/>
  <c r="G147" i="3"/>
  <c r="H147" i="3" s="1"/>
  <c r="AB146" i="3"/>
  <c r="AA146" i="3"/>
  <c r="Z146" i="3"/>
  <c r="Y146" i="3"/>
  <c r="X146" i="3"/>
  <c r="V146" i="3"/>
  <c r="G146" i="3"/>
  <c r="H146" i="3" s="1"/>
  <c r="X145" i="3"/>
  <c r="G145" i="3"/>
  <c r="H145" i="3" s="1"/>
  <c r="G144" i="3"/>
  <c r="H144" i="3" s="1"/>
  <c r="J144" i="3" s="1"/>
  <c r="X144" i="3" s="1"/>
  <c r="AB143" i="3"/>
  <c r="AA143" i="3"/>
  <c r="Z143" i="3"/>
  <c r="Y143" i="3"/>
  <c r="X143" i="3"/>
  <c r="V143" i="3"/>
  <c r="G143" i="3"/>
  <c r="H143" i="3" s="1"/>
  <c r="AB142" i="3"/>
  <c r="AA142" i="3"/>
  <c r="Z142" i="3"/>
  <c r="Y142" i="3"/>
  <c r="X142" i="3"/>
  <c r="V142" i="3"/>
  <c r="G142" i="3"/>
  <c r="H142" i="3" s="1"/>
  <c r="AC141" i="3"/>
  <c r="G141" i="3"/>
  <c r="H141" i="3" s="1"/>
  <c r="AC140" i="3"/>
  <c r="J140" i="3"/>
  <c r="G140" i="3"/>
  <c r="H140" i="3" s="1"/>
  <c r="AC139" i="3"/>
  <c r="G139" i="3"/>
  <c r="H139" i="3" s="1"/>
  <c r="AB138" i="3"/>
  <c r="AA138" i="3"/>
  <c r="Z138" i="3"/>
  <c r="Y138" i="3"/>
  <c r="V138" i="3"/>
  <c r="G138" i="3"/>
  <c r="F135" i="3"/>
  <c r="G134" i="3"/>
  <c r="H134" i="3" s="1"/>
  <c r="J134" i="3" s="1"/>
  <c r="G133" i="3"/>
  <c r="H133" i="3" s="1"/>
  <c r="J133" i="3" s="1"/>
  <c r="G132" i="3"/>
  <c r="H132" i="3" s="1"/>
  <c r="J132" i="3" s="1"/>
  <c r="G131" i="3"/>
  <c r="H131" i="3" s="1"/>
  <c r="J131" i="3" s="1"/>
  <c r="G130" i="3"/>
  <c r="X126" i="3"/>
  <c r="AB125" i="3"/>
  <c r="AA125" i="3"/>
  <c r="Z125" i="3"/>
  <c r="Y125" i="3"/>
  <c r="X125" i="3"/>
  <c r="X124" i="3"/>
  <c r="F124" i="3"/>
  <c r="X123" i="3"/>
  <c r="V119" i="3"/>
  <c r="U119" i="3"/>
  <c r="T119" i="3"/>
  <c r="S119" i="3"/>
  <c r="R119" i="3"/>
  <c r="Q119" i="3"/>
  <c r="P119" i="3"/>
  <c r="O119" i="3"/>
  <c r="N119" i="3"/>
  <c r="M119" i="3"/>
  <c r="F119" i="3"/>
  <c r="AB118" i="3"/>
  <c r="AA118" i="3"/>
  <c r="Z118" i="3"/>
  <c r="Y118" i="3"/>
  <c r="X118" i="3"/>
  <c r="G118" i="3"/>
  <c r="AB117" i="3"/>
  <c r="AA117" i="3"/>
  <c r="Z117" i="3"/>
  <c r="Z119" i="3" s="1"/>
  <c r="Y117" i="3"/>
  <c r="X117" i="3"/>
  <c r="J116" i="3"/>
  <c r="J115" i="3"/>
  <c r="J114" i="3"/>
  <c r="J113" i="3"/>
  <c r="V110" i="3"/>
  <c r="U110" i="3"/>
  <c r="T110" i="3"/>
  <c r="S110" i="3"/>
  <c r="R110" i="3"/>
  <c r="Q110" i="3"/>
  <c r="P110" i="3"/>
  <c r="O110" i="3"/>
  <c r="N110" i="3"/>
  <c r="AB109" i="3"/>
  <c r="AA109" i="3"/>
  <c r="Z109" i="3"/>
  <c r="Y109" i="3"/>
  <c r="G109" i="3"/>
  <c r="H109" i="3" s="1"/>
  <c r="AB108" i="3"/>
  <c r="AA108" i="3"/>
  <c r="AA110" i="3" s="1"/>
  <c r="Z108" i="3"/>
  <c r="Y108" i="3"/>
  <c r="G108" i="3"/>
  <c r="H108" i="3" s="1"/>
  <c r="AC107" i="3"/>
  <c r="J107" i="3" s="1"/>
  <c r="F107" i="3"/>
  <c r="X104" i="3"/>
  <c r="AC104" i="3" s="1"/>
  <c r="G104" i="3"/>
  <c r="H104" i="3" s="1"/>
  <c r="AC103" i="3"/>
  <c r="G103" i="3"/>
  <c r="H103" i="3" s="1"/>
  <c r="AC102" i="3"/>
  <c r="G102" i="3"/>
  <c r="H102" i="3" s="1"/>
  <c r="X101" i="3"/>
  <c r="G101" i="3"/>
  <c r="H101" i="3" s="1"/>
  <c r="F97" i="3"/>
  <c r="X96" i="3"/>
  <c r="G96" i="3"/>
  <c r="H96" i="3" s="1"/>
  <c r="G95" i="3"/>
  <c r="H95" i="3" s="1"/>
  <c r="J95" i="3" s="1"/>
  <c r="AC94" i="3"/>
  <c r="J94" i="3" s="1"/>
  <c r="G94" i="3"/>
  <c r="H94" i="3" s="1"/>
  <c r="AB93" i="3"/>
  <c r="AA93" i="3"/>
  <c r="Z93" i="3"/>
  <c r="Y93" i="3"/>
  <c r="X93" i="3"/>
  <c r="G93" i="3"/>
  <c r="H93" i="3" s="1"/>
  <c r="X92" i="3"/>
  <c r="G92" i="3"/>
  <c r="H92" i="3" s="1"/>
  <c r="X91" i="3"/>
  <c r="G91" i="3"/>
  <c r="H91" i="3" s="1"/>
  <c r="G90" i="3"/>
  <c r="H90" i="3" s="1"/>
  <c r="AB89" i="3"/>
  <c r="AA89" i="3"/>
  <c r="Z89" i="3"/>
  <c r="Y89" i="3"/>
  <c r="X89" i="3"/>
  <c r="G89" i="3"/>
  <c r="H89" i="3" s="1"/>
  <c r="AC88" i="3"/>
  <c r="G88" i="3"/>
  <c r="H88" i="3" s="1"/>
  <c r="X87" i="3"/>
  <c r="G87" i="3"/>
  <c r="H87" i="3" s="1"/>
  <c r="G86" i="3"/>
  <c r="H86" i="3" s="1"/>
  <c r="J86" i="3" s="1"/>
  <c r="S86" i="3" s="1"/>
  <c r="G85" i="3"/>
  <c r="H85" i="3" s="1"/>
  <c r="E85" i="3"/>
  <c r="G84" i="3"/>
  <c r="H84" i="3" s="1"/>
  <c r="AC83" i="3"/>
  <c r="G83" i="3"/>
  <c r="H83" i="3" s="1"/>
  <c r="AC82" i="3"/>
  <c r="G82" i="3"/>
  <c r="H82" i="3" s="1"/>
  <c r="AC81" i="3"/>
  <c r="G81" i="3"/>
  <c r="H81" i="3" s="1"/>
  <c r="AC80" i="3"/>
  <c r="J80" i="3" s="1"/>
  <c r="G80" i="3"/>
  <c r="H80" i="3" s="1"/>
  <c r="AC79" i="3"/>
  <c r="G79" i="3"/>
  <c r="H79" i="3" s="1"/>
  <c r="AB78" i="3"/>
  <c r="AA78" i="3"/>
  <c r="Z78" i="3"/>
  <c r="Y78" i="3"/>
  <c r="X78" i="3"/>
  <c r="G78" i="3"/>
  <c r="H78" i="3" s="1"/>
  <c r="F73" i="3"/>
  <c r="X72" i="3"/>
  <c r="AC72" i="3" s="1"/>
  <c r="J72" i="3" s="1"/>
  <c r="G72" i="3"/>
  <c r="H72" i="3" s="1"/>
  <c r="AC71" i="3"/>
  <c r="AC70" i="3"/>
  <c r="J70" i="3" s="1"/>
  <c r="G70" i="3"/>
  <c r="H70" i="3" s="1"/>
  <c r="G69" i="3"/>
  <c r="H69" i="3" s="1"/>
  <c r="J69" i="3" s="1"/>
  <c r="AB68" i="3"/>
  <c r="AA68" i="3"/>
  <c r="Z68" i="3"/>
  <c r="Y68" i="3"/>
  <c r="X68" i="3"/>
  <c r="G68" i="3"/>
  <c r="H68" i="3" s="1"/>
  <c r="AC67" i="3"/>
  <c r="G67" i="3"/>
  <c r="H67" i="3" s="1"/>
  <c r="AB66" i="3"/>
  <c r="AA66" i="3"/>
  <c r="Z66" i="3"/>
  <c r="Y66" i="3"/>
  <c r="X66" i="3"/>
  <c r="V66" i="3"/>
  <c r="G66" i="3"/>
  <c r="H66" i="3" s="1"/>
  <c r="X65" i="3"/>
  <c r="AC65" i="3" s="1"/>
  <c r="G65" i="3"/>
  <c r="H65" i="3" s="1"/>
  <c r="AB64" i="3"/>
  <c r="AA64" i="3"/>
  <c r="Z64" i="3"/>
  <c r="Y64" i="3"/>
  <c r="X64" i="3"/>
  <c r="G64" i="3"/>
  <c r="H64" i="3" s="1"/>
  <c r="AB63" i="3"/>
  <c r="AA63" i="3"/>
  <c r="Z63" i="3"/>
  <c r="Y63" i="3"/>
  <c r="X63" i="3"/>
  <c r="G63" i="3"/>
  <c r="H63" i="3" s="1"/>
  <c r="AC62" i="3"/>
  <c r="J62" i="3" s="1"/>
  <c r="H62" i="3"/>
  <c r="AC61" i="3"/>
  <c r="G61" i="3"/>
  <c r="H61" i="3" s="1"/>
  <c r="AB60" i="3"/>
  <c r="AA60" i="3"/>
  <c r="Z60" i="3"/>
  <c r="Y60" i="3"/>
  <c r="G60" i="3"/>
  <c r="H60" i="3" s="1"/>
  <c r="AC59" i="3"/>
  <c r="G59" i="3"/>
  <c r="H59" i="3" s="1"/>
  <c r="AC58" i="3"/>
  <c r="J58" i="3" s="1"/>
  <c r="H58" i="3"/>
  <c r="AB57" i="3"/>
  <c r="AA57" i="3"/>
  <c r="Z57" i="3"/>
  <c r="Y57" i="3"/>
  <c r="U57" i="3"/>
  <c r="T57" i="3"/>
  <c r="G57" i="3"/>
  <c r="H57" i="3" s="1"/>
  <c r="X52" i="3"/>
  <c r="U52" i="3"/>
  <c r="U53" i="3" s="1"/>
  <c r="U56" i="3" s="1"/>
  <c r="T52" i="3"/>
  <c r="S52" i="3"/>
  <c r="R52" i="3"/>
  <c r="Q52" i="3"/>
  <c r="P52" i="3"/>
  <c r="O52" i="3"/>
  <c r="N52" i="3"/>
  <c r="AB51" i="3"/>
  <c r="AA51" i="3"/>
  <c r="Z51" i="3"/>
  <c r="Y51" i="3"/>
  <c r="X51" i="3"/>
  <c r="X50" i="3"/>
  <c r="F50" i="3"/>
  <c r="X49" i="3"/>
  <c r="F49" i="3"/>
  <c r="V46" i="3"/>
  <c r="U46" i="3"/>
  <c r="T46" i="3"/>
  <c r="S46" i="3"/>
  <c r="R46" i="3"/>
  <c r="Q46" i="3"/>
  <c r="P46" i="3"/>
  <c r="O46" i="3"/>
  <c r="N46" i="3"/>
  <c r="M46" i="3"/>
  <c r="J46" i="3"/>
  <c r="F46" i="3"/>
  <c r="AC45" i="3"/>
  <c r="AB44" i="3"/>
  <c r="AA44" i="3"/>
  <c r="Z44" i="3"/>
  <c r="Z46" i="3" s="1"/>
  <c r="Y44" i="3"/>
  <c r="X44" i="3"/>
  <c r="X46" i="3" s="1"/>
  <c r="G44" i="3"/>
  <c r="G46" i="3" s="1"/>
  <c r="M42" i="3"/>
  <c r="AC39" i="3"/>
  <c r="F39" i="3"/>
  <c r="F38" i="3"/>
  <c r="F37" i="3"/>
  <c r="F36" i="3"/>
  <c r="AB30" i="3"/>
  <c r="AB52" i="3" s="1"/>
  <c r="AA30" i="3"/>
  <c r="AA50" i="3" s="1"/>
  <c r="Z30" i="3"/>
  <c r="Z87" i="3" s="1"/>
  <c r="Y30" i="3"/>
  <c r="Y50" i="3" s="1"/>
  <c r="V30" i="3"/>
  <c r="U30" i="3"/>
  <c r="T30" i="3"/>
  <c r="S30" i="3"/>
  <c r="R30" i="3"/>
  <c r="Q30" i="3"/>
  <c r="Q92" i="3" s="1"/>
  <c r="P30" i="3"/>
  <c r="O30" i="3"/>
  <c r="N30" i="3"/>
  <c r="F26" i="3"/>
  <c r="F24" i="3"/>
  <c r="AD23" i="3"/>
  <c r="AC23" i="3"/>
  <c r="AD22" i="3"/>
  <c r="AC22" i="3"/>
  <c r="AC16" i="3"/>
  <c r="X16" i="3"/>
  <c r="AC15" i="3"/>
  <c r="AC14" i="3"/>
  <c r="AB12" i="3"/>
  <c r="AA12" i="3"/>
  <c r="Z12" i="3"/>
  <c r="Y12" i="3"/>
  <c r="X12" i="3"/>
  <c r="W12" i="3"/>
  <c r="S12" i="3"/>
  <c r="R12" i="3"/>
  <c r="Q12" i="3"/>
  <c r="P12" i="3"/>
  <c r="O12" i="3"/>
  <c r="N12" i="3"/>
  <c r="AC9" i="3"/>
  <c r="AC7" i="3"/>
  <c r="F40" i="3" l="1"/>
  <c r="AC60" i="3"/>
  <c r="X127" i="3"/>
  <c r="Z110" i="3"/>
  <c r="AC12" i="3"/>
  <c r="AA183" i="3"/>
  <c r="AC142" i="3"/>
  <c r="AC146" i="3"/>
  <c r="AC153" i="3"/>
  <c r="AB183" i="3"/>
  <c r="Y110" i="3"/>
  <c r="AC170" i="3"/>
  <c r="J170" i="3" s="1"/>
  <c r="H44" i="3"/>
  <c r="H46" i="3" s="1"/>
  <c r="X171" i="3"/>
  <c r="V183" i="3"/>
  <c r="AC51" i="3"/>
  <c r="J51" i="3" s="1"/>
  <c r="X69" i="3"/>
  <c r="N69" i="3"/>
  <c r="N73" i="3" s="1"/>
  <c r="AB110" i="3"/>
  <c r="AC89" i="3"/>
  <c r="J89" i="3" s="1"/>
  <c r="AC108" i="3"/>
  <c r="J108" i="3" s="1"/>
  <c r="AC57" i="3"/>
  <c r="J57" i="3" s="1"/>
  <c r="AC68" i="3"/>
  <c r="J68" i="3" s="1"/>
  <c r="H164" i="3"/>
  <c r="AH163" i="3"/>
  <c r="AC109" i="3"/>
  <c r="AC143" i="3"/>
  <c r="X53" i="3"/>
  <c r="X56" i="3" s="1"/>
  <c r="AC93" i="3"/>
  <c r="J93" i="3" s="1"/>
  <c r="AC148" i="3"/>
  <c r="Z183" i="3"/>
  <c r="H97" i="3"/>
  <c r="AC147" i="3"/>
  <c r="AC163" i="3"/>
  <c r="G171" i="3"/>
  <c r="AC44" i="3"/>
  <c r="AC46" i="3" s="1"/>
  <c r="AB119" i="3"/>
  <c r="AC118" i="3"/>
  <c r="J118" i="3" s="1"/>
  <c r="J119" i="3" s="1"/>
  <c r="AC117" i="3"/>
  <c r="AB46" i="3"/>
  <c r="AA119" i="3"/>
  <c r="AC66" i="3"/>
  <c r="J66" i="3" s="1"/>
  <c r="AC63" i="3"/>
  <c r="J63" i="3" s="1"/>
  <c r="X119" i="3"/>
  <c r="AB95" i="3"/>
  <c r="V95" i="3"/>
  <c r="U95" i="3"/>
  <c r="S95" i="3"/>
  <c r="R95" i="3"/>
  <c r="AA95" i="3"/>
  <c r="Q95" i="3"/>
  <c r="Z95" i="3"/>
  <c r="P95" i="3"/>
  <c r="Y95" i="3"/>
  <c r="O95" i="3"/>
  <c r="P145" i="3"/>
  <c r="P155" i="3" s="1"/>
  <c r="P124" i="3"/>
  <c r="P126" i="3"/>
  <c r="P123" i="3"/>
  <c r="P92" i="3"/>
  <c r="P49" i="3"/>
  <c r="P53" i="3" s="1"/>
  <c r="P54" i="3" s="1"/>
  <c r="P81" i="3"/>
  <c r="P205" i="3"/>
  <c r="P217" i="3" s="1"/>
  <c r="P87" i="3"/>
  <c r="Z145" i="3"/>
  <c r="Z124" i="3"/>
  <c r="Z167" i="3"/>
  <c r="Z171" i="3" s="1"/>
  <c r="Z126" i="3"/>
  <c r="Z123" i="3"/>
  <c r="Z96" i="3"/>
  <c r="Z92" i="3"/>
  <c r="Z49" i="3"/>
  <c r="Z91" i="3"/>
  <c r="Z85" i="3"/>
  <c r="Z205" i="3"/>
  <c r="Z84" i="3"/>
  <c r="Z50" i="3"/>
  <c r="AA86" i="3"/>
  <c r="R86" i="3"/>
  <c r="Z86" i="3"/>
  <c r="Q86" i="3"/>
  <c r="Y86" i="3"/>
  <c r="P86" i="3"/>
  <c r="X86" i="3"/>
  <c r="O86" i="3"/>
  <c r="V86" i="3"/>
  <c r="N86" i="3"/>
  <c r="U86" i="3"/>
  <c r="T86" i="3"/>
  <c r="N95" i="3"/>
  <c r="N205" i="3"/>
  <c r="N123" i="3"/>
  <c r="N145" i="3"/>
  <c r="N155" i="3" s="1"/>
  <c r="N124" i="3"/>
  <c r="N126" i="3"/>
  <c r="N87" i="3"/>
  <c r="N92" i="3"/>
  <c r="N49" i="3"/>
  <c r="N53" i="3" s="1"/>
  <c r="N54" i="3" s="1"/>
  <c r="N81" i="3"/>
  <c r="F30" i="3"/>
  <c r="G49" i="3" s="1"/>
  <c r="R124" i="3"/>
  <c r="R126" i="3"/>
  <c r="R205" i="3"/>
  <c r="R123" i="3"/>
  <c r="R81" i="3"/>
  <c r="R145" i="3"/>
  <c r="R155" i="3" s="1"/>
  <c r="R87" i="3"/>
  <c r="R92" i="3"/>
  <c r="AB167" i="3"/>
  <c r="AB171" i="3" s="1"/>
  <c r="AB126" i="3"/>
  <c r="AB123" i="3"/>
  <c r="AB205" i="3"/>
  <c r="AB145" i="3"/>
  <c r="AB49" i="3"/>
  <c r="AB124" i="3"/>
  <c r="AB91" i="3"/>
  <c r="AB85" i="3"/>
  <c r="AB96" i="3"/>
  <c r="AB84" i="3"/>
  <c r="AB50" i="3"/>
  <c r="AB87" i="3"/>
  <c r="Y46" i="3"/>
  <c r="AC78" i="3"/>
  <c r="AB86" i="3"/>
  <c r="AA124" i="3"/>
  <c r="AA167" i="3"/>
  <c r="AA171" i="3" s="1"/>
  <c r="AA126" i="3"/>
  <c r="AA123" i="3"/>
  <c r="AA96" i="3"/>
  <c r="AA205" i="3"/>
  <c r="AA217" i="3" s="1"/>
  <c r="AA92" i="3"/>
  <c r="AA49" i="3"/>
  <c r="AA145" i="3"/>
  <c r="AA91" i="3"/>
  <c r="AA85" i="3"/>
  <c r="AA84" i="3"/>
  <c r="AA87" i="3"/>
  <c r="AA52" i="3"/>
  <c r="S126" i="3"/>
  <c r="S205" i="3"/>
  <c r="S123" i="3"/>
  <c r="S145" i="3"/>
  <c r="S155" i="3" s="1"/>
  <c r="S124" i="3"/>
  <c r="S87" i="3"/>
  <c r="S92" i="3"/>
  <c r="S49" i="3"/>
  <c r="S53" i="3" s="1"/>
  <c r="S54" i="3" s="1"/>
  <c r="R49" i="3"/>
  <c r="R53" i="3" s="1"/>
  <c r="R54" i="3" s="1"/>
  <c r="AC64" i="3"/>
  <c r="S81" i="3"/>
  <c r="AB133" i="3"/>
  <c r="AA133" i="3"/>
  <c r="Z133" i="3"/>
  <c r="Y133" i="3"/>
  <c r="X133" i="3"/>
  <c r="Y205" i="3"/>
  <c r="Y145" i="3"/>
  <c r="Y124" i="3"/>
  <c r="Y167" i="3"/>
  <c r="Y126" i="3"/>
  <c r="Y87" i="3"/>
  <c r="Y52" i="3"/>
  <c r="Y92" i="3"/>
  <c r="Y49" i="3"/>
  <c r="Y91" i="3"/>
  <c r="Y96" i="3"/>
  <c r="Y123" i="3"/>
  <c r="Q145" i="3"/>
  <c r="Q155" i="3" s="1"/>
  <c r="Q124" i="3"/>
  <c r="Q126" i="3"/>
  <c r="Q205" i="3"/>
  <c r="Q217" i="3" s="1"/>
  <c r="Q123" i="3"/>
  <c r="Q49" i="3"/>
  <c r="Q53" i="3" s="1"/>
  <c r="Q54" i="3" s="1"/>
  <c r="Q81" i="3"/>
  <c r="Q87" i="3"/>
  <c r="T126" i="3"/>
  <c r="T205" i="3"/>
  <c r="T217" i="3" s="1"/>
  <c r="T123" i="3"/>
  <c r="T145" i="3"/>
  <c r="T155" i="3" s="1"/>
  <c r="T124" i="3"/>
  <c r="T87" i="3"/>
  <c r="T92" i="3"/>
  <c r="T81" i="3"/>
  <c r="AA46" i="3"/>
  <c r="T49" i="3"/>
  <c r="T53" i="3" s="1"/>
  <c r="T56" i="3" s="1"/>
  <c r="J65" i="3"/>
  <c r="AB92" i="3"/>
  <c r="V205" i="3"/>
  <c r="V123" i="3"/>
  <c r="V145" i="3"/>
  <c r="V124" i="3"/>
  <c r="V126" i="3"/>
  <c r="V52" i="3"/>
  <c r="V53" i="3" s="1"/>
  <c r="V56" i="3" s="1"/>
  <c r="V73" i="3" s="1"/>
  <c r="V85" i="3"/>
  <c r="O205" i="3"/>
  <c r="O217" i="3" s="1"/>
  <c r="O123" i="3"/>
  <c r="O145" i="3"/>
  <c r="O155" i="3" s="1"/>
  <c r="O124" i="3"/>
  <c r="O126" i="3"/>
  <c r="O92" i="3"/>
  <c r="O49" i="3"/>
  <c r="O53" i="3" s="1"/>
  <c r="O54" i="3" s="1"/>
  <c r="O81" i="3"/>
  <c r="G39" i="3"/>
  <c r="H39" i="3" s="1"/>
  <c r="X95" i="3"/>
  <c r="U205" i="3"/>
  <c r="U123" i="3"/>
  <c r="U145" i="3"/>
  <c r="U155" i="3" s="1"/>
  <c r="U124" i="3"/>
  <c r="U126" i="3"/>
  <c r="AH30" i="3"/>
  <c r="Z52" i="3"/>
  <c r="J60" i="3"/>
  <c r="U69" i="3"/>
  <c r="U73" i="3" s="1"/>
  <c r="T69" i="3"/>
  <c r="S69" i="3"/>
  <c r="AB69" i="3"/>
  <c r="R69" i="3"/>
  <c r="AA69" i="3"/>
  <c r="Q69" i="3"/>
  <c r="Z69" i="3"/>
  <c r="P69" i="3"/>
  <c r="Y69" i="3"/>
  <c r="O69" i="3"/>
  <c r="G97" i="3"/>
  <c r="O87" i="3"/>
  <c r="J81" i="3"/>
  <c r="X110" i="3"/>
  <c r="AC101" i="3"/>
  <c r="G155" i="3"/>
  <c r="H183" i="3"/>
  <c r="Y183" i="3"/>
  <c r="G124" i="3"/>
  <c r="H124" i="3" s="1"/>
  <c r="G135" i="3"/>
  <c r="H130" i="3"/>
  <c r="AA134" i="3"/>
  <c r="R134" i="3"/>
  <c r="R135" i="3" s="1"/>
  <c r="Z134" i="3"/>
  <c r="Q134" i="3"/>
  <c r="Q135" i="3" s="1"/>
  <c r="Y134" i="3"/>
  <c r="P134" i="3"/>
  <c r="P135" i="3" s="1"/>
  <c r="X134" i="3"/>
  <c r="O134" i="3"/>
  <c r="O135" i="3" s="1"/>
  <c r="V134" i="3"/>
  <c r="V135" i="3" s="1"/>
  <c r="N134" i="3"/>
  <c r="U134" i="3"/>
  <c r="U135" i="3" s="1"/>
  <c r="T134" i="3"/>
  <c r="T135" i="3" s="1"/>
  <c r="J83" i="3"/>
  <c r="S134" i="3"/>
  <c r="S135" i="3" s="1"/>
  <c r="Z149" i="3"/>
  <c r="Y149" i="3"/>
  <c r="X149" i="3"/>
  <c r="V149" i="3"/>
  <c r="AB149" i="3"/>
  <c r="J169" i="3"/>
  <c r="J61" i="3"/>
  <c r="J109" i="3"/>
  <c r="G119" i="3"/>
  <c r="H118" i="3"/>
  <c r="H119" i="3" s="1"/>
  <c r="M173" i="3"/>
  <c r="M174" i="3" s="1"/>
  <c r="M185" i="3" s="1"/>
  <c r="M186" i="3" s="1"/>
  <c r="Z131" i="3"/>
  <c r="Y131" i="3"/>
  <c r="X131" i="3"/>
  <c r="AB131" i="3"/>
  <c r="AB134" i="3"/>
  <c r="AC145" i="3"/>
  <c r="AA149" i="3"/>
  <c r="J163" i="3"/>
  <c r="F53" i="3"/>
  <c r="J59" i="3"/>
  <c r="AA131" i="3"/>
  <c r="H171" i="3"/>
  <c r="N217" i="3"/>
  <c r="V217" i="3"/>
  <c r="X132" i="3"/>
  <c r="AB132" i="3"/>
  <c r="AA132" i="3"/>
  <c r="Z132" i="3"/>
  <c r="Y152" i="3"/>
  <c r="X152" i="3"/>
  <c r="V152" i="3"/>
  <c r="AB152" i="3"/>
  <c r="AA152" i="3"/>
  <c r="AC180" i="3"/>
  <c r="Y217" i="3"/>
  <c r="J104" i="3"/>
  <c r="AC125" i="3"/>
  <c r="Y132" i="3"/>
  <c r="V144" i="3"/>
  <c r="AB144" i="3"/>
  <c r="AA144" i="3"/>
  <c r="Z144" i="3"/>
  <c r="Y144" i="3"/>
  <c r="AC150" i="3"/>
  <c r="Z152" i="3"/>
  <c r="AC181" i="3"/>
  <c r="P212" i="3"/>
  <c r="AC210" i="3"/>
  <c r="AC212" i="3" s="1"/>
  <c r="Z212" i="3"/>
  <c r="F127" i="3"/>
  <c r="AC138" i="3"/>
  <c r="Y164" i="3"/>
  <c r="F183" i="3"/>
  <c r="X183" i="3"/>
  <c r="U212" i="3"/>
  <c r="S217" i="3"/>
  <c r="J103" i="3"/>
  <c r="G164" i="3"/>
  <c r="J168" i="3"/>
  <c r="G183" i="3"/>
  <c r="N212" i="3"/>
  <c r="V212" i="3"/>
  <c r="F110" i="3"/>
  <c r="Y119" i="3"/>
  <c r="H138" i="3"/>
  <c r="H155" i="3" s="1"/>
  <c r="O212" i="3"/>
  <c r="Y212" i="3"/>
  <c r="G107" i="3"/>
  <c r="H107" i="3" s="1"/>
  <c r="H110" i="3" s="1"/>
  <c r="J162" i="3"/>
  <c r="J102" i="3"/>
  <c r="AC164" i="3"/>
  <c r="Q212" i="3"/>
  <c r="AA212" i="3"/>
  <c r="Z24" i="3" l="1"/>
  <c r="Z34" i="3" s="1"/>
  <c r="Q26" i="3"/>
  <c r="Q36" i="3" s="1"/>
  <c r="AH110" i="3"/>
  <c r="G24" i="3"/>
  <c r="Q24" i="3"/>
  <c r="Q34" i="3" s="1"/>
  <c r="P56" i="3"/>
  <c r="P73" i="3" s="1"/>
  <c r="AC119" i="3"/>
  <c r="AC50" i="3"/>
  <c r="AC126" i="3"/>
  <c r="V155" i="3"/>
  <c r="J164" i="3"/>
  <c r="AB127" i="3"/>
  <c r="AC124" i="3"/>
  <c r="AC52" i="3"/>
  <c r="J52" i="3" s="1"/>
  <c r="X73" i="3"/>
  <c r="AC87" i="3"/>
  <c r="V127" i="3"/>
  <c r="Y155" i="3"/>
  <c r="AC96" i="3"/>
  <c r="AC69" i="3"/>
  <c r="AB53" i="3"/>
  <c r="AH119" i="3"/>
  <c r="AC152" i="3"/>
  <c r="G50" i="3"/>
  <c r="H50" i="3" s="1"/>
  <c r="R56" i="3"/>
  <c r="V97" i="3"/>
  <c r="Z127" i="3"/>
  <c r="Z155" i="3"/>
  <c r="R24" i="3"/>
  <c r="R34" i="3" s="1"/>
  <c r="AH46" i="3"/>
  <c r="AC91" i="3"/>
  <c r="R127" i="3"/>
  <c r="Q56" i="3"/>
  <c r="AA155" i="3"/>
  <c r="Y26" i="3"/>
  <c r="Y36" i="3" s="1"/>
  <c r="U97" i="3"/>
  <c r="F173" i="3"/>
  <c r="AB155" i="3"/>
  <c r="AC95" i="3"/>
  <c r="P26" i="3"/>
  <c r="P36" i="3" s="1"/>
  <c r="AC92" i="3"/>
  <c r="AA53" i="3"/>
  <c r="AA54" i="3" s="1"/>
  <c r="H49" i="3"/>
  <c r="J126" i="3"/>
  <c r="AC149" i="3"/>
  <c r="AC110" i="3"/>
  <c r="J101" i="3"/>
  <c r="J110" i="3" s="1"/>
  <c r="Y216" i="3"/>
  <c r="Y203" i="3"/>
  <c r="Y215" i="3"/>
  <c r="Y204" i="3"/>
  <c r="AC144" i="3"/>
  <c r="AC183" i="3"/>
  <c r="AH183" i="3"/>
  <c r="U127" i="3"/>
  <c r="J64" i="3"/>
  <c r="R203" i="3"/>
  <c r="R215" i="3"/>
  <c r="R218" i="3" s="1"/>
  <c r="R204" i="3"/>
  <c r="R216" i="3"/>
  <c r="R217" i="3"/>
  <c r="Z53" i="3"/>
  <c r="N135" i="3"/>
  <c r="AC134" i="3"/>
  <c r="AC133" i="3"/>
  <c r="R73" i="3"/>
  <c r="O56" i="3"/>
  <c r="O73" i="3" s="1"/>
  <c r="O127" i="3"/>
  <c r="T215" i="3"/>
  <c r="T218" i="3" s="1"/>
  <c r="T204" i="3"/>
  <c r="T216" i="3"/>
  <c r="T203" i="3"/>
  <c r="S203" i="3"/>
  <c r="S215" i="3"/>
  <c r="S218" i="3" s="1"/>
  <c r="S204" i="3"/>
  <c r="S216" i="3"/>
  <c r="AA203" i="3"/>
  <c r="AA215" i="3"/>
  <c r="AA204" i="3"/>
  <c r="AA216" i="3"/>
  <c r="T127" i="3"/>
  <c r="H135" i="3"/>
  <c r="J130" i="3"/>
  <c r="O216" i="3"/>
  <c r="AC205" i="3"/>
  <c r="AC217" i="3" s="1"/>
  <c r="O203" i="3"/>
  <c r="O215" i="3"/>
  <c r="O218" i="3" s="1"/>
  <c r="O204" i="3"/>
  <c r="AC123" i="3"/>
  <c r="Y127" i="3"/>
  <c r="G125" i="3"/>
  <c r="H125" i="3" s="1"/>
  <c r="G51" i="3"/>
  <c r="H51" i="3" s="1"/>
  <c r="F42" i="3"/>
  <c r="Z28" i="3"/>
  <c r="Z38" i="3" s="1"/>
  <c r="Q28" i="3"/>
  <c r="Q38" i="3" s="1"/>
  <c r="U27" i="3"/>
  <c r="U37" i="3" s="1"/>
  <c r="V25" i="3"/>
  <c r="V35" i="3" s="1"/>
  <c r="N25" i="3"/>
  <c r="I25" i="3"/>
  <c r="P24" i="3"/>
  <c r="P34" i="3" s="1"/>
  <c r="U28" i="3"/>
  <c r="U38" i="3" s="1"/>
  <c r="R25" i="3"/>
  <c r="R35" i="3" s="1"/>
  <c r="N24" i="3"/>
  <c r="X27" i="3"/>
  <c r="AA26" i="3"/>
  <c r="AA36" i="3" s="1"/>
  <c r="S24" i="3"/>
  <c r="S34" i="3" s="1"/>
  <c r="Y28" i="3"/>
  <c r="Y38" i="3" s="1"/>
  <c r="P28" i="3"/>
  <c r="P38" i="3" s="1"/>
  <c r="T27" i="3"/>
  <c r="T37" i="3" s="1"/>
  <c r="I27" i="3"/>
  <c r="U25" i="3"/>
  <c r="U35" i="3" s="1"/>
  <c r="G22" i="3"/>
  <c r="H22" i="3" s="1"/>
  <c r="T25" i="3"/>
  <c r="T35" i="3" s="1"/>
  <c r="Z27" i="3"/>
  <c r="Z37" i="3" s="1"/>
  <c r="U26" i="3"/>
  <c r="U36" i="3" s="1"/>
  <c r="G25" i="3"/>
  <c r="O27" i="3"/>
  <c r="O37" i="3" s="1"/>
  <c r="P25" i="3"/>
  <c r="P35" i="3" s="1"/>
  <c r="V27" i="3"/>
  <c r="V37" i="3" s="1"/>
  <c r="AB24" i="3"/>
  <c r="AB34" i="3" s="1"/>
  <c r="G52" i="3"/>
  <c r="H52" i="3" s="1"/>
  <c r="X28" i="3"/>
  <c r="O28" i="3"/>
  <c r="O38" i="3" s="1"/>
  <c r="AB27" i="3"/>
  <c r="AB37" i="3" s="1"/>
  <c r="S27" i="3"/>
  <c r="S37" i="3" s="1"/>
  <c r="X26" i="3"/>
  <c r="O26" i="3"/>
  <c r="O36" i="3" s="1"/>
  <c r="Y24" i="3"/>
  <c r="Y34" i="3" s="1"/>
  <c r="V24" i="3"/>
  <c r="V34" i="3" s="1"/>
  <c r="S28" i="3"/>
  <c r="S38" i="3" s="1"/>
  <c r="AA28" i="3"/>
  <c r="AA38" i="3" s="1"/>
  <c r="G26" i="3"/>
  <c r="V28" i="3"/>
  <c r="V38" i="3" s="1"/>
  <c r="N28" i="3"/>
  <c r="AA27" i="3"/>
  <c r="AA37" i="3" s="1"/>
  <c r="R27" i="3"/>
  <c r="R37" i="3" s="1"/>
  <c r="G27" i="3"/>
  <c r="V26" i="3"/>
  <c r="V36" i="3" s="1"/>
  <c r="N26" i="3"/>
  <c r="AB25" i="3"/>
  <c r="AB35" i="3" s="1"/>
  <c r="S25" i="3"/>
  <c r="S35" i="3" s="1"/>
  <c r="X24" i="3"/>
  <c r="O24" i="3"/>
  <c r="O34" i="3" s="1"/>
  <c r="Q27" i="3"/>
  <c r="Q37" i="3" s="1"/>
  <c r="AA25" i="3"/>
  <c r="AA35" i="3" s="1"/>
  <c r="S26" i="3"/>
  <c r="S36" i="3" s="1"/>
  <c r="T24" i="3"/>
  <c r="T34" i="3" s="1"/>
  <c r="N27" i="3"/>
  <c r="X25" i="3"/>
  <c r="R28" i="3"/>
  <c r="R38" i="3" s="1"/>
  <c r="T28" i="3"/>
  <c r="T38" i="3" s="1"/>
  <c r="I28" i="3"/>
  <c r="Y27" i="3"/>
  <c r="Y37" i="3" s="1"/>
  <c r="P27" i="3"/>
  <c r="P37" i="3" s="1"/>
  <c r="T26" i="3"/>
  <c r="T36" i="3" s="1"/>
  <c r="I26" i="3"/>
  <c r="Z25" i="3"/>
  <c r="Z35" i="3" s="1"/>
  <c r="Q25" i="3"/>
  <c r="Q35" i="3" s="1"/>
  <c r="U24" i="3"/>
  <c r="U34" i="3" s="1"/>
  <c r="G23" i="3"/>
  <c r="H23" i="3" s="1"/>
  <c r="AB28" i="3"/>
  <c r="AB38" i="3" s="1"/>
  <c r="AB26" i="3"/>
  <c r="AB36" i="3" s="1"/>
  <c r="Y25" i="3"/>
  <c r="Y35" i="3" s="1"/>
  <c r="I24" i="3"/>
  <c r="G28" i="3"/>
  <c r="R26" i="3"/>
  <c r="R36" i="3" s="1"/>
  <c r="O25" i="3"/>
  <c r="O35" i="3" s="1"/>
  <c r="N127" i="3"/>
  <c r="Z26" i="3"/>
  <c r="Z36" i="3" s="1"/>
  <c r="AA24" i="3"/>
  <c r="AA34" i="3" s="1"/>
  <c r="U215" i="3"/>
  <c r="U218" i="3" s="1"/>
  <c r="U204" i="3"/>
  <c r="U216" i="3"/>
  <c r="U203" i="3"/>
  <c r="S127" i="3"/>
  <c r="P203" i="3"/>
  <c r="P215" i="3"/>
  <c r="P218" i="3" s="1"/>
  <c r="P204" i="3"/>
  <c r="P216" i="3"/>
  <c r="G110" i="3"/>
  <c r="AC132" i="3"/>
  <c r="U217" i="3"/>
  <c r="G34" i="3"/>
  <c r="H24" i="3"/>
  <c r="Q127" i="3"/>
  <c r="Y171" i="3"/>
  <c r="AC167" i="3"/>
  <c r="AA127" i="3"/>
  <c r="AB54" i="3"/>
  <c r="AB56" i="3"/>
  <c r="AB73" i="3" s="1"/>
  <c r="N216" i="3"/>
  <c r="N203" i="3"/>
  <c r="N204" i="3"/>
  <c r="N215" i="3"/>
  <c r="N218" i="3" s="1"/>
  <c r="AC84" i="3"/>
  <c r="S56" i="3"/>
  <c r="S73" i="3" s="1"/>
  <c r="X155" i="3"/>
  <c r="Q203" i="3"/>
  <c r="Q215" i="3"/>
  <c r="Q218" i="3" s="1"/>
  <c r="Q204" i="3"/>
  <c r="Q216" i="3"/>
  <c r="AC86" i="3"/>
  <c r="Z203" i="3"/>
  <c r="Z215" i="3"/>
  <c r="Z204" i="3"/>
  <c r="Z216" i="3"/>
  <c r="Q73" i="3"/>
  <c r="J50" i="3"/>
  <c r="Z217" i="3"/>
  <c r="AC131" i="3"/>
  <c r="V216" i="3"/>
  <c r="V203" i="3"/>
  <c r="V215" i="3"/>
  <c r="V218" i="3" s="1"/>
  <c r="V204" i="3"/>
  <c r="T73" i="3"/>
  <c r="Y53" i="3"/>
  <c r="AC49" i="3"/>
  <c r="AB203" i="3"/>
  <c r="AB215" i="3"/>
  <c r="AB204" i="3"/>
  <c r="AB216" i="3"/>
  <c r="AB217" i="3"/>
  <c r="AC85" i="3"/>
  <c r="P127" i="3"/>
  <c r="Y218" i="3" l="1"/>
  <c r="V173" i="3"/>
  <c r="Q40" i="3"/>
  <c r="Q42" i="3" s="1"/>
  <c r="AC155" i="3"/>
  <c r="AA40" i="3"/>
  <c r="AA42" i="3" s="1"/>
  <c r="Z40" i="3"/>
  <c r="Z42" i="3" s="1"/>
  <c r="AH127" i="3"/>
  <c r="Y40" i="3"/>
  <c r="Y42" i="3" s="1"/>
  <c r="R40" i="3"/>
  <c r="R42" i="3" s="1"/>
  <c r="F174" i="3"/>
  <c r="F185" i="3" s="1"/>
  <c r="F186" i="3" s="1"/>
  <c r="AA56" i="3"/>
  <c r="AA73" i="3" s="1"/>
  <c r="U173" i="3"/>
  <c r="Z218" i="3"/>
  <c r="AC27" i="3"/>
  <c r="X37" i="3"/>
  <c r="AC37" i="3" s="1"/>
  <c r="H34" i="3"/>
  <c r="U40" i="3"/>
  <c r="U42" i="3" s="1"/>
  <c r="O40" i="3"/>
  <c r="O42" i="3" s="1"/>
  <c r="N34" i="3"/>
  <c r="AD24" i="3"/>
  <c r="AC204" i="3"/>
  <c r="Y54" i="3"/>
  <c r="AH53" i="3"/>
  <c r="Y56" i="3"/>
  <c r="N38" i="3"/>
  <c r="AD28" i="3"/>
  <c r="J28" i="3" s="1"/>
  <c r="H53" i="3"/>
  <c r="K64" i="3" s="1"/>
  <c r="AH171" i="3"/>
  <c r="AC171" i="3"/>
  <c r="G123" i="3"/>
  <c r="G38" i="3"/>
  <c r="H38" i="3" s="1"/>
  <c r="H28" i="3"/>
  <c r="AC25" i="3"/>
  <c r="X35" i="3"/>
  <c r="AC35" i="3" s="1"/>
  <c r="Z54" i="3"/>
  <c r="Z56" i="3"/>
  <c r="Z73" i="3" s="1"/>
  <c r="G53" i="3"/>
  <c r="G56" i="3" s="1"/>
  <c r="AB40" i="3"/>
  <c r="AB42" i="3" s="1"/>
  <c r="J167" i="3"/>
  <c r="J171" i="3" s="1"/>
  <c r="N37" i="3"/>
  <c r="AD27" i="3"/>
  <c r="J27" i="3" s="1"/>
  <c r="H26" i="3"/>
  <c r="G36" i="3"/>
  <c r="H36" i="3" s="1"/>
  <c r="G35" i="3"/>
  <c r="H35" i="3" s="1"/>
  <c r="H25" i="3"/>
  <c r="P40" i="3"/>
  <c r="P42" i="3" s="1"/>
  <c r="AC203" i="3"/>
  <c r="AC216" i="3"/>
  <c r="AC215" i="3"/>
  <c r="X34" i="3"/>
  <c r="AC24" i="3"/>
  <c r="X36" i="3"/>
  <c r="AC36" i="3" s="1"/>
  <c r="AC26" i="3"/>
  <c r="AB218" i="3"/>
  <c r="AH155" i="3"/>
  <c r="T40" i="3"/>
  <c r="T42" i="3" s="1"/>
  <c r="AD26" i="3"/>
  <c r="J26" i="3" s="1"/>
  <c r="N36" i="3"/>
  <c r="X38" i="3"/>
  <c r="AC38" i="3" s="1"/>
  <c r="AC28" i="3"/>
  <c r="S40" i="3"/>
  <c r="S42" i="3" s="1"/>
  <c r="N35" i="3"/>
  <c r="AD25" i="3"/>
  <c r="J25" i="3" s="1"/>
  <c r="AC53" i="3"/>
  <c r="J49" i="3"/>
  <c r="H27" i="3"/>
  <c r="G37" i="3"/>
  <c r="H37" i="3" s="1"/>
  <c r="V40" i="3"/>
  <c r="V42" i="3" s="1"/>
  <c r="V174" i="3" s="1"/>
  <c r="V185" i="3" s="1"/>
  <c r="V186" i="3" s="1"/>
  <c r="AC127" i="3"/>
  <c r="J135" i="3"/>
  <c r="AB130" i="3"/>
  <c r="AB135" i="3" s="1"/>
  <c r="AA130" i="3"/>
  <c r="AA135" i="3" s="1"/>
  <c r="Z130" i="3"/>
  <c r="Z135" i="3" s="1"/>
  <c r="Y130" i="3"/>
  <c r="Y135" i="3" s="1"/>
  <c r="X130" i="3"/>
  <c r="AA218" i="3"/>
  <c r="AC218" i="3" l="1"/>
  <c r="I38" i="3"/>
  <c r="H30" i="3"/>
  <c r="K80" i="3" s="1"/>
  <c r="I35" i="3"/>
  <c r="U174" i="3"/>
  <c r="U185" i="3" s="1"/>
  <c r="U186" i="3" s="1"/>
  <c r="I81" i="3"/>
  <c r="I82" i="3"/>
  <c r="I50" i="3"/>
  <c r="I39" i="3"/>
  <c r="I51" i="3"/>
  <c r="X40" i="3"/>
  <c r="AC34" i="3"/>
  <c r="H40" i="3"/>
  <c r="I34" i="3"/>
  <c r="I37" i="3"/>
  <c r="AD35" i="3"/>
  <c r="J35" i="3"/>
  <c r="G40" i="3"/>
  <c r="G42" i="3" s="1"/>
  <c r="K70" i="3"/>
  <c r="K62" i="3"/>
  <c r="K60" i="3"/>
  <c r="K66" i="3"/>
  <c r="K68" i="3"/>
  <c r="K57" i="3"/>
  <c r="K63" i="3"/>
  <c r="K61" i="3"/>
  <c r="K65" i="3"/>
  <c r="J53" i="3"/>
  <c r="J173" i="3"/>
  <c r="AD38" i="3"/>
  <c r="J38" i="3"/>
  <c r="J24" i="3"/>
  <c r="AD30" i="3"/>
  <c r="AD53" i="3" s="1"/>
  <c r="X135" i="3"/>
  <c r="AC130" i="3"/>
  <c r="AD70" i="3"/>
  <c r="AD62" i="3"/>
  <c r="AD58" i="3"/>
  <c r="AD57" i="3"/>
  <c r="AD63" i="3"/>
  <c r="AD72" i="3"/>
  <c r="AD68" i="3"/>
  <c r="AD61" i="3"/>
  <c r="AD67" i="3"/>
  <c r="AD59" i="3"/>
  <c r="AD65" i="3"/>
  <c r="AD66" i="3"/>
  <c r="AD60" i="3"/>
  <c r="AD69" i="3"/>
  <c r="AD64" i="3"/>
  <c r="I36" i="3"/>
  <c r="H123" i="3"/>
  <c r="H127" i="3" s="1"/>
  <c r="G127" i="3"/>
  <c r="N40" i="3"/>
  <c r="N42" i="3" s="1"/>
  <c r="AD37" i="3"/>
  <c r="J37" i="3"/>
  <c r="G73" i="3"/>
  <c r="H56" i="3"/>
  <c r="AD36" i="3"/>
  <c r="J36" i="3"/>
  <c r="AC30" i="3"/>
  <c r="Y73" i="3"/>
  <c r="AH73" i="3" s="1"/>
  <c r="AC56" i="3"/>
  <c r="I90" i="3" l="1"/>
  <c r="I171" i="3"/>
  <c r="I87" i="3"/>
  <c r="I53" i="3"/>
  <c r="I40" i="3"/>
  <c r="I145" i="3"/>
  <c r="I88" i="3"/>
  <c r="I92" i="3"/>
  <c r="I49" i="3"/>
  <c r="G173" i="3"/>
  <c r="G174" i="3" s="1"/>
  <c r="G185" i="3" s="1"/>
  <c r="G186" i="3" s="1"/>
  <c r="AC40" i="3"/>
  <c r="AD40" i="3" s="1"/>
  <c r="AD34" i="3"/>
  <c r="AD107" i="3"/>
  <c r="AD153" i="3"/>
  <c r="AD118" i="3"/>
  <c r="AD141" i="3"/>
  <c r="AD108" i="3"/>
  <c r="AD168" i="3"/>
  <c r="AD140" i="3"/>
  <c r="AD143" i="3"/>
  <c r="AD102" i="3"/>
  <c r="AD109" i="3"/>
  <c r="AD148" i="3"/>
  <c r="AD45" i="3"/>
  <c r="AD146" i="3"/>
  <c r="AD163" i="3"/>
  <c r="AD142" i="3"/>
  <c r="AD170" i="3"/>
  <c r="AD151" i="3"/>
  <c r="AD51" i="3"/>
  <c r="AD139" i="3"/>
  <c r="AD104" i="3"/>
  <c r="AD169" i="3"/>
  <c r="AD103" i="3"/>
  <c r="AD147" i="3"/>
  <c r="AD44" i="3"/>
  <c r="AD162" i="3"/>
  <c r="AD181" i="3"/>
  <c r="AD124" i="3"/>
  <c r="AD152" i="3"/>
  <c r="AD101" i="3"/>
  <c r="AD145" i="3"/>
  <c r="AD50" i="3"/>
  <c r="AD150" i="3"/>
  <c r="AD46" i="3"/>
  <c r="AD138" i="3"/>
  <c r="AD52" i="3"/>
  <c r="AD126" i="3"/>
  <c r="AD125" i="3"/>
  <c r="AE125" i="3" s="1"/>
  <c r="AF125" i="3" s="1"/>
  <c r="AD134" i="3"/>
  <c r="AD132" i="3"/>
  <c r="AD123" i="3"/>
  <c r="AD133" i="3"/>
  <c r="AD149" i="3"/>
  <c r="AD167" i="3"/>
  <c r="AD49" i="3"/>
  <c r="AD131" i="3"/>
  <c r="AD183" i="3"/>
  <c r="AD144" i="3"/>
  <c r="X42" i="3"/>
  <c r="AH40" i="3"/>
  <c r="AD115" i="3"/>
  <c r="AD114" i="3"/>
  <c r="AD113" i="3"/>
  <c r="AD116" i="3"/>
  <c r="AD39" i="3"/>
  <c r="AD82" i="3"/>
  <c r="AD80" i="3"/>
  <c r="AD83" i="3"/>
  <c r="AD81" i="3"/>
  <c r="AD79" i="3"/>
  <c r="AD119" i="3"/>
  <c r="AD88" i="3"/>
  <c r="AD94" i="3"/>
  <c r="AD89" i="3"/>
  <c r="AD93" i="3"/>
  <c r="AD87" i="3"/>
  <c r="AD92" i="3"/>
  <c r="AD96" i="3"/>
  <c r="AD95" i="3"/>
  <c r="AD78" i="3"/>
  <c r="AD91" i="3"/>
  <c r="AD84" i="3"/>
  <c r="AD85" i="3"/>
  <c r="AD86" i="3"/>
  <c r="J34" i="3"/>
  <c r="J40" i="3" s="1"/>
  <c r="J30" i="3"/>
  <c r="J90" i="3" s="1"/>
  <c r="K90" i="3" s="1"/>
  <c r="AC73" i="3"/>
  <c r="AD56" i="3"/>
  <c r="AD73" i="3" s="1"/>
  <c r="J56" i="3"/>
  <c r="H73" i="3"/>
  <c r="I73" i="3" s="1"/>
  <c r="I56" i="3"/>
  <c r="AC54" i="3"/>
  <c r="AH135" i="3"/>
  <c r="AD171" i="3"/>
  <c r="AC135" i="3"/>
  <c r="AD130" i="3"/>
  <c r="H42" i="3"/>
  <c r="AD135" i="3" l="1"/>
  <c r="I127" i="3"/>
  <c r="AD164" i="3"/>
  <c r="AC42" i="3"/>
  <c r="H173" i="3"/>
  <c r="H174" i="3" s="1"/>
  <c r="AD155" i="3"/>
  <c r="AD127" i="3"/>
  <c r="K56" i="3"/>
  <c r="J73" i="3"/>
  <c r="K73" i="3" s="1"/>
  <c r="T90" i="3"/>
  <c r="T97" i="3" s="1"/>
  <c r="T173" i="3" s="1"/>
  <c r="T174" i="3" s="1"/>
  <c r="T185" i="3" s="1"/>
  <c r="T186" i="3" s="1"/>
  <c r="S90" i="3"/>
  <c r="S97" i="3" s="1"/>
  <c r="S173" i="3" s="1"/>
  <c r="S174" i="3" s="1"/>
  <c r="S185" i="3" s="1"/>
  <c r="S186" i="3" s="1"/>
  <c r="R90" i="3"/>
  <c r="R97" i="3" s="1"/>
  <c r="R173" i="3" s="1"/>
  <c r="R174" i="3" s="1"/>
  <c r="R185" i="3" s="1"/>
  <c r="R186" i="3" s="1"/>
  <c r="AB90" i="3"/>
  <c r="AB97" i="3" s="1"/>
  <c r="AB173" i="3" s="1"/>
  <c r="AB174" i="3" s="1"/>
  <c r="AB185" i="3" s="1"/>
  <c r="AB186" i="3" s="1"/>
  <c r="Q90" i="3"/>
  <c r="Q97" i="3" s="1"/>
  <c r="Q173" i="3" s="1"/>
  <c r="Q174" i="3" s="1"/>
  <c r="Q185" i="3" s="1"/>
  <c r="Q186" i="3" s="1"/>
  <c r="AA90" i="3"/>
  <c r="AA97" i="3" s="1"/>
  <c r="AA173" i="3" s="1"/>
  <c r="AA174" i="3" s="1"/>
  <c r="AA185" i="3" s="1"/>
  <c r="AA186" i="3" s="1"/>
  <c r="P90" i="3"/>
  <c r="P97" i="3" s="1"/>
  <c r="P173" i="3" s="1"/>
  <c r="P174" i="3" s="1"/>
  <c r="P185" i="3" s="1"/>
  <c r="P186" i="3" s="1"/>
  <c r="Z90" i="3"/>
  <c r="Z97" i="3" s="1"/>
  <c r="Z173" i="3" s="1"/>
  <c r="Z174" i="3" s="1"/>
  <c r="Z185" i="3" s="1"/>
  <c r="Z186" i="3" s="1"/>
  <c r="O90" i="3"/>
  <c r="O97" i="3" s="1"/>
  <c r="O173" i="3" s="1"/>
  <c r="O174" i="3" s="1"/>
  <c r="O185" i="3" s="1"/>
  <c r="O186" i="3" s="1"/>
  <c r="Y90" i="3"/>
  <c r="Y97" i="3" s="1"/>
  <c r="Y173" i="3" s="1"/>
  <c r="Y174" i="3" s="1"/>
  <c r="N90" i="3"/>
  <c r="N97" i="3" s="1"/>
  <c r="N173" i="3" s="1"/>
  <c r="N174" i="3" s="1"/>
  <c r="N185" i="3" s="1"/>
  <c r="N186" i="3" s="1"/>
  <c r="X90" i="3"/>
  <c r="K125" i="3"/>
  <c r="J123" i="3"/>
  <c r="J145" i="3"/>
  <c r="J124" i="3"/>
  <c r="K124" i="3" s="1"/>
  <c r="J87" i="3"/>
  <c r="J92" i="3"/>
  <c r="J91" i="3"/>
  <c r="J85" i="3"/>
  <c r="K30" i="3"/>
  <c r="K39" i="3"/>
  <c r="J84" i="3"/>
  <c r="J96" i="3"/>
  <c r="J42" i="3"/>
  <c r="I97" i="3"/>
  <c r="K95" i="3"/>
  <c r="K94" i="3"/>
  <c r="I164" i="3"/>
  <c r="K46" i="3"/>
  <c r="K183" i="3"/>
  <c r="I46" i="3"/>
  <c r="I155" i="3"/>
  <c r="I110" i="3"/>
  <c r="I119" i="3"/>
  <c r="K81" i="3"/>
  <c r="K93" i="3"/>
  <c r="I183" i="3"/>
  <c r="K51" i="3"/>
  <c r="K119" i="3"/>
  <c r="K164" i="3"/>
  <c r="AD110" i="3"/>
  <c r="K110" i="3"/>
  <c r="I135" i="3"/>
  <c r="K126" i="3"/>
  <c r="K171" i="3"/>
  <c r="K135" i="3"/>
  <c r="K49" i="3"/>
  <c r="AD42" i="3"/>
  <c r="I42" i="3"/>
  <c r="K40" i="3"/>
  <c r="K53" i="3"/>
  <c r="AI174" i="3" l="1"/>
  <c r="Y185" i="3"/>
  <c r="AC90" i="3"/>
  <c r="X97" i="3"/>
  <c r="J174" i="3"/>
  <c r="K42" i="3"/>
  <c r="J97" i="3"/>
  <c r="K97" i="3" s="1"/>
  <c r="K145" i="3"/>
  <c r="J155" i="3"/>
  <c r="K155" i="3" s="1"/>
  <c r="H185" i="3"/>
  <c r="I174" i="3"/>
  <c r="J127" i="3"/>
  <c r="K127" i="3" s="1"/>
  <c r="K123" i="3"/>
  <c r="J185" i="3" l="1"/>
  <c r="K174" i="3"/>
  <c r="AH97" i="3"/>
  <c r="X173" i="3"/>
  <c r="X174" i="3" s="1"/>
  <c r="AD90" i="3"/>
  <c r="AC97" i="3"/>
  <c r="I185" i="3"/>
  <c r="H186" i="3"/>
  <c r="I186" i="3" s="1"/>
  <c r="Y186" i="3"/>
  <c r="AI186" i="3" s="1"/>
  <c r="AI185" i="3"/>
  <c r="AD97" i="3" l="1"/>
  <c r="AC173" i="3"/>
  <c r="AH174" i="3"/>
  <c r="X185" i="3"/>
  <c r="X186" i="3" s="1"/>
  <c r="AH186" i="3" s="1"/>
  <c r="K185" i="3"/>
  <c r="J186" i="3"/>
  <c r="K186" i="3" s="1"/>
  <c r="AD173" i="3" l="1"/>
  <c r="AC174" i="3"/>
  <c r="AC185" i="3" l="1"/>
  <c r="AC186" i="3" s="1"/>
  <c r="AD186" i="3" s="1"/>
  <c r="AD174" i="3"/>
  <c r="AD185" i="3" s="1"/>
  <c r="BG178" i="1" l="1"/>
  <c r="DT164" i="1" l="1"/>
  <c r="DT165" i="1"/>
  <c r="DT166" i="1"/>
  <c r="DT167" i="1"/>
  <c r="DT168" i="1"/>
  <c r="DT150" i="1"/>
  <c r="DT151" i="1"/>
  <c r="DT152" i="1"/>
  <c r="DT145" i="1"/>
  <c r="DT125" i="1"/>
  <c r="DT126" i="1"/>
  <c r="DT127" i="1"/>
  <c r="DT128" i="1"/>
  <c r="DT129" i="1"/>
  <c r="DT130" i="1"/>
  <c r="DT131" i="1"/>
  <c r="DT132" i="1"/>
  <c r="DT133" i="1"/>
  <c r="DT134" i="1"/>
  <c r="DT135" i="1"/>
  <c r="DT136" i="1"/>
  <c r="DT137" i="1"/>
  <c r="DT138" i="1"/>
  <c r="DT139" i="1"/>
  <c r="DT140" i="1"/>
  <c r="DT116" i="1"/>
  <c r="DT118" i="1"/>
  <c r="DT119" i="1"/>
  <c r="DT120" i="1"/>
  <c r="DT108" i="1"/>
  <c r="DT109" i="1"/>
  <c r="DT111" i="1"/>
  <c r="DT98" i="1"/>
  <c r="DT99" i="1"/>
  <c r="DT100" i="1"/>
  <c r="DT101" i="1"/>
  <c r="DT103" i="1"/>
  <c r="DT87" i="1"/>
  <c r="DT88" i="1"/>
  <c r="DT89" i="1"/>
  <c r="DT91" i="1"/>
  <c r="DT92" i="1"/>
  <c r="DT93" i="1"/>
  <c r="DT62" i="1"/>
  <c r="DT63" i="1"/>
  <c r="DT64" i="1"/>
  <c r="DT65" i="1"/>
  <c r="DT66" i="1"/>
  <c r="DT67" i="1"/>
  <c r="DT68" i="1"/>
  <c r="DT69" i="1"/>
  <c r="DT70" i="1"/>
  <c r="DT71" i="1"/>
  <c r="DT72" i="1"/>
  <c r="DT75" i="1"/>
  <c r="DT76" i="1"/>
  <c r="DT77" i="1"/>
  <c r="DT78" i="1"/>
  <c r="DT79" i="1"/>
  <c r="DT80" i="1"/>
  <c r="DT81" i="1"/>
  <c r="DT40" i="1"/>
  <c r="DT41" i="1"/>
  <c r="DT42" i="1"/>
  <c r="DT43" i="1"/>
  <c r="DT44" i="1"/>
  <c r="DT45" i="1"/>
  <c r="DT46" i="1"/>
  <c r="DT47" i="1"/>
  <c r="DT48" i="1"/>
  <c r="DT49" i="1"/>
  <c r="DT50" i="1"/>
  <c r="DT51" i="1"/>
  <c r="DT52" i="1"/>
  <c r="DT53" i="1"/>
  <c r="DT54" i="1"/>
  <c r="DT55" i="1"/>
  <c r="DT56" i="1"/>
  <c r="DT57" i="1"/>
  <c r="DT32" i="1"/>
  <c r="DT33" i="1"/>
  <c r="DT34" i="1"/>
  <c r="DT35" i="1"/>
  <c r="DT27" i="1"/>
  <c r="DT16" i="1"/>
  <c r="DT17" i="1"/>
  <c r="DT18" i="1"/>
  <c r="DT19" i="1"/>
  <c r="DT20" i="1"/>
  <c r="DT21" i="1"/>
  <c r="DT8" i="1"/>
  <c r="DT9" i="1"/>
  <c r="DT10" i="1"/>
  <c r="DT11" i="1"/>
  <c r="DR149" i="1"/>
  <c r="DR150" i="1"/>
  <c r="DR151" i="1"/>
  <c r="DR152" i="1"/>
  <c r="DR153" i="1" l="1"/>
  <c r="CK167" i="1"/>
  <c r="CK163" i="1"/>
  <c r="CK164" i="1"/>
  <c r="CK165" i="1"/>
  <c r="CK166" i="1"/>
  <c r="CK168" i="1"/>
  <c r="CI164" i="1"/>
  <c r="CI165" i="1"/>
  <c r="CI166" i="1"/>
  <c r="CI167" i="1"/>
  <c r="CI168" i="1"/>
  <c r="CI163" i="1"/>
  <c r="CK160" i="1"/>
  <c r="CI160" i="1"/>
  <c r="DY160" i="1" s="1"/>
  <c r="CK150" i="1"/>
  <c r="CK151" i="1"/>
  <c r="CK152" i="1"/>
  <c r="CK149" i="1"/>
  <c r="CK145" i="1"/>
  <c r="CK144" i="1"/>
  <c r="CK125" i="1"/>
  <c r="CK126" i="1"/>
  <c r="CK127" i="1"/>
  <c r="CK128" i="1"/>
  <c r="CK129" i="1"/>
  <c r="CK130" i="1"/>
  <c r="CK131" i="1"/>
  <c r="CK132" i="1"/>
  <c r="CK133" i="1"/>
  <c r="CK134" i="1"/>
  <c r="CK135" i="1"/>
  <c r="CK136" i="1"/>
  <c r="CK137" i="1"/>
  <c r="CK138" i="1"/>
  <c r="CK139" i="1"/>
  <c r="CK140" i="1"/>
  <c r="CK124" i="1"/>
  <c r="CK116" i="1"/>
  <c r="CK118" i="1"/>
  <c r="CK119" i="1"/>
  <c r="CK120" i="1"/>
  <c r="CK115" i="1"/>
  <c r="CK108" i="1"/>
  <c r="CK109" i="1"/>
  <c r="CK111" i="1"/>
  <c r="CK107" i="1"/>
  <c r="CK98" i="1"/>
  <c r="CK99" i="1"/>
  <c r="CK100" i="1"/>
  <c r="CK101" i="1"/>
  <c r="CK103" i="1"/>
  <c r="CK97" i="1"/>
  <c r="CK86" i="1"/>
  <c r="CK87" i="1"/>
  <c r="CK88" i="1"/>
  <c r="CK89" i="1"/>
  <c r="CK91" i="1"/>
  <c r="CK92" i="1"/>
  <c r="CK93" i="1"/>
  <c r="CK85" i="1"/>
  <c r="CK62" i="1"/>
  <c r="CK63" i="1"/>
  <c r="CK64" i="1"/>
  <c r="CK65" i="1"/>
  <c r="CK66" i="1"/>
  <c r="CK67" i="1"/>
  <c r="CK68" i="1"/>
  <c r="CK69" i="1"/>
  <c r="CK70" i="1"/>
  <c r="CK71" i="1"/>
  <c r="CK72" i="1"/>
  <c r="CK75" i="1"/>
  <c r="CK76" i="1"/>
  <c r="CK77" i="1"/>
  <c r="CK78" i="1"/>
  <c r="CK79" i="1"/>
  <c r="CK80" i="1"/>
  <c r="CK81" i="1"/>
  <c r="CK61" i="1"/>
  <c r="CK40" i="1"/>
  <c r="CK41" i="1"/>
  <c r="CK42" i="1"/>
  <c r="CK43" i="1"/>
  <c r="CK44" i="1"/>
  <c r="CK45" i="1"/>
  <c r="CK46" i="1"/>
  <c r="CK47" i="1"/>
  <c r="CK48" i="1"/>
  <c r="CK49" i="1"/>
  <c r="CK50" i="1"/>
  <c r="CK51" i="1"/>
  <c r="CK52" i="1"/>
  <c r="CK53" i="1"/>
  <c r="CK54" i="1"/>
  <c r="CK55" i="1"/>
  <c r="CK56" i="1"/>
  <c r="CK57" i="1"/>
  <c r="EA57" i="1" s="1"/>
  <c r="CK39" i="1"/>
  <c r="CK32" i="1"/>
  <c r="CK33" i="1"/>
  <c r="CK34" i="1"/>
  <c r="CK35" i="1"/>
  <c r="CK31" i="1"/>
  <c r="CK27" i="1"/>
  <c r="CK26" i="1"/>
  <c r="CK21" i="1"/>
  <c r="CK20" i="1"/>
  <c r="CK19" i="1"/>
  <c r="CK18" i="1"/>
  <c r="CK17" i="1"/>
  <c r="CK16" i="1"/>
  <c r="CK15" i="1"/>
  <c r="CK8" i="1"/>
  <c r="CK9" i="1"/>
  <c r="CK10" i="1"/>
  <c r="CK11" i="1"/>
  <c r="CK7" i="1"/>
  <c r="CI11" i="1"/>
  <c r="CI10" i="1"/>
  <c r="CI9" i="1"/>
  <c r="CI8" i="1"/>
  <c r="CD112" i="1"/>
  <c r="BW112" i="1"/>
  <c r="CD186" i="1"/>
  <c r="CB186" i="1"/>
  <c r="CD185" i="1"/>
  <c r="CB185" i="1"/>
  <c r="CD184" i="1"/>
  <c r="CB184" i="1"/>
  <c r="CD183" i="1"/>
  <c r="CB183" i="1"/>
  <c r="CD180" i="1"/>
  <c r="CB180" i="1"/>
  <c r="CD179" i="1"/>
  <c r="CB179" i="1"/>
  <c r="CD178" i="1"/>
  <c r="CB178" i="1"/>
  <c r="CD169" i="1"/>
  <c r="CB169" i="1"/>
  <c r="CF168" i="1"/>
  <c r="CF167" i="1"/>
  <c r="CF166" i="1"/>
  <c r="CF165" i="1"/>
  <c r="CF164" i="1"/>
  <c r="CF163" i="1"/>
  <c r="CF160" i="1"/>
  <c r="CG160" i="1" s="1"/>
  <c r="CD153" i="1"/>
  <c r="CB153" i="1"/>
  <c r="CF152" i="1"/>
  <c r="CF151" i="1"/>
  <c r="CF150" i="1"/>
  <c r="CF149" i="1"/>
  <c r="CF148" i="1"/>
  <c r="CD146" i="1"/>
  <c r="CB146" i="1"/>
  <c r="CF145" i="1"/>
  <c r="CF144" i="1"/>
  <c r="CD141" i="1"/>
  <c r="CB141" i="1"/>
  <c r="CF140" i="1"/>
  <c r="CF139" i="1"/>
  <c r="CF138" i="1"/>
  <c r="CF137" i="1"/>
  <c r="CF136" i="1"/>
  <c r="CF135" i="1"/>
  <c r="CF134" i="1"/>
  <c r="CF133" i="1"/>
  <c r="CF132" i="1"/>
  <c r="CF131" i="1"/>
  <c r="CF130" i="1"/>
  <c r="CF129" i="1"/>
  <c r="CF128" i="1"/>
  <c r="CF127" i="1"/>
  <c r="CF126" i="1"/>
  <c r="CF125" i="1"/>
  <c r="CF124" i="1"/>
  <c r="CD121" i="1"/>
  <c r="CB121" i="1"/>
  <c r="CF120" i="1"/>
  <c r="CF119" i="1"/>
  <c r="CF118" i="1"/>
  <c r="CF116" i="1"/>
  <c r="CF115" i="1"/>
  <c r="CB112" i="1"/>
  <c r="CF111" i="1"/>
  <c r="CF109" i="1"/>
  <c r="CF108" i="1"/>
  <c r="CF107" i="1"/>
  <c r="CF106" i="1"/>
  <c r="CD104" i="1"/>
  <c r="CB104" i="1"/>
  <c r="CF103" i="1"/>
  <c r="CF101" i="1"/>
  <c r="CF100" i="1"/>
  <c r="CF99" i="1"/>
  <c r="CF98" i="1"/>
  <c r="CF97" i="1"/>
  <c r="CD94" i="1"/>
  <c r="CB94" i="1"/>
  <c r="CF93" i="1"/>
  <c r="CF92" i="1"/>
  <c r="CF91" i="1"/>
  <c r="CF89" i="1"/>
  <c r="CF88" i="1"/>
  <c r="CF87" i="1"/>
  <c r="CF86" i="1"/>
  <c r="CD82" i="1"/>
  <c r="CB82" i="1"/>
  <c r="CF81" i="1"/>
  <c r="CF80" i="1"/>
  <c r="CF79" i="1"/>
  <c r="CF78" i="1"/>
  <c r="CF77" i="1"/>
  <c r="CF76" i="1"/>
  <c r="CF75" i="1"/>
  <c r="CF72" i="1"/>
  <c r="CF71" i="1"/>
  <c r="CF70" i="1"/>
  <c r="CF69" i="1"/>
  <c r="CF68" i="1"/>
  <c r="CF67" i="1"/>
  <c r="CF66" i="1"/>
  <c r="CF65" i="1"/>
  <c r="CF64" i="1"/>
  <c r="CF63" i="1"/>
  <c r="CF62" i="1"/>
  <c r="CF61" i="1"/>
  <c r="CD58" i="1"/>
  <c r="CF57" i="1"/>
  <c r="CF56" i="1"/>
  <c r="CF55" i="1"/>
  <c r="CF54" i="1"/>
  <c r="CF53" i="1"/>
  <c r="CF52" i="1"/>
  <c r="CF51" i="1"/>
  <c r="CF50" i="1"/>
  <c r="CF49" i="1"/>
  <c r="CF48" i="1"/>
  <c r="CF47" i="1"/>
  <c r="CF46" i="1"/>
  <c r="CF45" i="1"/>
  <c r="CF44" i="1"/>
  <c r="CF43" i="1"/>
  <c r="CF42" i="1"/>
  <c r="CF41" i="1"/>
  <c r="CF40" i="1"/>
  <c r="CF39" i="1"/>
  <c r="CD36" i="1"/>
  <c r="CB36" i="1"/>
  <c r="CF35" i="1"/>
  <c r="CF34" i="1"/>
  <c r="CF33" i="1"/>
  <c r="CF32" i="1"/>
  <c r="CF31" i="1"/>
  <c r="CD28" i="1"/>
  <c r="CB28" i="1"/>
  <c r="CF27" i="1"/>
  <c r="CF26" i="1"/>
  <c r="CG26" i="1" s="1"/>
  <c r="CD22" i="1"/>
  <c r="CB22" i="1"/>
  <c r="CF21" i="1"/>
  <c r="CF20" i="1"/>
  <c r="CF19" i="1"/>
  <c r="CE19" i="1"/>
  <c r="CC19" i="1"/>
  <c r="CF18" i="1"/>
  <c r="CE18" i="1"/>
  <c r="CC18" i="1"/>
  <c r="CF17" i="1"/>
  <c r="CE17" i="1"/>
  <c r="CC17" i="1"/>
  <c r="CF16" i="1"/>
  <c r="CE16" i="1"/>
  <c r="CC16" i="1"/>
  <c r="CF15" i="1"/>
  <c r="CE15" i="1"/>
  <c r="CC15" i="1"/>
  <c r="CD12" i="1"/>
  <c r="CD195" i="1" s="1"/>
  <c r="CB12" i="1"/>
  <c r="CB193" i="1" s="1"/>
  <c r="CF11" i="1"/>
  <c r="CF10" i="1"/>
  <c r="CF9" i="1"/>
  <c r="CF8" i="1"/>
  <c r="CF7" i="1"/>
  <c r="DM94" i="1"/>
  <c r="DK94" i="1"/>
  <c r="DF94" i="1"/>
  <c r="CY94" i="1"/>
  <c r="CR94" i="1"/>
  <c r="CP94" i="1"/>
  <c r="BW94" i="1"/>
  <c r="BU94" i="1"/>
  <c r="BN94" i="1"/>
  <c r="BP94" i="1"/>
  <c r="CK180" i="1" l="1"/>
  <c r="CB156" i="1"/>
  <c r="CC156" i="1" s="1"/>
  <c r="CK178" i="1"/>
  <c r="CF153" i="1"/>
  <c r="CG153" i="1" s="1"/>
  <c r="CF28" i="1"/>
  <c r="CG28" i="1" s="1"/>
  <c r="CF183" i="1"/>
  <c r="CC7" i="1"/>
  <c r="CF180" i="1"/>
  <c r="CB196" i="1"/>
  <c r="CC26" i="1"/>
  <c r="CF186" i="1"/>
  <c r="CF184" i="1"/>
  <c r="CC20" i="1"/>
  <c r="CC28" i="1"/>
  <c r="CC36" i="1"/>
  <c r="CF104" i="1"/>
  <c r="CG104" i="1" s="1"/>
  <c r="CF185" i="1"/>
  <c r="CC8" i="1"/>
  <c r="CC153" i="1"/>
  <c r="CC9" i="1"/>
  <c r="CB188" i="1"/>
  <c r="CC82" i="1"/>
  <c r="CC169" i="1"/>
  <c r="CB191" i="1"/>
  <c r="CC94" i="1"/>
  <c r="CC104" i="1"/>
  <c r="CC112" i="1"/>
  <c r="CF199" i="1"/>
  <c r="CF169" i="1"/>
  <c r="CG169" i="1" s="1"/>
  <c r="CF146" i="1"/>
  <c r="CG146" i="1" s="1"/>
  <c r="CF141" i="1"/>
  <c r="CG141" i="1" s="1"/>
  <c r="CF112" i="1"/>
  <c r="CG112" i="1" s="1"/>
  <c r="CF121" i="1"/>
  <c r="CG121" i="1" s="1"/>
  <c r="CF94" i="1"/>
  <c r="CG94" i="1" s="1"/>
  <c r="CF82" i="1"/>
  <c r="CG82" i="1" s="1"/>
  <c r="CF58" i="1"/>
  <c r="CG58" i="1" s="1"/>
  <c r="CF36" i="1"/>
  <c r="CG36" i="1" s="1"/>
  <c r="CD156" i="1"/>
  <c r="CF22" i="1"/>
  <c r="CG22" i="1" s="1"/>
  <c r="CF12" i="1"/>
  <c r="CG12" i="1" s="1"/>
  <c r="CE82" i="1"/>
  <c r="CE121" i="1"/>
  <c r="CE153" i="1"/>
  <c r="CE20" i="1"/>
  <c r="CE104" i="1"/>
  <c r="CE10" i="1"/>
  <c r="CD197" i="1"/>
  <c r="CE160" i="1"/>
  <c r="CE112" i="1"/>
  <c r="CE7" i="1"/>
  <c r="CE169" i="1"/>
  <c r="CD193" i="1"/>
  <c r="CF193" i="1" s="1"/>
  <c r="CE9" i="1"/>
  <c r="CE11" i="1"/>
  <c r="CD188" i="1"/>
  <c r="CE141" i="1"/>
  <c r="CE28" i="1"/>
  <c r="CD24" i="1"/>
  <c r="CE24" i="1" s="1"/>
  <c r="CD196" i="1"/>
  <c r="CE26" i="1"/>
  <c r="CE8" i="1"/>
  <c r="CC11" i="1"/>
  <c r="CB24" i="1"/>
  <c r="CC58" i="1"/>
  <c r="CD191" i="1"/>
  <c r="CB194" i="1"/>
  <c r="CE36" i="1"/>
  <c r="CE94" i="1"/>
  <c r="CC121" i="1"/>
  <c r="CC141" i="1"/>
  <c r="CC146" i="1"/>
  <c r="CD194" i="1"/>
  <c r="CB197" i="1"/>
  <c r="CE58" i="1"/>
  <c r="CB192" i="1"/>
  <c r="CC22" i="1"/>
  <c r="CE146" i="1"/>
  <c r="CD192" i="1"/>
  <c r="CB195" i="1"/>
  <c r="CF195" i="1" s="1"/>
  <c r="CC10" i="1"/>
  <c r="CE22" i="1"/>
  <c r="CC160" i="1"/>
  <c r="CF196" i="1" l="1"/>
  <c r="CF191" i="1"/>
  <c r="CF192" i="1"/>
  <c r="CF24" i="1"/>
  <c r="CF194" i="1"/>
  <c r="CF188" i="1"/>
  <c r="CG156" i="1"/>
  <c r="CF156" i="1"/>
  <c r="CF158" i="1" s="1"/>
  <c r="CD158" i="1"/>
  <c r="CE156" i="1"/>
  <c r="CF197" i="1"/>
  <c r="CE199" i="1"/>
  <c r="CC199" i="1"/>
  <c r="CC24" i="1"/>
  <c r="CB158" i="1"/>
  <c r="CG24" i="1"/>
  <c r="CE158" i="1" l="1"/>
  <c r="CD171" i="1"/>
  <c r="CD173" i="1" s="1"/>
  <c r="CE173" i="1" s="1"/>
  <c r="CG158" i="1"/>
  <c r="CB171" i="1"/>
  <c r="CB173" i="1" s="1"/>
  <c r="CC158" i="1"/>
  <c r="CE171" i="1" l="1"/>
  <c r="CC171" i="1"/>
  <c r="CC173" i="1"/>
  <c r="CF171" i="1"/>
  <c r="CG171" i="1" l="1"/>
  <c r="CF173" i="1"/>
  <c r="CG173" i="1" s="1"/>
  <c r="BK140" i="1" l="1"/>
  <c r="BK139" i="1"/>
  <c r="BI58" i="1"/>
  <c r="BK57" i="1"/>
  <c r="BK47" i="1"/>
  <c r="DO168" i="1" l="1"/>
  <c r="DO167" i="1"/>
  <c r="DO166" i="1"/>
  <c r="DO165" i="1"/>
  <c r="DO164" i="1"/>
  <c r="DO163" i="1"/>
  <c r="DO152" i="1"/>
  <c r="DO151" i="1"/>
  <c r="DO150" i="1"/>
  <c r="DO149" i="1"/>
  <c r="DO145" i="1"/>
  <c r="DO144" i="1"/>
  <c r="DO140" i="1"/>
  <c r="DO139" i="1"/>
  <c r="DO138" i="1"/>
  <c r="DO137" i="1"/>
  <c r="DO136" i="1"/>
  <c r="DO135" i="1"/>
  <c r="DO134" i="1"/>
  <c r="DO133" i="1"/>
  <c r="DO132" i="1"/>
  <c r="DO131" i="1"/>
  <c r="DO130" i="1"/>
  <c r="DO129" i="1"/>
  <c r="DO128" i="1"/>
  <c r="DO127" i="1"/>
  <c r="DO126" i="1"/>
  <c r="DO125" i="1"/>
  <c r="DO124" i="1"/>
  <c r="DO120" i="1"/>
  <c r="DO119" i="1"/>
  <c r="DO118" i="1"/>
  <c r="DO116" i="1"/>
  <c r="DO115" i="1"/>
  <c r="DO111" i="1"/>
  <c r="DO109" i="1"/>
  <c r="DO108" i="1"/>
  <c r="DO107" i="1"/>
  <c r="DO97" i="1"/>
  <c r="DO103" i="1"/>
  <c r="DO101" i="1"/>
  <c r="DO100" i="1"/>
  <c r="DO99" i="1"/>
  <c r="DO98" i="1"/>
  <c r="DO93" i="1"/>
  <c r="DO92" i="1"/>
  <c r="DO91" i="1"/>
  <c r="DO89" i="1"/>
  <c r="DO88" i="1"/>
  <c r="DO87" i="1"/>
  <c r="DO86" i="1"/>
  <c r="DO81" i="1"/>
  <c r="DO80" i="1"/>
  <c r="DO79" i="1"/>
  <c r="DO78" i="1"/>
  <c r="DO77" i="1"/>
  <c r="DO76" i="1"/>
  <c r="DO75" i="1"/>
  <c r="DO72" i="1"/>
  <c r="DO71" i="1"/>
  <c r="DO70" i="1"/>
  <c r="DO69" i="1"/>
  <c r="DO68" i="1"/>
  <c r="DO67" i="1"/>
  <c r="DO66" i="1"/>
  <c r="DO65" i="1"/>
  <c r="DO64" i="1"/>
  <c r="DO63" i="1"/>
  <c r="DO62" i="1"/>
  <c r="DO61" i="1"/>
  <c r="DM58" i="1"/>
  <c r="DO57" i="1"/>
  <c r="DO56" i="1"/>
  <c r="DO55" i="1"/>
  <c r="DO54" i="1"/>
  <c r="DO53" i="1"/>
  <c r="DO52" i="1"/>
  <c r="DO51" i="1"/>
  <c r="DO50" i="1"/>
  <c r="DO49" i="1"/>
  <c r="DO48" i="1"/>
  <c r="DO47" i="1"/>
  <c r="DO46" i="1"/>
  <c r="DO45" i="1"/>
  <c r="DO44" i="1"/>
  <c r="DO43" i="1"/>
  <c r="DO42" i="1"/>
  <c r="DO41" i="1"/>
  <c r="DO40" i="1"/>
  <c r="DO39" i="1"/>
  <c r="DO35" i="1"/>
  <c r="DO34" i="1"/>
  <c r="DO33" i="1"/>
  <c r="DO32" i="1"/>
  <c r="DO31" i="1"/>
  <c r="DO27" i="1"/>
  <c r="DO26" i="1"/>
  <c r="DO21" i="1"/>
  <c r="DO20" i="1"/>
  <c r="DO19" i="1"/>
  <c r="DO18" i="1"/>
  <c r="DO17" i="1"/>
  <c r="DO16" i="1"/>
  <c r="DO15" i="1"/>
  <c r="DO11" i="1"/>
  <c r="DO10" i="1"/>
  <c r="DO9" i="1"/>
  <c r="DH168" i="1"/>
  <c r="DH167" i="1"/>
  <c r="DH166" i="1"/>
  <c r="DH165" i="1"/>
  <c r="DH164" i="1"/>
  <c r="DH163" i="1"/>
  <c r="DH152" i="1"/>
  <c r="DH151" i="1"/>
  <c r="DH150" i="1"/>
  <c r="DH149" i="1"/>
  <c r="DH145" i="1"/>
  <c r="DH144" i="1"/>
  <c r="DH140" i="1"/>
  <c r="DH139" i="1"/>
  <c r="DH138" i="1"/>
  <c r="DH137" i="1"/>
  <c r="DH136" i="1"/>
  <c r="DH135" i="1"/>
  <c r="DH134" i="1"/>
  <c r="DH133" i="1"/>
  <c r="DH132" i="1"/>
  <c r="DH131" i="1"/>
  <c r="DH130" i="1"/>
  <c r="DH129" i="1"/>
  <c r="DH128" i="1"/>
  <c r="DH127" i="1"/>
  <c r="DH126" i="1"/>
  <c r="DH125" i="1"/>
  <c r="DH124" i="1"/>
  <c r="DH120" i="1"/>
  <c r="DH119" i="1"/>
  <c r="DH118" i="1"/>
  <c r="DH116" i="1"/>
  <c r="DH115" i="1"/>
  <c r="DH111" i="1"/>
  <c r="DH109" i="1"/>
  <c r="DH108" i="1"/>
  <c r="DH107" i="1"/>
  <c r="DH103" i="1"/>
  <c r="DH101" i="1"/>
  <c r="DH100" i="1"/>
  <c r="DH99" i="1"/>
  <c r="DH98" i="1"/>
  <c r="DH97" i="1"/>
  <c r="DH93" i="1"/>
  <c r="DH92" i="1"/>
  <c r="DH91" i="1"/>
  <c r="DH89" i="1"/>
  <c r="DH88" i="1"/>
  <c r="DH87" i="1"/>
  <c r="DH86" i="1"/>
  <c r="DH81" i="1"/>
  <c r="DH80" i="1"/>
  <c r="DH79" i="1"/>
  <c r="DH78" i="1"/>
  <c r="DH77" i="1"/>
  <c r="DH76" i="1"/>
  <c r="DH75" i="1"/>
  <c r="DH72" i="1"/>
  <c r="DH71" i="1"/>
  <c r="DH70" i="1"/>
  <c r="DH69" i="1"/>
  <c r="DH68" i="1"/>
  <c r="DH67" i="1"/>
  <c r="DH66" i="1"/>
  <c r="DH65" i="1"/>
  <c r="DH64" i="1"/>
  <c r="DH63" i="1"/>
  <c r="DH62" i="1"/>
  <c r="DH61" i="1"/>
  <c r="DF58" i="1"/>
  <c r="DH57" i="1"/>
  <c r="DH56" i="1"/>
  <c r="DH55" i="1"/>
  <c r="DH54" i="1"/>
  <c r="DH53" i="1"/>
  <c r="DH52" i="1"/>
  <c r="DH51" i="1"/>
  <c r="DH50" i="1"/>
  <c r="DH49" i="1"/>
  <c r="DH48" i="1"/>
  <c r="DH47" i="1"/>
  <c r="DH46" i="1"/>
  <c r="DH45" i="1"/>
  <c r="DH44" i="1"/>
  <c r="DH43" i="1"/>
  <c r="DH42" i="1"/>
  <c r="DH41" i="1"/>
  <c r="DH40" i="1"/>
  <c r="DH39" i="1"/>
  <c r="DH35" i="1"/>
  <c r="DH34" i="1"/>
  <c r="DH33" i="1"/>
  <c r="DH32" i="1"/>
  <c r="DH31" i="1"/>
  <c r="DH27" i="1"/>
  <c r="DH26" i="1"/>
  <c r="DH21" i="1"/>
  <c r="DH20" i="1"/>
  <c r="DH19" i="1"/>
  <c r="DH18" i="1"/>
  <c r="DH17" i="1"/>
  <c r="DH16" i="1"/>
  <c r="DH15" i="1"/>
  <c r="DH11" i="1"/>
  <c r="DH10" i="1"/>
  <c r="DH9" i="1"/>
  <c r="DH8" i="1"/>
  <c r="DA168" i="1"/>
  <c r="DA167" i="1"/>
  <c r="DA166" i="1"/>
  <c r="DA165" i="1"/>
  <c r="DA164" i="1"/>
  <c r="DA163" i="1"/>
  <c r="DA152" i="1"/>
  <c r="DA151" i="1"/>
  <c r="DA150" i="1"/>
  <c r="DA149" i="1"/>
  <c r="DA145" i="1"/>
  <c r="DA144" i="1"/>
  <c r="DA140" i="1"/>
  <c r="DA139" i="1"/>
  <c r="DA138" i="1"/>
  <c r="DA137" i="1"/>
  <c r="DA136" i="1"/>
  <c r="DA135" i="1"/>
  <c r="DA134" i="1"/>
  <c r="DA133" i="1"/>
  <c r="DA132" i="1"/>
  <c r="DA131" i="1"/>
  <c r="DA130" i="1"/>
  <c r="DA129" i="1"/>
  <c r="DA128" i="1"/>
  <c r="DA127" i="1"/>
  <c r="DA126" i="1"/>
  <c r="DA125" i="1"/>
  <c r="DA124" i="1"/>
  <c r="DA120" i="1"/>
  <c r="DA119" i="1"/>
  <c r="DA118" i="1"/>
  <c r="DA116" i="1"/>
  <c r="DA115" i="1"/>
  <c r="DA111" i="1"/>
  <c r="DA109" i="1"/>
  <c r="DA108" i="1"/>
  <c r="DA107" i="1"/>
  <c r="DA103" i="1"/>
  <c r="DA101" i="1"/>
  <c r="DA100" i="1"/>
  <c r="DA99" i="1"/>
  <c r="DA98" i="1"/>
  <c r="DA97" i="1"/>
  <c r="DA93" i="1"/>
  <c r="DA92" i="1"/>
  <c r="DA91" i="1"/>
  <c r="DA89" i="1"/>
  <c r="DA88" i="1"/>
  <c r="DA87" i="1"/>
  <c r="DA86" i="1"/>
  <c r="DA81" i="1"/>
  <c r="DA80" i="1"/>
  <c r="DA79" i="1"/>
  <c r="DA78" i="1"/>
  <c r="DA77" i="1"/>
  <c r="DA76" i="1"/>
  <c r="DA75" i="1"/>
  <c r="DA72" i="1"/>
  <c r="DA71" i="1"/>
  <c r="DA70" i="1"/>
  <c r="DA69" i="1"/>
  <c r="DA68" i="1"/>
  <c r="DA67" i="1"/>
  <c r="DA66" i="1"/>
  <c r="DA65" i="1"/>
  <c r="DA64" i="1"/>
  <c r="DA63" i="1"/>
  <c r="DA62" i="1"/>
  <c r="DA61" i="1"/>
  <c r="CY58" i="1"/>
  <c r="DA57" i="1"/>
  <c r="DA56" i="1"/>
  <c r="DA55" i="1"/>
  <c r="DA54" i="1"/>
  <c r="DA53" i="1"/>
  <c r="DA52" i="1"/>
  <c r="DA51" i="1"/>
  <c r="DA50" i="1"/>
  <c r="DA49" i="1"/>
  <c r="DA48" i="1"/>
  <c r="DA47" i="1"/>
  <c r="DA46" i="1"/>
  <c r="DA45" i="1"/>
  <c r="DA44" i="1"/>
  <c r="DA43" i="1"/>
  <c r="DA42" i="1"/>
  <c r="DA41" i="1"/>
  <c r="DA40" i="1"/>
  <c r="DA39" i="1"/>
  <c r="DA35" i="1"/>
  <c r="DA34" i="1"/>
  <c r="DA33" i="1"/>
  <c r="DA32" i="1"/>
  <c r="DA31" i="1"/>
  <c r="DA27" i="1"/>
  <c r="DA26" i="1"/>
  <c r="DA21" i="1"/>
  <c r="DA20" i="1"/>
  <c r="DA19" i="1"/>
  <c r="DA18" i="1"/>
  <c r="DA17" i="1"/>
  <c r="DA16" i="1"/>
  <c r="DA15" i="1"/>
  <c r="DA11" i="1"/>
  <c r="DA10" i="1"/>
  <c r="DA9" i="1"/>
  <c r="DA8" i="1"/>
  <c r="CT168" i="1"/>
  <c r="CT167" i="1"/>
  <c r="CT166" i="1"/>
  <c r="CT165" i="1"/>
  <c r="CT164" i="1"/>
  <c r="CT163" i="1"/>
  <c r="CT152" i="1"/>
  <c r="CT151" i="1"/>
  <c r="CT150" i="1"/>
  <c r="CT149" i="1"/>
  <c r="CT145" i="1"/>
  <c r="CT144" i="1"/>
  <c r="CT140" i="1"/>
  <c r="CT139" i="1"/>
  <c r="CT138" i="1"/>
  <c r="CT137" i="1"/>
  <c r="CT136" i="1"/>
  <c r="CT135" i="1"/>
  <c r="CT134" i="1"/>
  <c r="CT133" i="1"/>
  <c r="CT132" i="1"/>
  <c r="CT131" i="1"/>
  <c r="CT130" i="1"/>
  <c r="CT129" i="1"/>
  <c r="CT128" i="1"/>
  <c r="CT127" i="1"/>
  <c r="CT126" i="1"/>
  <c r="CT125" i="1"/>
  <c r="CT124" i="1"/>
  <c r="CT120" i="1"/>
  <c r="CT119" i="1"/>
  <c r="CT118" i="1"/>
  <c r="CT116" i="1"/>
  <c r="CT115" i="1"/>
  <c r="CT111" i="1"/>
  <c r="CT109" i="1"/>
  <c r="CT108" i="1"/>
  <c r="CT107" i="1"/>
  <c r="CT106" i="1"/>
  <c r="CT103" i="1"/>
  <c r="CT101" i="1"/>
  <c r="CT100" i="1"/>
  <c r="CT99" i="1"/>
  <c r="CT98" i="1"/>
  <c r="CT97" i="1"/>
  <c r="CT93" i="1"/>
  <c r="CT92" i="1"/>
  <c r="CT91" i="1"/>
  <c r="CT89" i="1"/>
  <c r="CT88" i="1"/>
  <c r="CT87" i="1"/>
  <c r="CT86" i="1"/>
  <c r="CT81" i="1"/>
  <c r="CT80" i="1"/>
  <c r="CT79" i="1"/>
  <c r="CT78" i="1"/>
  <c r="CT77" i="1"/>
  <c r="CT76" i="1"/>
  <c r="CT75" i="1"/>
  <c r="CT72" i="1"/>
  <c r="CT71" i="1"/>
  <c r="CT70" i="1"/>
  <c r="CT69" i="1"/>
  <c r="CT68" i="1"/>
  <c r="CT67" i="1"/>
  <c r="CT66" i="1"/>
  <c r="CT65" i="1"/>
  <c r="CT64" i="1"/>
  <c r="CT63" i="1"/>
  <c r="CT62" i="1"/>
  <c r="CT61" i="1"/>
  <c r="CR58" i="1"/>
  <c r="CT57" i="1"/>
  <c r="CT56" i="1"/>
  <c r="CT55" i="1"/>
  <c r="CT54" i="1"/>
  <c r="CT53" i="1"/>
  <c r="CT52" i="1"/>
  <c r="CT51" i="1"/>
  <c r="CT50" i="1"/>
  <c r="CT49" i="1"/>
  <c r="CT48" i="1"/>
  <c r="CT47" i="1"/>
  <c r="CT46" i="1"/>
  <c r="CT45" i="1"/>
  <c r="CT44" i="1"/>
  <c r="CT43" i="1"/>
  <c r="CT42" i="1"/>
  <c r="CT41" i="1"/>
  <c r="CT40" i="1"/>
  <c r="CT39" i="1"/>
  <c r="CT35" i="1"/>
  <c r="CT34" i="1"/>
  <c r="CT33" i="1"/>
  <c r="CT32" i="1"/>
  <c r="CT31" i="1"/>
  <c r="CT27" i="1"/>
  <c r="CT26" i="1"/>
  <c r="CT21" i="1"/>
  <c r="CT20" i="1"/>
  <c r="CT19" i="1"/>
  <c r="CT18" i="1"/>
  <c r="CT17" i="1"/>
  <c r="CT16" i="1"/>
  <c r="CT15" i="1"/>
  <c r="CR22" i="1"/>
  <c r="CT8" i="1"/>
  <c r="CT9" i="1"/>
  <c r="CT10" i="1"/>
  <c r="CT11" i="1"/>
  <c r="CJ82" i="1"/>
  <c r="BY168" i="1"/>
  <c r="BY167" i="1"/>
  <c r="BY166" i="1"/>
  <c r="BY165" i="1"/>
  <c r="BY164" i="1"/>
  <c r="BY163" i="1"/>
  <c r="BY152" i="1"/>
  <c r="BY151" i="1"/>
  <c r="BY150" i="1"/>
  <c r="BY149" i="1"/>
  <c r="BY145" i="1"/>
  <c r="BY144" i="1"/>
  <c r="BY140" i="1"/>
  <c r="BY139" i="1"/>
  <c r="BY138" i="1"/>
  <c r="BY137" i="1"/>
  <c r="BY136" i="1"/>
  <c r="BY135" i="1"/>
  <c r="BY134" i="1"/>
  <c r="BY133" i="1"/>
  <c r="BY132" i="1"/>
  <c r="BY131" i="1"/>
  <c r="BY130" i="1"/>
  <c r="BY129" i="1"/>
  <c r="BY128" i="1"/>
  <c r="BY127" i="1"/>
  <c r="BY126" i="1"/>
  <c r="BY125" i="1"/>
  <c r="BY124" i="1"/>
  <c r="BY120" i="1"/>
  <c r="BY119" i="1"/>
  <c r="BY118" i="1"/>
  <c r="BY116" i="1"/>
  <c r="BY115" i="1"/>
  <c r="BY111" i="1"/>
  <c r="BY109" i="1"/>
  <c r="BY108" i="1"/>
  <c r="BY107" i="1"/>
  <c r="BY106" i="1"/>
  <c r="BY103" i="1"/>
  <c r="BY101" i="1"/>
  <c r="BY100" i="1"/>
  <c r="BY99" i="1"/>
  <c r="BY98" i="1"/>
  <c r="BY97" i="1"/>
  <c r="BY93" i="1"/>
  <c r="BY92" i="1"/>
  <c r="BY91" i="1"/>
  <c r="BY89" i="1"/>
  <c r="BY88" i="1"/>
  <c r="BY87" i="1"/>
  <c r="BY86" i="1"/>
  <c r="BY81" i="1"/>
  <c r="BY80" i="1"/>
  <c r="BY79" i="1"/>
  <c r="BY78" i="1"/>
  <c r="BY77" i="1"/>
  <c r="BY76" i="1"/>
  <c r="BY75" i="1"/>
  <c r="BY72" i="1"/>
  <c r="BY71" i="1"/>
  <c r="BY70" i="1"/>
  <c r="BY69" i="1"/>
  <c r="BY68" i="1"/>
  <c r="BY67" i="1"/>
  <c r="BY66" i="1"/>
  <c r="BY65" i="1"/>
  <c r="BY64" i="1"/>
  <c r="BY63" i="1"/>
  <c r="BY62" i="1"/>
  <c r="BY61" i="1"/>
  <c r="BW58" i="1"/>
  <c r="BY57" i="1"/>
  <c r="BY56" i="1"/>
  <c r="BY55" i="1"/>
  <c r="BY54" i="1"/>
  <c r="BY53" i="1"/>
  <c r="BY52" i="1"/>
  <c r="BY51" i="1"/>
  <c r="BY50" i="1"/>
  <c r="BY49" i="1"/>
  <c r="BY48" i="1"/>
  <c r="BY47" i="1"/>
  <c r="BY46" i="1"/>
  <c r="BY45" i="1"/>
  <c r="BY44" i="1"/>
  <c r="BY43" i="1"/>
  <c r="BY42" i="1"/>
  <c r="BY41" i="1"/>
  <c r="BY40" i="1"/>
  <c r="BY39" i="1"/>
  <c r="BY35" i="1"/>
  <c r="BY34" i="1"/>
  <c r="BY33" i="1"/>
  <c r="BY32" i="1"/>
  <c r="BY31" i="1"/>
  <c r="BY27" i="1"/>
  <c r="BY26" i="1"/>
  <c r="BY21" i="1"/>
  <c r="BY20" i="1"/>
  <c r="BY19" i="1"/>
  <c r="BY18" i="1"/>
  <c r="BY17" i="1"/>
  <c r="BY16" i="1"/>
  <c r="BY15" i="1"/>
  <c r="BY8" i="1"/>
  <c r="BY9" i="1"/>
  <c r="BY10" i="1"/>
  <c r="BY11" i="1"/>
  <c r="BR168" i="1"/>
  <c r="BR167" i="1"/>
  <c r="BR166" i="1"/>
  <c r="BR165" i="1"/>
  <c r="BR164" i="1"/>
  <c r="BR163" i="1"/>
  <c r="BR152" i="1"/>
  <c r="BR151" i="1"/>
  <c r="BR150" i="1"/>
  <c r="BR149" i="1"/>
  <c r="BR145" i="1"/>
  <c r="BR144" i="1"/>
  <c r="BP141" i="1"/>
  <c r="BR140" i="1"/>
  <c r="BR139" i="1"/>
  <c r="BR138" i="1"/>
  <c r="BR137" i="1"/>
  <c r="BR136" i="1"/>
  <c r="BR135" i="1"/>
  <c r="BR134" i="1"/>
  <c r="BR133" i="1"/>
  <c r="BR132" i="1"/>
  <c r="BR131" i="1"/>
  <c r="BR130" i="1"/>
  <c r="BR129" i="1"/>
  <c r="BR128" i="1"/>
  <c r="BR127" i="1"/>
  <c r="BR126" i="1"/>
  <c r="BR125" i="1"/>
  <c r="BR124" i="1"/>
  <c r="BR120" i="1"/>
  <c r="BR119" i="1"/>
  <c r="BR118" i="1"/>
  <c r="BR116" i="1"/>
  <c r="BR115" i="1"/>
  <c r="BR111" i="1"/>
  <c r="BR109" i="1"/>
  <c r="BR108" i="1"/>
  <c r="BR107" i="1"/>
  <c r="BP104" i="1"/>
  <c r="BR103" i="1"/>
  <c r="BR101" i="1"/>
  <c r="BR100" i="1"/>
  <c r="BR99" i="1"/>
  <c r="BR98" i="1"/>
  <c r="BR97" i="1"/>
  <c r="BR93" i="1"/>
  <c r="BR92" i="1"/>
  <c r="BR91" i="1"/>
  <c r="BR89" i="1"/>
  <c r="BR88" i="1"/>
  <c r="BR87" i="1"/>
  <c r="BR86" i="1"/>
  <c r="BP82" i="1"/>
  <c r="BR81" i="1"/>
  <c r="BR80" i="1"/>
  <c r="BR79" i="1"/>
  <c r="BR78" i="1"/>
  <c r="BR77" i="1"/>
  <c r="BR76" i="1"/>
  <c r="BR75" i="1"/>
  <c r="BR72" i="1"/>
  <c r="BR71" i="1"/>
  <c r="BR70" i="1"/>
  <c r="BR69" i="1"/>
  <c r="BR68" i="1"/>
  <c r="BR67" i="1"/>
  <c r="BR66" i="1"/>
  <c r="BR65" i="1"/>
  <c r="BR64" i="1"/>
  <c r="BR63" i="1"/>
  <c r="BR62" i="1"/>
  <c r="BR61" i="1"/>
  <c r="BP36" i="1"/>
  <c r="BP58" i="1"/>
  <c r="BR57" i="1"/>
  <c r="BR56" i="1"/>
  <c r="BR55" i="1"/>
  <c r="BR54" i="1"/>
  <c r="BR53" i="1"/>
  <c r="BR52" i="1"/>
  <c r="BR51" i="1"/>
  <c r="BR50" i="1"/>
  <c r="BR49" i="1"/>
  <c r="BR48" i="1"/>
  <c r="BR47" i="1"/>
  <c r="BR46" i="1"/>
  <c r="BR45" i="1"/>
  <c r="BR44" i="1"/>
  <c r="BR43" i="1"/>
  <c r="BR42" i="1"/>
  <c r="BR41" i="1"/>
  <c r="BR40" i="1"/>
  <c r="BR39" i="1"/>
  <c r="BR35" i="1"/>
  <c r="BR34" i="1"/>
  <c r="BR33" i="1"/>
  <c r="BR32" i="1"/>
  <c r="BR31" i="1"/>
  <c r="BR8" i="1"/>
  <c r="BR9" i="1"/>
  <c r="BR10" i="1"/>
  <c r="BR11" i="1"/>
  <c r="BR27" i="1"/>
  <c r="BR26" i="1"/>
  <c r="BR21" i="1"/>
  <c r="BR20" i="1"/>
  <c r="BR19" i="1"/>
  <c r="BR18" i="1"/>
  <c r="BR17" i="1"/>
  <c r="BR16" i="1"/>
  <c r="BR15" i="1"/>
  <c r="DO146" i="1" l="1"/>
  <c r="DA112" i="1"/>
  <c r="DO28" i="1"/>
  <c r="DH28" i="1"/>
  <c r="DH112" i="1"/>
  <c r="CT28" i="1"/>
  <c r="BY28" i="1"/>
  <c r="BY112" i="1"/>
  <c r="DO112" i="1"/>
  <c r="BY104" i="1"/>
  <c r="CT146" i="1"/>
  <c r="DO169" i="1"/>
  <c r="BY146" i="1"/>
  <c r="DH169" i="1"/>
  <c r="BY153" i="1"/>
  <c r="CT112" i="1"/>
  <c r="CT121" i="1"/>
  <c r="DA169" i="1"/>
  <c r="BY121" i="1"/>
  <c r="DO104" i="1"/>
  <c r="BR169" i="1"/>
  <c r="BY94" i="1"/>
  <c r="BZ94" i="1" s="1"/>
  <c r="DA82" i="1"/>
  <c r="DA141" i="1"/>
  <c r="DO58" i="1"/>
  <c r="DO141" i="1"/>
  <c r="CT104" i="1"/>
  <c r="CT141" i="1"/>
  <c r="DA104" i="1"/>
  <c r="DH104" i="1"/>
  <c r="DO22" i="1"/>
  <c r="DO94" i="1"/>
  <c r="DP94" i="1" s="1"/>
  <c r="BY22" i="1"/>
  <c r="BY169" i="1"/>
  <c r="CT94" i="1"/>
  <c r="CU94" i="1" s="1"/>
  <c r="CT169" i="1"/>
  <c r="DA94" i="1"/>
  <c r="DB94" i="1" s="1"/>
  <c r="DA146" i="1"/>
  <c r="DH94" i="1"/>
  <c r="DI94" i="1" s="1"/>
  <c r="DH146" i="1"/>
  <c r="BY36" i="1"/>
  <c r="BY141" i="1"/>
  <c r="CT22" i="1"/>
  <c r="DA121" i="1"/>
  <c r="DH22" i="1"/>
  <c r="DH121" i="1"/>
  <c r="DO36" i="1"/>
  <c r="DO121" i="1"/>
  <c r="DA22" i="1"/>
  <c r="DA28" i="1"/>
  <c r="DA153" i="1"/>
  <c r="DO153" i="1"/>
  <c r="CT36" i="1"/>
  <c r="DA36" i="1"/>
  <c r="DH36" i="1"/>
  <c r="DH153" i="1"/>
  <c r="DO82" i="1"/>
  <c r="BR112" i="1"/>
  <c r="BY82" i="1"/>
  <c r="CT82" i="1"/>
  <c r="CT153" i="1"/>
  <c r="DH82" i="1"/>
  <c r="BR146" i="1"/>
  <c r="BR153" i="1"/>
  <c r="BR141" i="1"/>
  <c r="BR121" i="1"/>
  <c r="BR104" i="1"/>
  <c r="BR94" i="1"/>
  <c r="DH58" i="1"/>
  <c r="BY58" i="1"/>
  <c r="BR82" i="1"/>
  <c r="BR58" i="1"/>
  <c r="BR36" i="1"/>
  <c r="BR28" i="1"/>
  <c r="BR22" i="1"/>
  <c r="DH141" i="1"/>
  <c r="DA58" i="1"/>
  <c r="CT58" i="1"/>
  <c r="CM27" i="1"/>
  <c r="CM164" i="1"/>
  <c r="CM166" i="1"/>
  <c r="CM167" i="1"/>
  <c r="CM168" i="1"/>
  <c r="CM139" i="1"/>
  <c r="DR164" i="1"/>
  <c r="DR165" i="1"/>
  <c r="DR166" i="1"/>
  <c r="DR167" i="1"/>
  <c r="DR168" i="1"/>
  <c r="DR145" i="1"/>
  <c r="DR125" i="1"/>
  <c r="DR126" i="1"/>
  <c r="DR127" i="1"/>
  <c r="DR128" i="1"/>
  <c r="DR129" i="1"/>
  <c r="DR130" i="1"/>
  <c r="DR131" i="1"/>
  <c r="DR132" i="1"/>
  <c r="DR133" i="1"/>
  <c r="DR134" i="1"/>
  <c r="DR135" i="1"/>
  <c r="DR136" i="1"/>
  <c r="DR137" i="1"/>
  <c r="DR138" i="1"/>
  <c r="DR139" i="1"/>
  <c r="DV139" i="1" s="1"/>
  <c r="DR140" i="1"/>
  <c r="DR116" i="1"/>
  <c r="DR118" i="1"/>
  <c r="DR119" i="1"/>
  <c r="DR120" i="1"/>
  <c r="DR108" i="1"/>
  <c r="DR109" i="1"/>
  <c r="DR111" i="1"/>
  <c r="DR98" i="1"/>
  <c r="DR99" i="1"/>
  <c r="DR100" i="1"/>
  <c r="DR103" i="1"/>
  <c r="DV103" i="1" s="1"/>
  <c r="DR87" i="1"/>
  <c r="DR88" i="1"/>
  <c r="DR89" i="1"/>
  <c r="DR91" i="1"/>
  <c r="DR92" i="1"/>
  <c r="DR93" i="1"/>
  <c r="DR62" i="1"/>
  <c r="DR63" i="1"/>
  <c r="DR64" i="1"/>
  <c r="DR65" i="1"/>
  <c r="DR66" i="1"/>
  <c r="DR67" i="1"/>
  <c r="DR68" i="1"/>
  <c r="DR69" i="1"/>
  <c r="DR70" i="1"/>
  <c r="DR71" i="1"/>
  <c r="DR72" i="1"/>
  <c r="DR75" i="1"/>
  <c r="DR76" i="1"/>
  <c r="DR77" i="1"/>
  <c r="DR78" i="1"/>
  <c r="DR79" i="1"/>
  <c r="DR80" i="1"/>
  <c r="DR81" i="1"/>
  <c r="DR57" i="1"/>
  <c r="DV57" i="1" s="1"/>
  <c r="DR40" i="1"/>
  <c r="DR41" i="1"/>
  <c r="DR42" i="1"/>
  <c r="DR43" i="1"/>
  <c r="DR44" i="1"/>
  <c r="DR45" i="1"/>
  <c r="DR46" i="1"/>
  <c r="DR47" i="1"/>
  <c r="DR48" i="1"/>
  <c r="DR49" i="1"/>
  <c r="DR50" i="1"/>
  <c r="DR51" i="1"/>
  <c r="DR52" i="1"/>
  <c r="DR53" i="1"/>
  <c r="DR54" i="1"/>
  <c r="DR55" i="1"/>
  <c r="DR56" i="1"/>
  <c r="DR32" i="1"/>
  <c r="DR33" i="1"/>
  <c r="DR34" i="1"/>
  <c r="DR35" i="1"/>
  <c r="DR27" i="1"/>
  <c r="DV27" i="1" s="1"/>
  <c r="DR16" i="1"/>
  <c r="DR17" i="1"/>
  <c r="DR18" i="1"/>
  <c r="DR19" i="1"/>
  <c r="DR20" i="1"/>
  <c r="DR21" i="1"/>
  <c r="DR8" i="1"/>
  <c r="DR9" i="1"/>
  <c r="DR10" i="1"/>
  <c r="DR11" i="1"/>
  <c r="BK93" i="1"/>
  <c r="BK81" i="1"/>
  <c r="BK80" i="1"/>
  <c r="BK79" i="1"/>
  <c r="BG58" i="1"/>
  <c r="CM57" i="1"/>
  <c r="DY57" i="1" l="1"/>
  <c r="DO156" i="1"/>
  <c r="CT156" i="1"/>
  <c r="BY156" i="1"/>
  <c r="DA156" i="1"/>
  <c r="DH156" i="1"/>
  <c r="BR156" i="1"/>
  <c r="CM165" i="1"/>
  <c r="AZ145" i="1"/>
  <c r="DY145" i="1" s="1"/>
  <c r="AZ27" i="1" l="1"/>
  <c r="BB138" i="1"/>
  <c r="BB139" i="1"/>
  <c r="EA139" i="1" s="1"/>
  <c r="AS169" i="1"/>
  <c r="AW138" i="1"/>
  <c r="AL141" i="1"/>
  <c r="AZ139" i="1"/>
  <c r="DY139" i="1" s="1"/>
  <c r="AI139" i="1"/>
  <c r="AP138" i="1"/>
  <c r="AP136" i="1"/>
  <c r="AP93" i="1"/>
  <c r="DV55" i="1" l="1"/>
  <c r="CM55" i="1"/>
  <c r="BK55" i="1"/>
  <c r="BB55" i="1"/>
  <c r="AZ55" i="1"/>
  <c r="AW55" i="1"/>
  <c r="AP55" i="1"/>
  <c r="AI55" i="1"/>
  <c r="Z55" i="1"/>
  <c r="U55" i="1"/>
  <c r="N55" i="1"/>
  <c r="G55" i="1"/>
  <c r="EA55" i="1" l="1"/>
  <c r="DY55" i="1"/>
  <c r="DV47" i="1" l="1"/>
  <c r="CM47" i="1"/>
  <c r="CM48" i="1"/>
  <c r="AZ47" i="1"/>
  <c r="DY47" i="1" s="1"/>
  <c r="BB47" i="1"/>
  <c r="AI47" i="1"/>
  <c r="Z47" i="1"/>
  <c r="EA47" i="1" s="1"/>
  <c r="BD47" i="1" l="1"/>
  <c r="AE62" i="1" l="1"/>
  <c r="AE141" i="1" l="1"/>
  <c r="AE58" i="1"/>
  <c r="AG186" i="1" l="1"/>
  <c r="AE186" i="1"/>
  <c r="AG185" i="1"/>
  <c r="AE185" i="1"/>
  <c r="AG184" i="1"/>
  <c r="AE184" i="1"/>
  <c r="AG183" i="1"/>
  <c r="AE183" i="1"/>
  <c r="AG180" i="1"/>
  <c r="AE180" i="1"/>
  <c r="AG179" i="1"/>
  <c r="AE179" i="1"/>
  <c r="AG178" i="1"/>
  <c r="AE178" i="1"/>
  <c r="AZ144" i="1"/>
  <c r="AZ56" i="1"/>
  <c r="DY56" i="1" s="1"/>
  <c r="AZ40" i="1"/>
  <c r="AZ41" i="1"/>
  <c r="AZ42" i="1"/>
  <c r="AZ43" i="1"/>
  <c r="AZ44" i="1"/>
  <c r="DY44" i="1" s="1"/>
  <c r="AZ45" i="1"/>
  <c r="AZ46" i="1"/>
  <c r="AZ48" i="1"/>
  <c r="AZ49" i="1"/>
  <c r="AZ50" i="1"/>
  <c r="AZ51" i="1"/>
  <c r="AZ52" i="1"/>
  <c r="AZ53" i="1"/>
  <c r="AZ54" i="1"/>
  <c r="AI140" i="1"/>
  <c r="AI136" i="1"/>
  <c r="AI93" i="1"/>
  <c r="AI81" i="1"/>
  <c r="AI80" i="1"/>
  <c r="AI79" i="1"/>
  <c r="AI78" i="1"/>
  <c r="AI11" i="1"/>
  <c r="AZ11" i="1"/>
  <c r="AE169" i="1" l="1"/>
  <c r="DM186" i="1"/>
  <c r="DK186" i="1"/>
  <c r="DM185" i="1"/>
  <c r="DK185" i="1"/>
  <c r="DM184" i="1"/>
  <c r="DK184" i="1"/>
  <c r="DM183" i="1"/>
  <c r="DK183" i="1"/>
  <c r="DM180" i="1"/>
  <c r="DK180" i="1"/>
  <c r="DM179" i="1"/>
  <c r="DK179" i="1"/>
  <c r="DM178" i="1"/>
  <c r="DK178" i="1"/>
  <c r="DF186" i="1"/>
  <c r="DD186" i="1"/>
  <c r="DF185" i="1"/>
  <c r="DD185" i="1"/>
  <c r="DF184" i="1"/>
  <c r="DD184" i="1"/>
  <c r="DF183" i="1"/>
  <c r="DD183" i="1"/>
  <c r="DF180" i="1"/>
  <c r="DD180" i="1"/>
  <c r="DF179" i="1"/>
  <c r="DD179" i="1"/>
  <c r="DF178" i="1"/>
  <c r="DD178" i="1"/>
  <c r="CY186" i="1"/>
  <c r="CW186" i="1"/>
  <c r="CY185" i="1"/>
  <c r="CW185" i="1"/>
  <c r="CY184" i="1"/>
  <c r="CW184" i="1"/>
  <c r="CY183" i="1"/>
  <c r="CW183" i="1"/>
  <c r="CY180" i="1"/>
  <c r="CW180" i="1"/>
  <c r="CY179" i="1"/>
  <c r="CW179" i="1"/>
  <c r="CY178" i="1"/>
  <c r="CW178" i="1"/>
  <c r="CR186" i="1"/>
  <c r="CP186" i="1"/>
  <c r="CR185" i="1"/>
  <c r="CP185" i="1"/>
  <c r="CR184" i="1"/>
  <c r="CP184" i="1"/>
  <c r="CR183" i="1"/>
  <c r="CP183" i="1"/>
  <c r="CR180" i="1"/>
  <c r="CP180" i="1"/>
  <c r="CR179" i="1"/>
  <c r="CP179" i="1"/>
  <c r="CR178" i="1"/>
  <c r="CP178" i="1"/>
  <c r="BW186" i="1"/>
  <c r="BU186" i="1"/>
  <c r="BW185" i="1"/>
  <c r="BU185" i="1"/>
  <c r="BW184" i="1"/>
  <c r="BU184" i="1"/>
  <c r="BW183" i="1"/>
  <c r="BU183" i="1"/>
  <c r="BW180" i="1"/>
  <c r="BU180" i="1"/>
  <c r="BW179" i="1"/>
  <c r="BU179" i="1"/>
  <c r="BW178" i="1"/>
  <c r="BU178" i="1"/>
  <c r="BP186" i="1"/>
  <c r="BN186" i="1"/>
  <c r="BP185" i="1"/>
  <c r="BN185" i="1"/>
  <c r="BP184" i="1"/>
  <c r="BN184" i="1"/>
  <c r="BP183" i="1"/>
  <c r="BN183" i="1"/>
  <c r="BP180" i="1"/>
  <c r="BN180" i="1"/>
  <c r="BP179" i="1"/>
  <c r="BN179" i="1"/>
  <c r="BP178" i="1"/>
  <c r="BN178" i="1"/>
  <c r="BI186" i="1"/>
  <c r="BG186" i="1"/>
  <c r="BI185" i="1"/>
  <c r="BG185" i="1"/>
  <c r="BI184" i="1"/>
  <c r="BG184" i="1"/>
  <c r="BI183" i="1"/>
  <c r="BG183" i="1"/>
  <c r="BI180" i="1"/>
  <c r="BG180" i="1"/>
  <c r="BI179" i="1"/>
  <c r="BG179" i="1"/>
  <c r="BI178" i="1"/>
  <c r="AU186" i="1"/>
  <c r="AS186" i="1"/>
  <c r="AU185" i="1"/>
  <c r="AS185" i="1"/>
  <c r="AU184" i="1"/>
  <c r="AS184" i="1"/>
  <c r="AU183" i="1"/>
  <c r="AS183" i="1"/>
  <c r="AU180" i="1"/>
  <c r="AS180" i="1"/>
  <c r="AU179" i="1"/>
  <c r="AS179" i="1"/>
  <c r="AU178" i="1"/>
  <c r="AS178" i="1"/>
  <c r="AN186" i="1"/>
  <c r="AL186" i="1"/>
  <c r="AN185" i="1"/>
  <c r="AL185" i="1"/>
  <c r="AN184" i="1"/>
  <c r="AL184" i="1"/>
  <c r="AN183" i="1"/>
  <c r="AL183" i="1"/>
  <c r="AN180" i="1"/>
  <c r="AL180" i="1"/>
  <c r="AN179" i="1"/>
  <c r="AL179" i="1"/>
  <c r="AN178" i="1"/>
  <c r="AL178" i="1"/>
  <c r="S186" i="1"/>
  <c r="Q186" i="1"/>
  <c r="S185" i="1"/>
  <c r="Q185" i="1"/>
  <c r="S184" i="1"/>
  <c r="Q184" i="1"/>
  <c r="S183" i="1"/>
  <c r="Q183" i="1"/>
  <c r="S180" i="1"/>
  <c r="Q180" i="1"/>
  <c r="S179" i="1"/>
  <c r="Q179" i="1"/>
  <c r="S178" i="1"/>
  <c r="Q178" i="1"/>
  <c r="J185" i="1"/>
  <c r="J184" i="1"/>
  <c r="J183" i="1"/>
  <c r="J179" i="1"/>
  <c r="J178" i="1"/>
  <c r="E186" i="1"/>
  <c r="E185" i="1"/>
  <c r="E184" i="1"/>
  <c r="E183" i="1"/>
  <c r="L186" i="1"/>
  <c r="L185" i="1"/>
  <c r="L184" i="1"/>
  <c r="L183" i="1"/>
  <c r="T19" i="1"/>
  <c r="T18" i="1"/>
  <c r="T17" i="1"/>
  <c r="T16" i="1"/>
  <c r="T15" i="1"/>
  <c r="CT180" i="1" l="1"/>
  <c r="BY184" i="1"/>
  <c r="CT184" i="1"/>
  <c r="DH186" i="1"/>
  <c r="DH180" i="1"/>
  <c r="DO183" i="1"/>
  <c r="BY183" i="1"/>
  <c r="BR183" i="1"/>
  <c r="CT183" i="1"/>
  <c r="DA180" i="1"/>
  <c r="DA186" i="1"/>
  <c r="BY180" i="1"/>
  <c r="DA184" i="1"/>
  <c r="DO186" i="1"/>
  <c r="BK180" i="1"/>
  <c r="BK183" i="1"/>
  <c r="BR184" i="1"/>
  <c r="DH183" i="1"/>
  <c r="BK184" i="1"/>
  <c r="DH184" i="1"/>
  <c r="BK185" i="1"/>
  <c r="BR180" i="1"/>
  <c r="BY186" i="1"/>
  <c r="BR186" i="1"/>
  <c r="BY185" i="1"/>
  <c r="CT186" i="1"/>
  <c r="DO180" i="1"/>
  <c r="DO185" i="1"/>
  <c r="BR185" i="1"/>
  <c r="DA185" i="1"/>
  <c r="DH185" i="1"/>
  <c r="BK186" i="1"/>
  <c r="CT185" i="1"/>
  <c r="DA183" i="1"/>
  <c r="DO184" i="1"/>
  <c r="Q89" i="1"/>
  <c r="X89" i="1" s="1"/>
  <c r="Q128" i="1"/>
  <c r="X128" i="1" s="1"/>
  <c r="Q64" i="1"/>
  <c r="X64" i="1" s="1"/>
  <c r="Q91" i="1" l="1"/>
  <c r="X91" i="1" s="1"/>
  <c r="Q78" i="1"/>
  <c r="X78" i="1" s="1"/>
  <c r="Q101" i="1" l="1"/>
  <c r="X101" i="1" s="1"/>
  <c r="Q168" i="1"/>
  <c r="Q104" i="1" l="1"/>
  <c r="Q169" i="1"/>
  <c r="Q153" i="1"/>
  <c r="Q146" i="1"/>
  <c r="Q121" i="1"/>
  <c r="Q112" i="1"/>
  <c r="Q94" i="1"/>
  <c r="Q28" i="1"/>
  <c r="Q135" i="1"/>
  <c r="U92" i="1"/>
  <c r="Q80" i="1"/>
  <c r="U78" i="1"/>
  <c r="Q82" i="1" l="1"/>
  <c r="X80" i="1"/>
  <c r="Q141" i="1"/>
  <c r="X135" i="1"/>
  <c r="Q46" i="1"/>
  <c r="Q35" i="1"/>
  <c r="Q22" i="1"/>
  <c r="DV20" i="1"/>
  <c r="CM20" i="1"/>
  <c r="BK20" i="1"/>
  <c r="BB20" i="1"/>
  <c r="EA20" i="1" s="1"/>
  <c r="AZ20" i="1"/>
  <c r="AW20" i="1"/>
  <c r="AP20" i="1"/>
  <c r="AI20" i="1"/>
  <c r="U20" i="1"/>
  <c r="N20" i="1"/>
  <c r="G20" i="1"/>
  <c r="Q12" i="1"/>
  <c r="U11" i="1"/>
  <c r="Q58" i="1" l="1"/>
  <c r="Q196" i="1" s="1"/>
  <c r="X46" i="1"/>
  <c r="DY20" i="1"/>
  <c r="Q194" i="1"/>
  <c r="Q36" i="1"/>
  <c r="R20" i="1"/>
  <c r="Q191" i="1"/>
  <c r="Q192" i="1"/>
  <c r="Q195" i="1"/>
  <c r="Q193" i="1"/>
  <c r="Q24" i="1"/>
  <c r="R24" i="1" s="1"/>
  <c r="Q188" i="1"/>
  <c r="BD20" i="1"/>
  <c r="AB20" i="1"/>
  <c r="Q197" i="1" l="1"/>
  <c r="Q156" i="1"/>
  <c r="Q158" i="1" s="1"/>
  <c r="Q171" i="1" s="1"/>
  <c r="Q173" i="1" s="1"/>
  <c r="R173" i="1" s="1"/>
  <c r="EC20" i="1"/>
  <c r="J144" i="1"/>
  <c r="X144" i="1" s="1"/>
  <c r="E180" i="1" l="1"/>
  <c r="C180" i="1"/>
  <c r="E179" i="1"/>
  <c r="C179" i="1"/>
  <c r="E178" i="1"/>
  <c r="C178" i="1"/>
  <c r="J82" i="1"/>
  <c r="J49" i="1" l="1"/>
  <c r="J26" i="1"/>
  <c r="X26" i="1" s="1"/>
  <c r="F19" i="1"/>
  <c r="F18" i="1"/>
  <c r="F17" i="1"/>
  <c r="F16" i="1"/>
  <c r="F15" i="1"/>
  <c r="D19" i="1"/>
  <c r="D18" i="1"/>
  <c r="D17" i="1"/>
  <c r="D16" i="1"/>
  <c r="D15" i="1"/>
  <c r="DN19" i="1"/>
  <c r="DN18" i="1"/>
  <c r="DN17" i="1"/>
  <c r="DN16" i="1"/>
  <c r="DN15" i="1"/>
  <c r="DG19" i="1"/>
  <c r="DG18" i="1"/>
  <c r="DG17" i="1"/>
  <c r="DG16" i="1"/>
  <c r="DG15" i="1"/>
  <c r="CZ19" i="1"/>
  <c r="CZ18" i="1"/>
  <c r="CZ17" i="1"/>
  <c r="CZ16" i="1"/>
  <c r="CZ15" i="1"/>
  <c r="CS19" i="1"/>
  <c r="CS18" i="1"/>
  <c r="CS17" i="1"/>
  <c r="CS16" i="1"/>
  <c r="CS15" i="1"/>
  <c r="BX19" i="1"/>
  <c r="BX18" i="1"/>
  <c r="BX17" i="1"/>
  <c r="BX16" i="1"/>
  <c r="BX15" i="1"/>
  <c r="BQ19" i="1"/>
  <c r="BQ18" i="1"/>
  <c r="BQ17" i="1"/>
  <c r="BQ16" i="1"/>
  <c r="BQ15" i="1"/>
  <c r="BJ19" i="1"/>
  <c r="BJ18" i="1"/>
  <c r="BJ17" i="1"/>
  <c r="BJ16" i="1"/>
  <c r="BJ15" i="1"/>
  <c r="AV19" i="1"/>
  <c r="AV18" i="1"/>
  <c r="AV17" i="1"/>
  <c r="AV16" i="1"/>
  <c r="AV15" i="1"/>
  <c r="AO19" i="1"/>
  <c r="AO18" i="1"/>
  <c r="AO17" i="1"/>
  <c r="AO16" i="1"/>
  <c r="AO15" i="1"/>
  <c r="AH19" i="1"/>
  <c r="AH18" i="1"/>
  <c r="AH17" i="1"/>
  <c r="AH16" i="1"/>
  <c r="AH15" i="1"/>
  <c r="DL19" i="1"/>
  <c r="DL18" i="1"/>
  <c r="DL17" i="1"/>
  <c r="DL16" i="1"/>
  <c r="DL15" i="1"/>
  <c r="CX19" i="1"/>
  <c r="CX18" i="1"/>
  <c r="CX17" i="1"/>
  <c r="CX16" i="1"/>
  <c r="CX15" i="1"/>
  <c r="CQ19" i="1"/>
  <c r="CQ18" i="1"/>
  <c r="CQ17" i="1"/>
  <c r="CQ16" i="1"/>
  <c r="CQ15" i="1"/>
  <c r="BV19" i="1"/>
  <c r="BV18" i="1"/>
  <c r="BV17" i="1"/>
  <c r="BV16" i="1"/>
  <c r="BV15" i="1"/>
  <c r="BO19" i="1"/>
  <c r="BO18" i="1"/>
  <c r="BO17" i="1"/>
  <c r="BO16" i="1"/>
  <c r="BO15" i="1"/>
  <c r="BH19" i="1"/>
  <c r="BH18" i="1"/>
  <c r="BH17" i="1"/>
  <c r="BH16" i="1"/>
  <c r="BH15" i="1"/>
  <c r="AT19" i="1"/>
  <c r="AT18" i="1"/>
  <c r="AT17" i="1"/>
  <c r="AT16" i="1"/>
  <c r="AT15" i="1"/>
  <c r="AM19" i="1"/>
  <c r="AM18" i="1"/>
  <c r="AM17" i="1"/>
  <c r="AM16" i="1"/>
  <c r="AM15" i="1"/>
  <c r="AF19" i="1"/>
  <c r="AF18" i="1"/>
  <c r="AF17" i="1"/>
  <c r="AF16" i="1"/>
  <c r="AF15" i="1"/>
  <c r="AG12" i="1"/>
  <c r="R19" i="1"/>
  <c r="R18" i="1"/>
  <c r="R17" i="1"/>
  <c r="R16" i="1"/>
  <c r="R15" i="1"/>
  <c r="M15" i="1"/>
  <c r="M19" i="1"/>
  <c r="M18" i="1"/>
  <c r="M17" i="1"/>
  <c r="M16" i="1"/>
  <c r="K19" i="1"/>
  <c r="K18" i="1"/>
  <c r="K17" i="1"/>
  <c r="K16" i="1"/>
  <c r="K15" i="1"/>
  <c r="X49" i="1" l="1"/>
  <c r="X58" i="1" s="1"/>
  <c r="J58" i="1"/>
  <c r="AG195" i="1"/>
  <c r="AG192" i="1"/>
  <c r="AG194" i="1"/>
  <c r="AG191" i="1"/>
  <c r="AG193" i="1"/>
  <c r="AH10" i="1"/>
  <c r="AH20" i="1"/>
  <c r="AH11" i="1"/>
  <c r="AH7" i="1"/>
  <c r="AH8" i="1"/>
  <c r="AH9" i="1"/>
  <c r="Z145" i="1"/>
  <c r="DT144" i="1"/>
  <c r="L180" i="1" l="1"/>
  <c r="L179" i="1"/>
  <c r="L178" i="1"/>
  <c r="J180" i="1"/>
  <c r="L141" i="1"/>
  <c r="J141" i="1"/>
  <c r="J94" i="1"/>
  <c r="N93" i="1"/>
  <c r="N79" i="1"/>
  <c r="J35" i="1"/>
  <c r="X35" i="1" s="1"/>
  <c r="J12" i="1"/>
  <c r="K20" i="1" s="1"/>
  <c r="N11" i="1"/>
  <c r="G168" i="1"/>
  <c r="G164" i="1"/>
  <c r="G125" i="1"/>
  <c r="G150" i="1"/>
  <c r="G65" i="1"/>
  <c r="G62" i="1"/>
  <c r="EC160" i="1"/>
  <c r="ED160" i="1" s="1"/>
  <c r="DV21" i="1"/>
  <c r="DV19" i="1"/>
  <c r="DV18" i="1"/>
  <c r="DV17" i="1"/>
  <c r="DV16" i="1"/>
  <c r="DT15" i="1"/>
  <c r="CR12" i="1"/>
  <c r="CS94" i="1" s="1"/>
  <c r="CP12" i="1"/>
  <c r="CQ94" i="1" s="1"/>
  <c r="CY12" i="1"/>
  <c r="CZ94" i="1" s="1"/>
  <c r="CW12" i="1"/>
  <c r="CX94" i="1" s="1"/>
  <c r="DF12" i="1"/>
  <c r="DG94" i="1" s="1"/>
  <c r="DD12" i="1"/>
  <c r="DM12" i="1"/>
  <c r="DN94" i="1" s="1"/>
  <c r="DK12" i="1"/>
  <c r="DL94" i="1" s="1"/>
  <c r="DV11" i="1"/>
  <c r="DV10" i="1"/>
  <c r="DV9" i="1"/>
  <c r="DV8" i="1"/>
  <c r="DT7" i="1"/>
  <c r="CR169" i="1"/>
  <c r="CP169" i="1"/>
  <c r="CT160" i="1"/>
  <c r="CU160" i="1" s="1"/>
  <c r="CM152" i="1"/>
  <c r="DV152" i="1"/>
  <c r="DM104" i="1"/>
  <c r="DK104" i="1"/>
  <c r="DF104" i="1"/>
  <c r="CY104" i="1"/>
  <c r="CW104" i="1"/>
  <c r="CR104" i="1"/>
  <c r="CP104" i="1"/>
  <c r="BW104" i="1"/>
  <c r="BU104" i="1"/>
  <c r="BN104" i="1"/>
  <c r="BI104" i="1"/>
  <c r="BG104" i="1"/>
  <c r="AS104" i="1"/>
  <c r="CM103" i="1"/>
  <c r="CM79" i="1"/>
  <c r="CM80" i="1"/>
  <c r="CM81" i="1"/>
  <c r="BW82" i="1"/>
  <c r="BU82" i="1"/>
  <c r="BN82" i="1"/>
  <c r="BI82" i="1"/>
  <c r="BG82" i="1"/>
  <c r="DV62" i="1"/>
  <c r="DV63" i="1"/>
  <c r="DV64" i="1"/>
  <c r="DV65" i="1"/>
  <c r="DV66" i="1"/>
  <c r="DV67" i="1"/>
  <c r="DV68" i="1"/>
  <c r="DV69" i="1"/>
  <c r="DV70" i="1"/>
  <c r="DV71" i="1"/>
  <c r="DV72" i="1"/>
  <c r="DV75" i="1"/>
  <c r="DV76" i="1"/>
  <c r="DV77" i="1"/>
  <c r="DV78" i="1"/>
  <c r="DV79" i="1"/>
  <c r="DV80" i="1"/>
  <c r="DV81" i="1"/>
  <c r="DM82" i="1"/>
  <c r="DK82" i="1"/>
  <c r="DF82" i="1"/>
  <c r="CY82" i="1"/>
  <c r="CW82" i="1"/>
  <c r="CR82" i="1"/>
  <c r="CP82" i="1"/>
  <c r="BK78" i="1"/>
  <c r="BK77" i="1"/>
  <c r="BK76" i="1"/>
  <c r="BK75" i="1"/>
  <c r="BK72" i="1"/>
  <c r="BK71" i="1"/>
  <c r="BK70" i="1"/>
  <c r="BK69" i="1"/>
  <c r="BK68" i="1"/>
  <c r="BK67" i="1"/>
  <c r="BK66" i="1"/>
  <c r="BK65" i="1"/>
  <c r="BK64" i="1"/>
  <c r="BK63" i="1"/>
  <c r="BK62" i="1"/>
  <c r="BK61" i="1"/>
  <c r="CM21" i="1"/>
  <c r="CM19" i="1"/>
  <c r="CM18" i="1"/>
  <c r="CM17" i="1"/>
  <c r="CM16" i="1"/>
  <c r="BW12" i="1"/>
  <c r="BX94" i="1" s="1"/>
  <c r="BU12" i="1"/>
  <c r="BV94" i="1" s="1"/>
  <c r="BP12" i="1"/>
  <c r="BN12" i="1"/>
  <c r="BI12" i="1"/>
  <c r="BG12" i="1"/>
  <c r="CM11" i="1"/>
  <c r="AZ152" i="1"/>
  <c r="DY152" i="1" s="1"/>
  <c r="BB152" i="1"/>
  <c r="AZ93" i="1"/>
  <c r="BB93" i="1"/>
  <c r="BI94" i="1"/>
  <c r="BG94" i="1"/>
  <c r="AU94" i="1"/>
  <c r="AS94" i="1"/>
  <c r="AN94" i="1"/>
  <c r="AL94" i="1"/>
  <c r="AG94" i="1"/>
  <c r="AE94" i="1"/>
  <c r="DM28" i="1"/>
  <c r="DP28" i="1" s="1"/>
  <c r="DK28" i="1"/>
  <c r="DF28" i="1"/>
  <c r="DI28" i="1" s="1"/>
  <c r="DD28" i="1"/>
  <c r="CY28" i="1"/>
  <c r="CW28" i="1"/>
  <c r="CR28" i="1"/>
  <c r="CP28" i="1"/>
  <c r="BW28" i="1"/>
  <c r="BZ28" i="1" s="1"/>
  <c r="BU28" i="1"/>
  <c r="BZ26" i="1"/>
  <c r="BP28" i="1"/>
  <c r="BS28" i="1" s="1"/>
  <c r="BN28" i="1"/>
  <c r="BI28" i="1"/>
  <c r="BL28" i="1" s="1"/>
  <c r="BG28" i="1"/>
  <c r="AU28" i="1"/>
  <c r="AX28" i="1" s="1"/>
  <c r="AS28" i="1"/>
  <c r="AN28" i="1"/>
  <c r="AQ28" i="1" s="1"/>
  <c r="AL28" i="1"/>
  <c r="AG28" i="1"/>
  <c r="AJ28" i="1" s="1"/>
  <c r="AE28" i="1"/>
  <c r="DM153" i="1"/>
  <c r="DK153" i="1"/>
  <c r="DF153" i="1"/>
  <c r="DI153" i="1" s="1"/>
  <c r="DD153" i="1"/>
  <c r="CY153" i="1"/>
  <c r="DB153" i="1" s="1"/>
  <c r="CW153" i="1"/>
  <c r="CR153" i="1"/>
  <c r="CU153" i="1" s="1"/>
  <c r="CP153" i="1"/>
  <c r="BW153" i="1"/>
  <c r="BZ153" i="1" s="1"/>
  <c r="BU153" i="1"/>
  <c r="BP153" i="1"/>
  <c r="BS153" i="1" s="1"/>
  <c r="BI153" i="1"/>
  <c r="BL153" i="1" s="1"/>
  <c r="BG153" i="1"/>
  <c r="AU153" i="1"/>
  <c r="AX153" i="1" s="1"/>
  <c r="AS153" i="1"/>
  <c r="AN153" i="1"/>
  <c r="AQ153" i="1" s="1"/>
  <c r="AL153" i="1"/>
  <c r="AG153" i="1"/>
  <c r="AJ153" i="1" s="1"/>
  <c r="AE153" i="1"/>
  <c r="BI169" i="1"/>
  <c r="AG169" i="1"/>
  <c r="DV145" i="1"/>
  <c r="DR144" i="1"/>
  <c r="DY144" i="1" s="1"/>
  <c r="DY146" i="1" s="1"/>
  <c r="DV140" i="1"/>
  <c r="CM145" i="1"/>
  <c r="CM144" i="1"/>
  <c r="CM140" i="1"/>
  <c r="BB145" i="1"/>
  <c r="EA145" i="1" s="1"/>
  <c r="BB144" i="1"/>
  <c r="BB140" i="1"/>
  <c r="AZ140" i="1"/>
  <c r="DY140" i="1" s="1"/>
  <c r="DM141" i="1"/>
  <c r="DK141" i="1"/>
  <c r="DF141" i="1"/>
  <c r="CY141" i="1"/>
  <c r="CW141" i="1"/>
  <c r="CR141" i="1"/>
  <c r="CP141" i="1"/>
  <c r="BW141" i="1"/>
  <c r="BU141" i="1"/>
  <c r="BN141" i="1"/>
  <c r="BI141" i="1"/>
  <c r="BG141" i="1"/>
  <c r="AU141" i="1"/>
  <c r="AS141" i="1"/>
  <c r="AN141" i="1"/>
  <c r="AG141" i="1"/>
  <c r="AG112" i="1"/>
  <c r="AU104" i="1"/>
  <c r="AN104" i="1"/>
  <c r="AL104" i="1"/>
  <c r="AZ103" i="1"/>
  <c r="DY103" i="1" s="1"/>
  <c r="BB103" i="1"/>
  <c r="AG104" i="1"/>
  <c r="AE104" i="1"/>
  <c r="DV92" i="1"/>
  <c r="DV93" i="1"/>
  <c r="CM87" i="1"/>
  <c r="CM88" i="1"/>
  <c r="CM89" i="1"/>
  <c r="CM91" i="1"/>
  <c r="CM92" i="1"/>
  <c r="CM93" i="1"/>
  <c r="AU82" i="1"/>
  <c r="AS82" i="1"/>
  <c r="AN82" i="1"/>
  <c r="AL82" i="1"/>
  <c r="AZ79" i="1"/>
  <c r="AZ80" i="1"/>
  <c r="AZ81" i="1"/>
  <c r="BB78" i="1"/>
  <c r="BB79" i="1"/>
  <c r="BB80" i="1"/>
  <c r="BB81" i="1"/>
  <c r="AE82" i="1"/>
  <c r="AG82" i="1"/>
  <c r="AU12" i="1"/>
  <c r="AS12" i="1"/>
  <c r="AN12" i="1"/>
  <c r="AL12" i="1"/>
  <c r="BB7" i="1"/>
  <c r="BB8" i="1"/>
  <c r="BB9" i="1"/>
  <c r="BB10" i="1"/>
  <c r="BB11" i="1"/>
  <c r="BD11" i="1" s="1"/>
  <c r="AE12" i="1"/>
  <c r="Z11" i="1"/>
  <c r="L169" i="1"/>
  <c r="DK156" i="1" l="1"/>
  <c r="DK158" i="1" s="1"/>
  <c r="DK171" i="1" s="1"/>
  <c r="DK173" i="1" s="1"/>
  <c r="DE94" i="1"/>
  <c r="DE36" i="1"/>
  <c r="DE26" i="1"/>
  <c r="DD24" i="1"/>
  <c r="DE9" i="1"/>
  <c r="DE28" i="1"/>
  <c r="DE10" i="1"/>
  <c r="DE7" i="1"/>
  <c r="DE11" i="1"/>
  <c r="DE20" i="1"/>
  <c r="DE8" i="1"/>
  <c r="DR146" i="1"/>
  <c r="EA11" i="1"/>
  <c r="DY81" i="1"/>
  <c r="DV144" i="1"/>
  <c r="DV146" i="1" s="1"/>
  <c r="DY80" i="1"/>
  <c r="DY79" i="1"/>
  <c r="DY93" i="1"/>
  <c r="CM146" i="1"/>
  <c r="CK22" i="1"/>
  <c r="BO141" i="1"/>
  <c r="AW82" i="1"/>
  <c r="AX82" i="1" s="1"/>
  <c r="BO20" i="1"/>
  <c r="BN194" i="1"/>
  <c r="BR199" i="1"/>
  <c r="BN193" i="1"/>
  <c r="BN191" i="1"/>
  <c r="BN195" i="1"/>
  <c r="BN192" i="1"/>
  <c r="CX20" i="1"/>
  <c r="CW194" i="1"/>
  <c r="CW193" i="1"/>
  <c r="CW195" i="1"/>
  <c r="CW192" i="1"/>
  <c r="CW191" i="1"/>
  <c r="DA199" i="1"/>
  <c r="DT186" i="1"/>
  <c r="DT185" i="1"/>
  <c r="BQ20" i="1"/>
  <c r="BP195" i="1"/>
  <c r="BR195" i="1" s="1"/>
  <c r="BP191" i="1"/>
  <c r="BP193" i="1"/>
  <c r="BP194" i="1"/>
  <c r="BP192" i="1"/>
  <c r="CZ20" i="1"/>
  <c r="CY194" i="1"/>
  <c r="CY191" i="1"/>
  <c r="CY195" i="1"/>
  <c r="CY192" i="1"/>
  <c r="CY193" i="1"/>
  <c r="AO20" i="1"/>
  <c r="AN193" i="1"/>
  <c r="AN195" i="1"/>
  <c r="AN194" i="1"/>
  <c r="AN191" i="1"/>
  <c r="AN192" i="1"/>
  <c r="AT20" i="1"/>
  <c r="AS194" i="1"/>
  <c r="AS191" i="1"/>
  <c r="AS195" i="1"/>
  <c r="AS192" i="1"/>
  <c r="AS193" i="1"/>
  <c r="AV20" i="1"/>
  <c r="AU195" i="1"/>
  <c r="AU192" i="1"/>
  <c r="AU194" i="1"/>
  <c r="AU191" i="1"/>
  <c r="AU193" i="1"/>
  <c r="BV20" i="1"/>
  <c r="BY199" i="1"/>
  <c r="BU193" i="1"/>
  <c r="BU195" i="1"/>
  <c r="BU192" i="1"/>
  <c r="BU194" i="1"/>
  <c r="BU191" i="1"/>
  <c r="DL20" i="1"/>
  <c r="DK195" i="1"/>
  <c r="DK194" i="1"/>
  <c r="DK193" i="1"/>
  <c r="DO199" i="1"/>
  <c r="DK191" i="1"/>
  <c r="DK192" i="1"/>
  <c r="CP194" i="1"/>
  <c r="CP191" i="1"/>
  <c r="CP192" i="1"/>
  <c r="CP195" i="1"/>
  <c r="CP193" i="1"/>
  <c r="CT199" i="1"/>
  <c r="DN20" i="1"/>
  <c r="DM195" i="1"/>
  <c r="DM192" i="1"/>
  <c r="DM193" i="1"/>
  <c r="DM191" i="1"/>
  <c r="DM194" i="1"/>
  <c r="DO194" i="1" s="1"/>
  <c r="BH20" i="1"/>
  <c r="BG194" i="1"/>
  <c r="BG191" i="1"/>
  <c r="BK199" i="1"/>
  <c r="BG193" i="1"/>
  <c r="BG195" i="1"/>
  <c r="BG192" i="1"/>
  <c r="BX20" i="1"/>
  <c r="BW193" i="1"/>
  <c r="BW194" i="1"/>
  <c r="BW191" i="1"/>
  <c r="BW195" i="1"/>
  <c r="BW192" i="1"/>
  <c r="CS20" i="1"/>
  <c r="CR191" i="1"/>
  <c r="CR193" i="1"/>
  <c r="CR195" i="1"/>
  <c r="CR194" i="1"/>
  <c r="CR192" i="1"/>
  <c r="DD195" i="1"/>
  <c r="DD192" i="1"/>
  <c r="DH199" i="1"/>
  <c r="DD193" i="1"/>
  <c r="DD194" i="1"/>
  <c r="DD191" i="1"/>
  <c r="DT183" i="1"/>
  <c r="DT180" i="1"/>
  <c r="DT178" i="1"/>
  <c r="AE193" i="1"/>
  <c r="AE195" i="1"/>
  <c r="AE192" i="1"/>
  <c r="AE194" i="1"/>
  <c r="AE191" i="1"/>
  <c r="AM20" i="1"/>
  <c r="AL195" i="1"/>
  <c r="AL192" i="1"/>
  <c r="AL193" i="1"/>
  <c r="AL194" i="1"/>
  <c r="AL191" i="1"/>
  <c r="BJ20" i="1"/>
  <c r="BI195" i="1"/>
  <c r="BK195" i="1" s="1"/>
  <c r="BI192" i="1"/>
  <c r="BI193" i="1"/>
  <c r="BI191" i="1"/>
  <c r="BI194" i="1"/>
  <c r="DG20" i="1"/>
  <c r="DF194" i="1"/>
  <c r="DF191" i="1"/>
  <c r="DF193" i="1"/>
  <c r="DF192" i="1"/>
  <c r="DF195" i="1"/>
  <c r="DT179" i="1"/>
  <c r="DT184" i="1"/>
  <c r="AF20" i="1"/>
  <c r="BV26" i="1"/>
  <c r="CQ160" i="1"/>
  <c r="CQ20" i="1"/>
  <c r="BV28" i="1"/>
  <c r="BV141" i="1"/>
  <c r="BV153" i="1"/>
  <c r="DU19" i="1"/>
  <c r="DE82" i="1"/>
  <c r="DE104" i="1"/>
  <c r="DE141" i="1"/>
  <c r="BZ141" i="1"/>
  <c r="DE153" i="1"/>
  <c r="CU82" i="1"/>
  <c r="DU17" i="1"/>
  <c r="AB11" i="1"/>
  <c r="DL11" i="1"/>
  <c r="DL10" i="1"/>
  <c r="DL9" i="1"/>
  <c r="DL7" i="1"/>
  <c r="DL8" i="1"/>
  <c r="BH9" i="1"/>
  <c r="BH7" i="1"/>
  <c r="BH8" i="1"/>
  <c r="BH11" i="1"/>
  <c r="BH10" i="1"/>
  <c r="DN8" i="1"/>
  <c r="DN7" i="1"/>
  <c r="DN9" i="1"/>
  <c r="DN11" i="1"/>
  <c r="DN10" i="1"/>
  <c r="CS8" i="1"/>
  <c r="CS9" i="1"/>
  <c r="CS7" i="1"/>
  <c r="CS11" i="1"/>
  <c r="CS10" i="1"/>
  <c r="BX10" i="1"/>
  <c r="BX9" i="1"/>
  <c r="BX8" i="1"/>
  <c r="BX11" i="1"/>
  <c r="BX7" i="1"/>
  <c r="AO28" i="1"/>
  <c r="AO11" i="1"/>
  <c r="AO10" i="1"/>
  <c r="AO7" i="1"/>
  <c r="AO9" i="1"/>
  <c r="AO8" i="1"/>
  <c r="BJ11" i="1"/>
  <c r="BJ10" i="1"/>
  <c r="BJ8" i="1"/>
  <c r="BJ7" i="1"/>
  <c r="BJ9" i="1"/>
  <c r="CQ82" i="1"/>
  <c r="BS82" i="1"/>
  <c r="CQ104" i="1"/>
  <c r="DU15" i="1"/>
  <c r="AM9" i="1"/>
  <c r="AM8" i="1"/>
  <c r="AM7" i="1"/>
  <c r="AM10" i="1"/>
  <c r="AM11" i="1"/>
  <c r="AT11" i="1"/>
  <c r="AT9" i="1"/>
  <c r="AT7" i="1"/>
  <c r="AT10" i="1"/>
  <c r="AT8" i="1"/>
  <c r="CQ28" i="1"/>
  <c r="BO11" i="1"/>
  <c r="BO7" i="1"/>
  <c r="BO10" i="1"/>
  <c r="BO9" i="1"/>
  <c r="BO8" i="1"/>
  <c r="CU104" i="1"/>
  <c r="DG11" i="1"/>
  <c r="DG10" i="1"/>
  <c r="DG9" i="1"/>
  <c r="DG8" i="1"/>
  <c r="DG7" i="1"/>
  <c r="DU16" i="1"/>
  <c r="DY11" i="1"/>
  <c r="CQ11" i="1"/>
  <c r="CQ10" i="1"/>
  <c r="CQ9" i="1"/>
  <c r="CQ7" i="1"/>
  <c r="CQ8" i="1"/>
  <c r="AV8" i="1"/>
  <c r="AV7" i="1"/>
  <c r="AV10" i="1"/>
  <c r="AV11" i="1"/>
  <c r="AV9" i="1"/>
  <c r="CQ141" i="1"/>
  <c r="BQ8" i="1"/>
  <c r="BQ7" i="1"/>
  <c r="BQ11" i="1"/>
  <c r="BQ10" i="1"/>
  <c r="BQ9" i="1"/>
  <c r="CX7" i="1"/>
  <c r="CX11" i="1"/>
  <c r="CX8" i="1"/>
  <c r="CX9" i="1"/>
  <c r="CX10" i="1"/>
  <c r="AF28" i="1"/>
  <c r="AF7" i="1"/>
  <c r="AF11" i="1"/>
  <c r="AF8" i="1"/>
  <c r="AF9" i="1"/>
  <c r="AF10" i="1"/>
  <c r="CQ153" i="1"/>
  <c r="BV7" i="1"/>
  <c r="BV11" i="1"/>
  <c r="BV10" i="1"/>
  <c r="BV9" i="1"/>
  <c r="BV8" i="1"/>
  <c r="CL19" i="1"/>
  <c r="CZ10" i="1"/>
  <c r="CZ9" i="1"/>
  <c r="CZ11" i="1"/>
  <c r="CZ8" i="1"/>
  <c r="CZ7" i="1"/>
  <c r="DU18" i="1"/>
  <c r="K7" i="1"/>
  <c r="K11" i="1"/>
  <c r="K8" i="1"/>
  <c r="K9" i="1"/>
  <c r="BH94" i="1"/>
  <c r="AW104" i="1"/>
  <c r="AX104" i="1" s="1"/>
  <c r="BH141" i="1"/>
  <c r="DI141" i="1"/>
  <c r="DL141" i="1"/>
  <c r="BZ82" i="1"/>
  <c r="BS94" i="1"/>
  <c r="AT153" i="1"/>
  <c r="AP104" i="1"/>
  <c r="AQ104" i="1" s="1"/>
  <c r="AF153" i="1"/>
  <c r="BK104" i="1"/>
  <c r="BL104" i="1" s="1"/>
  <c r="AM104" i="1"/>
  <c r="AM141" i="1"/>
  <c r="CU141" i="1"/>
  <c r="BK82" i="1"/>
  <c r="BL82" i="1" s="1"/>
  <c r="BX82" i="1"/>
  <c r="CX104" i="1"/>
  <c r="CQ169" i="1"/>
  <c r="BJ104" i="1"/>
  <c r="DI82" i="1"/>
  <c r="BO82" i="1"/>
  <c r="BV104" i="1"/>
  <c r="DT12" i="1"/>
  <c r="AO94" i="1"/>
  <c r="AM82" i="1"/>
  <c r="AP82" i="1"/>
  <c r="AQ82" i="1" s="1"/>
  <c r="BZ104" i="1"/>
  <c r="DI104" i="1"/>
  <c r="AM28" i="1"/>
  <c r="DB141" i="1"/>
  <c r="AM94" i="1"/>
  <c r="BO94" i="1"/>
  <c r="DB82" i="1"/>
  <c r="BV82" i="1"/>
  <c r="AT82" i="1"/>
  <c r="BS141" i="1"/>
  <c r="DL82" i="1"/>
  <c r="DL104" i="1"/>
  <c r="AV104" i="1"/>
  <c r="AT141" i="1"/>
  <c r="AT28" i="1"/>
  <c r="BH104" i="1"/>
  <c r="AP94" i="1"/>
  <c r="AQ94" i="1" s="1"/>
  <c r="BQ82" i="1"/>
  <c r="DP141" i="1"/>
  <c r="BO104" i="1"/>
  <c r="BK141" i="1"/>
  <c r="BL141" i="1" s="1"/>
  <c r="AM153" i="1"/>
  <c r="BH28" i="1"/>
  <c r="DL28" i="1"/>
  <c r="BS104" i="1"/>
  <c r="DL153" i="1"/>
  <c r="BH82" i="1"/>
  <c r="CX153" i="1"/>
  <c r="CX28" i="1"/>
  <c r="CX82" i="1"/>
  <c r="CX141" i="1"/>
  <c r="CU169" i="1"/>
  <c r="DB104" i="1"/>
  <c r="DP104" i="1"/>
  <c r="BX104" i="1"/>
  <c r="BQ104" i="1"/>
  <c r="BJ82" i="1"/>
  <c r="DP82" i="1"/>
  <c r="DB28" i="1"/>
  <c r="CU28" i="1"/>
  <c r="BO153" i="1"/>
  <c r="BO28" i="1"/>
  <c r="BH153" i="1"/>
  <c r="DP153" i="1"/>
  <c r="BK94" i="1"/>
  <c r="AT94" i="1"/>
  <c r="AV94" i="1"/>
  <c r="AW94" i="1"/>
  <c r="AV28" i="1"/>
  <c r="AH28" i="1"/>
  <c r="AV153" i="1"/>
  <c r="AO153" i="1"/>
  <c r="AH153" i="1"/>
  <c r="AP141" i="1"/>
  <c r="AQ141" i="1" s="1"/>
  <c r="AW141" i="1"/>
  <c r="AX141" i="1" s="1"/>
  <c r="AV141" i="1"/>
  <c r="AO141" i="1"/>
  <c r="AT104" i="1"/>
  <c r="AO104" i="1"/>
  <c r="AV82" i="1"/>
  <c r="AO82" i="1"/>
  <c r="DH194" i="1" l="1"/>
  <c r="BK194" i="1"/>
  <c r="DA194" i="1"/>
  <c r="BY194" i="1"/>
  <c r="DH195" i="1"/>
  <c r="CT194" i="1"/>
  <c r="DA195" i="1"/>
  <c r="CT195" i="1"/>
  <c r="BR194" i="1"/>
  <c r="DO191" i="1"/>
  <c r="BY195" i="1"/>
  <c r="DO195" i="1"/>
  <c r="DA193" i="1"/>
  <c r="DA192" i="1"/>
  <c r="BY191" i="1"/>
  <c r="BR191" i="1"/>
  <c r="CT193" i="1"/>
  <c r="DH192" i="1"/>
  <c r="BR192" i="1"/>
  <c r="BK192" i="1"/>
  <c r="CT192" i="1"/>
  <c r="BY192" i="1"/>
  <c r="DH191" i="1"/>
  <c r="DA191" i="1"/>
  <c r="BK193" i="1"/>
  <c r="DH193" i="1"/>
  <c r="DO193" i="1"/>
  <c r="BY193" i="1"/>
  <c r="BK191" i="1"/>
  <c r="DO192" i="1"/>
  <c r="CT191" i="1"/>
  <c r="BR193" i="1"/>
  <c r="DU8" i="1"/>
  <c r="DU20" i="1"/>
  <c r="DU7" i="1"/>
  <c r="DU11" i="1"/>
  <c r="DU9" i="1"/>
  <c r="DU10" i="1"/>
  <c r="BL94" i="1"/>
  <c r="AX94" i="1"/>
  <c r="Z152" i="1" l="1"/>
  <c r="EA152" i="1" s="1"/>
  <c r="S169" i="1"/>
  <c r="J169" i="1"/>
  <c r="S153" i="1"/>
  <c r="DT146" i="1"/>
  <c r="DW146" i="1" s="1"/>
  <c r="DM146" i="1"/>
  <c r="DP146" i="1" s="1"/>
  <c r="DK146" i="1"/>
  <c r="DF146" i="1"/>
  <c r="DD146" i="1"/>
  <c r="DD156" i="1" s="1"/>
  <c r="CY146" i="1"/>
  <c r="CW146" i="1"/>
  <c r="CR146" i="1"/>
  <c r="CP146" i="1"/>
  <c r="CK146" i="1"/>
  <c r="CI146" i="1"/>
  <c r="BW146" i="1"/>
  <c r="BZ146" i="1" s="1"/>
  <c r="BU146" i="1"/>
  <c r="BP146" i="1"/>
  <c r="BN146" i="1"/>
  <c r="BI146" i="1"/>
  <c r="BG146" i="1"/>
  <c r="BB146" i="1"/>
  <c r="BE146" i="1" s="1"/>
  <c r="AZ146" i="1"/>
  <c r="AU146" i="1"/>
  <c r="AS146" i="1"/>
  <c r="AN146" i="1"/>
  <c r="AL146" i="1"/>
  <c r="AG146" i="1"/>
  <c r="AE146" i="1"/>
  <c r="AF146" i="1" s="1"/>
  <c r="X146" i="1"/>
  <c r="Z144" i="1"/>
  <c r="EA144" i="1" s="1"/>
  <c r="G140" i="1"/>
  <c r="Z140" i="1"/>
  <c r="EA140" i="1" s="1"/>
  <c r="Z98" i="1"/>
  <c r="Z99" i="1"/>
  <c r="Z100" i="1"/>
  <c r="Z101" i="1"/>
  <c r="Z103" i="1"/>
  <c r="EA103" i="1" s="1"/>
  <c r="Z93" i="1"/>
  <c r="EA93" i="1" s="1"/>
  <c r="Z79" i="1"/>
  <c r="EA79" i="1" s="1"/>
  <c r="Z80" i="1"/>
  <c r="EA80" i="1" s="1"/>
  <c r="Z81" i="1"/>
  <c r="EA81" i="1" s="1"/>
  <c r="S82" i="1"/>
  <c r="L82" i="1"/>
  <c r="E82" i="1"/>
  <c r="C169" i="1"/>
  <c r="S146" i="1"/>
  <c r="V146" i="1" s="1"/>
  <c r="L146" i="1"/>
  <c r="O146" i="1" s="1"/>
  <c r="J146" i="1"/>
  <c r="S141" i="1"/>
  <c r="S104" i="1"/>
  <c r="C104" i="1"/>
  <c r="J104" i="1"/>
  <c r="L104" i="1"/>
  <c r="S94" i="1"/>
  <c r="S28" i="1"/>
  <c r="V28" i="1" s="1"/>
  <c r="S12" i="1"/>
  <c r="BK163" i="1"/>
  <c r="Z7" i="1"/>
  <c r="Z8" i="1"/>
  <c r="EA8" i="1" s="1"/>
  <c r="Z9" i="1"/>
  <c r="EA9" i="1" s="1"/>
  <c r="Z10" i="1"/>
  <c r="EA10" i="1" s="1"/>
  <c r="Z15" i="1"/>
  <c r="Z16" i="1"/>
  <c r="Z17" i="1"/>
  <c r="Z18" i="1"/>
  <c r="Z19" i="1"/>
  <c r="Z21" i="1"/>
  <c r="Z26" i="1"/>
  <c r="Z31" i="1"/>
  <c r="Z32" i="1"/>
  <c r="Z33" i="1"/>
  <c r="Z34" i="1"/>
  <c r="Z35" i="1"/>
  <c r="BT156" i="1"/>
  <c r="BM156" i="1"/>
  <c r="BF156" i="1"/>
  <c r="AY156" i="1"/>
  <c r="W156" i="1"/>
  <c r="L153" i="1"/>
  <c r="L94" i="1"/>
  <c r="L12" i="1"/>
  <c r="M20" i="1" s="1"/>
  <c r="E169" i="1"/>
  <c r="E141" i="1"/>
  <c r="E94" i="1"/>
  <c r="E104" i="1"/>
  <c r="E12" i="1"/>
  <c r="F20" i="1" s="1"/>
  <c r="G11" i="1"/>
  <c r="J153" i="1"/>
  <c r="E153" i="1"/>
  <c r="C153" i="1"/>
  <c r="E146" i="1"/>
  <c r="C146" i="1"/>
  <c r="C141" i="1"/>
  <c r="C82" i="1"/>
  <c r="C12" i="1"/>
  <c r="D20" i="1" s="1"/>
  <c r="EA146" i="1" l="1"/>
  <c r="ED146" i="1" s="1"/>
  <c r="AM146" i="1"/>
  <c r="AT146" i="1"/>
  <c r="Z185" i="1"/>
  <c r="Z186" i="1"/>
  <c r="Z184" i="1"/>
  <c r="Z179" i="1"/>
  <c r="Z180" i="1"/>
  <c r="Z183" i="1"/>
  <c r="Z178" i="1"/>
  <c r="T20" i="1"/>
  <c r="S195" i="1"/>
  <c r="S192" i="1"/>
  <c r="S194" i="1"/>
  <c r="S191" i="1"/>
  <c r="S193" i="1"/>
  <c r="AA18" i="1"/>
  <c r="AA17" i="1"/>
  <c r="AA19" i="1"/>
  <c r="M169" i="1"/>
  <c r="M11" i="1"/>
  <c r="AA16" i="1"/>
  <c r="AA15" i="1"/>
  <c r="T11" i="1"/>
  <c r="T8" i="1"/>
  <c r="T10" i="1"/>
  <c r="T9" i="1"/>
  <c r="T7" i="1"/>
  <c r="Z36" i="1"/>
  <c r="T28" i="1"/>
  <c r="AQ146" i="1"/>
  <c r="U82" i="1"/>
  <c r="V82" i="1" s="1"/>
  <c r="U169" i="1"/>
  <c r="V169" i="1" s="1"/>
  <c r="Z12" i="1"/>
  <c r="Z194" i="1" s="1"/>
  <c r="Z146" i="1"/>
  <c r="AC146" i="1" s="1"/>
  <c r="CU146" i="1"/>
  <c r="U104" i="1"/>
  <c r="V104" i="1" s="1"/>
  <c r="N82" i="1"/>
  <c r="O82" i="1" s="1"/>
  <c r="BX26" i="1"/>
  <c r="BX141" i="1"/>
  <c r="BX28" i="1"/>
  <c r="BX153" i="1"/>
  <c r="DI146" i="1"/>
  <c r="T169" i="1"/>
  <c r="T104" i="1"/>
  <c r="BX146" i="1"/>
  <c r="T153" i="1"/>
  <c r="N169" i="1"/>
  <c r="O169" i="1" s="1"/>
  <c r="V153" i="1"/>
  <c r="DB146" i="1"/>
  <c r="CN146" i="1"/>
  <c r="BS146" i="1"/>
  <c r="BL146" i="1"/>
  <c r="AX146" i="1"/>
  <c r="AJ146" i="1"/>
  <c r="T82" i="1"/>
  <c r="M82" i="1"/>
  <c r="T146" i="1"/>
  <c r="M146" i="1"/>
  <c r="D146" i="1"/>
  <c r="G146" i="1"/>
  <c r="H146" i="1" s="1"/>
  <c r="X167" i="1"/>
  <c r="X166" i="1"/>
  <c r="X165" i="1"/>
  <c r="X164" i="1"/>
  <c r="X163" i="1"/>
  <c r="DY54" i="1"/>
  <c r="DY53" i="1"/>
  <c r="DY52" i="1"/>
  <c r="DY51" i="1"/>
  <c r="DY50" i="1"/>
  <c r="DY49" i="1"/>
  <c r="DY48" i="1"/>
  <c r="DY45" i="1"/>
  <c r="DY43" i="1"/>
  <c r="DY42" i="1"/>
  <c r="DY41" i="1"/>
  <c r="DY40" i="1"/>
  <c r="DY27" i="1"/>
  <c r="Z27" i="1"/>
  <c r="EA27" i="1" s="1"/>
  <c r="L28" i="1"/>
  <c r="O28" i="1" s="1"/>
  <c r="Z191" i="1" l="1"/>
  <c r="Z193" i="1"/>
  <c r="Z195" i="1"/>
  <c r="X185" i="1"/>
  <c r="X186" i="1"/>
  <c r="Z192" i="1"/>
  <c r="X178" i="1"/>
  <c r="X183" i="1"/>
  <c r="X184" i="1"/>
  <c r="X179" i="1"/>
  <c r="X180" i="1"/>
  <c r="AA11" i="1"/>
  <c r="AA20" i="1"/>
  <c r="AA10" i="1"/>
  <c r="AA8" i="1"/>
  <c r="Y19" i="1"/>
  <c r="AA7" i="1"/>
  <c r="Y18" i="1"/>
  <c r="Y15" i="1"/>
  <c r="Y16" i="1"/>
  <c r="AA9" i="1"/>
  <c r="Y17" i="1"/>
  <c r="AA146" i="1"/>
  <c r="X121" i="1"/>
  <c r="X112" i="1"/>
  <c r="X153" i="1"/>
  <c r="X22" i="1"/>
  <c r="J112" i="1"/>
  <c r="N92" i="1"/>
  <c r="N78" i="1"/>
  <c r="DY46" i="1"/>
  <c r="X141" i="1" l="1"/>
  <c r="X82" i="1"/>
  <c r="X36" i="1" l="1"/>
  <c r="J28" i="1"/>
  <c r="C28" i="1"/>
  <c r="AI64" i="1"/>
  <c r="AI65" i="1"/>
  <c r="AP64" i="1"/>
  <c r="AP65" i="1"/>
  <c r="AW64" i="1"/>
  <c r="AW65" i="1"/>
  <c r="E28" i="1"/>
  <c r="X28" i="1" l="1"/>
  <c r="H28" i="1"/>
  <c r="Z28" i="1"/>
  <c r="X94" i="1"/>
  <c r="X168" i="1"/>
  <c r="C112" i="1"/>
  <c r="X169" i="1" l="1"/>
  <c r="AB28" i="1"/>
  <c r="AC28" i="1" s="1"/>
  <c r="X104" i="1"/>
  <c r="X156" i="1" s="1"/>
  <c r="J186" i="1"/>
  <c r="DV160" i="1"/>
  <c r="DW160" i="1" s="1"/>
  <c r="DO160" i="1"/>
  <c r="DP160" i="1" s="1"/>
  <c r="DH160" i="1"/>
  <c r="DI160" i="1" s="1"/>
  <c r="DA160" i="1"/>
  <c r="DB160" i="1" s="1"/>
  <c r="CM160" i="1"/>
  <c r="CN160" i="1" s="1"/>
  <c r="BY160" i="1"/>
  <c r="BZ160" i="1" s="1"/>
  <c r="BR160" i="1"/>
  <c r="BS160" i="1" s="1"/>
  <c r="BK160" i="1"/>
  <c r="BL160" i="1" s="1"/>
  <c r="BD160" i="1"/>
  <c r="BE160" i="1" s="1"/>
  <c r="AW160" i="1"/>
  <c r="AX160" i="1" s="1"/>
  <c r="AP160" i="1"/>
  <c r="AQ160" i="1" s="1"/>
  <c r="AI160" i="1"/>
  <c r="AJ160" i="1" s="1"/>
  <c r="AB160" i="1"/>
  <c r="AC160" i="1" s="1"/>
  <c r="U160" i="1"/>
  <c r="V160" i="1" s="1"/>
  <c r="N160" i="1"/>
  <c r="O160" i="1" s="1"/>
  <c r="DT149" i="1"/>
  <c r="DV150" i="1"/>
  <c r="DV151" i="1"/>
  <c r="CM151" i="1"/>
  <c r="CI153" i="1"/>
  <c r="CM149" i="1"/>
  <c r="CM150" i="1"/>
  <c r="AZ149" i="1"/>
  <c r="BB149" i="1"/>
  <c r="AZ150" i="1"/>
  <c r="DY150" i="1" s="1"/>
  <c r="BB150" i="1"/>
  <c r="AZ151" i="1"/>
  <c r="DY151" i="1" s="1"/>
  <c r="BB151" i="1"/>
  <c r="Z149" i="1"/>
  <c r="Z150" i="1"/>
  <c r="Z151" i="1"/>
  <c r="O153" i="1"/>
  <c r="Z126" i="1"/>
  <c r="CM125" i="1"/>
  <c r="CM127" i="1"/>
  <c r="CM128" i="1"/>
  <c r="CM129" i="1"/>
  <c r="CM130" i="1"/>
  <c r="CM131" i="1"/>
  <c r="CM132" i="1"/>
  <c r="CM133" i="1"/>
  <c r="CM134" i="1"/>
  <c r="CM135" i="1"/>
  <c r="CM136" i="1"/>
  <c r="CM137" i="1"/>
  <c r="CM138" i="1"/>
  <c r="DV125" i="1"/>
  <c r="DV126" i="1"/>
  <c r="DV127" i="1"/>
  <c r="DV128" i="1"/>
  <c r="DV129" i="1"/>
  <c r="DV130" i="1"/>
  <c r="DV131" i="1"/>
  <c r="DV132" i="1"/>
  <c r="DV133" i="1"/>
  <c r="DV134" i="1"/>
  <c r="DV135" i="1"/>
  <c r="DV136" i="1"/>
  <c r="DV137" i="1"/>
  <c r="DV138" i="1"/>
  <c r="AU112" i="1"/>
  <c r="AN112" i="1"/>
  <c r="DM112" i="1"/>
  <c r="CR112" i="1"/>
  <c r="BP112" i="1"/>
  <c r="BI112" i="1"/>
  <c r="S112" i="1"/>
  <c r="L112" i="1"/>
  <c r="E112" i="1"/>
  <c r="DV101" i="1"/>
  <c r="DV100" i="1"/>
  <c r="DV99" i="1"/>
  <c r="DV98" i="1"/>
  <c r="DT97" i="1"/>
  <c r="DR97" i="1"/>
  <c r="DR104" i="1" s="1"/>
  <c r="CM101" i="1"/>
  <c r="CM100" i="1"/>
  <c r="CM99" i="1"/>
  <c r="CM98" i="1"/>
  <c r="BB101" i="1"/>
  <c r="EA101" i="1" s="1"/>
  <c r="AZ101" i="1"/>
  <c r="DY101" i="1" s="1"/>
  <c r="BB100" i="1"/>
  <c r="EA100" i="1" s="1"/>
  <c r="AZ100" i="1"/>
  <c r="DY100" i="1" s="1"/>
  <c r="BB99" i="1"/>
  <c r="EA99" i="1" s="1"/>
  <c r="AZ99" i="1"/>
  <c r="DY99" i="1" s="1"/>
  <c r="BB98" i="1"/>
  <c r="EA98" i="1" s="1"/>
  <c r="AZ98" i="1"/>
  <c r="DY98" i="1" s="1"/>
  <c r="BB97" i="1"/>
  <c r="AZ97" i="1"/>
  <c r="Z97" i="1"/>
  <c r="Z104" i="1" s="1"/>
  <c r="G104" i="1"/>
  <c r="H104" i="1" s="1"/>
  <c r="G92" i="1"/>
  <c r="BB62" i="1"/>
  <c r="BB63" i="1"/>
  <c r="BB64" i="1"/>
  <c r="BB65" i="1"/>
  <c r="BB66" i="1"/>
  <c r="BB67" i="1"/>
  <c r="BB68" i="1"/>
  <c r="BB69" i="1"/>
  <c r="BB70" i="1"/>
  <c r="BB71" i="1"/>
  <c r="BB72" i="1"/>
  <c r="BB75" i="1"/>
  <c r="BB76" i="1"/>
  <c r="BB77" i="1"/>
  <c r="Z62" i="1"/>
  <c r="Z63" i="1"/>
  <c r="Z64" i="1"/>
  <c r="Z65" i="1"/>
  <c r="Z66" i="1"/>
  <c r="Z67" i="1"/>
  <c r="Z68" i="1"/>
  <c r="Z69" i="1"/>
  <c r="Z70" i="1"/>
  <c r="Z71" i="1"/>
  <c r="Z72" i="1"/>
  <c r="Z75" i="1"/>
  <c r="Z76" i="1"/>
  <c r="Z77" i="1"/>
  <c r="Z78" i="1"/>
  <c r="EA78" i="1" s="1"/>
  <c r="Z61" i="1"/>
  <c r="BB40" i="1"/>
  <c r="BB41" i="1"/>
  <c r="BB42" i="1"/>
  <c r="BB43" i="1"/>
  <c r="BB44" i="1"/>
  <c r="BB45" i="1"/>
  <c r="BB46" i="1"/>
  <c r="BD46" i="1" s="1"/>
  <c r="BB48" i="1"/>
  <c r="BB49" i="1"/>
  <c r="BB50" i="1"/>
  <c r="BB51" i="1"/>
  <c r="BB52" i="1"/>
  <c r="BB53" i="1"/>
  <c r="BB54" i="1"/>
  <c r="BB56" i="1"/>
  <c r="EA56" i="1" s="1"/>
  <c r="Z40" i="1"/>
  <c r="Z41" i="1"/>
  <c r="Z42" i="1"/>
  <c r="Z43" i="1"/>
  <c r="Z44" i="1"/>
  <c r="Z45" i="1"/>
  <c r="Z46" i="1"/>
  <c r="Z48" i="1"/>
  <c r="Z49" i="1"/>
  <c r="Z50" i="1"/>
  <c r="Z51" i="1"/>
  <c r="Z52" i="1"/>
  <c r="Z53" i="1"/>
  <c r="Z54" i="1"/>
  <c r="CM40" i="1"/>
  <c r="CM41" i="1"/>
  <c r="CM42" i="1"/>
  <c r="CM43" i="1"/>
  <c r="CM44" i="1"/>
  <c r="CM45" i="1"/>
  <c r="CM46" i="1"/>
  <c r="CM49" i="1"/>
  <c r="CM50" i="1"/>
  <c r="CM51" i="1"/>
  <c r="CM52" i="1"/>
  <c r="CM53" i="1"/>
  <c r="CM54" i="1"/>
  <c r="CM56" i="1"/>
  <c r="DV40" i="1"/>
  <c r="DV41" i="1"/>
  <c r="DV42" i="1"/>
  <c r="DV43" i="1"/>
  <c r="DV44" i="1"/>
  <c r="DV45" i="1"/>
  <c r="DV46" i="1"/>
  <c r="DV48" i="1"/>
  <c r="DV49" i="1"/>
  <c r="DV50" i="1"/>
  <c r="DV51" i="1"/>
  <c r="DV52" i="1"/>
  <c r="DV53" i="1"/>
  <c r="DV54" i="1"/>
  <c r="DV56" i="1"/>
  <c r="AU58" i="1"/>
  <c r="AS58" i="1"/>
  <c r="AN58" i="1"/>
  <c r="AL58" i="1"/>
  <c r="AG58" i="1"/>
  <c r="S58" i="1"/>
  <c r="L58" i="1"/>
  <c r="E58" i="1"/>
  <c r="C58" i="1"/>
  <c r="BK46" i="1"/>
  <c r="AW56" i="1"/>
  <c r="AW54" i="1"/>
  <c r="AW46" i="1"/>
  <c r="AP56" i="1"/>
  <c r="AP54" i="1"/>
  <c r="AP52" i="1"/>
  <c r="AP46" i="1"/>
  <c r="AI56" i="1"/>
  <c r="AI54" i="1"/>
  <c r="AI46" i="1"/>
  <c r="U56" i="1"/>
  <c r="U54" i="1"/>
  <c r="U46" i="1"/>
  <c r="N56" i="1"/>
  <c r="N54" i="1"/>
  <c r="N46" i="1"/>
  <c r="G56" i="1"/>
  <c r="G54" i="1"/>
  <c r="G46" i="1"/>
  <c r="EA45" i="1" l="1"/>
  <c r="EA76" i="1"/>
  <c r="EA54" i="1"/>
  <c r="EA65" i="1"/>
  <c r="EA43" i="1"/>
  <c r="EA52" i="1"/>
  <c r="EA72" i="1"/>
  <c r="EA50" i="1"/>
  <c r="EA41" i="1"/>
  <c r="EA70" i="1"/>
  <c r="EA63" i="1"/>
  <c r="EA48" i="1"/>
  <c r="DV97" i="1"/>
  <c r="DV104" i="1" s="1"/>
  <c r="EA53" i="1"/>
  <c r="EA44" i="1"/>
  <c r="EA75" i="1"/>
  <c r="EA66" i="1"/>
  <c r="EA51" i="1"/>
  <c r="EA42" i="1"/>
  <c r="EA71" i="1"/>
  <c r="EA64" i="1"/>
  <c r="EA49" i="1"/>
  <c r="EA40" i="1"/>
  <c r="EA69" i="1"/>
  <c r="EA62" i="1"/>
  <c r="EA151" i="1"/>
  <c r="EA68" i="1"/>
  <c r="EA150" i="1"/>
  <c r="EA46" i="1"/>
  <c r="EA77" i="1"/>
  <c r="EA67" i="1"/>
  <c r="DV149" i="1"/>
  <c r="DV153" i="1" s="1"/>
  <c r="CM97" i="1"/>
  <c r="CM104" i="1" s="1"/>
  <c r="CI104" i="1"/>
  <c r="CM153" i="1"/>
  <c r="CM126" i="1"/>
  <c r="CR196" i="1"/>
  <c r="CY196" i="1"/>
  <c r="AS196" i="1"/>
  <c r="BU196" i="1"/>
  <c r="DD196" i="1"/>
  <c r="AG196" i="1"/>
  <c r="AN196" i="1"/>
  <c r="S196" i="1"/>
  <c r="AU196" i="1"/>
  <c r="BW196" i="1"/>
  <c r="DF196" i="1"/>
  <c r="DM196" i="1"/>
  <c r="BP196" i="1"/>
  <c r="BP197" i="1"/>
  <c r="BG196" i="1"/>
  <c r="CP196" i="1"/>
  <c r="DK196" i="1"/>
  <c r="BI196" i="1"/>
  <c r="AL196" i="1"/>
  <c r="BN196" i="1"/>
  <c r="CW196" i="1"/>
  <c r="AE196" i="1"/>
  <c r="AZ104" i="1"/>
  <c r="AZ153" i="1"/>
  <c r="BB104" i="1"/>
  <c r="CK104" i="1"/>
  <c r="Z153" i="1"/>
  <c r="Z82" i="1"/>
  <c r="DT104" i="1"/>
  <c r="DT153" i="1"/>
  <c r="CK153" i="1"/>
  <c r="BB153" i="1"/>
  <c r="AB104" i="1"/>
  <c r="AC104" i="1" s="1"/>
  <c r="AA104" i="1"/>
  <c r="EA97" i="1"/>
  <c r="O141" i="1"/>
  <c r="EA149" i="1"/>
  <c r="AI82" i="1"/>
  <c r="AJ82" i="1" s="1"/>
  <c r="DY97" i="1"/>
  <c r="DY104" i="1" s="1"/>
  <c r="AI141" i="1"/>
  <c r="DY149" i="1"/>
  <c r="CU58" i="1"/>
  <c r="BK58" i="1"/>
  <c r="BL58" i="1" s="1"/>
  <c r="AP58" i="1"/>
  <c r="AQ58" i="1" s="1"/>
  <c r="AI104" i="1"/>
  <c r="AJ104" i="1" s="1"/>
  <c r="N104" i="1"/>
  <c r="O104" i="1" s="1"/>
  <c r="H153" i="1"/>
  <c r="V141" i="1"/>
  <c r="AW58" i="1"/>
  <c r="AX58" i="1" s="1"/>
  <c r="AI58" i="1"/>
  <c r="N58" i="1"/>
  <c r="O58" i="1" s="1"/>
  <c r="DI58" i="1"/>
  <c r="BZ58" i="1"/>
  <c r="U58" i="1"/>
  <c r="DP58" i="1"/>
  <c r="BS58" i="1"/>
  <c r="DB58" i="1"/>
  <c r="DA196" i="1" l="1"/>
  <c r="BK196" i="1"/>
  <c r="BY196" i="1"/>
  <c r="CT196" i="1"/>
  <c r="DO196" i="1"/>
  <c r="BR196" i="1"/>
  <c r="DH196" i="1"/>
  <c r="EA153" i="1"/>
  <c r="ED153" i="1" s="1"/>
  <c r="CN104" i="1"/>
  <c r="BD104" i="1"/>
  <c r="BE104" i="1" s="1"/>
  <c r="DW104" i="1"/>
  <c r="EA104" i="1"/>
  <c r="DW153" i="1"/>
  <c r="CN153" i="1"/>
  <c r="BE153" i="1"/>
  <c r="AJ58" i="1"/>
  <c r="V58" i="1"/>
  <c r="AC153" i="1"/>
  <c r="AJ141" i="1"/>
  <c r="AP164" i="1"/>
  <c r="AP165" i="1"/>
  <c r="AP166" i="1"/>
  <c r="AI164" i="1"/>
  <c r="AI165" i="1"/>
  <c r="AI166" i="1"/>
  <c r="AI167" i="1"/>
  <c r="Z164" i="1"/>
  <c r="Z165" i="1"/>
  <c r="U168" i="1"/>
  <c r="U167" i="1"/>
  <c r="U166" i="1"/>
  <c r="U165" i="1"/>
  <c r="U164" i="1"/>
  <c r="G160" i="1"/>
  <c r="H160" i="1" s="1"/>
  <c r="G165" i="1"/>
  <c r="G166" i="1"/>
  <c r="G167" i="1"/>
  <c r="BK164" i="1"/>
  <c r="BK165" i="1"/>
  <c r="BK166" i="1"/>
  <c r="BB164" i="1"/>
  <c r="BB165" i="1"/>
  <c r="BB166" i="1"/>
  <c r="BB167" i="1"/>
  <c r="BB168" i="1"/>
  <c r="AW164" i="1"/>
  <c r="AW165" i="1"/>
  <c r="AW166" i="1"/>
  <c r="AW167" i="1"/>
  <c r="AW168" i="1"/>
  <c r="AE22" i="1"/>
  <c r="AE188" i="1" s="1"/>
  <c r="AZ7" i="1"/>
  <c r="AZ8" i="1"/>
  <c r="AZ9" i="1"/>
  <c r="AZ10" i="1"/>
  <c r="BB12" i="1"/>
  <c r="BC20" i="1" s="1"/>
  <c r="AZ15" i="1"/>
  <c r="AZ16" i="1"/>
  <c r="AZ17" i="1"/>
  <c r="AZ18" i="1"/>
  <c r="AZ19" i="1"/>
  <c r="AZ21" i="1"/>
  <c r="BB15" i="1"/>
  <c r="BB16" i="1"/>
  <c r="EA16" i="1" s="1"/>
  <c r="BB17" i="1"/>
  <c r="EA17" i="1" s="1"/>
  <c r="BB18" i="1"/>
  <c r="BB19" i="1"/>
  <c r="BB21" i="1"/>
  <c r="EA21" i="1" s="1"/>
  <c r="AZ26" i="1"/>
  <c r="AZ31" i="1"/>
  <c r="AZ32" i="1"/>
  <c r="DY32" i="1" s="1"/>
  <c r="AZ33" i="1"/>
  <c r="DY33" i="1" s="1"/>
  <c r="AZ34" i="1"/>
  <c r="DY34" i="1" s="1"/>
  <c r="AZ35" i="1"/>
  <c r="DY35" i="1" s="1"/>
  <c r="BB26" i="1"/>
  <c r="BB31" i="1"/>
  <c r="BB32" i="1"/>
  <c r="EA32" i="1" s="1"/>
  <c r="BB33" i="1"/>
  <c r="EA33" i="1" s="1"/>
  <c r="BB34" i="1"/>
  <c r="EA34" i="1" s="1"/>
  <c r="BB35" i="1"/>
  <c r="AZ39" i="1"/>
  <c r="BB39" i="1"/>
  <c r="BB58" i="1" s="1"/>
  <c r="AZ61" i="1"/>
  <c r="BB61" i="1"/>
  <c r="BB82" i="1" s="1"/>
  <c r="AZ62" i="1"/>
  <c r="DY62" i="1" s="1"/>
  <c r="AZ63" i="1"/>
  <c r="DY63" i="1" s="1"/>
  <c r="AZ64" i="1"/>
  <c r="DY64" i="1" s="1"/>
  <c r="AZ65" i="1"/>
  <c r="DY65" i="1" s="1"/>
  <c r="AZ66" i="1"/>
  <c r="DY66" i="1" s="1"/>
  <c r="AZ67" i="1"/>
  <c r="DY67" i="1" s="1"/>
  <c r="AZ68" i="1"/>
  <c r="DY68" i="1" s="1"/>
  <c r="AZ69" i="1"/>
  <c r="DY69" i="1" s="1"/>
  <c r="AZ70" i="1"/>
  <c r="DY70" i="1" s="1"/>
  <c r="AZ71" i="1"/>
  <c r="DY71" i="1" s="1"/>
  <c r="AZ72" i="1"/>
  <c r="DY72" i="1" s="1"/>
  <c r="AZ75" i="1"/>
  <c r="DY75" i="1" s="1"/>
  <c r="AZ76" i="1"/>
  <c r="DY76" i="1" s="1"/>
  <c r="AZ77" i="1"/>
  <c r="DY77" i="1" s="1"/>
  <c r="AZ78" i="1"/>
  <c r="DY78" i="1" s="1"/>
  <c r="AZ86" i="1"/>
  <c r="BB86" i="1"/>
  <c r="AZ87" i="1"/>
  <c r="DY87" i="1" s="1"/>
  <c r="BB87" i="1"/>
  <c r="AZ88" i="1"/>
  <c r="DY88" i="1" s="1"/>
  <c r="BB88" i="1"/>
  <c r="AZ89" i="1"/>
  <c r="DY89" i="1" s="1"/>
  <c r="BB89" i="1"/>
  <c r="AZ91" i="1"/>
  <c r="DY91" i="1" s="1"/>
  <c r="BB91" i="1"/>
  <c r="AZ92" i="1"/>
  <c r="DY92" i="1" s="1"/>
  <c r="BB92" i="1"/>
  <c r="AZ107" i="1"/>
  <c r="BB107" i="1"/>
  <c r="AZ108" i="1"/>
  <c r="DY108" i="1" s="1"/>
  <c r="BB108" i="1"/>
  <c r="AZ109" i="1"/>
  <c r="DY109" i="1" s="1"/>
  <c r="BB109" i="1"/>
  <c r="AZ111" i="1"/>
  <c r="DY111" i="1" s="1"/>
  <c r="BB111" i="1"/>
  <c r="AZ115" i="1"/>
  <c r="BB115" i="1"/>
  <c r="AZ116" i="1"/>
  <c r="DY116" i="1" s="1"/>
  <c r="BB116" i="1"/>
  <c r="AZ118" i="1"/>
  <c r="DY118" i="1" s="1"/>
  <c r="BB118" i="1"/>
  <c r="AZ119" i="1"/>
  <c r="DY119" i="1" s="1"/>
  <c r="BB119" i="1"/>
  <c r="AZ120" i="1"/>
  <c r="DY120" i="1" s="1"/>
  <c r="BB120" i="1"/>
  <c r="AZ124" i="1"/>
  <c r="BB124" i="1"/>
  <c r="AZ125" i="1"/>
  <c r="DY125" i="1" s="1"/>
  <c r="BB125" i="1"/>
  <c r="AZ126" i="1"/>
  <c r="DY126" i="1" s="1"/>
  <c r="BB126" i="1"/>
  <c r="EA126" i="1" s="1"/>
  <c r="AZ127" i="1"/>
  <c r="DY127" i="1" s="1"/>
  <c r="BB127" i="1"/>
  <c r="AZ128" i="1"/>
  <c r="DY128" i="1" s="1"/>
  <c r="BB128" i="1"/>
  <c r="AZ129" i="1"/>
  <c r="DY129" i="1" s="1"/>
  <c r="BB129" i="1"/>
  <c r="AZ130" i="1"/>
  <c r="DY130" i="1" s="1"/>
  <c r="BB130" i="1"/>
  <c r="AZ131" i="1"/>
  <c r="DY131" i="1" s="1"/>
  <c r="BB131" i="1"/>
  <c r="AZ132" i="1"/>
  <c r="DY132" i="1" s="1"/>
  <c r="BB132" i="1"/>
  <c r="AZ133" i="1"/>
  <c r="DY133" i="1" s="1"/>
  <c r="BB133" i="1"/>
  <c r="AZ134" i="1"/>
  <c r="DY134" i="1" s="1"/>
  <c r="BB134" i="1"/>
  <c r="AZ135" i="1"/>
  <c r="DY135" i="1" s="1"/>
  <c r="BB135" i="1"/>
  <c r="AZ136" i="1"/>
  <c r="DY136" i="1" s="1"/>
  <c r="BB136" i="1"/>
  <c r="AZ137" i="1"/>
  <c r="DY137" i="1" s="1"/>
  <c r="BB137" i="1"/>
  <c r="AZ138" i="1"/>
  <c r="DY138" i="1" s="1"/>
  <c r="AZ163" i="1"/>
  <c r="BB163" i="1"/>
  <c r="AZ164" i="1"/>
  <c r="DY164" i="1" s="1"/>
  <c r="AZ165" i="1"/>
  <c r="DY165" i="1" s="1"/>
  <c r="AZ166" i="1"/>
  <c r="DY166" i="1" s="1"/>
  <c r="AZ167" i="1"/>
  <c r="DY167" i="1" s="1"/>
  <c r="AZ168" i="1"/>
  <c r="DY168" i="1" s="1"/>
  <c r="EA165" i="1" l="1"/>
  <c r="BC19" i="1"/>
  <c r="EA19" i="1"/>
  <c r="EA164" i="1"/>
  <c r="BC18" i="1"/>
  <c r="EA18" i="1"/>
  <c r="BB194" i="1"/>
  <c r="EA35" i="1"/>
  <c r="AZ169" i="1"/>
  <c r="BB195" i="1"/>
  <c r="BB193" i="1"/>
  <c r="BB28" i="1"/>
  <c r="BC28" i="1" s="1"/>
  <c r="BB191" i="1"/>
  <c r="BC15" i="1"/>
  <c r="BB183" i="1"/>
  <c r="BB178" i="1"/>
  <c r="BB180" i="1"/>
  <c r="AZ183" i="1"/>
  <c r="AZ178" i="1"/>
  <c r="AZ180" i="1"/>
  <c r="BC17" i="1"/>
  <c r="BB186" i="1"/>
  <c r="BB185" i="1"/>
  <c r="AZ186" i="1"/>
  <c r="AZ185" i="1"/>
  <c r="BB196" i="1"/>
  <c r="BB192" i="1"/>
  <c r="BC16" i="1"/>
  <c r="BB184" i="1"/>
  <c r="BB179" i="1"/>
  <c r="AZ184" i="1"/>
  <c r="AZ179" i="1"/>
  <c r="BA19" i="1"/>
  <c r="BA17" i="1"/>
  <c r="BA18" i="1"/>
  <c r="BC153" i="1"/>
  <c r="BC7" i="1"/>
  <c r="BC9" i="1"/>
  <c r="BC11" i="1"/>
  <c r="BC10" i="1"/>
  <c r="BC8" i="1"/>
  <c r="BA16" i="1"/>
  <c r="BA15" i="1"/>
  <c r="AZ28" i="1"/>
  <c r="AZ94" i="1"/>
  <c r="AZ82" i="1"/>
  <c r="BD82" i="1" s="1"/>
  <c r="BE82" i="1" s="1"/>
  <c r="BC104" i="1"/>
  <c r="AZ141" i="1"/>
  <c r="BC82" i="1"/>
  <c r="BB94" i="1"/>
  <c r="EC104" i="1"/>
  <c r="ED104" i="1" s="1"/>
  <c r="BB141" i="1"/>
  <c r="AZ12" i="1"/>
  <c r="AZ191" i="1" s="1"/>
  <c r="BD166" i="1"/>
  <c r="BD167" i="1"/>
  <c r="BD168" i="1"/>
  <c r="BD165" i="1"/>
  <c r="BD164" i="1"/>
  <c r="AZ58" i="1"/>
  <c r="AB165" i="1"/>
  <c r="AB164" i="1"/>
  <c r="BE28" i="1" l="1"/>
  <c r="AZ193" i="1"/>
  <c r="AZ195" i="1"/>
  <c r="AZ194" i="1"/>
  <c r="AZ192" i="1"/>
  <c r="AZ196" i="1"/>
  <c r="BA11" i="1"/>
  <c r="BA20" i="1"/>
  <c r="BA7" i="1"/>
  <c r="BA9" i="1"/>
  <c r="BA8" i="1"/>
  <c r="BA10" i="1"/>
  <c r="BA141" i="1"/>
  <c r="BA146" i="1"/>
  <c r="BA104" i="1"/>
  <c r="BA153" i="1"/>
  <c r="BD94" i="1"/>
  <c r="BE94" i="1" s="1"/>
  <c r="BC94" i="1"/>
  <c r="BA28" i="1"/>
  <c r="BA82" i="1"/>
  <c r="BA94" i="1"/>
  <c r="BD141" i="1"/>
  <c r="BE141" i="1" s="1"/>
  <c r="BC141" i="1"/>
  <c r="BD58" i="1"/>
  <c r="BE58" i="1" s="1"/>
  <c r="DK112" i="1"/>
  <c r="DV116" i="1" l="1"/>
  <c r="DV118" i="1"/>
  <c r="DV119" i="1"/>
  <c r="DV120" i="1"/>
  <c r="DV164" i="1"/>
  <c r="DV165" i="1"/>
  <c r="DV166" i="1"/>
  <c r="DV167" i="1"/>
  <c r="DV168" i="1"/>
  <c r="CW112" i="1" l="1"/>
  <c r="CP121" i="1" l="1"/>
  <c r="CP112" i="1" l="1"/>
  <c r="BU112" i="1"/>
  <c r="CM78" i="1" l="1"/>
  <c r="DR86" i="1"/>
  <c r="DR94" i="1" s="1"/>
  <c r="BK138" i="1" l="1"/>
  <c r="BK56" i="1"/>
  <c r="BN36" i="1"/>
  <c r="BN197" i="1" s="1"/>
  <c r="BR197" i="1" s="1"/>
  <c r="BK54" i="1"/>
  <c r="BK52" i="1" l="1"/>
  <c r="CM108" i="1" l="1"/>
  <c r="CM109" i="1"/>
  <c r="CM111" i="1"/>
  <c r="CM32" i="1"/>
  <c r="CM33" i="1"/>
  <c r="CM34" i="1"/>
  <c r="CM35" i="1"/>
  <c r="CM8" i="1"/>
  <c r="CM9" i="1"/>
  <c r="CM10" i="1"/>
  <c r="CI121" i="1"/>
  <c r="CI112" i="1"/>
  <c r="CI94" i="1"/>
  <c r="CI82" i="1"/>
  <c r="CI58" i="1"/>
  <c r="CI36" i="1"/>
  <c r="CI12" i="1"/>
  <c r="CJ94" i="1" l="1"/>
  <c r="CM31" i="1"/>
  <c r="CM36" i="1" s="1"/>
  <c r="CM69" i="1"/>
  <c r="CM26" i="1"/>
  <c r="CM28" i="1" s="1"/>
  <c r="CM68" i="1"/>
  <c r="CI141" i="1"/>
  <c r="CM163" i="1"/>
  <c r="CM169" i="1" s="1"/>
  <c r="CI169" i="1"/>
  <c r="CM61" i="1"/>
  <c r="CI22" i="1"/>
  <c r="CM15" i="1"/>
  <c r="CM22" i="1" s="1"/>
  <c r="CM77" i="1"/>
  <c r="CM76" i="1"/>
  <c r="CM75" i="1"/>
  <c r="CM72" i="1"/>
  <c r="CM71" i="1"/>
  <c r="CM70" i="1"/>
  <c r="CM67" i="1"/>
  <c r="CM66" i="1"/>
  <c r="CM65" i="1"/>
  <c r="CM64" i="1"/>
  <c r="CM63" i="1"/>
  <c r="CM62" i="1"/>
  <c r="CK58" i="1"/>
  <c r="CM39" i="1"/>
  <c r="CM58" i="1" s="1"/>
  <c r="CI178" i="1"/>
  <c r="CI180" i="1"/>
  <c r="CJ19" i="1"/>
  <c r="CI185" i="1"/>
  <c r="CK185" i="1"/>
  <c r="CK186" i="1"/>
  <c r="CI184" i="1"/>
  <c r="CK183" i="1"/>
  <c r="CI183" i="1"/>
  <c r="CI186" i="1"/>
  <c r="CK184" i="1"/>
  <c r="CK179" i="1"/>
  <c r="CI179" i="1"/>
  <c r="CK28" i="1"/>
  <c r="CJ16" i="1"/>
  <c r="CL18" i="1"/>
  <c r="CL17" i="1"/>
  <c r="CK82" i="1"/>
  <c r="CJ18" i="1"/>
  <c r="CL16" i="1"/>
  <c r="CJ15" i="1"/>
  <c r="CJ17" i="1"/>
  <c r="CL15" i="1"/>
  <c r="CI28" i="1"/>
  <c r="CI192" i="1"/>
  <c r="CM148" i="1"/>
  <c r="CI156" i="1" l="1"/>
  <c r="CN28" i="1"/>
  <c r="CM82" i="1"/>
  <c r="CN82" i="1" s="1"/>
  <c r="CM180" i="1"/>
  <c r="CI195" i="1"/>
  <c r="CM184" i="1"/>
  <c r="CM183" i="1"/>
  <c r="CN58" i="1"/>
  <c r="CI196" i="1"/>
  <c r="CM186" i="1"/>
  <c r="CI191" i="1"/>
  <c r="CM185" i="1"/>
  <c r="CJ20" i="1"/>
  <c r="CM199" i="1"/>
  <c r="CI194" i="1"/>
  <c r="CI188" i="1"/>
  <c r="CI193" i="1"/>
  <c r="CJ28" i="1"/>
  <c r="CJ104" i="1"/>
  <c r="CJ11" i="1"/>
  <c r="CJ7" i="1"/>
  <c r="CJ10" i="1"/>
  <c r="CJ153" i="1"/>
  <c r="CJ9" i="1"/>
  <c r="CJ141" i="1"/>
  <c r="CJ8" i="1"/>
  <c r="AW66" i="1"/>
  <c r="AW52" i="1"/>
  <c r="AU22" i="1"/>
  <c r="AU188" i="1" s="1"/>
  <c r="AP61" i="1"/>
  <c r="AL169" i="1"/>
  <c r="AP168" i="1"/>
  <c r="AP148" i="1"/>
  <c r="AI53" i="1"/>
  <c r="AI52" i="1"/>
  <c r="AI138" i="1"/>
  <c r="BD87" i="1"/>
  <c r="BD92" i="1"/>
  <c r="AI124" i="1"/>
  <c r="AI41" i="1"/>
  <c r="DF112" i="1"/>
  <c r="AI111" i="1"/>
  <c r="AI109" i="1"/>
  <c r="AI107" i="1"/>
  <c r="AI199" i="1"/>
  <c r="Z138" i="1"/>
  <c r="EA138" i="1" s="1"/>
  <c r="G138" i="1"/>
  <c r="AI108" i="1"/>
  <c r="Z166" i="1"/>
  <c r="EA166" i="1" s="1"/>
  <c r="Z167" i="1"/>
  <c r="EA167" i="1" s="1"/>
  <c r="Z168" i="1"/>
  <c r="EA168" i="1" s="1"/>
  <c r="Z163" i="1"/>
  <c r="AW163" i="1"/>
  <c r="AP167" i="1"/>
  <c r="AP163" i="1"/>
  <c r="AI168" i="1"/>
  <c r="AI163" i="1"/>
  <c r="BK167" i="1"/>
  <c r="BK168" i="1"/>
  <c r="DV87" i="1"/>
  <c r="DV88" i="1"/>
  <c r="DV89" i="1"/>
  <c r="DV91" i="1"/>
  <c r="BK87" i="1"/>
  <c r="BK88" i="1"/>
  <c r="BK89" i="1"/>
  <c r="BK91" i="1"/>
  <c r="BK92" i="1"/>
  <c r="Z87" i="1"/>
  <c r="EA87" i="1" s="1"/>
  <c r="Z88" i="1"/>
  <c r="EA88" i="1" s="1"/>
  <c r="Z89" i="1"/>
  <c r="EA89" i="1" s="1"/>
  <c r="Z91" i="1"/>
  <c r="EA91" i="1" s="1"/>
  <c r="Z92" i="1"/>
  <c r="EA92" i="1" s="1"/>
  <c r="AW87" i="1"/>
  <c r="AW88" i="1"/>
  <c r="AW89" i="1"/>
  <c r="AW91" i="1"/>
  <c r="AW92" i="1"/>
  <c r="AI87" i="1"/>
  <c r="AI88" i="1"/>
  <c r="AI89" i="1"/>
  <c r="AI91" i="1"/>
  <c r="AI92" i="1"/>
  <c r="AP91" i="1"/>
  <c r="AP89" i="1"/>
  <c r="AP88" i="1"/>
  <c r="AP87" i="1"/>
  <c r="AP92" i="1"/>
  <c r="AW125" i="1"/>
  <c r="AW126" i="1"/>
  <c r="AV146" i="1"/>
  <c r="U163" i="1"/>
  <c r="U120" i="1"/>
  <c r="U119" i="1"/>
  <c r="U118" i="1"/>
  <c r="U116" i="1"/>
  <c r="U115" i="1"/>
  <c r="U91" i="1"/>
  <c r="U89" i="1"/>
  <c r="U88" i="1"/>
  <c r="U87" i="1"/>
  <c r="U86" i="1"/>
  <c r="U77" i="1"/>
  <c r="U76" i="1"/>
  <c r="U75" i="1"/>
  <c r="U72" i="1"/>
  <c r="U71" i="1"/>
  <c r="U70" i="1"/>
  <c r="U69" i="1"/>
  <c r="U67" i="1"/>
  <c r="U66" i="1"/>
  <c r="U65" i="1"/>
  <c r="U64" i="1"/>
  <c r="U63" i="1"/>
  <c r="U62" i="1"/>
  <c r="U61" i="1"/>
  <c r="U53" i="1"/>
  <c r="U52" i="1"/>
  <c r="U51" i="1"/>
  <c r="U50" i="1"/>
  <c r="U49" i="1"/>
  <c r="U48" i="1"/>
  <c r="U45" i="1"/>
  <c r="U44" i="1"/>
  <c r="U43" i="1"/>
  <c r="U42" i="1"/>
  <c r="U40" i="1"/>
  <c r="U39" i="1"/>
  <c r="U34" i="1"/>
  <c r="U33" i="1"/>
  <c r="U32" i="1"/>
  <c r="U31" i="1"/>
  <c r="U21" i="1"/>
  <c r="U19" i="1"/>
  <c r="U18" i="1"/>
  <c r="U17" i="1"/>
  <c r="U16" i="1"/>
  <c r="U15" i="1"/>
  <c r="U10" i="1"/>
  <c r="U9" i="1"/>
  <c r="U8" i="1"/>
  <c r="U7" i="1"/>
  <c r="N120" i="1"/>
  <c r="N119" i="1"/>
  <c r="N118" i="1"/>
  <c r="N116" i="1"/>
  <c r="N115" i="1"/>
  <c r="N91" i="1"/>
  <c r="N89" i="1"/>
  <c r="N88" i="1"/>
  <c r="N87" i="1"/>
  <c r="N77" i="1"/>
  <c r="N76" i="1"/>
  <c r="N75" i="1"/>
  <c r="N72" i="1"/>
  <c r="N71" i="1"/>
  <c r="N70" i="1"/>
  <c r="N69" i="1"/>
  <c r="N68" i="1"/>
  <c r="N67" i="1"/>
  <c r="N64" i="1"/>
  <c r="N63" i="1"/>
  <c r="N62" i="1"/>
  <c r="N53" i="1"/>
  <c r="N52" i="1"/>
  <c r="N51" i="1"/>
  <c r="N50" i="1"/>
  <c r="N48" i="1"/>
  <c r="N45" i="1"/>
  <c r="N44" i="1"/>
  <c r="N43" i="1"/>
  <c r="N42" i="1"/>
  <c r="N41" i="1"/>
  <c r="N40" i="1"/>
  <c r="N39" i="1"/>
  <c r="N34" i="1"/>
  <c r="N33" i="1"/>
  <c r="N32" i="1"/>
  <c r="N31" i="1"/>
  <c r="N26" i="1"/>
  <c r="O26" i="1" s="1"/>
  <c r="N21" i="1"/>
  <c r="N19" i="1"/>
  <c r="N18" i="1"/>
  <c r="N17" i="1"/>
  <c r="N16" i="1"/>
  <c r="N15" i="1"/>
  <c r="N10" i="1"/>
  <c r="N9" i="1"/>
  <c r="N8" i="1"/>
  <c r="N7" i="1"/>
  <c r="N61" i="1"/>
  <c r="BK43" i="1"/>
  <c r="AW43" i="1"/>
  <c r="AP43" i="1"/>
  <c r="AI43" i="1"/>
  <c r="G43" i="1"/>
  <c r="BI36" i="1"/>
  <c r="BI197" i="1" s="1"/>
  <c r="BK34" i="1"/>
  <c r="BD34" i="1"/>
  <c r="AW34" i="1"/>
  <c r="AP34" i="1"/>
  <c r="AI34" i="1"/>
  <c r="G34" i="1"/>
  <c r="U148" i="1"/>
  <c r="U35" i="1"/>
  <c r="AI10" i="1"/>
  <c r="Z135" i="1"/>
  <c r="EA135" i="1" s="1"/>
  <c r="N148" i="1"/>
  <c r="N86" i="1"/>
  <c r="N65" i="1"/>
  <c r="N49" i="1"/>
  <c r="G61" i="1"/>
  <c r="G52" i="1"/>
  <c r="BD125" i="1"/>
  <c r="Z111" i="1"/>
  <c r="EA111" i="1" s="1"/>
  <c r="Z125" i="1"/>
  <c r="EA125" i="1" s="1"/>
  <c r="G148" i="1"/>
  <c r="AW148" i="1"/>
  <c r="BK148" i="1"/>
  <c r="BR148" i="1"/>
  <c r="BY148" i="1"/>
  <c r="CT148" i="1"/>
  <c r="DA148" i="1"/>
  <c r="DH148" i="1"/>
  <c r="DO148" i="1"/>
  <c r="G163" i="1"/>
  <c r="DR163" i="1"/>
  <c r="DR169" i="1" s="1"/>
  <c r="DT163" i="1"/>
  <c r="DT169" i="1" s="1"/>
  <c r="AN169" i="1"/>
  <c r="AU169" i="1"/>
  <c r="BG169" i="1"/>
  <c r="BP169" i="1"/>
  <c r="BW169" i="1"/>
  <c r="CW169" i="1"/>
  <c r="CY169" i="1"/>
  <c r="DF169" i="1"/>
  <c r="DM169" i="1"/>
  <c r="DV111" i="1"/>
  <c r="G88" i="1"/>
  <c r="BK41" i="1"/>
  <c r="AW41" i="1"/>
  <c r="AP41" i="1"/>
  <c r="G41" i="1"/>
  <c r="BK35" i="1"/>
  <c r="AP35" i="1"/>
  <c r="BS22" i="1"/>
  <c r="BT22" i="1"/>
  <c r="BU22" i="1"/>
  <c r="BU188" i="1" s="1"/>
  <c r="BW22" i="1"/>
  <c r="BW188" i="1" s="1"/>
  <c r="BD88" i="1"/>
  <c r="CK169" i="1"/>
  <c r="DM121" i="1"/>
  <c r="DK121" i="1"/>
  <c r="DM36" i="1"/>
  <c r="DM197" i="1" s="1"/>
  <c r="DK36" i="1"/>
  <c r="DK197" i="1" s="1"/>
  <c r="DM22" i="1"/>
  <c r="DM188" i="1" s="1"/>
  <c r="DK22" i="1"/>
  <c r="DK188" i="1" s="1"/>
  <c r="DL146" i="1"/>
  <c r="DO8" i="1"/>
  <c r="DO7" i="1"/>
  <c r="DF121" i="1"/>
  <c r="DF36" i="1"/>
  <c r="DF197" i="1" s="1"/>
  <c r="DF22" i="1"/>
  <c r="DF188" i="1" s="1"/>
  <c r="DD188" i="1"/>
  <c r="DE146" i="1"/>
  <c r="DH7" i="1"/>
  <c r="DH12" i="1" s="1"/>
  <c r="DH24" i="1" s="1"/>
  <c r="DH158" i="1" s="1"/>
  <c r="CY121" i="1"/>
  <c r="CW121" i="1"/>
  <c r="CY36" i="1"/>
  <c r="CY197" i="1" s="1"/>
  <c r="CW36" i="1"/>
  <c r="CY22" i="1"/>
  <c r="CY188" i="1" s="1"/>
  <c r="CW22" i="1"/>
  <c r="CW188" i="1" s="1"/>
  <c r="DA7" i="1"/>
  <c r="DA12" i="1" s="1"/>
  <c r="DA24" i="1" s="1"/>
  <c r="DA158" i="1" s="1"/>
  <c r="CR121" i="1"/>
  <c r="CR36" i="1"/>
  <c r="CR197" i="1" s="1"/>
  <c r="CP36" i="1"/>
  <c r="CP156" i="1" s="1"/>
  <c r="CU26" i="1"/>
  <c r="CR188" i="1"/>
  <c r="CP22" i="1"/>
  <c r="CP188" i="1" s="1"/>
  <c r="CT188" i="1" s="1"/>
  <c r="CQ146" i="1"/>
  <c r="CT7" i="1"/>
  <c r="CT12" i="1" s="1"/>
  <c r="CT24" i="1" s="1"/>
  <c r="CT158" i="1" s="1"/>
  <c r="BW121" i="1"/>
  <c r="BU121" i="1"/>
  <c r="BW36" i="1"/>
  <c r="BW197" i="1" s="1"/>
  <c r="BU197" i="1"/>
  <c r="BY7" i="1"/>
  <c r="BY12" i="1" s="1"/>
  <c r="BY24" i="1" s="1"/>
  <c r="BY158" i="1" s="1"/>
  <c r="BP121" i="1"/>
  <c r="BP156" i="1" s="1"/>
  <c r="BN121" i="1"/>
  <c r="BN112" i="1"/>
  <c r="BP22" i="1"/>
  <c r="BP188" i="1" s="1"/>
  <c r="BN22" i="1"/>
  <c r="BN188" i="1" s="1"/>
  <c r="BO146" i="1"/>
  <c r="BR7" i="1"/>
  <c r="BR12" i="1" s="1"/>
  <c r="BK137" i="1"/>
  <c r="BK136" i="1"/>
  <c r="BK135" i="1"/>
  <c r="BK134" i="1"/>
  <c r="BK133" i="1"/>
  <c r="BK132" i="1"/>
  <c r="BK131" i="1"/>
  <c r="BK130" i="1"/>
  <c r="BK129" i="1"/>
  <c r="BK128" i="1"/>
  <c r="BK127" i="1"/>
  <c r="BK124" i="1"/>
  <c r="BI121" i="1"/>
  <c r="BG121" i="1"/>
  <c r="BK120" i="1"/>
  <c r="BK119" i="1"/>
  <c r="BK118" i="1"/>
  <c r="BK116" i="1"/>
  <c r="BK115" i="1"/>
  <c r="BG112" i="1"/>
  <c r="BK86" i="1"/>
  <c r="BK53" i="1"/>
  <c r="BK51" i="1"/>
  <c r="BK50" i="1"/>
  <c r="BK49" i="1"/>
  <c r="BK48" i="1"/>
  <c r="BK45" i="1"/>
  <c r="BK44" i="1"/>
  <c r="BK42" i="1"/>
  <c r="BK40" i="1"/>
  <c r="BK39" i="1"/>
  <c r="BG36" i="1"/>
  <c r="BG197" i="1" s="1"/>
  <c r="BK33" i="1"/>
  <c r="BK32" i="1"/>
  <c r="BK31" i="1"/>
  <c r="BK26" i="1"/>
  <c r="BI22" i="1"/>
  <c r="BI188" i="1" s="1"/>
  <c r="BG22" i="1"/>
  <c r="BG188" i="1" s="1"/>
  <c r="BK21" i="1"/>
  <c r="BK19" i="1"/>
  <c r="BK18" i="1"/>
  <c r="BK17" i="1"/>
  <c r="BK16" i="1"/>
  <c r="BK15" i="1"/>
  <c r="BH146" i="1"/>
  <c r="BK10" i="1"/>
  <c r="BK9" i="1"/>
  <c r="BK8" i="1"/>
  <c r="BK7" i="1"/>
  <c r="AW137" i="1"/>
  <c r="AW136" i="1"/>
  <c r="AW135" i="1"/>
  <c r="AW134" i="1"/>
  <c r="AW133" i="1"/>
  <c r="AW132" i="1"/>
  <c r="AW131" i="1"/>
  <c r="AW130" i="1"/>
  <c r="AW129" i="1"/>
  <c r="AW128" i="1"/>
  <c r="AW127" i="1"/>
  <c r="AW124" i="1"/>
  <c r="AU121" i="1"/>
  <c r="AS121" i="1"/>
  <c r="AW120" i="1"/>
  <c r="AW119" i="1"/>
  <c r="AW118" i="1"/>
  <c r="AW116" i="1"/>
  <c r="AW115" i="1"/>
  <c r="AS112" i="1"/>
  <c r="AW77" i="1"/>
  <c r="AW76" i="1"/>
  <c r="AW75" i="1"/>
  <c r="AW72" i="1"/>
  <c r="AW71" i="1"/>
  <c r="AW70" i="1"/>
  <c r="AW69" i="1"/>
  <c r="AW68" i="1"/>
  <c r="AW67" i="1"/>
  <c r="AW63" i="1"/>
  <c r="AW62" i="1"/>
  <c r="AW61" i="1"/>
  <c r="AW53" i="1"/>
  <c r="AW51" i="1"/>
  <c r="AW50" i="1"/>
  <c r="AW49" i="1"/>
  <c r="AW48" i="1"/>
  <c r="AW45" i="1"/>
  <c r="AW44" i="1"/>
  <c r="AW42" i="1"/>
  <c r="AW40" i="1"/>
  <c r="AW39" i="1"/>
  <c r="AU36" i="1"/>
  <c r="AU197" i="1" s="1"/>
  <c r="AW33" i="1"/>
  <c r="AW32" i="1"/>
  <c r="AW31" i="1"/>
  <c r="AW26" i="1"/>
  <c r="AX26" i="1" s="1"/>
  <c r="AS22" i="1"/>
  <c r="AS188" i="1" s="1"/>
  <c r="AW21" i="1"/>
  <c r="AW19" i="1"/>
  <c r="AW18" i="1"/>
  <c r="AW17" i="1"/>
  <c r="AW16" i="1"/>
  <c r="AW15" i="1"/>
  <c r="AW199" i="1"/>
  <c r="AW10" i="1"/>
  <c r="AW9" i="1"/>
  <c r="AW8" i="1"/>
  <c r="AW7" i="1"/>
  <c r="AP137" i="1"/>
  <c r="AP135" i="1"/>
  <c r="AP134" i="1"/>
  <c r="AP132" i="1"/>
  <c r="AP131" i="1"/>
  <c r="AP130" i="1"/>
  <c r="AP129" i="1"/>
  <c r="AP128" i="1"/>
  <c r="AP127" i="1"/>
  <c r="AP124" i="1"/>
  <c r="AN121" i="1"/>
  <c r="AL121" i="1"/>
  <c r="AP120" i="1"/>
  <c r="AP119" i="1"/>
  <c r="AP118" i="1"/>
  <c r="AP116" i="1"/>
  <c r="AP115" i="1"/>
  <c r="AL112" i="1"/>
  <c r="AP86" i="1"/>
  <c r="AP77" i="1"/>
  <c r="AP76" i="1"/>
  <c r="AP75" i="1"/>
  <c r="AP71" i="1"/>
  <c r="AP70" i="1"/>
  <c r="AP69" i="1"/>
  <c r="AP68" i="1"/>
  <c r="AP67" i="1"/>
  <c r="AP63" i="1"/>
  <c r="AP62" i="1"/>
  <c r="AP53" i="1"/>
  <c r="AP51" i="1"/>
  <c r="AP50" i="1"/>
  <c r="AP49" i="1"/>
  <c r="AP48" i="1"/>
  <c r="AP45" i="1"/>
  <c r="AP44" i="1"/>
  <c r="AP42" i="1"/>
  <c r="AP40" i="1"/>
  <c r="AP39" i="1"/>
  <c r="AN36" i="1"/>
  <c r="AN197" i="1" s="1"/>
  <c r="AP33" i="1"/>
  <c r="AP32" i="1"/>
  <c r="AP31" i="1"/>
  <c r="AP26" i="1"/>
  <c r="AQ26" i="1" s="1"/>
  <c r="AN22" i="1"/>
  <c r="AN188" i="1" s="1"/>
  <c r="AL22" i="1"/>
  <c r="AL188" i="1" s="1"/>
  <c r="AP21" i="1"/>
  <c r="AP19" i="1"/>
  <c r="AP18" i="1"/>
  <c r="AP17" i="1"/>
  <c r="AP16" i="1"/>
  <c r="AP15" i="1"/>
  <c r="AP199" i="1"/>
  <c r="AP10" i="1"/>
  <c r="AP9" i="1"/>
  <c r="AP8" i="1"/>
  <c r="AP7" i="1"/>
  <c r="AI137" i="1"/>
  <c r="AI135" i="1"/>
  <c r="AI134" i="1"/>
  <c r="AI132" i="1"/>
  <c r="AI131" i="1"/>
  <c r="AI130" i="1"/>
  <c r="AI129" i="1"/>
  <c r="AI128" i="1"/>
  <c r="AI127" i="1"/>
  <c r="AG121" i="1"/>
  <c r="AE121" i="1"/>
  <c r="AI120" i="1"/>
  <c r="AI119" i="1"/>
  <c r="AI118" i="1"/>
  <c r="AI116" i="1"/>
  <c r="AI115" i="1"/>
  <c r="AF94" i="1"/>
  <c r="AI86" i="1"/>
  <c r="AI77" i="1"/>
  <c r="AI76" i="1"/>
  <c r="AI75" i="1"/>
  <c r="AI72" i="1"/>
  <c r="AI71" i="1"/>
  <c r="AI70" i="1"/>
  <c r="AI69" i="1"/>
  <c r="AI68" i="1"/>
  <c r="AI67" i="1"/>
  <c r="AI66" i="1"/>
  <c r="AI63" i="1"/>
  <c r="AI62" i="1"/>
  <c r="AI61" i="1"/>
  <c r="AI51" i="1"/>
  <c r="AI50" i="1"/>
  <c r="AI49" i="1"/>
  <c r="AI48" i="1"/>
  <c r="AI45" i="1"/>
  <c r="AI44" i="1"/>
  <c r="AI42" i="1"/>
  <c r="AI40" i="1"/>
  <c r="AI39" i="1"/>
  <c r="AG36" i="1"/>
  <c r="AG197" i="1" s="1"/>
  <c r="AE36" i="1"/>
  <c r="AE197" i="1" s="1"/>
  <c r="AI33" i="1"/>
  <c r="AI32" i="1"/>
  <c r="AI31" i="1"/>
  <c r="AI26" i="1"/>
  <c r="AJ26" i="1" s="1"/>
  <c r="AG22" i="1"/>
  <c r="AG188" i="1" s="1"/>
  <c r="AI21" i="1"/>
  <c r="AI19" i="1"/>
  <c r="AI18" i="1"/>
  <c r="AI17" i="1"/>
  <c r="AI16" i="1"/>
  <c r="AI15" i="1"/>
  <c r="AH146" i="1"/>
  <c r="AI9" i="1"/>
  <c r="AI8" i="1"/>
  <c r="AI7" i="1"/>
  <c r="S121" i="1"/>
  <c r="S36" i="1"/>
  <c r="S197" i="1" s="1"/>
  <c r="S22" i="1"/>
  <c r="S188" i="1" s="1"/>
  <c r="L121" i="1"/>
  <c r="J121" i="1"/>
  <c r="L36" i="1"/>
  <c r="L22" i="1"/>
  <c r="J22" i="1"/>
  <c r="K22" i="1" s="1"/>
  <c r="AW184" i="1"/>
  <c r="AT26" i="1"/>
  <c r="X12" i="1"/>
  <c r="Y160" i="1" s="1"/>
  <c r="Z39" i="1"/>
  <c r="Z58" i="1" s="1"/>
  <c r="Z86" i="1"/>
  <c r="Z107" i="1"/>
  <c r="Z108" i="1"/>
  <c r="EA108" i="1" s="1"/>
  <c r="Z109" i="1"/>
  <c r="EA109" i="1" s="1"/>
  <c r="Z115" i="1"/>
  <c r="Z116" i="1"/>
  <c r="EA116" i="1" s="1"/>
  <c r="Z118" i="1"/>
  <c r="EA118" i="1" s="1"/>
  <c r="Z119" i="1"/>
  <c r="EA119" i="1" s="1"/>
  <c r="Z120" i="1"/>
  <c r="EA120" i="1" s="1"/>
  <c r="Z124" i="1"/>
  <c r="Z127" i="1"/>
  <c r="EA127" i="1" s="1"/>
  <c r="Z128" i="1"/>
  <c r="EA128" i="1" s="1"/>
  <c r="Z129" i="1"/>
  <c r="EA129" i="1" s="1"/>
  <c r="Z130" i="1"/>
  <c r="EA130" i="1" s="1"/>
  <c r="Z131" i="1"/>
  <c r="EA131" i="1" s="1"/>
  <c r="Z132" i="1"/>
  <c r="EA132" i="1" s="1"/>
  <c r="Z133" i="1"/>
  <c r="EA133" i="1" s="1"/>
  <c r="Z134" i="1"/>
  <c r="EA134" i="1" s="1"/>
  <c r="Z136" i="1"/>
  <c r="EA136" i="1" s="1"/>
  <c r="Z137" i="1"/>
  <c r="EA137" i="1" s="1"/>
  <c r="AW35" i="1"/>
  <c r="AS36" i="1"/>
  <c r="AS197" i="1" s="1"/>
  <c r="DV108" i="1"/>
  <c r="DV109" i="1"/>
  <c r="BD39" i="1"/>
  <c r="CK12" i="1"/>
  <c r="CK24" i="1" s="1"/>
  <c r="BD7" i="1"/>
  <c r="BD8" i="1"/>
  <c r="BD9" i="1"/>
  <c r="BD17" i="1"/>
  <c r="BD18" i="1"/>
  <c r="BD19" i="1"/>
  <c r="DT26" i="1"/>
  <c r="DT31" i="1"/>
  <c r="BD32" i="1"/>
  <c r="DV32" i="1"/>
  <c r="DT39" i="1"/>
  <c r="DT58" i="1" s="1"/>
  <c r="BD40" i="1"/>
  <c r="BD45" i="1"/>
  <c r="BD48" i="1"/>
  <c r="BD50" i="1"/>
  <c r="BD51" i="1"/>
  <c r="BD53" i="1"/>
  <c r="BD42" i="1"/>
  <c r="BD49" i="1"/>
  <c r="DR15" i="1"/>
  <c r="DR26" i="1"/>
  <c r="DR28" i="1" s="1"/>
  <c r="DR31" i="1"/>
  <c r="DR36" i="1" s="1"/>
  <c r="DR39" i="1"/>
  <c r="DR58" i="1" s="1"/>
  <c r="CK94" i="1"/>
  <c r="DT86" i="1"/>
  <c r="DR124" i="1"/>
  <c r="DR141" i="1" s="1"/>
  <c r="G87" i="1"/>
  <c r="G91" i="1"/>
  <c r="G120" i="1"/>
  <c r="G119" i="1"/>
  <c r="G118" i="1"/>
  <c r="G116" i="1"/>
  <c r="G10" i="1"/>
  <c r="F146" i="1"/>
  <c r="G68" i="1"/>
  <c r="C22" i="1"/>
  <c r="E36" i="1"/>
  <c r="G76" i="1"/>
  <c r="E22" i="1"/>
  <c r="G21" i="1"/>
  <c r="CM118" i="1"/>
  <c r="CM116" i="1"/>
  <c r="C186" i="1"/>
  <c r="C185" i="1"/>
  <c r="C184" i="1"/>
  <c r="C183" i="1"/>
  <c r="G137" i="1"/>
  <c r="G136" i="1"/>
  <c r="G134" i="1"/>
  <c r="G133" i="1"/>
  <c r="G132" i="1"/>
  <c r="G131" i="1"/>
  <c r="G130" i="1"/>
  <c r="G129" i="1"/>
  <c r="G128" i="1"/>
  <c r="G127" i="1"/>
  <c r="G124" i="1"/>
  <c r="E121" i="1"/>
  <c r="C121" i="1"/>
  <c r="G115" i="1"/>
  <c r="G77" i="1"/>
  <c r="G75" i="1"/>
  <c r="G72" i="1"/>
  <c r="G71" i="1"/>
  <c r="G70" i="1"/>
  <c r="G69" i="1"/>
  <c r="G67" i="1"/>
  <c r="G66" i="1"/>
  <c r="G64" i="1"/>
  <c r="G63" i="1"/>
  <c r="G58" i="1"/>
  <c r="H58" i="1" s="1"/>
  <c r="G53" i="1"/>
  <c r="G51" i="1"/>
  <c r="G50" i="1"/>
  <c r="G49" i="1"/>
  <c r="G48" i="1"/>
  <c r="G45" i="1"/>
  <c r="G44" i="1"/>
  <c r="G42" i="1"/>
  <c r="G40" i="1"/>
  <c r="G39" i="1"/>
  <c r="C36" i="1"/>
  <c r="G35" i="1"/>
  <c r="G33" i="1"/>
  <c r="G32" i="1"/>
  <c r="G31" i="1"/>
  <c r="G26" i="1"/>
  <c r="H26" i="1" s="1"/>
  <c r="G19" i="1"/>
  <c r="G18" i="1"/>
  <c r="G17" i="1"/>
  <c r="G16" i="1"/>
  <c r="G15" i="1"/>
  <c r="G9" i="1"/>
  <c r="G8" i="1"/>
  <c r="G7" i="1"/>
  <c r="DT124" i="1"/>
  <c r="DT141" i="1" s="1"/>
  <c r="DT115" i="1"/>
  <c r="DT61" i="1"/>
  <c r="DT82" i="1" s="1"/>
  <c r="DR115" i="1"/>
  <c r="DR121" i="1" s="1"/>
  <c r="DR107" i="1"/>
  <c r="DR112" i="1" s="1"/>
  <c r="DR61" i="1"/>
  <c r="CM120" i="1"/>
  <c r="CM119" i="1"/>
  <c r="CM115" i="1"/>
  <c r="BD137" i="1"/>
  <c r="BD136" i="1"/>
  <c r="BD135" i="1"/>
  <c r="BD134" i="1"/>
  <c r="BD130" i="1"/>
  <c r="BD129" i="1"/>
  <c r="BD115" i="1"/>
  <c r="AZ121" i="1"/>
  <c r="BD75" i="1"/>
  <c r="BD71" i="1"/>
  <c r="BD70" i="1"/>
  <c r="BD69" i="1"/>
  <c r="BD67" i="1"/>
  <c r="BD64" i="1"/>
  <c r="BD63" i="1"/>
  <c r="CM7" i="1"/>
  <c r="CM12" i="1" s="1"/>
  <c r="CM24" i="1" s="1"/>
  <c r="BD77" i="1"/>
  <c r="BD33" i="1"/>
  <c r="BD131" i="1"/>
  <c r="BD119" i="1"/>
  <c r="G89" i="1"/>
  <c r="BD120" i="1"/>
  <c r="CJ146" i="1"/>
  <c r="CI197" i="1"/>
  <c r="BD10" i="1"/>
  <c r="CK36" i="1"/>
  <c r="BD89" i="1"/>
  <c r="DR82" i="1" l="1"/>
  <c r="DR156" i="1" s="1"/>
  <c r="DY61" i="1"/>
  <c r="DD197" i="1"/>
  <c r="DH197" i="1" s="1"/>
  <c r="DD158" i="1"/>
  <c r="DV15" i="1"/>
  <c r="DR22" i="1"/>
  <c r="DY7" i="1"/>
  <c r="DR12" i="1"/>
  <c r="CW197" i="1"/>
  <c r="DA197" i="1" s="1"/>
  <c r="CW156" i="1"/>
  <c r="CX156" i="1" s="1"/>
  <c r="BN156" i="1"/>
  <c r="BO156" i="1" s="1"/>
  <c r="BU156" i="1"/>
  <c r="BV156" i="1" s="1"/>
  <c r="DV31" i="1"/>
  <c r="DO12" i="1"/>
  <c r="DO24" i="1" s="1"/>
  <c r="DO158" i="1" s="1"/>
  <c r="DV26" i="1"/>
  <c r="DV28" i="1" s="1"/>
  <c r="DV163" i="1"/>
  <c r="BG156" i="1"/>
  <c r="BH156" i="1" s="1"/>
  <c r="DV86" i="1"/>
  <c r="DV94" i="1" s="1"/>
  <c r="DT94" i="1"/>
  <c r="DU94" i="1" s="1"/>
  <c r="CL94" i="1"/>
  <c r="DV115" i="1"/>
  <c r="DV121" i="1" s="1"/>
  <c r="DV124" i="1"/>
  <c r="DV141" i="1" s="1"/>
  <c r="DW141" i="1" s="1"/>
  <c r="DT194" i="1"/>
  <c r="DV35" i="1"/>
  <c r="DT193" i="1"/>
  <c r="DV33" i="1"/>
  <c r="CK141" i="1"/>
  <c r="CM124" i="1"/>
  <c r="CM141" i="1" s="1"/>
  <c r="DV39" i="1"/>
  <c r="DV58" i="1" s="1"/>
  <c r="DV61" i="1"/>
  <c r="DV82" i="1" s="1"/>
  <c r="DT195" i="1"/>
  <c r="DV34" i="1"/>
  <c r="CM121" i="1"/>
  <c r="CM86" i="1"/>
  <c r="CM94" i="1" s="1"/>
  <c r="CN94" i="1" s="1"/>
  <c r="AS156" i="1"/>
  <c r="CK197" i="1"/>
  <c r="CM197" i="1" s="1"/>
  <c r="BK188" i="1"/>
  <c r="DO197" i="1"/>
  <c r="DO188" i="1"/>
  <c r="BY197" i="1"/>
  <c r="DR184" i="1"/>
  <c r="DV184" i="1" s="1"/>
  <c r="AI12" i="1"/>
  <c r="AJ12" i="1" s="1"/>
  <c r="DR179" i="1"/>
  <c r="Y20" i="1"/>
  <c r="X192" i="1"/>
  <c r="X195" i="1"/>
  <c r="X193" i="1"/>
  <c r="X188" i="1"/>
  <c r="X196" i="1"/>
  <c r="X194" i="1"/>
  <c r="X197" i="1"/>
  <c r="X191" i="1"/>
  <c r="DA188" i="1"/>
  <c r="DH188" i="1"/>
  <c r="DR178" i="1"/>
  <c r="DR180" i="1"/>
  <c r="DV180" i="1" s="1"/>
  <c r="CK188" i="1"/>
  <c r="CM188" i="1" s="1"/>
  <c r="DS19" i="1"/>
  <c r="DR185" i="1"/>
  <c r="DV185" i="1" s="1"/>
  <c r="DT192" i="1"/>
  <c r="CQ156" i="1"/>
  <c r="CP197" i="1"/>
  <c r="CT197" i="1" s="1"/>
  <c r="DR186" i="1"/>
  <c r="DV186" i="1" s="1"/>
  <c r="DR183" i="1"/>
  <c r="DV183" i="1" s="1"/>
  <c r="DT28" i="1"/>
  <c r="DT191" i="1"/>
  <c r="BD12" i="1"/>
  <c r="BE12" i="1" s="1"/>
  <c r="Z196" i="1"/>
  <c r="Z197" i="1"/>
  <c r="CL20" i="1"/>
  <c r="CK196" i="1"/>
  <c r="CM196" i="1" s="1"/>
  <c r="CK193" i="1"/>
  <c r="CM193" i="1" s="1"/>
  <c r="CK191" i="1"/>
  <c r="CM191" i="1" s="1"/>
  <c r="CK194" i="1"/>
  <c r="CK192" i="1"/>
  <c r="CM192" i="1" s="1"/>
  <c r="CK195" i="1"/>
  <c r="BK197" i="1"/>
  <c r="BR188" i="1"/>
  <c r="BY188" i="1"/>
  <c r="DS17" i="1"/>
  <c r="DS15" i="1"/>
  <c r="U12" i="1"/>
  <c r="V12" i="1" s="1"/>
  <c r="DM156" i="1"/>
  <c r="DS18" i="1"/>
  <c r="DS16" i="1"/>
  <c r="CL11" i="1"/>
  <c r="CL10" i="1"/>
  <c r="CL8" i="1"/>
  <c r="CL9" i="1"/>
  <c r="CL7" i="1"/>
  <c r="R9" i="1"/>
  <c r="R10" i="1"/>
  <c r="R8" i="1"/>
  <c r="R7" i="1"/>
  <c r="R11" i="1"/>
  <c r="DY8" i="1"/>
  <c r="Y11" i="1"/>
  <c r="Y8" i="1"/>
  <c r="Y7" i="1"/>
  <c r="Y10" i="1"/>
  <c r="Y9" i="1"/>
  <c r="DY26" i="1"/>
  <c r="DF156" i="1"/>
  <c r="DL156" i="1"/>
  <c r="Z94" i="1"/>
  <c r="E156" i="1"/>
  <c r="N12" i="1"/>
  <c r="O12" i="1" s="1"/>
  <c r="S156" i="1"/>
  <c r="DI12" i="1"/>
  <c r="BI156" i="1"/>
  <c r="CL104" i="1"/>
  <c r="CL82" i="1"/>
  <c r="BK12" i="1"/>
  <c r="BL12" i="1" s="1"/>
  <c r="BZ12" i="1"/>
  <c r="AU156" i="1"/>
  <c r="DB12" i="1"/>
  <c r="AN156" i="1"/>
  <c r="CJ156" i="1"/>
  <c r="DY82" i="1"/>
  <c r="CR156" i="1"/>
  <c r="CU12" i="1"/>
  <c r="AG156" i="1"/>
  <c r="AW12" i="1"/>
  <c r="AX12" i="1" s="1"/>
  <c r="DN82" i="1"/>
  <c r="DN153" i="1"/>
  <c r="DN141" i="1"/>
  <c r="DN28" i="1"/>
  <c r="DN104" i="1"/>
  <c r="DG146" i="1"/>
  <c r="DG82" i="1"/>
  <c r="DG153" i="1"/>
  <c r="DG28" i="1"/>
  <c r="DG141" i="1"/>
  <c r="DG104" i="1"/>
  <c r="CZ146" i="1"/>
  <c r="CZ82" i="1"/>
  <c r="CZ104" i="1"/>
  <c r="CZ28" i="1"/>
  <c r="CZ141" i="1"/>
  <c r="CZ153" i="1"/>
  <c r="CS160" i="1"/>
  <c r="CS169" i="1"/>
  <c r="CS104" i="1"/>
  <c r="CS28" i="1"/>
  <c r="CS141" i="1"/>
  <c r="CS153" i="1"/>
  <c r="CS82" i="1"/>
  <c r="DP26" i="1"/>
  <c r="DI26" i="1"/>
  <c r="DB26" i="1"/>
  <c r="BQ146" i="1"/>
  <c r="BQ94" i="1"/>
  <c r="BQ141" i="1"/>
  <c r="BQ153" i="1"/>
  <c r="BQ28" i="1"/>
  <c r="BJ28" i="1"/>
  <c r="BJ141" i="1"/>
  <c r="BJ94" i="1"/>
  <c r="BJ153" i="1"/>
  <c r="Z121" i="1"/>
  <c r="Y146" i="1"/>
  <c r="Y121" i="1"/>
  <c r="Y112" i="1"/>
  <c r="Y141" i="1"/>
  <c r="Y169" i="1"/>
  <c r="Y104" i="1"/>
  <c r="Y156" i="1"/>
  <c r="AP12" i="1"/>
  <c r="AQ12" i="1" s="1"/>
  <c r="CX146" i="1"/>
  <c r="K169" i="1"/>
  <c r="K146" i="1"/>
  <c r="K82" i="1"/>
  <c r="BJ146" i="1"/>
  <c r="BV146" i="1"/>
  <c r="DN146" i="1"/>
  <c r="Z112" i="1"/>
  <c r="L156" i="1"/>
  <c r="CS146" i="1"/>
  <c r="R169" i="1"/>
  <c r="R28" i="1"/>
  <c r="R153" i="1"/>
  <c r="R146" i="1"/>
  <c r="R104" i="1"/>
  <c r="R82" i="1"/>
  <c r="AO146" i="1"/>
  <c r="AB163" i="1"/>
  <c r="Z169" i="1"/>
  <c r="Z141" i="1"/>
  <c r="BS26" i="1"/>
  <c r="BL26" i="1"/>
  <c r="CN26" i="1"/>
  <c r="G12" i="1"/>
  <c r="H12" i="1" s="1"/>
  <c r="BJ36" i="1"/>
  <c r="AO26" i="1"/>
  <c r="CS36" i="1"/>
  <c r="CU22" i="1"/>
  <c r="E188" i="1"/>
  <c r="K27" i="1"/>
  <c r="K28" i="1"/>
  <c r="M27" i="1"/>
  <c r="M28" i="1"/>
  <c r="L197" i="1"/>
  <c r="D28" i="1"/>
  <c r="D27" i="1"/>
  <c r="J188" i="1"/>
  <c r="F27" i="1"/>
  <c r="F28" i="1"/>
  <c r="BQ160" i="1"/>
  <c r="T160" i="1"/>
  <c r="T141" i="1"/>
  <c r="AH160" i="1"/>
  <c r="AH141" i="1"/>
  <c r="AH104" i="1"/>
  <c r="CN22" i="1"/>
  <c r="CJ160" i="1"/>
  <c r="AM160" i="1"/>
  <c r="BH160" i="1"/>
  <c r="BK36" i="1"/>
  <c r="BL36" i="1" s="1"/>
  <c r="BV160" i="1"/>
  <c r="DG160" i="1"/>
  <c r="DE160" i="1"/>
  <c r="DN26" i="1"/>
  <c r="J193" i="1"/>
  <c r="J194" i="1"/>
  <c r="J192" i="1"/>
  <c r="J195" i="1"/>
  <c r="K160" i="1"/>
  <c r="J191" i="1"/>
  <c r="K153" i="1"/>
  <c r="J196" i="1"/>
  <c r="K141" i="1"/>
  <c r="K104" i="1"/>
  <c r="AO160" i="1"/>
  <c r="BJ160" i="1"/>
  <c r="BX160" i="1"/>
  <c r="L193" i="1"/>
  <c r="L195" i="1"/>
  <c r="L191" i="1"/>
  <c r="L194" i="1"/>
  <c r="M160" i="1"/>
  <c r="L192" i="1"/>
  <c r="M153" i="1"/>
  <c r="L196" i="1"/>
  <c r="M104" i="1"/>
  <c r="M141" i="1"/>
  <c r="CX160" i="1"/>
  <c r="AT160" i="1"/>
  <c r="C195" i="1"/>
  <c r="D160" i="1"/>
  <c r="D104" i="1"/>
  <c r="D153" i="1"/>
  <c r="CN12" i="1"/>
  <c r="AT36" i="1"/>
  <c r="BO160" i="1"/>
  <c r="DN160" i="1"/>
  <c r="E195" i="1"/>
  <c r="E191" i="1"/>
  <c r="E194" i="1"/>
  <c r="E193" i="1"/>
  <c r="E192" i="1"/>
  <c r="F104" i="1"/>
  <c r="F160" i="1"/>
  <c r="F153" i="1"/>
  <c r="E196" i="1"/>
  <c r="L188" i="1"/>
  <c r="R160" i="1"/>
  <c r="R141" i="1"/>
  <c r="CZ160" i="1"/>
  <c r="DL160" i="1"/>
  <c r="AV160" i="1"/>
  <c r="AF160" i="1"/>
  <c r="AF104" i="1"/>
  <c r="AF141" i="1"/>
  <c r="BA160" i="1"/>
  <c r="AB77" i="1"/>
  <c r="AB75" i="1"/>
  <c r="AB71" i="1"/>
  <c r="AG24" i="1"/>
  <c r="AH58" i="1"/>
  <c r="AH82" i="1"/>
  <c r="AO58" i="1"/>
  <c r="CZ58" i="1"/>
  <c r="CQ58" i="1"/>
  <c r="DK24" i="1"/>
  <c r="DL58" i="1"/>
  <c r="AT58" i="1"/>
  <c r="AM58" i="1"/>
  <c r="AV58" i="1"/>
  <c r="AV36" i="1"/>
  <c r="CR24" i="1"/>
  <c r="CS58" i="1"/>
  <c r="DN58" i="1"/>
  <c r="BS169" i="1"/>
  <c r="BA58" i="1"/>
  <c r="AV121" i="1"/>
  <c r="R58" i="1"/>
  <c r="K58" i="1"/>
  <c r="T58" i="1"/>
  <c r="BV58" i="1"/>
  <c r="DG58" i="1"/>
  <c r="AV26" i="1"/>
  <c r="M58" i="1"/>
  <c r="BH58" i="1"/>
  <c r="BN24" i="1"/>
  <c r="BO58" i="1"/>
  <c r="BW24" i="1"/>
  <c r="BX58" i="1"/>
  <c r="CJ58" i="1"/>
  <c r="AM26" i="1"/>
  <c r="BJ58" i="1"/>
  <c r="BQ58" i="1"/>
  <c r="CW24" i="1"/>
  <c r="CX58" i="1"/>
  <c r="DE58" i="1"/>
  <c r="AV169" i="1"/>
  <c r="AE24" i="1"/>
  <c r="AF24" i="1" s="1"/>
  <c r="AF82" i="1"/>
  <c r="AF58" i="1"/>
  <c r="AP184" i="1"/>
  <c r="AB166" i="1"/>
  <c r="D10" i="1"/>
  <c r="C24" i="1"/>
  <c r="J24" i="1"/>
  <c r="BJ121" i="1"/>
  <c r="BI24" i="1"/>
  <c r="DF24" i="1"/>
  <c r="AU24" i="1"/>
  <c r="M9" i="1"/>
  <c r="L24" i="1"/>
  <c r="CP24" i="1"/>
  <c r="CP158" i="1" s="1"/>
  <c r="CI24" i="1"/>
  <c r="CI158" i="1" s="1"/>
  <c r="AF121" i="1"/>
  <c r="BU24" i="1"/>
  <c r="DB121" i="1"/>
  <c r="AB137" i="1"/>
  <c r="S24" i="1"/>
  <c r="AF36" i="1"/>
  <c r="BP24" i="1"/>
  <c r="BP158" i="1" s="1"/>
  <c r="BG24" i="1"/>
  <c r="CY24" i="1"/>
  <c r="AL24" i="1"/>
  <c r="DM24" i="1"/>
  <c r="G169" i="1"/>
  <c r="H169" i="1" s="1"/>
  <c r="AN24" i="1"/>
  <c r="AM169" i="1"/>
  <c r="AS24" i="1"/>
  <c r="F9" i="1"/>
  <c r="E24" i="1"/>
  <c r="F24" i="1" s="1"/>
  <c r="DI121" i="1"/>
  <c r="AB43" i="1"/>
  <c r="AB167" i="1"/>
  <c r="G186" i="1"/>
  <c r="DG22" i="1"/>
  <c r="DG112" i="1"/>
  <c r="CZ121" i="1"/>
  <c r="CZ26" i="1"/>
  <c r="AO169" i="1"/>
  <c r="AO121" i="1"/>
  <c r="M10" i="1"/>
  <c r="M8" i="1"/>
  <c r="D58" i="1"/>
  <c r="D141" i="1"/>
  <c r="D7" i="1"/>
  <c r="C192" i="1"/>
  <c r="DN169" i="1"/>
  <c r="DG169" i="1"/>
  <c r="DG36" i="1"/>
  <c r="DG26" i="1"/>
  <c r="EC89" i="1"/>
  <c r="DB36" i="1"/>
  <c r="CK121" i="1"/>
  <c r="AI121" i="1"/>
  <c r="AI185" i="1"/>
  <c r="AI180" i="1"/>
  <c r="AI183" i="1"/>
  <c r="AI184" i="1"/>
  <c r="EC87" i="1"/>
  <c r="AP169" i="1"/>
  <c r="AQ169" i="1" s="1"/>
  <c r="BD91" i="1"/>
  <c r="AP185" i="1"/>
  <c r="AP22" i="1"/>
  <c r="AQ22" i="1" s="1"/>
  <c r="AP183" i="1"/>
  <c r="G180" i="1"/>
  <c r="N112" i="1"/>
  <c r="O112" i="1" s="1"/>
  <c r="U94" i="1"/>
  <c r="V94" i="1" s="1"/>
  <c r="AI22" i="1"/>
  <c r="AJ22" i="1" s="1"/>
  <c r="BD148" i="1"/>
  <c r="EC130" i="1"/>
  <c r="BZ22" i="1"/>
  <c r="BD86" i="1"/>
  <c r="BK121" i="1"/>
  <c r="BL121" i="1" s="1"/>
  <c r="AV112" i="1"/>
  <c r="CS112" i="1"/>
  <c r="G82" i="1"/>
  <c r="H82" i="1" s="1"/>
  <c r="BB36" i="1"/>
  <c r="BB197" i="1" s="1"/>
  <c r="BB169" i="1"/>
  <c r="BJ112" i="1"/>
  <c r="CY112" i="1"/>
  <c r="DB112" i="1" s="1"/>
  <c r="EC120" i="1"/>
  <c r="DP169" i="1"/>
  <c r="AB128" i="1"/>
  <c r="EC131" i="1"/>
  <c r="AB124" i="1"/>
  <c r="AB115" i="1"/>
  <c r="AB64" i="1"/>
  <c r="AB63" i="1"/>
  <c r="AB33" i="1"/>
  <c r="U22" i="1"/>
  <c r="V22" i="1" s="1"/>
  <c r="T121" i="1"/>
  <c r="U184" i="1"/>
  <c r="T94" i="1"/>
  <c r="U183" i="1"/>
  <c r="DY163" i="1"/>
  <c r="DY169" i="1" s="1"/>
  <c r="AB65" i="1"/>
  <c r="AB32" i="1"/>
  <c r="AB26" i="1"/>
  <c r="M121" i="1"/>
  <c r="M36" i="1"/>
  <c r="M7" i="1"/>
  <c r="M26" i="1"/>
  <c r="N185" i="1"/>
  <c r="N184" i="1"/>
  <c r="AB118" i="1"/>
  <c r="AB88" i="1"/>
  <c r="G183" i="1"/>
  <c r="F94" i="1"/>
  <c r="F8" i="1"/>
  <c r="F36" i="1"/>
  <c r="AB91" i="1"/>
  <c r="AB62" i="1"/>
  <c r="AB67" i="1"/>
  <c r="DY15" i="1"/>
  <c r="AB44" i="1"/>
  <c r="DP36" i="1"/>
  <c r="DL36" i="1"/>
  <c r="DL26" i="1"/>
  <c r="DL121" i="1"/>
  <c r="DL22" i="1"/>
  <c r="DL169" i="1"/>
  <c r="DL112" i="1"/>
  <c r="DI169" i="1"/>
  <c r="DY10" i="1"/>
  <c r="N66" i="1"/>
  <c r="AB66" i="1"/>
  <c r="AP133" i="1"/>
  <c r="R26" i="1"/>
  <c r="R22" i="1"/>
  <c r="F10" i="1"/>
  <c r="F26" i="1"/>
  <c r="F82" i="1"/>
  <c r="E197" i="1"/>
  <c r="F58" i="1"/>
  <c r="F112" i="1"/>
  <c r="F7" i="1"/>
  <c r="BX169" i="1"/>
  <c r="BX36" i="1"/>
  <c r="F121" i="1"/>
  <c r="D26" i="1"/>
  <c r="D8" i="1"/>
  <c r="C193" i="1"/>
  <c r="C191" i="1"/>
  <c r="D9" i="1"/>
  <c r="C194" i="1"/>
  <c r="D112" i="1"/>
  <c r="G199" i="1"/>
  <c r="DN121" i="1"/>
  <c r="DP121" i="1"/>
  <c r="AT169" i="1"/>
  <c r="AW169" i="1"/>
  <c r="AX169" i="1" s="1"/>
  <c r="BD127" i="1"/>
  <c r="EC127" i="1"/>
  <c r="R121" i="1"/>
  <c r="BJ22" i="1"/>
  <c r="EC135" i="1"/>
  <c r="R112" i="1"/>
  <c r="BA26" i="1"/>
  <c r="BA121" i="1"/>
  <c r="D82" i="1"/>
  <c r="U121" i="1"/>
  <c r="V121" i="1" s="1"/>
  <c r="EA163" i="1"/>
  <c r="EA169" i="1" s="1"/>
  <c r="AB129" i="1"/>
  <c r="EC129" i="1"/>
  <c r="AB69" i="1"/>
  <c r="EC69" i="1"/>
  <c r="AL36" i="1"/>
  <c r="AL156" i="1" s="1"/>
  <c r="BD163" i="1"/>
  <c r="DN36" i="1"/>
  <c r="AI186" i="1"/>
  <c r="AO36" i="1"/>
  <c r="AW186" i="1"/>
  <c r="BJ26" i="1"/>
  <c r="BK112" i="1"/>
  <c r="BL112" i="1" s="1"/>
  <c r="BV22" i="1"/>
  <c r="N180" i="1"/>
  <c r="N186" i="1"/>
  <c r="AB168" i="1"/>
  <c r="AF26" i="1"/>
  <c r="DI112" i="1"/>
  <c r="AE112" i="1"/>
  <c r="AF112" i="1" s="1"/>
  <c r="F169" i="1"/>
  <c r="AI35" i="1"/>
  <c r="AB135" i="1"/>
  <c r="AW185" i="1"/>
  <c r="C196" i="1"/>
  <c r="AB87" i="1"/>
  <c r="EA31" i="1"/>
  <c r="CS22" i="1"/>
  <c r="CZ22" i="1"/>
  <c r="EB19" i="1"/>
  <c r="DY21" i="1"/>
  <c r="EA115" i="1"/>
  <c r="EC42" i="1"/>
  <c r="EC137" i="1"/>
  <c r="CM107" i="1"/>
  <c r="CM112" i="1" s="1"/>
  <c r="BX22" i="1"/>
  <c r="AM22" i="1"/>
  <c r="N121" i="1"/>
  <c r="O121" i="1" s="1"/>
  <c r="BJ169" i="1"/>
  <c r="AI148" i="1"/>
  <c r="N35" i="1"/>
  <c r="J36" i="1"/>
  <c r="J197" i="1" s="1"/>
  <c r="G135" i="1"/>
  <c r="BD199" i="1"/>
  <c r="EC134" i="1"/>
  <c r="DY115" i="1"/>
  <c r="D36" i="1"/>
  <c r="EC119" i="1"/>
  <c r="CS26" i="1"/>
  <c r="CS121" i="1"/>
  <c r="T26" i="1"/>
  <c r="D169" i="1"/>
  <c r="U41" i="1"/>
  <c r="AB41" i="1"/>
  <c r="U180" i="1"/>
  <c r="U186" i="1"/>
  <c r="AP180" i="1"/>
  <c r="AP186" i="1"/>
  <c r="EC67" i="1"/>
  <c r="AI36" i="1"/>
  <c r="AJ36" i="1" s="1"/>
  <c r="AI94" i="1"/>
  <c r="BO22" i="1"/>
  <c r="N183" i="1"/>
  <c r="M112" i="1"/>
  <c r="AF22" i="1"/>
  <c r="BQ22" i="1"/>
  <c r="BX121" i="1"/>
  <c r="BV169" i="1"/>
  <c r="BW156" i="1"/>
  <c r="DG121" i="1"/>
  <c r="AB89" i="1"/>
  <c r="AB18" i="1"/>
  <c r="AB72" i="1"/>
  <c r="EA39" i="1"/>
  <c r="EA58" i="1" s="1"/>
  <c r="EC125" i="1"/>
  <c r="DV148" i="1"/>
  <c r="EC128" i="1"/>
  <c r="DY17" i="1"/>
  <c r="CX36" i="1"/>
  <c r="CX112" i="1"/>
  <c r="CX22" i="1"/>
  <c r="CX121" i="1"/>
  <c r="CX26" i="1"/>
  <c r="CX169" i="1"/>
  <c r="DV169" i="1"/>
  <c r="DW169" i="1" s="1"/>
  <c r="DY124" i="1"/>
  <c r="DY141" i="1" s="1"/>
  <c r="DY142" i="1" s="1"/>
  <c r="EC76" i="1"/>
  <c r="EC70" i="1"/>
  <c r="AB48" i="1"/>
  <c r="EC51" i="1"/>
  <c r="DY107" i="1"/>
  <c r="BD184" i="1"/>
  <c r="BD180" i="1"/>
  <c r="EA86" i="1"/>
  <c r="BD62" i="1"/>
  <c r="AB45" i="1"/>
  <c r="BD76" i="1"/>
  <c r="DY9" i="1"/>
  <c r="DV7" i="1"/>
  <c r="DV12" i="1" s="1"/>
  <c r="AB42" i="1"/>
  <c r="AB70" i="1"/>
  <c r="CQ22" i="1"/>
  <c r="CQ36" i="1"/>
  <c r="CQ26" i="1"/>
  <c r="BZ169" i="1"/>
  <c r="BV112" i="1"/>
  <c r="AB7" i="1"/>
  <c r="AB21" i="1"/>
  <c r="BD185" i="1"/>
  <c r="AB16" i="1"/>
  <c r="BS112" i="1"/>
  <c r="F141" i="1"/>
  <c r="EA124" i="1"/>
  <c r="C94" i="1"/>
  <c r="C156" i="1" s="1"/>
  <c r="EC68" i="1"/>
  <c r="AB76" i="1"/>
  <c r="AB31" i="1"/>
  <c r="AW180" i="1"/>
  <c r="C197" i="1"/>
  <c r="AB9" i="1"/>
  <c r="T22" i="1"/>
  <c r="G36" i="1"/>
  <c r="H36" i="1" s="1"/>
  <c r="BD124" i="1"/>
  <c r="AB130" i="1"/>
  <c r="CZ36" i="1"/>
  <c r="DB22" i="1"/>
  <c r="AO22" i="1"/>
  <c r="DP22" i="1"/>
  <c r="R94" i="1"/>
  <c r="DE169" i="1"/>
  <c r="U199" i="1"/>
  <c r="AW183" i="1"/>
  <c r="BK22" i="1"/>
  <c r="BL22" i="1" s="1"/>
  <c r="AB138" i="1"/>
  <c r="DN22" i="1"/>
  <c r="DE121" i="1"/>
  <c r="EC77" i="1"/>
  <c r="BB121" i="1"/>
  <c r="BD128" i="1"/>
  <c r="DT121" i="1"/>
  <c r="G86" i="1"/>
  <c r="G184" i="1"/>
  <c r="G185" i="1"/>
  <c r="AB116" i="1"/>
  <c r="BQ26" i="1"/>
  <c r="BQ121" i="1"/>
  <c r="BQ169" i="1"/>
  <c r="U185" i="1"/>
  <c r="AB132" i="1"/>
  <c r="AB119" i="1"/>
  <c r="DE112" i="1"/>
  <c r="AM112" i="1"/>
  <c r="BD126" i="1"/>
  <c r="BD61" i="1"/>
  <c r="G112" i="1"/>
  <c r="H112" i="1" s="1"/>
  <c r="AB134" i="1"/>
  <c r="AB131" i="1"/>
  <c r="AB120" i="1"/>
  <c r="AB40" i="1"/>
  <c r="BD15" i="1"/>
  <c r="AB8" i="1"/>
  <c r="AB53" i="1"/>
  <c r="DY39" i="1"/>
  <c r="DY58" i="1" s="1"/>
  <c r="AZ22" i="1"/>
  <c r="AZ188" i="1" s="1"/>
  <c r="Z22" i="1"/>
  <c r="Z188" i="1" s="1"/>
  <c r="EA15" i="1"/>
  <c r="BS121" i="1"/>
  <c r="AB50" i="1"/>
  <c r="DY19" i="1"/>
  <c r="DT22" i="1"/>
  <c r="DT188" i="1" s="1"/>
  <c r="CN36" i="1"/>
  <c r="AB52" i="1"/>
  <c r="AB39" i="1"/>
  <c r="BD21" i="1"/>
  <c r="DY16" i="1"/>
  <c r="BO121" i="1"/>
  <c r="BO112" i="1"/>
  <c r="BO36" i="1"/>
  <c r="BO169" i="1"/>
  <c r="BO26" i="1"/>
  <c r="EA26" i="1"/>
  <c r="BD26" i="1"/>
  <c r="BE26" i="1" s="1"/>
  <c r="DT107" i="1"/>
  <c r="DV107" i="1" s="1"/>
  <c r="DV112" i="1" s="1"/>
  <c r="AI133" i="1"/>
  <c r="AP66" i="1"/>
  <c r="AF169" i="1"/>
  <c r="AI169" i="1"/>
  <c r="AJ169" i="1" s="1"/>
  <c r="AW22" i="1"/>
  <c r="AX22" i="1" s="1"/>
  <c r="AV22" i="1"/>
  <c r="DT36" i="1"/>
  <c r="EA7" i="1"/>
  <c r="G22" i="1"/>
  <c r="H22" i="1" s="1"/>
  <c r="AT112" i="1"/>
  <c r="AW112" i="1"/>
  <c r="AX112" i="1" s="1"/>
  <c r="AT121" i="1"/>
  <c r="AW121" i="1"/>
  <c r="AX121" i="1" s="1"/>
  <c r="DE22" i="1"/>
  <c r="DI22" i="1"/>
  <c r="BC146" i="1"/>
  <c r="DY18" i="1"/>
  <c r="BD186" i="1"/>
  <c r="BB22" i="1"/>
  <c r="BB188" i="1" s="1"/>
  <c r="C188" i="1"/>
  <c r="D22" i="1"/>
  <c r="BD44" i="1"/>
  <c r="BD183" i="1"/>
  <c r="BD16" i="1"/>
  <c r="BD65" i="1"/>
  <c r="EC65" i="1"/>
  <c r="BD132" i="1"/>
  <c r="EC132" i="1"/>
  <c r="AB136" i="1"/>
  <c r="AB61" i="1"/>
  <c r="EA61" i="1"/>
  <c r="EA82" i="1" s="1"/>
  <c r="BS36" i="1"/>
  <c r="BQ36" i="1"/>
  <c r="DI36" i="1"/>
  <c r="BD43" i="1"/>
  <c r="AW86" i="1"/>
  <c r="T112" i="1"/>
  <c r="AH22" i="1"/>
  <c r="AH112" i="1"/>
  <c r="AH94" i="1"/>
  <c r="AH26" i="1"/>
  <c r="AH169" i="1"/>
  <c r="AH121" i="1"/>
  <c r="AH36" i="1"/>
  <c r="CU112" i="1"/>
  <c r="CQ112" i="1"/>
  <c r="CU121" i="1"/>
  <c r="CQ121" i="1"/>
  <c r="AB34" i="1"/>
  <c r="K112" i="1"/>
  <c r="K121" i="1"/>
  <c r="K10" i="1"/>
  <c r="N199" i="1"/>
  <c r="K26" i="1"/>
  <c r="M22" i="1"/>
  <c r="N22" i="1"/>
  <c r="O22" i="1" s="1"/>
  <c r="M94" i="1"/>
  <c r="T36" i="1"/>
  <c r="AM121" i="1"/>
  <c r="AP121" i="1"/>
  <c r="AQ121" i="1" s="1"/>
  <c r="AT22" i="1"/>
  <c r="BV121" i="1"/>
  <c r="BZ121" i="1"/>
  <c r="U68" i="1"/>
  <c r="AP72" i="1"/>
  <c r="D121" i="1"/>
  <c r="F22" i="1"/>
  <c r="G121" i="1"/>
  <c r="AW36" i="1"/>
  <c r="AB19" i="1"/>
  <c r="AB127" i="1"/>
  <c r="AB51" i="1"/>
  <c r="DB169" i="1"/>
  <c r="CZ169" i="1"/>
  <c r="U112" i="1"/>
  <c r="AB68" i="1"/>
  <c r="AB15" i="1"/>
  <c r="BK169" i="1"/>
  <c r="BL169" i="1" s="1"/>
  <c r="AB10" i="1"/>
  <c r="AB17" i="1"/>
  <c r="BV36" i="1"/>
  <c r="U26" i="1"/>
  <c r="V26" i="1" s="1"/>
  <c r="BH169" i="1"/>
  <c r="BH26" i="1"/>
  <c r="BH22" i="1"/>
  <c r="BH112" i="1"/>
  <c r="BH36" i="1"/>
  <c r="CJ36" i="1"/>
  <c r="CJ121" i="1"/>
  <c r="CJ112" i="1"/>
  <c r="CJ169" i="1"/>
  <c r="CJ22" i="1"/>
  <c r="BH121" i="1"/>
  <c r="CJ26" i="1"/>
  <c r="EC52" i="1"/>
  <c r="CN169" i="1"/>
  <c r="DP12" i="1" l="1"/>
  <c r="DD171" i="1"/>
  <c r="DE171" i="1" s="1"/>
  <c r="DE156" i="1"/>
  <c r="BN158" i="1"/>
  <c r="DY12" i="1"/>
  <c r="DY191" i="1" s="1"/>
  <c r="DM158" i="1"/>
  <c r="DN158" i="1" s="1"/>
  <c r="BU158" i="1"/>
  <c r="BU171" i="1" s="1"/>
  <c r="BU173" i="1" s="1"/>
  <c r="BG158" i="1"/>
  <c r="BG171" i="1" s="1"/>
  <c r="BG173" i="1" s="1"/>
  <c r="DW28" i="1"/>
  <c r="DU28" i="1"/>
  <c r="DV36" i="1"/>
  <c r="DV156" i="1" s="1"/>
  <c r="EA94" i="1"/>
  <c r="DV199" i="1"/>
  <c r="DS94" i="1"/>
  <c r="DW94" i="1"/>
  <c r="CN141" i="1"/>
  <c r="CN121" i="1"/>
  <c r="DY22" i="1"/>
  <c r="CM156" i="1"/>
  <c r="CM158" i="1" s="1"/>
  <c r="CM171" i="1" s="1"/>
  <c r="CM173" i="1" s="1"/>
  <c r="BS12" i="1"/>
  <c r="BR24" i="1"/>
  <c r="BR158" i="1" s="1"/>
  <c r="BK24" i="1"/>
  <c r="BL24" i="1" s="1"/>
  <c r="DF158" i="1"/>
  <c r="DG158" i="1" s="1"/>
  <c r="CQ158" i="1"/>
  <c r="L158" i="1"/>
  <c r="M158" i="1" s="1"/>
  <c r="DR197" i="1"/>
  <c r="EA141" i="1"/>
  <c r="AO199" i="1"/>
  <c r="BJ199" i="1"/>
  <c r="DE199" i="1"/>
  <c r="BH199" i="1"/>
  <c r="AT199" i="1"/>
  <c r="CZ199" i="1"/>
  <c r="EA183" i="1"/>
  <c r="EA178" i="1"/>
  <c r="EA180" i="1"/>
  <c r="EB17" i="1"/>
  <c r="EA186" i="1"/>
  <c r="EA185" i="1"/>
  <c r="BV199" i="1"/>
  <c r="AF199" i="1"/>
  <c r="DR195" i="1"/>
  <c r="DV195" i="1" s="1"/>
  <c r="CQ199" i="1"/>
  <c r="BQ199" i="1"/>
  <c r="DY180" i="1"/>
  <c r="DY183" i="1"/>
  <c r="DY178" i="1"/>
  <c r="DG199" i="1"/>
  <c r="AV199" i="1"/>
  <c r="T199" i="1"/>
  <c r="DY184" i="1"/>
  <c r="DY179" i="1"/>
  <c r="DR188" i="1"/>
  <c r="DV188" i="1" s="1"/>
  <c r="CX199" i="1"/>
  <c r="DR194" i="1"/>
  <c r="DV194" i="1" s="1"/>
  <c r="CJ199" i="1"/>
  <c r="AH199" i="1"/>
  <c r="DN199" i="1"/>
  <c r="BX199" i="1"/>
  <c r="AL158" i="1"/>
  <c r="AL197" i="1"/>
  <c r="AP197" i="1" s="1"/>
  <c r="DY28" i="1"/>
  <c r="DR192" i="1"/>
  <c r="DV192" i="1" s="1"/>
  <c r="EB16" i="1"/>
  <c r="EA184" i="1"/>
  <c r="EA179" i="1"/>
  <c r="EA28" i="1"/>
  <c r="ED28" i="1" s="1"/>
  <c r="DY185" i="1"/>
  <c r="DY186" i="1"/>
  <c r="BO199" i="1"/>
  <c r="CS199" i="1"/>
  <c r="DL199" i="1"/>
  <c r="DT197" i="1"/>
  <c r="DT196" i="1"/>
  <c r="DL158" i="1"/>
  <c r="DR191" i="1"/>
  <c r="DV191" i="1" s="1"/>
  <c r="DR196" i="1"/>
  <c r="AE156" i="1"/>
  <c r="AE158" i="1" s="1"/>
  <c r="AE171" i="1" s="1"/>
  <c r="AE173" i="1" s="1"/>
  <c r="AF173" i="1" s="1"/>
  <c r="DR193" i="1"/>
  <c r="DV193" i="1" s="1"/>
  <c r="DZ19" i="1"/>
  <c r="DS7" i="1"/>
  <c r="DS20" i="1"/>
  <c r="DZ16" i="1"/>
  <c r="DZ15" i="1"/>
  <c r="DS9" i="1"/>
  <c r="DS10" i="1"/>
  <c r="R156" i="1"/>
  <c r="U197" i="1"/>
  <c r="DS82" i="1"/>
  <c r="DS8" i="1"/>
  <c r="Z24" i="1"/>
  <c r="EB15" i="1"/>
  <c r="S158" i="1"/>
  <c r="T158" i="1" s="1"/>
  <c r="DZ18" i="1"/>
  <c r="EB18" i="1"/>
  <c r="DZ17" i="1"/>
  <c r="CR158" i="1"/>
  <c r="CR171" i="1" s="1"/>
  <c r="CR173" i="1" s="1"/>
  <c r="DS141" i="1"/>
  <c r="DS11" i="1"/>
  <c r="AP193" i="1"/>
  <c r="DE158" i="1"/>
  <c r="CJ158" i="1"/>
  <c r="DS153" i="1"/>
  <c r="J156" i="1"/>
  <c r="DS156" i="1"/>
  <c r="BI158" i="1"/>
  <c r="BJ158" i="1" s="1"/>
  <c r="DS104" i="1"/>
  <c r="DS28" i="1"/>
  <c r="F156" i="1"/>
  <c r="DW82" i="1"/>
  <c r="AU158" i="1"/>
  <c r="AV158" i="1" s="1"/>
  <c r="AW156" i="1"/>
  <c r="AB12" i="1"/>
  <c r="AC12" i="1" s="1"/>
  <c r="EA12" i="1"/>
  <c r="EA195" i="1" s="1"/>
  <c r="AV156" i="1"/>
  <c r="DI156" i="1"/>
  <c r="DW12" i="1"/>
  <c r="Z156" i="1"/>
  <c r="AG158" i="1"/>
  <c r="AH158" i="1" s="1"/>
  <c r="AS158" i="1"/>
  <c r="AS171" i="1" s="1"/>
  <c r="AT156" i="1"/>
  <c r="AN158" i="1"/>
  <c r="AO158" i="1" s="1"/>
  <c r="EA22" i="1"/>
  <c r="CX24" i="1"/>
  <c r="CW158" i="1"/>
  <c r="CW171" i="1" s="1"/>
  <c r="DU141" i="1"/>
  <c r="DU82" i="1"/>
  <c r="DU104" i="1"/>
  <c r="DU153" i="1"/>
  <c r="CS156" i="1"/>
  <c r="CY156" i="1"/>
  <c r="CY158" i="1" s="1"/>
  <c r="BW158" i="1"/>
  <c r="BW171" i="1" s="1"/>
  <c r="BW173" i="1" s="1"/>
  <c r="DG156" i="1"/>
  <c r="DB156" i="1"/>
  <c r="CU36" i="1"/>
  <c r="CU156" i="1" s="1"/>
  <c r="BS156" i="1"/>
  <c r="BL156" i="1"/>
  <c r="BK156" i="1"/>
  <c r="DW26" i="1"/>
  <c r="BQ158" i="1"/>
  <c r="BJ156" i="1"/>
  <c r="CL28" i="1"/>
  <c r="CL141" i="1"/>
  <c r="CL153" i="1"/>
  <c r="AH156" i="1"/>
  <c r="AJ94" i="1"/>
  <c r="AI195" i="1"/>
  <c r="DU146" i="1"/>
  <c r="DS146" i="1"/>
  <c r="T156" i="1"/>
  <c r="CL146" i="1"/>
  <c r="AB112" i="1"/>
  <c r="AC112" i="1" s="1"/>
  <c r="AA112" i="1"/>
  <c r="AA121" i="1"/>
  <c r="AB121" i="1"/>
  <c r="AC121" i="1" s="1"/>
  <c r="AB169" i="1"/>
  <c r="AC169" i="1" s="1"/>
  <c r="AA169" i="1"/>
  <c r="AC141" i="1"/>
  <c r="AA141" i="1"/>
  <c r="M156" i="1"/>
  <c r="AX36" i="1"/>
  <c r="AX156" i="1" s="1"/>
  <c r="AJ121" i="1"/>
  <c r="AC26" i="1"/>
  <c r="M199" i="1"/>
  <c r="AW192" i="1"/>
  <c r="AW191" i="1"/>
  <c r="AW196" i="1"/>
  <c r="AI194" i="1"/>
  <c r="AP188" i="1"/>
  <c r="AW193" i="1"/>
  <c r="AA27" i="1"/>
  <c r="AA28" i="1"/>
  <c r="Y27" i="1"/>
  <c r="Y28" i="1"/>
  <c r="K94" i="1"/>
  <c r="N193" i="1"/>
  <c r="G192" i="1"/>
  <c r="BQ24" i="1"/>
  <c r="AH24" i="1"/>
  <c r="DS160" i="1"/>
  <c r="U36" i="1"/>
  <c r="V36" i="1" s="1"/>
  <c r="AO24" i="1"/>
  <c r="BJ24" i="1"/>
  <c r="C158" i="1"/>
  <c r="C171" i="1" s="1"/>
  <c r="C173" i="1" s="1"/>
  <c r="CL160" i="1"/>
  <c r="AB35" i="1"/>
  <c r="CZ24" i="1"/>
  <c r="BO24" i="1"/>
  <c r="AA160" i="1"/>
  <c r="AA153" i="1"/>
  <c r="E158" i="1"/>
  <c r="DN24" i="1"/>
  <c r="T24" i="1"/>
  <c r="AI24" i="1"/>
  <c r="AJ24" i="1" s="1"/>
  <c r="BX24" i="1"/>
  <c r="CS24" i="1"/>
  <c r="BC160" i="1"/>
  <c r="BD193" i="1"/>
  <c r="BD191" i="1"/>
  <c r="BD192" i="1"/>
  <c r="DU160" i="1"/>
  <c r="AM36" i="1"/>
  <c r="AM199" i="1" s="1"/>
  <c r="M24" i="1"/>
  <c r="AV24" i="1"/>
  <c r="Y153" i="1"/>
  <c r="AZ24" i="1"/>
  <c r="BD121" i="1"/>
  <c r="DL24" i="1"/>
  <c r="DG24" i="1"/>
  <c r="DW58" i="1"/>
  <c r="CL36" i="1"/>
  <c r="AA58" i="1"/>
  <c r="DS58" i="1"/>
  <c r="AB199" i="1"/>
  <c r="G141" i="1"/>
  <c r="EA107" i="1"/>
  <c r="EA112" i="1" s="1"/>
  <c r="AB82" i="1"/>
  <c r="AC82" i="1" s="1"/>
  <c r="U196" i="1"/>
  <c r="BB24" i="1"/>
  <c r="BC58" i="1"/>
  <c r="EC33" i="1"/>
  <c r="U24" i="1"/>
  <c r="V24" i="1" s="1"/>
  <c r="CL58" i="1"/>
  <c r="AA82" i="1"/>
  <c r="DU58" i="1"/>
  <c r="CQ24" i="1"/>
  <c r="CU24" i="1"/>
  <c r="AT24" i="1"/>
  <c r="AW24" i="1"/>
  <c r="AX24" i="1" s="1"/>
  <c r="AI192" i="1"/>
  <c r="AP196" i="1"/>
  <c r="BX112" i="1"/>
  <c r="BX156" i="1" s="1"/>
  <c r="X24" i="1"/>
  <c r="X158" i="1" s="1"/>
  <c r="X171" i="1" s="1"/>
  <c r="X173" i="1" s="1"/>
  <c r="AM24" i="1"/>
  <c r="AP24" i="1"/>
  <c r="AQ24" i="1" s="1"/>
  <c r="DP24" i="1"/>
  <c r="DT24" i="1"/>
  <c r="BH24" i="1"/>
  <c r="AP192" i="1"/>
  <c r="CL26" i="1"/>
  <c r="AI193" i="1"/>
  <c r="CL169" i="1"/>
  <c r="AP191" i="1"/>
  <c r="DR24" i="1"/>
  <c r="DB24" i="1"/>
  <c r="DI24" i="1"/>
  <c r="DE24" i="1"/>
  <c r="BZ24" i="1"/>
  <c r="BV24" i="1"/>
  <c r="CJ24" i="1"/>
  <c r="CL22" i="1"/>
  <c r="K24" i="1"/>
  <c r="N24" i="1"/>
  <c r="O24" i="1" s="1"/>
  <c r="F199" i="1"/>
  <c r="EC19" i="1"/>
  <c r="N191" i="1"/>
  <c r="CZ112" i="1"/>
  <c r="CZ156" i="1" s="1"/>
  <c r="EC91" i="1"/>
  <c r="BQ112" i="1"/>
  <c r="BQ156" i="1" s="1"/>
  <c r="CL121" i="1"/>
  <c r="AI112" i="1"/>
  <c r="AJ112" i="1" s="1"/>
  <c r="EC32" i="1"/>
  <c r="BD31" i="1"/>
  <c r="DY31" i="1"/>
  <c r="BA22" i="1"/>
  <c r="EC118" i="1"/>
  <c r="N188" i="1"/>
  <c r="U188" i="1"/>
  <c r="AB148" i="1"/>
  <c r="N192" i="1"/>
  <c r="EC10" i="1"/>
  <c r="EC163" i="1"/>
  <c r="EC133" i="1"/>
  <c r="DY86" i="1"/>
  <c r="DY94" i="1" s="1"/>
  <c r="Y94" i="1"/>
  <c r="AB183" i="1"/>
  <c r="EC72" i="1"/>
  <c r="EC17" i="1"/>
  <c r="BD35" i="1"/>
  <c r="G197" i="1"/>
  <c r="G196" i="1"/>
  <c r="EC71" i="1"/>
  <c r="EC115" i="1"/>
  <c r="EC45" i="1"/>
  <c r="EC44" i="1"/>
  <c r="EC26" i="1"/>
  <c r="EC21" i="1"/>
  <c r="K36" i="1"/>
  <c r="K199" i="1" s="1"/>
  <c r="R36" i="1"/>
  <c r="R199" i="1" s="1"/>
  <c r="BD169" i="1"/>
  <c r="N36" i="1"/>
  <c r="O36" i="1" s="1"/>
  <c r="Y36" i="1"/>
  <c r="EC9" i="1"/>
  <c r="AB86" i="1"/>
  <c r="AI188" i="1"/>
  <c r="AB133" i="1"/>
  <c r="N196" i="1"/>
  <c r="EC136" i="1"/>
  <c r="EC48" i="1"/>
  <c r="U192" i="1"/>
  <c r="EC148" i="1"/>
  <c r="AI197" i="1"/>
  <c r="AI196" i="1"/>
  <c r="AZ112" i="1"/>
  <c r="DT112" i="1"/>
  <c r="DT156" i="1" s="1"/>
  <c r="EC88" i="1"/>
  <c r="U191" i="1"/>
  <c r="G191" i="1"/>
  <c r="AW188" i="1"/>
  <c r="D199" i="1"/>
  <c r="N94" i="1"/>
  <c r="O94" i="1" s="1"/>
  <c r="AI191" i="1"/>
  <c r="G188" i="1"/>
  <c r="U193" i="1"/>
  <c r="EC40" i="1"/>
  <c r="AZ36" i="1"/>
  <c r="AZ197" i="1" s="1"/>
  <c r="AP36" i="1"/>
  <c r="G193" i="1"/>
  <c r="AW197" i="1"/>
  <c r="EC64" i="1"/>
  <c r="Y26" i="1"/>
  <c r="AB49" i="1"/>
  <c r="EC75" i="1"/>
  <c r="DY121" i="1"/>
  <c r="DY112" i="1"/>
  <c r="EC124" i="1"/>
  <c r="DW121" i="1"/>
  <c r="EC50" i="1"/>
  <c r="EC49" i="1"/>
  <c r="EA36" i="1"/>
  <c r="AB185" i="1"/>
  <c r="AB180" i="1"/>
  <c r="AB184" i="1"/>
  <c r="EC63" i="1"/>
  <c r="EC8" i="1"/>
  <c r="EC15" i="1"/>
  <c r="EC62" i="1"/>
  <c r="EC39" i="1"/>
  <c r="Y22" i="1"/>
  <c r="AB22" i="1"/>
  <c r="AC22" i="1" s="1"/>
  <c r="DS36" i="1"/>
  <c r="DS112" i="1"/>
  <c r="D94" i="1"/>
  <c r="G94" i="1"/>
  <c r="H94" i="1" s="1"/>
  <c r="AB186" i="1"/>
  <c r="D156" i="1"/>
  <c r="EC16" i="1"/>
  <c r="DS169" i="1"/>
  <c r="DS121" i="1"/>
  <c r="DS26" i="1"/>
  <c r="BC26" i="1"/>
  <c r="EC53" i="1"/>
  <c r="DV22" i="1"/>
  <c r="DW22" i="1" s="1"/>
  <c r="EC34" i="1"/>
  <c r="DU22" i="1"/>
  <c r="DS22" i="1"/>
  <c r="DU26" i="1"/>
  <c r="DU169" i="1"/>
  <c r="DU121" i="1"/>
  <c r="EC43" i="1"/>
  <c r="EC18" i="1"/>
  <c r="DU36" i="1"/>
  <c r="DN112" i="1"/>
  <c r="DN156" i="1" s="1"/>
  <c r="EA121" i="1"/>
  <c r="EC116" i="1"/>
  <c r="BD72" i="1"/>
  <c r="BC121" i="1"/>
  <c r="BC22" i="1"/>
  <c r="H121" i="1"/>
  <c r="G24" i="1"/>
  <c r="H24" i="1" s="1"/>
  <c r="D24" i="1"/>
  <c r="BD41" i="1"/>
  <c r="BD22" i="1"/>
  <c r="BE22" i="1" s="1"/>
  <c r="BD66" i="1"/>
  <c r="BB112" i="1"/>
  <c r="BB156" i="1" s="1"/>
  <c r="CK112" i="1"/>
  <c r="CK156" i="1" s="1"/>
  <c r="CK158" i="1" s="1"/>
  <c r="CK171" i="1" s="1"/>
  <c r="CK173" i="1" s="1"/>
  <c r="AA26" i="1"/>
  <c r="AA94" i="1"/>
  <c r="AA22" i="1"/>
  <c r="AA36" i="1"/>
  <c r="EC7" i="1"/>
  <c r="AP112" i="1"/>
  <c r="AO112" i="1"/>
  <c r="AO156" i="1" s="1"/>
  <c r="BC169" i="1"/>
  <c r="BC36" i="1"/>
  <c r="BD133" i="1"/>
  <c r="N197" i="1"/>
  <c r="V112" i="1"/>
  <c r="BZ36" i="1"/>
  <c r="BH158" i="1" l="1"/>
  <c r="CX158" i="1"/>
  <c r="CW173" i="1"/>
  <c r="CP171" i="1"/>
  <c r="CP173" i="1" s="1"/>
  <c r="CQ173" i="1" s="1"/>
  <c r="DW36" i="1"/>
  <c r="BV158" i="1"/>
  <c r="BO158" i="1"/>
  <c r="BN171" i="1"/>
  <c r="DZ94" i="1"/>
  <c r="EB94" i="1"/>
  <c r="DV24" i="1"/>
  <c r="DV158" i="1" s="1"/>
  <c r="DV171" i="1" s="1"/>
  <c r="BS24" i="1"/>
  <c r="AZ156" i="1"/>
  <c r="AZ158" i="1" s="1"/>
  <c r="AZ171" i="1" s="1"/>
  <c r="AZ173" i="1" s="1"/>
  <c r="BB158" i="1"/>
  <c r="BC158" i="1" s="1"/>
  <c r="EA188" i="1"/>
  <c r="AM156" i="1"/>
  <c r="EC180" i="1"/>
  <c r="DY188" i="1"/>
  <c r="DY194" i="1"/>
  <c r="DY192" i="1"/>
  <c r="DV197" i="1"/>
  <c r="EC186" i="1"/>
  <c r="EC184" i="1"/>
  <c r="CL199" i="1"/>
  <c r="EA192" i="1"/>
  <c r="DI158" i="1"/>
  <c r="EC183" i="1"/>
  <c r="DP158" i="1"/>
  <c r="EC185" i="1"/>
  <c r="EA191" i="1"/>
  <c r="EC191" i="1" s="1"/>
  <c r="DS199" i="1"/>
  <c r="DU199" i="1"/>
  <c r="EA194" i="1"/>
  <c r="BC199" i="1"/>
  <c r="DV196" i="1"/>
  <c r="AA199" i="1"/>
  <c r="EA193" i="1"/>
  <c r="DY193" i="1"/>
  <c r="EA197" i="1"/>
  <c r="EA196" i="1"/>
  <c r="DY195" i="1"/>
  <c r="DY196" i="1"/>
  <c r="EC199" i="1"/>
  <c r="Y171" i="1"/>
  <c r="R158" i="1"/>
  <c r="EB10" i="1"/>
  <c r="EB20" i="1"/>
  <c r="AP156" i="1"/>
  <c r="DZ10" i="1"/>
  <c r="DZ20" i="1"/>
  <c r="DR158" i="1"/>
  <c r="DR171" i="1" s="1"/>
  <c r="Z158" i="1"/>
  <c r="AA158" i="1" s="1"/>
  <c r="EB7" i="1"/>
  <c r="EB9" i="1"/>
  <c r="CU158" i="1"/>
  <c r="DZ146" i="1"/>
  <c r="DZ11" i="1"/>
  <c r="DZ7" i="1"/>
  <c r="DZ9" i="1"/>
  <c r="BK158" i="1"/>
  <c r="BL158" i="1" s="1"/>
  <c r="CS158" i="1"/>
  <c r="EB8" i="1"/>
  <c r="DZ8" i="1"/>
  <c r="EB160" i="1"/>
  <c r="EB11" i="1"/>
  <c r="BS158" i="1"/>
  <c r="BZ158" i="1"/>
  <c r="BX158" i="1"/>
  <c r="DZ160" i="1"/>
  <c r="DZ28" i="1"/>
  <c r="DY24" i="1"/>
  <c r="J158" i="1"/>
  <c r="K156" i="1"/>
  <c r="O156" i="1"/>
  <c r="U156" i="1"/>
  <c r="V156" i="1"/>
  <c r="AF156" i="1"/>
  <c r="BA24" i="1"/>
  <c r="DZ153" i="1"/>
  <c r="AT158" i="1"/>
  <c r="AW158" i="1"/>
  <c r="AX158" i="1" s="1"/>
  <c r="DZ104" i="1"/>
  <c r="EB169" i="1"/>
  <c r="AI156" i="1"/>
  <c r="AJ156" i="1"/>
  <c r="AM158" i="1"/>
  <c r="AP158" i="1"/>
  <c r="AQ158" i="1" s="1"/>
  <c r="DZ82" i="1"/>
  <c r="EC82" i="1"/>
  <c r="ED82" i="1" s="1"/>
  <c r="DZ169" i="1"/>
  <c r="EC169" i="1"/>
  <c r="ED169" i="1" s="1"/>
  <c r="EB141" i="1"/>
  <c r="EB104" i="1"/>
  <c r="EB82" i="1"/>
  <c r="CS171" i="1"/>
  <c r="CS173" i="1"/>
  <c r="CZ158" i="1"/>
  <c r="DB158" i="1"/>
  <c r="DT158" i="1"/>
  <c r="CN158" i="1"/>
  <c r="EB146" i="1"/>
  <c r="EB28" i="1"/>
  <c r="EB153" i="1"/>
  <c r="BV173" i="1"/>
  <c r="Y158" i="1"/>
  <c r="AA156" i="1"/>
  <c r="H141" i="1"/>
  <c r="H156" i="1" s="1"/>
  <c r="G156" i="1"/>
  <c r="N156" i="1"/>
  <c r="AQ36" i="1"/>
  <c r="BE121" i="1"/>
  <c r="ED26" i="1"/>
  <c r="S171" i="1"/>
  <c r="S173" i="1" s="1"/>
  <c r="T173" i="1" s="1"/>
  <c r="E171" i="1"/>
  <c r="F158" i="1"/>
  <c r="D173" i="1"/>
  <c r="CY171" i="1"/>
  <c r="CY173" i="1" s="1"/>
  <c r="CZ173" i="1" s="1"/>
  <c r="BA112" i="1"/>
  <c r="BZ112" i="1"/>
  <c r="BZ156" i="1" s="1"/>
  <c r="AQ112" i="1"/>
  <c r="DF171" i="1"/>
  <c r="DF173" i="1" s="1"/>
  <c r="AA24" i="1"/>
  <c r="CL24" i="1"/>
  <c r="BC24" i="1"/>
  <c r="EC58" i="1"/>
  <c r="EC35" i="1"/>
  <c r="EC31" i="1"/>
  <c r="DU24" i="1"/>
  <c r="AB197" i="1"/>
  <c r="AB196" i="1"/>
  <c r="EB112" i="1"/>
  <c r="Y82" i="1"/>
  <c r="BD24" i="1"/>
  <c r="BE24" i="1" s="1"/>
  <c r="Y58" i="1"/>
  <c r="Y199" i="1" s="1"/>
  <c r="AB58" i="1"/>
  <c r="AC58" i="1" s="1"/>
  <c r="DZ58" i="1"/>
  <c r="EB58" i="1"/>
  <c r="DS24" i="1"/>
  <c r="CN24" i="1"/>
  <c r="AB191" i="1"/>
  <c r="EA24" i="1"/>
  <c r="AB193" i="1"/>
  <c r="AB24" i="1"/>
  <c r="AC24" i="1" s="1"/>
  <c r="Y24" i="1"/>
  <c r="BD188" i="1"/>
  <c r="AB94" i="1"/>
  <c r="AC94" i="1" s="1"/>
  <c r="EC86" i="1"/>
  <c r="EC94" i="1" s="1"/>
  <c r="ED94" i="1" s="1"/>
  <c r="EC61" i="1"/>
  <c r="AB188" i="1"/>
  <c r="EC121" i="1"/>
  <c r="ED121" i="1" s="1"/>
  <c r="AB192" i="1"/>
  <c r="DY36" i="1"/>
  <c r="DY156" i="1" s="1"/>
  <c r="BI171" i="1"/>
  <c r="BD36" i="1"/>
  <c r="BE36" i="1" s="1"/>
  <c r="BA36" i="1"/>
  <c r="BA199" i="1" s="1"/>
  <c r="AB36" i="1"/>
  <c r="EC168" i="1"/>
  <c r="DU112" i="1"/>
  <c r="DU156" i="1" s="1"/>
  <c r="BA169" i="1"/>
  <c r="BE169" i="1"/>
  <c r="EB22" i="1"/>
  <c r="CI171" i="1"/>
  <c r="CI173" i="1" s="1"/>
  <c r="CJ173" i="1" s="1"/>
  <c r="EB121" i="1"/>
  <c r="EC12" i="1"/>
  <c r="ED12" i="1" s="1"/>
  <c r="DZ112" i="1"/>
  <c r="EB36" i="1"/>
  <c r="BP171" i="1"/>
  <c r="BP173" i="1" s="1"/>
  <c r="D158" i="1"/>
  <c r="EB26" i="1"/>
  <c r="EC22" i="1"/>
  <c r="ED22" i="1" s="1"/>
  <c r="DZ26" i="1"/>
  <c r="DZ121" i="1"/>
  <c r="EC66" i="1"/>
  <c r="AN171" i="1"/>
  <c r="AN173" i="1" s="1"/>
  <c r="AO173" i="1" s="1"/>
  <c r="CL112" i="1"/>
  <c r="CL156" i="1" s="1"/>
  <c r="AU171" i="1"/>
  <c r="AU173" i="1" s="1"/>
  <c r="AV173" i="1" s="1"/>
  <c r="EC41" i="1"/>
  <c r="L171" i="1"/>
  <c r="DP112" i="1"/>
  <c r="DP156" i="1" s="1"/>
  <c r="AL171" i="1"/>
  <c r="AL173" i="1" s="1"/>
  <c r="BC112" i="1"/>
  <c r="BC156" i="1" s="1"/>
  <c r="BD112" i="1"/>
  <c r="DD173" i="1"/>
  <c r="DE173" i="1" s="1"/>
  <c r="AG171" i="1"/>
  <c r="AG173" i="1" s="1"/>
  <c r="AH173" i="1" s="1"/>
  <c r="DW112" i="1"/>
  <c r="DZ22" i="1"/>
  <c r="BD196" i="1"/>
  <c r="BD197" i="1"/>
  <c r="BH173" i="1"/>
  <c r="DL173" i="1" l="1"/>
  <c r="BN173" i="1"/>
  <c r="BO173" i="1" s="1"/>
  <c r="DS158" i="1"/>
  <c r="DW156" i="1"/>
  <c r="CQ171" i="1"/>
  <c r="CT171" i="1"/>
  <c r="CU171" i="1" s="1"/>
  <c r="DW24" i="1"/>
  <c r="DA173" i="1"/>
  <c r="DB173" i="1" s="1"/>
  <c r="CX173" i="1"/>
  <c r="BQ173" i="1"/>
  <c r="BI173" i="1"/>
  <c r="BJ173" i="1" s="1"/>
  <c r="DG173" i="1"/>
  <c r="DH173" i="1"/>
  <c r="DI173" i="1" s="1"/>
  <c r="DY158" i="1"/>
  <c r="DY171" i="1" s="1"/>
  <c r="EC188" i="1"/>
  <c r="DZ156" i="1"/>
  <c r="EC192" i="1"/>
  <c r="EC193" i="1"/>
  <c r="EC196" i="1"/>
  <c r="BA156" i="1"/>
  <c r="EB199" i="1"/>
  <c r="AB158" i="1"/>
  <c r="AC158" i="1" s="1"/>
  <c r="DY197" i="1"/>
  <c r="EC197" i="1" s="1"/>
  <c r="U158" i="1"/>
  <c r="V158" i="1" s="1"/>
  <c r="CL173" i="1"/>
  <c r="N158" i="1"/>
  <c r="O158" i="1" s="1"/>
  <c r="J171" i="1"/>
  <c r="L173" i="1"/>
  <c r="M173" i="1" s="1"/>
  <c r="E173" i="1"/>
  <c r="F173" i="1" s="1"/>
  <c r="K158" i="1"/>
  <c r="AQ156" i="1"/>
  <c r="BD156" i="1"/>
  <c r="EB156" i="1"/>
  <c r="EA156" i="1"/>
  <c r="EA158" i="1" s="1"/>
  <c r="EA171" i="1" s="1"/>
  <c r="EA173" i="1" s="1"/>
  <c r="AF158" i="1"/>
  <c r="AI158" i="1"/>
  <c r="AJ158" i="1" s="1"/>
  <c r="DZ141" i="1"/>
  <c r="EC141" i="1"/>
  <c r="EC36" i="1"/>
  <c r="ED36" i="1" s="1"/>
  <c r="ED58" i="1"/>
  <c r="CT173" i="1"/>
  <c r="CU173" i="1" s="1"/>
  <c r="CL158" i="1"/>
  <c r="DU158" i="1"/>
  <c r="DW158" i="1"/>
  <c r="BV171" i="1"/>
  <c r="AS173" i="1"/>
  <c r="AT173" i="1" s="1"/>
  <c r="AB156" i="1"/>
  <c r="AI173" i="1"/>
  <c r="AJ173" i="1" s="1"/>
  <c r="Z171" i="1"/>
  <c r="T171" i="1"/>
  <c r="AC36" i="1"/>
  <c r="AC156" i="1" s="1"/>
  <c r="DR173" i="1"/>
  <c r="DS173" i="1" s="1"/>
  <c r="F171" i="1"/>
  <c r="CZ171" i="1"/>
  <c r="EB24" i="1"/>
  <c r="U173" i="1"/>
  <c r="V173" i="1" s="1"/>
  <c r="DG171" i="1"/>
  <c r="BE112" i="1"/>
  <c r="BE156" i="1" s="1"/>
  <c r="BY171" i="1"/>
  <c r="BX173" i="1"/>
  <c r="AM173" i="1"/>
  <c r="AP173" i="1"/>
  <c r="AQ173" i="1" s="1"/>
  <c r="EC112" i="1"/>
  <c r="EC24" i="1"/>
  <c r="ED24" i="1" s="1"/>
  <c r="DZ24" i="1"/>
  <c r="DT171" i="1"/>
  <c r="DT173" i="1" s="1"/>
  <c r="AH171" i="1"/>
  <c r="AV171" i="1"/>
  <c r="BQ171" i="1"/>
  <c r="BX171" i="1"/>
  <c r="BJ171" i="1"/>
  <c r="AO171" i="1"/>
  <c r="M171" i="1"/>
  <c r="CX171" i="1"/>
  <c r="CJ171" i="1"/>
  <c r="DL171" i="1"/>
  <c r="DZ36" i="1"/>
  <c r="DZ199" i="1" s="1"/>
  <c r="DA171" i="1"/>
  <c r="DB171" i="1" s="1"/>
  <c r="D171" i="1"/>
  <c r="G158" i="1"/>
  <c r="H158" i="1" s="1"/>
  <c r="BO171" i="1"/>
  <c r="BR171" i="1"/>
  <c r="AP171" i="1"/>
  <c r="AQ171" i="1" s="1"/>
  <c r="AM171" i="1"/>
  <c r="BB171" i="1"/>
  <c r="U171" i="1"/>
  <c r="V171" i="1" s="1"/>
  <c r="R171" i="1"/>
  <c r="DH171" i="1"/>
  <c r="DI171" i="1" s="1"/>
  <c r="DM171" i="1"/>
  <c r="DM173" i="1" s="1"/>
  <c r="CN112" i="1"/>
  <c r="CN156" i="1" s="1"/>
  <c r="BK171" i="1"/>
  <c r="BL171" i="1" s="1"/>
  <c r="BH171" i="1"/>
  <c r="BK173" i="1" l="1"/>
  <c r="BL173" i="1" s="1"/>
  <c r="Z173" i="1"/>
  <c r="AA173" i="1" s="1"/>
  <c r="BB173" i="1"/>
  <c r="BC173" i="1" s="1"/>
  <c r="DY173" i="1"/>
  <c r="DZ173" i="1" s="1"/>
  <c r="DN173" i="1"/>
  <c r="DO173" i="1"/>
  <c r="DP173" i="1" s="1"/>
  <c r="EB173" i="1"/>
  <c r="DU173" i="1"/>
  <c r="DV173" i="1"/>
  <c r="DW173" i="1" s="1"/>
  <c r="BZ171" i="1"/>
  <c r="BY173" i="1"/>
  <c r="BZ173" i="1" s="1"/>
  <c r="BS171" i="1"/>
  <c r="BR173" i="1"/>
  <c r="BS173" i="1" s="1"/>
  <c r="CL171" i="1"/>
  <c r="CN173" i="1"/>
  <c r="CN171" i="1"/>
  <c r="EB171" i="1"/>
  <c r="J173" i="1"/>
  <c r="K173" i="1" s="1"/>
  <c r="K171" i="1"/>
  <c r="N171" i="1"/>
  <c r="O171" i="1" s="1"/>
  <c r="ED141" i="1"/>
  <c r="EC156" i="1"/>
  <c r="EB158" i="1"/>
  <c r="BA158" i="1"/>
  <c r="BD158" i="1"/>
  <c r="BE158" i="1" s="1"/>
  <c r="EC158" i="1"/>
  <c r="ED158" i="1" s="1"/>
  <c r="AF171" i="1"/>
  <c r="AI171" i="1"/>
  <c r="AJ171" i="1" s="1"/>
  <c r="AW171" i="1"/>
  <c r="AX171" i="1" s="1"/>
  <c r="AW173" i="1"/>
  <c r="AX173" i="1" s="1"/>
  <c r="AT171" i="1"/>
  <c r="AB171" i="1"/>
  <c r="AC171" i="1" s="1"/>
  <c r="Y173" i="1"/>
  <c r="AA171" i="1"/>
  <c r="DS171" i="1"/>
  <c r="ED112" i="1"/>
  <c r="BA173" i="1"/>
  <c r="DW171" i="1"/>
  <c r="G171" i="1"/>
  <c r="H171" i="1" s="1"/>
  <c r="BC171" i="1"/>
  <c r="DU171" i="1"/>
  <c r="DN171" i="1"/>
  <c r="DO171" i="1"/>
  <c r="EC173" i="1" l="1"/>
  <c r="ED173" i="1" s="1"/>
  <c r="DP171" i="1"/>
  <c r="N173" i="1"/>
  <c r="O173" i="1" s="1"/>
  <c r="ED156" i="1"/>
  <c r="DZ158" i="1"/>
  <c r="AB173" i="1"/>
  <c r="AC173" i="1" s="1"/>
  <c r="BD171" i="1"/>
  <c r="BE171" i="1" s="1"/>
  <c r="BA171" i="1"/>
  <c r="BD173" i="1"/>
  <c r="BE173" i="1" s="1"/>
  <c r="G173" i="1"/>
  <c r="H173" i="1" s="1"/>
  <c r="DZ171" i="1" l="1"/>
  <c r="EC171" i="1"/>
  <c r="ED171" i="1" s="1"/>
</calcChain>
</file>

<file path=xl/sharedStrings.xml><?xml version="1.0" encoding="utf-8"?>
<sst xmlns="http://schemas.openxmlformats.org/spreadsheetml/2006/main" count="909" uniqueCount="356">
  <si>
    <t>Doi Moi</t>
  </si>
  <si>
    <t>Actual vs. Budget (FY 2020)</t>
  </si>
  <si>
    <t xml:space="preserve"> </t>
  </si>
  <si>
    <t>Period 1</t>
  </si>
  <si>
    <t>Period 2</t>
  </si>
  <si>
    <t>Period 3</t>
  </si>
  <si>
    <t>Quarter 1</t>
  </si>
  <si>
    <t>Period 4</t>
  </si>
  <si>
    <t>Period 5</t>
  </si>
  <si>
    <t>Period 6</t>
  </si>
  <si>
    <t>Quarter 2</t>
  </si>
  <si>
    <t>Period 7</t>
  </si>
  <si>
    <t>Period 8</t>
  </si>
  <si>
    <t>Period 9 Pre-Opening (8/10-8/25)</t>
  </si>
  <si>
    <t>Period 9 (8/26-9/06)</t>
  </si>
  <si>
    <t>Quarter 3</t>
  </si>
  <si>
    <t>Period 10</t>
  </si>
  <si>
    <t>Period 11</t>
  </si>
  <si>
    <t>Period 12</t>
  </si>
  <si>
    <t>Period 13</t>
  </si>
  <si>
    <t>Quarter 4</t>
  </si>
  <si>
    <t>FY 2020</t>
  </si>
  <si>
    <t>Actual</t>
  </si>
  <si>
    <t>Budget</t>
  </si>
  <si>
    <t>Variance $</t>
  </si>
  <si>
    <t>Variance</t>
  </si>
  <si>
    <t>Income</t>
  </si>
  <si>
    <t xml:space="preserve">Food </t>
  </si>
  <si>
    <t>NA Beverage</t>
  </si>
  <si>
    <t>Liquor</t>
  </si>
  <si>
    <t>Beer</t>
  </si>
  <si>
    <t>Wine</t>
  </si>
  <si>
    <t>Total Income</t>
  </si>
  <si>
    <t>Cost of Goods Sold</t>
  </si>
  <si>
    <t>Food</t>
  </si>
  <si>
    <t>N/A Beverage</t>
  </si>
  <si>
    <t>Ice</t>
  </si>
  <si>
    <t>Mixes and Garnishes</t>
  </si>
  <si>
    <t>Total COGS</t>
  </si>
  <si>
    <t>Gross Profit</t>
  </si>
  <si>
    <t>Management Salaries and Wages</t>
  </si>
  <si>
    <t>SRG Allocation</t>
  </si>
  <si>
    <t>Total Management and Wages</t>
  </si>
  <si>
    <t>Staff Salaries and Wages</t>
  </si>
  <si>
    <t>Front of House</t>
  </si>
  <si>
    <t>Bar</t>
  </si>
  <si>
    <t>Heart of House</t>
  </si>
  <si>
    <t>Contract Labor - Downstairs</t>
  </si>
  <si>
    <t xml:space="preserve"> Overtime Premium</t>
  </si>
  <si>
    <t>Total Staff Salaries and Wages</t>
  </si>
  <si>
    <t>Employee Benefits</t>
  </si>
  <si>
    <t>Payroll Taxes</t>
  </si>
  <si>
    <t xml:space="preserve">Worker's Compensation  Insur. </t>
  </si>
  <si>
    <t xml:space="preserve"> First Aid and Bathroom Supplies</t>
  </si>
  <si>
    <t>Medical Insurance (Associates)</t>
  </si>
  <si>
    <t xml:space="preserve">Payroll Processing </t>
  </si>
  <si>
    <t>Paychex HR Processing</t>
  </si>
  <si>
    <t>Management Bonus</t>
  </si>
  <si>
    <t>Medical Insurance Co-Pay (Mgt.)</t>
  </si>
  <si>
    <t>Life Insurance</t>
  </si>
  <si>
    <t>Retirement Contribution (Mgt.)</t>
  </si>
  <si>
    <t>Kitchen Meals</t>
  </si>
  <si>
    <t xml:space="preserve">Management Meals </t>
  </si>
  <si>
    <t>Employee Discount</t>
  </si>
  <si>
    <t>Daily Menu Tasting</t>
  </si>
  <si>
    <t xml:space="preserve">Company Events </t>
  </si>
  <si>
    <t xml:space="preserve"> Vacation and PTO</t>
  </si>
  <si>
    <t xml:space="preserve">Management Parking </t>
  </si>
  <si>
    <t>Unreimbursed Employee Co-pay</t>
  </si>
  <si>
    <t>Other Employee Benefit</t>
  </si>
  <si>
    <t>Total Employee Benefits</t>
  </si>
  <si>
    <t>Direct Operating</t>
  </si>
  <si>
    <t>Chargebacks/Refunds</t>
  </si>
  <si>
    <t>Cash (over)/short</t>
  </si>
  <si>
    <t>Equipment Rental</t>
  </si>
  <si>
    <t xml:space="preserve">Cleaning Supplies </t>
  </si>
  <si>
    <t>Chemical Supplies</t>
  </si>
  <si>
    <t>Decorations</t>
  </si>
  <si>
    <t xml:space="preserve">China </t>
  </si>
  <si>
    <t>Glass</t>
  </si>
  <si>
    <t xml:space="preserve">Silver </t>
  </si>
  <si>
    <t>Restaurant Supplies</t>
  </si>
  <si>
    <t>Kitchen Supplies</t>
  </si>
  <si>
    <t>Research &amp; Development - Other</t>
  </si>
  <si>
    <t>Research &amp; Development - Food</t>
  </si>
  <si>
    <t>Research &amp; Development - Beverage</t>
  </si>
  <si>
    <t>Linen &amp; Laundry Rental</t>
  </si>
  <si>
    <t xml:space="preserve">Menu and Printing </t>
  </si>
  <si>
    <t xml:space="preserve">Paper Products  </t>
  </si>
  <si>
    <t>Music &amp; Entertainment</t>
  </si>
  <si>
    <t>Pest Control</t>
  </si>
  <si>
    <t xml:space="preserve">Other </t>
  </si>
  <si>
    <t>Uniforms</t>
  </si>
  <si>
    <t>Total Direct Operating</t>
  </si>
  <si>
    <t>Marketing</t>
  </si>
  <si>
    <t xml:space="preserve">    Friends and Family</t>
  </si>
  <si>
    <t xml:space="preserve">    Advertising </t>
  </si>
  <si>
    <t>Public Relations</t>
  </si>
  <si>
    <t xml:space="preserve">Social Media </t>
  </si>
  <si>
    <t>Print and Production</t>
  </si>
  <si>
    <t>Marketing Production Management</t>
  </si>
  <si>
    <t>Reservation System</t>
  </si>
  <si>
    <t>Website Development</t>
  </si>
  <si>
    <t>Marketing -Other</t>
  </si>
  <si>
    <t>Total Marketing</t>
  </si>
  <si>
    <t>Third Party ASAP</t>
  </si>
  <si>
    <t>Doordash Fee</t>
  </si>
  <si>
    <t>Postmates Fee</t>
  </si>
  <si>
    <t>Grubhub Fee</t>
  </si>
  <si>
    <t>Uber Fee</t>
  </si>
  <si>
    <r>
      <t xml:space="preserve">   </t>
    </r>
    <r>
      <rPr>
        <sz val="12"/>
        <color indexed="8"/>
        <rFont val="Calibri"/>
        <family val="2"/>
      </rPr>
      <t>ASAP</t>
    </r>
  </si>
  <si>
    <t>Third Party Promotions</t>
  </si>
  <si>
    <t>Error Charges</t>
  </si>
  <si>
    <t>Toal Third Party ASAP</t>
  </si>
  <si>
    <t>Promotions and Discounts</t>
  </si>
  <si>
    <t xml:space="preserve">    Bar Buy Backs</t>
  </si>
  <si>
    <t xml:space="preserve">    Comp Service and Product</t>
  </si>
  <si>
    <t xml:space="preserve">    Community Promotions</t>
  </si>
  <si>
    <t xml:space="preserve">    SRG Business</t>
  </si>
  <si>
    <t xml:space="preserve">    Owner Comp </t>
  </si>
  <si>
    <t>Total Promotions and Discounts</t>
  </si>
  <si>
    <t>Utilities</t>
  </si>
  <si>
    <t>Electric</t>
  </si>
  <si>
    <t>Gas</t>
  </si>
  <si>
    <t>Propane</t>
  </si>
  <si>
    <t>Water</t>
  </si>
  <si>
    <t>Trash</t>
  </si>
  <si>
    <t>Grease Trap</t>
  </si>
  <si>
    <t>Total Utilities</t>
  </si>
  <si>
    <t>General and Administrative</t>
  </si>
  <si>
    <t>Accounting</t>
  </si>
  <si>
    <t>Tax Accounting Services</t>
  </si>
  <si>
    <t xml:space="preserve"> Financial, HR, Consultant </t>
  </si>
  <si>
    <t>Legal Fees</t>
  </si>
  <si>
    <t>Computer Expenses</t>
  </si>
  <si>
    <t>Bank Charges</t>
  </si>
  <si>
    <t>Credit Card Discount Fees</t>
  </si>
  <si>
    <t>Membership Dues</t>
  </si>
  <si>
    <t>General Liability Insurance</t>
  </si>
  <si>
    <t>Licenses &amp; Permits</t>
  </si>
  <si>
    <t>Office Supplies</t>
  </si>
  <si>
    <t>Mgt Recruitment Fees</t>
  </si>
  <si>
    <t>Travel</t>
  </si>
  <si>
    <t>Postage &amp; Delivery</t>
  </si>
  <si>
    <t>Telephone &amp; Communications</t>
  </si>
  <si>
    <t>POS System</t>
  </si>
  <si>
    <t>Misc</t>
  </si>
  <si>
    <t>Total General and Administrative</t>
  </si>
  <si>
    <t>Repairs and Maintenance</t>
  </si>
  <si>
    <t xml:space="preserve">    Cleaning Services</t>
  </si>
  <si>
    <t xml:space="preserve">    Repair and Maintenance </t>
  </si>
  <si>
    <t>Occupancy Costs  (Blended)</t>
  </si>
  <si>
    <t>Rent</t>
  </si>
  <si>
    <t xml:space="preserve">% Rent </t>
  </si>
  <si>
    <t>CAM Charges</t>
  </si>
  <si>
    <t>Storage</t>
  </si>
  <si>
    <t xml:space="preserve"> Total Occupancy </t>
  </si>
  <si>
    <t>Total Expense</t>
  </si>
  <si>
    <t>Net Ordinary Income</t>
  </si>
  <si>
    <t>Other Income</t>
  </si>
  <si>
    <t>Other Expense</t>
  </si>
  <si>
    <t>Management Fee 35% of NOI&gt;$100K</t>
  </si>
  <si>
    <t xml:space="preserve">Prior Period Expense </t>
  </si>
  <si>
    <t>DeMinimus &lt;$2,500</t>
  </si>
  <si>
    <t>OINCF</t>
  </si>
  <si>
    <t xml:space="preserve">Depreciation and Amortization </t>
  </si>
  <si>
    <t>COVID-19 Inventory Waste</t>
  </si>
  <si>
    <t>Total Other Expense</t>
  </si>
  <si>
    <t>Net Income</t>
  </si>
  <si>
    <t>Cash Flow (Net Income + Depreciation)</t>
  </si>
  <si>
    <t>COGS</t>
  </si>
  <si>
    <t>N/A Beverages</t>
  </si>
  <si>
    <t>Total Food</t>
  </si>
  <si>
    <t>Beverages</t>
  </si>
  <si>
    <t>Total Beverage</t>
  </si>
  <si>
    <t>Labor</t>
  </si>
  <si>
    <t>Management</t>
  </si>
  <si>
    <t>Overtime</t>
  </si>
  <si>
    <t>Supervisor</t>
  </si>
  <si>
    <t>Labor Burden</t>
  </si>
  <si>
    <t>Total Labor</t>
  </si>
  <si>
    <t>PRIME COST</t>
  </si>
  <si>
    <t xml:space="preserve">                    </t>
  </si>
  <si>
    <t>Doi Moi Operating Budget P 9.5 -13 2020</t>
  </si>
  <si>
    <t>Days in Month</t>
  </si>
  <si>
    <t xml:space="preserve">Month </t>
  </si>
  <si>
    <t>Jan</t>
  </si>
  <si>
    <t>Feb</t>
  </si>
  <si>
    <t xml:space="preserve">Mar </t>
  </si>
  <si>
    <t>April</t>
  </si>
  <si>
    <t>May</t>
  </si>
  <si>
    <t xml:space="preserve">June </t>
  </si>
  <si>
    <t>July</t>
  </si>
  <si>
    <t>Aug</t>
  </si>
  <si>
    <t>Sept</t>
  </si>
  <si>
    <t>Oct</t>
  </si>
  <si>
    <t>Nov</t>
  </si>
  <si>
    <t>Dec</t>
  </si>
  <si>
    <t>Total</t>
  </si>
  <si>
    <t xml:space="preserve">DOI Moi Monthly Sales </t>
  </si>
  <si>
    <t xml:space="preserve">Periods </t>
  </si>
  <si>
    <t>P1</t>
  </si>
  <si>
    <t xml:space="preserve">P2 </t>
  </si>
  <si>
    <t xml:space="preserve">P 3 </t>
  </si>
  <si>
    <t xml:space="preserve">P4 </t>
  </si>
  <si>
    <t>P5</t>
  </si>
  <si>
    <t xml:space="preserve">P6 </t>
  </si>
  <si>
    <t xml:space="preserve">P7 </t>
  </si>
  <si>
    <t xml:space="preserve">Pd 8 </t>
  </si>
  <si>
    <t xml:space="preserve">P9 </t>
  </si>
  <si>
    <t>P10</t>
  </si>
  <si>
    <t xml:space="preserve">P11 </t>
  </si>
  <si>
    <t>P 12</t>
  </si>
  <si>
    <t>P13</t>
  </si>
  <si>
    <t xml:space="preserve">2019 A </t>
  </si>
  <si>
    <t>Converted  Doi Moi 13  Periods</t>
  </si>
  <si>
    <t>Adjustment for Covid-19 and Opening</t>
  </si>
  <si>
    <t>Pre-Opening</t>
  </si>
  <si>
    <t>Weeks 3+4</t>
  </si>
  <si>
    <t xml:space="preserve">2019 DOI MOI Version </t>
  </si>
  <si>
    <t xml:space="preserve">Sales </t>
  </si>
  <si>
    <t xml:space="preserve">2019 thru Nov. </t>
  </si>
  <si>
    <t>December</t>
  </si>
  <si>
    <t>%</t>
  </si>
  <si>
    <t>2020 9-13</t>
  </si>
  <si>
    <t xml:space="preserve">Y1 </t>
  </si>
  <si>
    <t>Period 9</t>
  </si>
  <si>
    <t xml:space="preserve">Pivot </t>
  </si>
  <si>
    <t xml:space="preserve">Actual </t>
  </si>
  <si>
    <t>Projection</t>
  </si>
  <si>
    <t xml:space="preserve">Final </t>
  </si>
  <si>
    <t>Pro-Forma</t>
  </si>
  <si>
    <t>Weeks 1/2</t>
  </si>
  <si>
    <t xml:space="preserve">Total </t>
  </si>
  <si>
    <t>Column</t>
  </si>
  <si>
    <t>4002 · Food-Downstairs</t>
  </si>
  <si>
    <t>Food - Downstairs</t>
  </si>
  <si>
    <t>4004 · Liquor-Downstairs</t>
  </si>
  <si>
    <t>Liquor - Downstairs</t>
  </si>
  <si>
    <t>4010 · Food Sales</t>
  </si>
  <si>
    <t>4015 · NA Beverage</t>
  </si>
  <si>
    <t>4020 · Liquor Sales</t>
  </si>
  <si>
    <t>4030 · Beer Sales</t>
  </si>
  <si>
    <t>4040 · Wine Sales</t>
  </si>
  <si>
    <t>ASAP</t>
  </si>
  <si>
    <t xml:space="preserve">Total Sales </t>
  </si>
  <si>
    <t>Budgeted</t>
  </si>
  <si>
    <t>Done</t>
  </si>
  <si>
    <t>Buedgeted</t>
  </si>
  <si>
    <t>6110 · Payroll Taxes</t>
  </si>
  <si>
    <t>Zero Based</t>
  </si>
  <si>
    <t>6280 · Payroll Service</t>
  </si>
  <si>
    <t>6235 · Help Wanted Ads</t>
  </si>
  <si>
    <t>6011 · Bonus</t>
  </si>
  <si>
    <t>Paychex HR Services</t>
  </si>
  <si>
    <t>To Be Zero Based</t>
  </si>
  <si>
    <t>6130 · Health Insurance</t>
  </si>
  <si>
    <t>6180 · Family Meal</t>
  </si>
  <si>
    <t>6140 · Parking / Taxi</t>
  </si>
  <si>
    <t>Employee Meals</t>
  </si>
  <si>
    <t>6100 · Employee Benifits - Other</t>
  </si>
  <si>
    <t>Family Meal</t>
  </si>
  <si>
    <t>Sick &amp; Safe</t>
  </si>
  <si>
    <t xml:space="preserve">  </t>
  </si>
  <si>
    <t>Page 2</t>
  </si>
  <si>
    <t>6392 · Chargebacks/ Refunds</t>
  </si>
  <si>
    <t>6390 · Cash Over/Short/</t>
  </si>
  <si>
    <t>6360 · Equipment Rental</t>
  </si>
  <si>
    <t>6305 · Cleaning Supplies</t>
  </si>
  <si>
    <t>To be Zero based</t>
  </si>
  <si>
    <t>6345 · Decorations / Flowers</t>
  </si>
  <si>
    <t>Est</t>
  </si>
  <si>
    <t>6330 · Restaurant Supplies</t>
  </si>
  <si>
    <t>6335 · Laundry &amp; Linen</t>
  </si>
  <si>
    <t>Research &amp; Development</t>
  </si>
  <si>
    <t>6275 · Menu &amp; Printing</t>
  </si>
  <si>
    <t xml:space="preserve">Done </t>
  </si>
  <si>
    <t>6299 · Misc Expenses</t>
  </si>
  <si>
    <t>6307 · Paper &amp; Disposables</t>
  </si>
  <si>
    <t>Hisotrical at 75%</t>
  </si>
  <si>
    <t>6370 · Pest Control</t>
  </si>
  <si>
    <t>6150 · Uniforms</t>
  </si>
  <si>
    <t xml:space="preserve">Done  Historical </t>
  </si>
  <si>
    <t>Friends and Family (Pre-Opening COGS)</t>
  </si>
  <si>
    <t>6420 · Advertising</t>
  </si>
  <si>
    <t xml:space="preserve">     Adverstising (Google/Yelp)   </t>
  </si>
  <si>
    <t>ZB 3</t>
  </si>
  <si>
    <t xml:space="preserve">                         -  </t>
  </si>
  <si>
    <t>6450 · Public Relations</t>
  </si>
  <si>
    <t>ZB 4</t>
  </si>
  <si>
    <t>6445 · Marketing/Social Media</t>
  </si>
  <si>
    <t>ZB</t>
  </si>
  <si>
    <t>6340 · Kitchen Supplies</t>
  </si>
  <si>
    <t>Production Costs (607/DGS)</t>
  </si>
  <si>
    <t>ZB 16</t>
  </si>
  <si>
    <t>6310 · Chemical Supplies</t>
  </si>
  <si>
    <t>6436 · Open Table + Reserve Reservations</t>
  </si>
  <si>
    <t>6425 · Website</t>
  </si>
  <si>
    <t>6400 · Marketing - Other</t>
  </si>
  <si>
    <t>Third Party Delivery</t>
  </si>
  <si>
    <t>Platform #1</t>
  </si>
  <si>
    <t>Platform #2</t>
  </si>
  <si>
    <t>Platform #3</t>
  </si>
  <si>
    <t>Platform #4</t>
  </si>
  <si>
    <t>Order Errors</t>
  </si>
  <si>
    <t>6302 · Delivery Fees</t>
  </si>
  <si>
    <r>
      <t xml:space="preserve">   </t>
    </r>
    <r>
      <rPr>
        <sz val="12"/>
        <color indexed="8"/>
        <rFont val="Calibri"/>
        <family val="2"/>
      </rPr>
      <t>ASAP</t>
    </r>
    <r>
      <rPr>
        <sz val="12"/>
        <color rgb="FF000000"/>
        <rFont val="Calibri"/>
        <family val="2"/>
        <scheme val="minor"/>
      </rPr>
      <t xml:space="preserve"> Fees</t>
    </r>
  </si>
  <si>
    <t>4106 · Bar Comp</t>
  </si>
  <si>
    <t>4101 · Food Comp</t>
  </si>
  <si>
    <t>6440 · Donations / Certificates</t>
  </si>
  <si>
    <t xml:space="preserve">Total Promotions and Discounts </t>
  </si>
  <si>
    <t>6610 · Electric</t>
  </si>
  <si>
    <t>6620 · Gas</t>
  </si>
  <si>
    <t>6640 · Water</t>
  </si>
  <si>
    <t>6650 · Waste Removal</t>
  </si>
  <si>
    <t>6282 · Accounting Fees</t>
  </si>
  <si>
    <t>6283 · Consultants / Contract Services</t>
  </si>
  <si>
    <t>Outside Accounting Services</t>
  </si>
  <si>
    <t>-</t>
  </si>
  <si>
    <t>6281 · Legal Fees</t>
  </si>
  <si>
    <t>6256 · POS contract/fees</t>
  </si>
  <si>
    <t>6210 · Bank Charges</t>
  </si>
  <si>
    <t>6225 · Credit Card Disc.</t>
  </si>
  <si>
    <t>6230 · Dues &amp; Subscriptions</t>
  </si>
  <si>
    <t>6240 · Liability Insurance</t>
  </si>
  <si>
    <t>Zero based per Brett</t>
  </si>
  <si>
    <t>6245 · Licenses &amp; Permits</t>
  </si>
  <si>
    <t>6255 · Office Supplies</t>
  </si>
  <si>
    <t>6293 · Travel / Lodging</t>
  </si>
  <si>
    <t>6270 · Postage / FedEx</t>
  </si>
  <si>
    <t xml:space="preserve">Est. </t>
  </si>
  <si>
    <t>6285 · Telephone</t>
  </si>
  <si>
    <t>Page 3</t>
  </si>
  <si>
    <t>6350 · Contract Cleaning</t>
  </si>
  <si>
    <t>6560 · HVAC Repairs</t>
  </si>
  <si>
    <t>Occupancy Costs</t>
  </si>
  <si>
    <t>6710 · Rent</t>
  </si>
  <si>
    <t>6730 · CAM Charges</t>
  </si>
  <si>
    <t>DeMinimus &lt;$2.500</t>
  </si>
  <si>
    <t>Personal Property, DC Franchise Tax, Client to Advise</t>
  </si>
  <si>
    <t>Other</t>
  </si>
  <si>
    <t xml:space="preserve">Net Income </t>
  </si>
  <si>
    <t xml:space="preserve">Cash Flow </t>
  </si>
  <si>
    <t>Metrics</t>
  </si>
  <si>
    <t>Covers</t>
  </si>
  <si>
    <t xml:space="preserve">  Lunch</t>
  </si>
  <si>
    <t xml:space="preserve">  Dinner</t>
  </si>
  <si>
    <t>Total Covers  (Based on $30.00 Check)</t>
  </si>
  <si>
    <t>Staff Hours  (Input)</t>
  </si>
  <si>
    <t>Front of House  ($6.27 Ave. Rate)</t>
  </si>
  <si>
    <t>Bar  ($4.36 Ave. Rate)</t>
  </si>
  <si>
    <t>Back of House  ($14.57.6Ave. Rate)</t>
  </si>
  <si>
    <t xml:space="preserve">Total Staff Hours </t>
  </si>
  <si>
    <t>Productivty</t>
  </si>
  <si>
    <t>Back of House</t>
  </si>
  <si>
    <t xml:space="preserve">Total Prodcutivity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</si>
</sst>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</numFmts>
  <fonts count="1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  <font>
      <b/>
      <sz val="8"/>
      <color rgb="FF32323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3" borderId="0" applyNumberFormat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95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/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49" fontId="7" fillId="0" borderId="0" xfId="0" applyNumberFormat="1" applyFont="1"/>
    <xf numFmtId="49" fontId="8" fillId="0" borderId="0" xfId="0" applyNumberFormat="1" applyFont="1"/>
    <xf numFmtId="49" fontId="7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 indent="2"/>
    </xf>
    <xf numFmtId="49" fontId="7" fillId="0" borderId="1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 indent="1"/>
    </xf>
    <xf numFmtId="49" fontId="7" fillId="0" borderId="1" xfId="0" applyNumberFormat="1" applyFont="1" applyBorder="1"/>
    <xf numFmtId="49" fontId="8" fillId="0" borderId="0" xfId="0" applyNumberFormat="1" applyFont="1" applyAlignment="1">
      <alignment horizontal="left" indent="1"/>
    </xf>
    <xf numFmtId="43" fontId="5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9" fontId="3" fillId="0" borderId="0" xfId="2" applyFont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165" fontId="6" fillId="0" borderId="0" xfId="2" applyNumberFormat="1" applyFont="1" applyAlignment="1">
      <alignment horizontal="center"/>
    </xf>
    <xf numFmtId="164" fontId="7" fillId="0" borderId="0" xfId="1" applyNumberFormat="1" applyFont="1"/>
    <xf numFmtId="165" fontId="7" fillId="0" borderId="0" xfId="2" applyNumberFormat="1" applyFont="1" applyAlignment="1">
      <alignment horizontal="center"/>
    </xf>
    <xf numFmtId="164" fontId="8" fillId="0" borderId="0" xfId="1" applyNumberFormat="1" applyFont="1" applyAlignment="1">
      <alignment horizontal="center"/>
    </xf>
    <xf numFmtId="165" fontId="8" fillId="0" borderId="0" xfId="2" applyNumberFormat="1" applyFont="1" applyAlignment="1">
      <alignment horizontal="center"/>
    </xf>
    <xf numFmtId="164" fontId="7" fillId="0" borderId="1" xfId="1" applyNumberFormat="1" applyFont="1" applyBorder="1"/>
    <xf numFmtId="164" fontId="7" fillId="0" borderId="0" xfId="1" applyNumberFormat="1" applyFont="1" applyAlignment="1">
      <alignment horizontal="center"/>
    </xf>
    <xf numFmtId="165" fontId="6" fillId="0" borderId="0" xfId="1" applyNumberFormat="1" applyFont="1" applyAlignment="1">
      <alignment horizontal="center"/>
    </xf>
    <xf numFmtId="0" fontId="5" fillId="0" borderId="0" xfId="0" applyFont="1" applyAlignment="1">
      <alignment horizontal="left" indent="1"/>
    </xf>
    <xf numFmtId="0" fontId="8" fillId="0" borderId="0" xfId="0" applyFont="1" applyAlignment="1">
      <alignment horizontal="left" indent="1"/>
    </xf>
    <xf numFmtId="9" fontId="3" fillId="0" borderId="0" xfId="2" applyFont="1"/>
    <xf numFmtId="9" fontId="5" fillId="0" borderId="0" xfId="2" applyFont="1" applyAlignment="1">
      <alignment horizontal="center"/>
    </xf>
    <xf numFmtId="9" fontId="6" fillId="0" borderId="0" xfId="2" applyFont="1" applyAlignment="1">
      <alignment horizontal="center"/>
    </xf>
    <xf numFmtId="9" fontId="7" fillId="0" borderId="0" xfId="2" applyFont="1" applyAlignment="1">
      <alignment horizontal="center"/>
    </xf>
    <xf numFmtId="9" fontId="8" fillId="0" borderId="0" xfId="2" applyFont="1" applyAlignment="1">
      <alignment horizontal="center"/>
    </xf>
    <xf numFmtId="9" fontId="6" fillId="0" borderId="1" xfId="2" applyFont="1" applyBorder="1" applyAlignment="1">
      <alignment horizontal="center"/>
    </xf>
    <xf numFmtId="9" fontId="6" fillId="0" borderId="2" xfId="2" applyFont="1" applyBorder="1" applyAlignment="1">
      <alignment horizontal="center"/>
    </xf>
    <xf numFmtId="43" fontId="7" fillId="0" borderId="0" xfId="1" applyFont="1"/>
    <xf numFmtId="44" fontId="7" fillId="0" borderId="0" xfId="3" applyFont="1"/>
    <xf numFmtId="9" fontId="7" fillId="0" borderId="0" xfId="2" applyFont="1" applyFill="1" applyAlignment="1">
      <alignment horizontal="center"/>
    </xf>
    <xf numFmtId="9" fontId="6" fillId="0" borderId="1" xfId="2" applyFont="1" applyFill="1" applyBorder="1" applyAlignment="1">
      <alignment horizontal="center"/>
    </xf>
    <xf numFmtId="9" fontId="6" fillId="0" borderId="0" xfId="2" applyFont="1" applyFill="1" applyAlignment="1">
      <alignment horizontal="center"/>
    </xf>
    <xf numFmtId="165" fontId="7" fillId="0" borderId="0" xfId="2" applyNumberFormat="1" applyFont="1" applyFill="1" applyAlignment="1">
      <alignment horizontal="center"/>
    </xf>
    <xf numFmtId="165" fontId="6" fillId="0" borderId="0" xfId="2" applyNumberFormat="1" applyFont="1" applyFill="1" applyAlignment="1">
      <alignment horizontal="center"/>
    </xf>
    <xf numFmtId="43" fontId="5" fillId="0" borderId="0" xfId="1" applyFont="1" applyFill="1" applyAlignment="1">
      <alignment horizontal="center"/>
    </xf>
    <xf numFmtId="164" fontId="7" fillId="0" borderId="0" xfId="1" applyNumberFormat="1" applyFont="1" applyFill="1"/>
    <xf numFmtId="164" fontId="7" fillId="0" borderId="0" xfId="1" applyNumberFormat="1" applyFont="1" applyFill="1" applyAlignment="1">
      <alignment horizontal="center"/>
    </xf>
    <xf numFmtId="165" fontId="6" fillId="0" borderId="0" xfId="1" applyNumberFormat="1" applyFont="1" applyFill="1" applyAlignment="1">
      <alignment horizontal="center"/>
    </xf>
    <xf numFmtId="43" fontId="8" fillId="0" borderId="0" xfId="1" applyFont="1" applyAlignment="1">
      <alignment horizontal="center"/>
    </xf>
    <xf numFmtId="9" fontId="3" fillId="0" borderId="0" xfId="2" applyFont="1" applyFill="1"/>
    <xf numFmtId="0" fontId="5" fillId="0" borderId="0" xfId="0" applyFont="1" applyAlignment="1">
      <alignment horizontal="center"/>
    </xf>
    <xf numFmtId="9" fontId="5" fillId="0" borderId="0" xfId="2" applyFont="1" applyFill="1" applyAlignment="1">
      <alignment horizontal="center"/>
    </xf>
    <xf numFmtId="165" fontId="8" fillId="0" borderId="0" xfId="2" applyNumberFormat="1" applyFont="1" applyFill="1" applyAlignment="1">
      <alignment horizontal="center"/>
    </xf>
    <xf numFmtId="9" fontId="8" fillId="0" borderId="0" xfId="2" applyFont="1" applyFill="1" applyAlignment="1">
      <alignment horizontal="center"/>
    </xf>
    <xf numFmtId="49" fontId="11" fillId="0" borderId="0" xfId="4" applyNumberFormat="1" applyFont="1" applyFill="1" applyBorder="1" applyAlignment="1">
      <alignment horizontal="left"/>
    </xf>
    <xf numFmtId="0" fontId="7" fillId="0" borderId="0" xfId="2" applyNumberFormat="1" applyFont="1" applyAlignment="1">
      <alignment horizontal="center"/>
    </xf>
    <xf numFmtId="164" fontId="7" fillId="0" borderId="0" xfId="1" applyNumberFormat="1" applyFont="1" applyBorder="1"/>
    <xf numFmtId="0" fontId="8" fillId="0" borderId="0" xfId="2" applyNumberFormat="1" applyFont="1" applyAlignment="1">
      <alignment horizontal="center"/>
    </xf>
    <xf numFmtId="49" fontId="8" fillId="0" borderId="0" xfId="0" applyNumberFormat="1" applyFont="1" applyAlignment="1">
      <alignment horizontal="left"/>
    </xf>
    <xf numFmtId="0" fontId="6" fillId="0" borderId="0" xfId="2" applyNumberFormat="1" applyFont="1" applyAlignment="1">
      <alignment horizontal="center"/>
    </xf>
    <xf numFmtId="9" fontId="7" fillId="0" borderId="0" xfId="2" applyFont="1" applyBorder="1" applyAlignment="1">
      <alignment horizontal="center"/>
    </xf>
    <xf numFmtId="164" fontId="8" fillId="0" borderId="0" xfId="1" applyNumberFormat="1" applyFont="1" applyBorder="1"/>
    <xf numFmtId="49" fontId="13" fillId="0" borderId="0" xfId="0" applyNumberFormat="1" applyFont="1" applyAlignment="1">
      <alignment horizontal="left" indent="2"/>
    </xf>
    <xf numFmtId="164" fontId="7" fillId="0" borderId="2" xfId="1" applyNumberFormat="1" applyFont="1" applyBorder="1"/>
    <xf numFmtId="9" fontId="6" fillId="0" borderId="0" xfId="2" applyFont="1" applyBorder="1" applyAlignment="1">
      <alignment horizontal="center"/>
    </xf>
    <xf numFmtId="164" fontId="8" fillId="0" borderId="0" xfId="1" applyNumberFormat="1" applyFont="1" applyBorder="1" applyAlignment="1">
      <alignment horizontal="center"/>
    </xf>
    <xf numFmtId="164" fontId="8" fillId="0" borderId="0" xfId="1" applyNumberFormat="1" applyFont="1" applyFill="1" applyAlignment="1">
      <alignment horizontal="center"/>
    </xf>
    <xf numFmtId="164" fontId="6" fillId="0" borderId="1" xfId="1" applyNumberFormat="1" applyFont="1" applyFill="1" applyBorder="1" applyAlignment="1">
      <alignment horizontal="center"/>
    </xf>
    <xf numFmtId="164" fontId="6" fillId="0" borderId="1" xfId="1" applyNumberFormat="1" applyFont="1" applyFill="1" applyBorder="1"/>
    <xf numFmtId="164" fontId="8" fillId="0" borderId="0" xfId="1" applyNumberFormat="1" applyFont="1" applyFill="1"/>
    <xf numFmtId="164" fontId="7" fillId="0" borderId="1" xfId="1" applyNumberFormat="1" applyFont="1" applyFill="1" applyBorder="1"/>
    <xf numFmtId="164" fontId="6" fillId="0" borderId="0" xfId="1" applyNumberFormat="1" applyFont="1"/>
    <xf numFmtId="164" fontId="6" fillId="0" borderId="1" xfId="1" applyNumberFormat="1" applyFont="1" applyBorder="1"/>
    <xf numFmtId="164" fontId="8" fillId="0" borderId="0" xfId="1" applyNumberFormat="1" applyFont="1" applyFill="1" applyBorder="1"/>
    <xf numFmtId="164" fontId="8" fillId="0" borderId="0" xfId="1" applyNumberFormat="1" applyFont="1"/>
    <xf numFmtId="164" fontId="8" fillId="0" borderId="0" xfId="1" applyNumberFormat="1" applyFont="1" applyFill="1" applyBorder="1" applyAlignment="1">
      <alignment horizontal="center"/>
    </xf>
    <xf numFmtId="164" fontId="6" fillId="0" borderId="0" xfId="1" applyNumberFormat="1" applyFont="1" applyFill="1"/>
    <xf numFmtId="165" fontId="3" fillId="0" borderId="0" xfId="2" applyNumberFormat="1" applyFont="1" applyAlignment="1">
      <alignment horizontal="center"/>
    </xf>
    <xf numFmtId="165" fontId="8" fillId="0" borderId="0" xfId="2" applyNumberFormat="1" applyFont="1" applyFill="1" applyBorder="1" applyAlignment="1">
      <alignment horizontal="center"/>
    </xf>
    <xf numFmtId="9" fontId="8" fillId="0" borderId="0" xfId="2" applyFont="1" applyFill="1" applyBorder="1" applyAlignment="1">
      <alignment horizontal="center"/>
    </xf>
    <xf numFmtId="164" fontId="6" fillId="0" borderId="0" xfId="2" applyNumberFormat="1" applyFont="1" applyAlignment="1">
      <alignment horizontal="center"/>
    </xf>
    <xf numFmtId="0" fontId="6" fillId="0" borderId="0" xfId="0" applyFont="1" applyAlignment="1">
      <alignment horizontal="center"/>
    </xf>
    <xf numFmtId="9" fontId="8" fillId="0" borderId="0" xfId="2" applyFont="1" applyFill="1"/>
    <xf numFmtId="9" fontId="6" fillId="0" borderId="0" xfId="2" applyFont="1" applyFill="1"/>
    <xf numFmtId="0" fontId="8" fillId="0" borderId="0" xfId="2" applyNumberFormat="1" applyFont="1" applyFill="1" applyAlignment="1">
      <alignment horizontal="center"/>
    </xf>
    <xf numFmtId="164" fontId="6" fillId="0" borderId="0" xfId="1" applyNumberFormat="1" applyFont="1" applyFill="1" applyBorder="1" applyAlignment="1">
      <alignment horizontal="center"/>
    </xf>
    <xf numFmtId="164" fontId="7" fillId="0" borderId="0" xfId="1" applyNumberFormat="1" applyFont="1" applyFill="1" applyBorder="1"/>
    <xf numFmtId="164" fontId="6" fillId="0" borderId="0" xfId="1" applyNumberFormat="1" applyFont="1" applyFill="1" applyBorder="1"/>
    <xf numFmtId="164" fontId="8" fillId="4" borderId="0" xfId="1" applyNumberFormat="1" applyFont="1" applyFill="1" applyAlignment="1">
      <alignment horizontal="center"/>
    </xf>
    <xf numFmtId="164" fontId="8" fillId="4" borderId="0" xfId="1" applyNumberFormat="1" applyFont="1" applyFill="1"/>
    <xf numFmtId="0" fontId="6" fillId="5" borderId="0" xfId="0" applyFont="1" applyFill="1"/>
    <xf numFmtId="0" fontId="14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43" fontId="4" fillId="0" borderId="0" xfId="1" applyFont="1" applyFill="1" applyAlignment="1">
      <alignment horizontal="center"/>
    </xf>
    <xf numFmtId="165" fontId="4" fillId="0" borderId="0" xfId="2" applyNumberFormat="1" applyFont="1" applyFill="1" applyAlignment="1">
      <alignment horizontal="center"/>
    </xf>
    <xf numFmtId="43" fontId="15" fillId="0" borderId="0" xfId="1" applyFont="1" applyFill="1" applyAlignment="1">
      <alignment horizontal="center"/>
    </xf>
    <xf numFmtId="0" fontId="15" fillId="0" borderId="0" xfId="0" applyFont="1" applyAlignment="1">
      <alignment horizontal="center"/>
    </xf>
    <xf numFmtId="165" fontId="5" fillId="0" borderId="0" xfId="2" applyNumberFormat="1" applyFont="1" applyFill="1" applyAlignment="1">
      <alignment horizontal="center"/>
    </xf>
    <xf numFmtId="43" fontId="16" fillId="0" borderId="0" xfId="1" applyFont="1" applyFill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/>
    <xf numFmtId="43" fontId="13" fillId="0" borderId="3" xfId="1" applyFont="1" applyFill="1" applyBorder="1" applyAlignment="1">
      <alignment horizontal="center"/>
    </xf>
    <xf numFmtId="164" fontId="13" fillId="0" borderId="3" xfId="1" applyNumberFormat="1" applyFont="1" applyFill="1" applyBorder="1"/>
    <xf numFmtId="43" fontId="13" fillId="0" borderId="0" xfId="1" applyFont="1" applyFill="1" applyBorder="1" applyAlignment="1">
      <alignment horizontal="center"/>
    </xf>
    <xf numFmtId="164" fontId="13" fillId="0" borderId="0" xfId="1" applyNumberFormat="1" applyFont="1" applyFill="1" applyBorder="1"/>
    <xf numFmtId="165" fontId="6" fillId="0" borderId="0" xfId="2" applyNumberFormat="1" applyFont="1" applyFill="1" applyBorder="1" applyAlignment="1">
      <alignment horizontal="center"/>
    </xf>
    <xf numFmtId="164" fontId="11" fillId="0" borderId="0" xfId="1" applyNumberFormat="1" applyFont="1" applyFill="1" applyBorder="1"/>
    <xf numFmtId="164" fontId="6" fillId="0" borderId="0" xfId="1" applyNumberFormat="1" applyFont="1" applyFill="1" applyBorder="1" applyAlignment="1">
      <alignment horizontal="left"/>
    </xf>
    <xf numFmtId="165" fontId="6" fillId="0" borderId="1" xfId="2" applyNumberFormat="1" applyFont="1" applyFill="1" applyBorder="1" applyAlignment="1">
      <alignment horizontal="center"/>
    </xf>
    <xf numFmtId="164" fontId="13" fillId="0" borderId="1" xfId="1" applyNumberFormat="1" applyFont="1" applyFill="1" applyBorder="1"/>
    <xf numFmtId="164" fontId="17" fillId="0" borderId="4" xfId="1" applyNumberFormat="1" applyFont="1" applyFill="1" applyBorder="1" applyAlignment="1">
      <alignment horizontal="center"/>
    </xf>
    <xf numFmtId="0" fontId="17" fillId="0" borderId="5" xfId="1" applyNumberFormat="1" applyFont="1" applyFill="1" applyBorder="1" applyAlignment="1">
      <alignment horizontal="center"/>
    </xf>
    <xf numFmtId="165" fontId="17" fillId="0" borderId="5" xfId="2" applyNumberFormat="1" applyFont="1" applyFill="1" applyBorder="1" applyAlignment="1">
      <alignment horizontal="center"/>
    </xf>
    <xf numFmtId="164" fontId="17" fillId="0" borderId="0" xfId="1" applyNumberFormat="1" applyFont="1" applyFill="1" applyBorder="1" applyAlignment="1">
      <alignment horizontal="center"/>
    </xf>
    <xf numFmtId="164" fontId="6" fillId="0" borderId="4" xfId="1" applyNumberFormat="1" applyFont="1" applyFill="1" applyBorder="1" applyAlignment="1">
      <alignment horizontal="center"/>
    </xf>
    <xf numFmtId="49" fontId="18" fillId="0" borderId="0" xfId="0" applyNumberFormat="1" applyFont="1"/>
    <xf numFmtId="164" fontId="6" fillId="0" borderId="5" xfId="1" applyNumberFormat="1" applyFont="1" applyFill="1" applyBorder="1" applyAlignment="1">
      <alignment horizontal="center"/>
    </xf>
    <xf numFmtId="165" fontId="6" fillId="0" borderId="5" xfId="2" applyNumberFormat="1" applyFont="1" applyFill="1" applyBorder="1" applyAlignment="1">
      <alignment horizontal="center"/>
    </xf>
    <xf numFmtId="164" fontId="6" fillId="0" borderId="0" xfId="0" applyNumberFormat="1" applyFont="1"/>
    <xf numFmtId="164" fontId="6" fillId="0" borderId="6" xfId="1" applyNumberFormat="1" applyFont="1" applyFill="1" applyBorder="1" applyAlignment="1">
      <alignment horizontal="center"/>
    </xf>
    <xf numFmtId="164" fontId="6" fillId="0" borderId="7" xfId="1" applyNumberFormat="1" applyFont="1" applyFill="1" applyBorder="1" applyAlignment="1">
      <alignment horizontal="center"/>
    </xf>
    <xf numFmtId="165" fontId="6" fillId="0" borderId="7" xfId="2" applyNumberFormat="1" applyFont="1" applyFill="1" applyBorder="1" applyAlignment="1">
      <alignment horizontal="center"/>
    </xf>
    <xf numFmtId="165" fontId="6" fillId="0" borderId="6" xfId="2" applyNumberFormat="1" applyFont="1" applyFill="1" applyBorder="1" applyAlignment="1">
      <alignment horizontal="center"/>
    </xf>
    <xf numFmtId="164" fontId="6" fillId="0" borderId="8" xfId="1" applyNumberFormat="1" applyFont="1" applyFill="1" applyBorder="1" applyAlignment="1">
      <alignment horizontal="center"/>
    </xf>
    <xf numFmtId="43" fontId="6" fillId="0" borderId="1" xfId="1" applyFont="1" applyFill="1" applyBorder="1" applyAlignment="1">
      <alignment horizontal="center"/>
    </xf>
    <xf numFmtId="43" fontId="7" fillId="0" borderId="0" xfId="1" applyFont="1" applyFill="1" applyAlignment="1">
      <alignment horizontal="center"/>
    </xf>
    <xf numFmtId="164" fontId="7" fillId="0" borderId="4" xfId="1" applyNumberFormat="1" applyFont="1" applyFill="1" applyBorder="1" applyAlignment="1">
      <alignment horizontal="center"/>
    </xf>
    <xf numFmtId="164" fontId="7" fillId="0" borderId="5" xfId="1" applyNumberFormat="1" applyFont="1" applyFill="1" applyBorder="1" applyAlignment="1">
      <alignment horizontal="center"/>
    </xf>
    <xf numFmtId="164" fontId="7" fillId="0" borderId="4" xfId="1" applyNumberFormat="1" applyFont="1" applyFill="1" applyBorder="1"/>
    <xf numFmtId="43" fontId="7" fillId="0" borderId="0" xfId="1" applyFont="1" applyFill="1" applyBorder="1" applyAlignment="1">
      <alignment horizontal="center"/>
    </xf>
    <xf numFmtId="43" fontId="8" fillId="0" borderId="0" xfId="1" applyFont="1" applyFill="1" applyAlignment="1">
      <alignment horizontal="center"/>
    </xf>
    <xf numFmtId="164" fontId="8" fillId="0" borderId="4" xfId="1" applyNumberFormat="1" applyFont="1" applyFill="1" applyBorder="1" applyAlignment="1">
      <alignment horizontal="center"/>
    </xf>
    <xf numFmtId="43" fontId="8" fillId="0" borderId="4" xfId="1" applyFont="1" applyFill="1" applyBorder="1" applyAlignment="1">
      <alignment horizontal="center"/>
    </xf>
    <xf numFmtId="43" fontId="8" fillId="0" borderId="5" xfId="1" applyFont="1" applyFill="1" applyBorder="1" applyAlignment="1">
      <alignment horizontal="center"/>
    </xf>
    <xf numFmtId="165" fontId="8" fillId="0" borderId="5" xfId="2" applyNumberFormat="1" applyFont="1" applyFill="1" applyBorder="1" applyAlignment="1">
      <alignment horizontal="center"/>
    </xf>
    <xf numFmtId="43" fontId="8" fillId="0" borderId="10" xfId="1" applyFont="1" applyFill="1" applyBorder="1" applyAlignment="1">
      <alignment horizontal="center"/>
    </xf>
    <xf numFmtId="43" fontId="8" fillId="0" borderId="0" xfId="1" applyFont="1" applyFill="1" applyBorder="1" applyAlignment="1">
      <alignment horizontal="center"/>
    </xf>
    <xf numFmtId="164" fontId="8" fillId="0" borderId="5" xfId="1" applyNumberFormat="1" applyFont="1" applyFill="1" applyBorder="1" applyAlignment="1">
      <alignment horizontal="center"/>
    </xf>
    <xf numFmtId="164" fontId="8" fillId="0" borderId="9" xfId="1" applyNumberFormat="1" applyFont="1" applyFill="1" applyBorder="1" applyAlignment="1">
      <alignment horizontal="center"/>
    </xf>
    <xf numFmtId="164" fontId="8" fillId="0" borderId="10" xfId="1" applyNumberFormat="1" applyFont="1" applyFill="1" applyBorder="1" applyAlignment="1">
      <alignment horizontal="center"/>
    </xf>
    <xf numFmtId="164" fontId="7" fillId="0" borderId="1" xfId="1" applyNumberFormat="1" applyFont="1" applyFill="1" applyBorder="1" applyAlignment="1">
      <alignment horizontal="center"/>
    </xf>
    <xf numFmtId="164" fontId="7" fillId="0" borderId="6" xfId="1" applyNumberFormat="1" applyFont="1" applyFill="1" applyBorder="1" applyAlignment="1">
      <alignment horizontal="center"/>
    </xf>
    <xf numFmtId="164" fontId="7" fillId="0" borderId="0" xfId="1" applyNumberFormat="1" applyFont="1" applyFill="1" applyBorder="1" applyAlignment="1">
      <alignment horizontal="center"/>
    </xf>
    <xf numFmtId="43" fontId="8" fillId="0" borderId="8" xfId="1" applyFont="1" applyFill="1" applyBorder="1" applyAlignment="1">
      <alignment horizontal="center"/>
    </xf>
    <xf numFmtId="165" fontId="8" fillId="0" borderId="8" xfId="2" applyNumberFormat="1" applyFont="1" applyFill="1" applyBorder="1" applyAlignment="1">
      <alignment horizontal="center"/>
    </xf>
    <xf numFmtId="165" fontId="8" fillId="0" borderId="4" xfId="2" applyNumberFormat="1" applyFont="1" applyFill="1" applyBorder="1" applyAlignment="1">
      <alignment horizontal="center"/>
    </xf>
    <xf numFmtId="49" fontId="8" fillId="6" borderId="0" xfId="0" applyNumberFormat="1" applyFont="1" applyFill="1" applyAlignment="1">
      <alignment horizontal="left" indent="2"/>
    </xf>
    <xf numFmtId="164" fontId="8" fillId="6" borderId="0" xfId="1" applyNumberFormat="1" applyFont="1" applyFill="1" applyAlignment="1">
      <alignment horizontal="center"/>
    </xf>
    <xf numFmtId="164" fontId="8" fillId="6" borderId="4" xfId="1" applyNumberFormat="1" applyFont="1" applyFill="1" applyBorder="1" applyAlignment="1">
      <alignment horizontal="center"/>
    </xf>
    <xf numFmtId="164" fontId="7" fillId="6" borderId="5" xfId="1" applyNumberFormat="1" applyFont="1" applyFill="1" applyBorder="1" applyAlignment="1">
      <alignment horizontal="right"/>
    </xf>
    <xf numFmtId="164" fontId="8" fillId="6" borderId="0" xfId="1" applyNumberFormat="1" applyFont="1" applyFill="1"/>
    <xf numFmtId="44" fontId="8" fillId="6" borderId="0" xfId="3" applyFont="1" applyFill="1" applyBorder="1" applyAlignment="1">
      <alignment horizontal="center"/>
    </xf>
    <xf numFmtId="165" fontId="7" fillId="0" borderId="0" xfId="2" applyNumberFormat="1" applyFont="1" applyFill="1" applyBorder="1"/>
    <xf numFmtId="164" fontId="7" fillId="0" borderId="5" xfId="1" applyNumberFormat="1" applyFont="1" applyFill="1" applyBorder="1"/>
    <xf numFmtId="164" fontId="8" fillId="0" borderId="5" xfId="1" applyNumberFormat="1" applyFont="1" applyFill="1" applyBorder="1"/>
    <xf numFmtId="164" fontId="8" fillId="0" borderId="5" xfId="1" applyNumberFormat="1" applyFont="1" applyBorder="1"/>
    <xf numFmtId="164" fontId="8" fillId="0" borderId="11" xfId="1" applyNumberFormat="1" applyFont="1" applyFill="1" applyBorder="1"/>
    <xf numFmtId="43" fontId="7" fillId="0" borderId="1" xfId="1" applyFont="1" applyFill="1" applyBorder="1" applyAlignment="1">
      <alignment horizontal="center"/>
    </xf>
    <xf numFmtId="164" fontId="7" fillId="0" borderId="7" xfId="1" applyNumberFormat="1" applyFont="1" applyFill="1" applyBorder="1" applyAlignment="1">
      <alignment horizontal="center"/>
    </xf>
    <xf numFmtId="43" fontId="7" fillId="0" borderId="4" xfId="1" applyFont="1" applyFill="1" applyBorder="1" applyAlignment="1">
      <alignment horizontal="center"/>
    </xf>
    <xf numFmtId="43" fontId="7" fillId="0" borderId="5" xfId="1" applyFont="1" applyFill="1" applyBorder="1" applyAlignment="1">
      <alignment horizontal="center"/>
    </xf>
    <xf numFmtId="165" fontId="7" fillId="0" borderId="5" xfId="2" applyNumberFormat="1" applyFont="1" applyFill="1" applyBorder="1" applyAlignment="1">
      <alignment horizontal="center"/>
    </xf>
    <xf numFmtId="49" fontId="7" fillId="0" borderId="0" xfId="0" applyNumberFormat="1" applyFont="1" applyAlignment="1">
      <alignment horizontal="left" indent="2"/>
    </xf>
    <xf numFmtId="10" fontId="8" fillId="0" borderId="4" xfId="2" applyNumberFormat="1" applyFont="1" applyFill="1" applyBorder="1" applyAlignment="1">
      <alignment horizontal="center"/>
    </xf>
    <xf numFmtId="10" fontId="8" fillId="0" borderId="4" xfId="1" applyNumberFormat="1" applyFont="1" applyFill="1" applyBorder="1" applyAlignment="1">
      <alignment horizontal="center"/>
    </xf>
    <xf numFmtId="49" fontId="11" fillId="0" borderId="1" xfId="0" applyNumberFormat="1" applyFont="1" applyBorder="1" applyAlignment="1">
      <alignment horizontal="left"/>
    </xf>
    <xf numFmtId="164" fontId="8" fillId="0" borderId="0" xfId="0" applyNumberFormat="1" applyFont="1"/>
    <xf numFmtId="164" fontId="8" fillId="0" borderId="8" xfId="1" applyNumberFormat="1" applyFont="1" applyFill="1" applyBorder="1" applyAlignment="1">
      <alignment horizontal="center"/>
    </xf>
    <xf numFmtId="164" fontId="8" fillId="0" borderId="1" xfId="1" applyNumberFormat="1" applyFont="1" applyFill="1" applyBorder="1" applyAlignment="1">
      <alignment horizontal="center"/>
    </xf>
    <xf numFmtId="164" fontId="6" fillId="0" borderId="1" xfId="0" applyNumberFormat="1" applyFont="1" applyBorder="1"/>
    <xf numFmtId="165" fontId="6" fillId="0" borderId="1" xfId="0" applyNumberFormat="1" applyFont="1" applyBorder="1"/>
    <xf numFmtId="164" fontId="8" fillId="4" borderId="4" xfId="1" applyNumberFormat="1" applyFont="1" applyFill="1" applyBorder="1" applyAlignment="1">
      <alignment horizontal="center"/>
    </xf>
    <xf numFmtId="165" fontId="7" fillId="0" borderId="1" xfId="2" applyNumberFormat="1" applyFont="1" applyFill="1" applyBorder="1"/>
    <xf numFmtId="164" fontId="8" fillId="0" borderId="6" xfId="1" applyNumberFormat="1" applyFont="1" applyFill="1" applyBorder="1" applyAlignment="1">
      <alignment horizontal="center"/>
    </xf>
    <xf numFmtId="164" fontId="8" fillId="0" borderId="1" xfId="1" applyNumberFormat="1" applyFont="1" applyFill="1" applyBorder="1"/>
    <xf numFmtId="165" fontId="8" fillId="0" borderId="12" xfId="2" applyNumberFormat="1" applyFont="1" applyFill="1" applyBorder="1" applyAlignment="1">
      <alignment horizontal="center"/>
    </xf>
    <xf numFmtId="164" fontId="8" fillId="0" borderId="8" xfId="1" applyNumberFormat="1" applyFont="1" applyFill="1" applyBorder="1" applyAlignment="1">
      <alignment horizontal="right"/>
    </xf>
    <xf numFmtId="164" fontId="8" fillId="0" borderId="4" xfId="1" applyNumberFormat="1" applyFont="1" applyFill="1" applyBorder="1" applyAlignment="1">
      <alignment horizontal="right"/>
    </xf>
    <xf numFmtId="164" fontId="8" fillId="0" borderId="7" xfId="1" applyNumberFormat="1" applyFont="1" applyFill="1" applyBorder="1" applyAlignment="1">
      <alignment horizontal="center"/>
    </xf>
    <xf numFmtId="164" fontId="6" fillId="0" borderId="6" xfId="1" applyNumberFormat="1" applyFont="1" applyFill="1" applyBorder="1"/>
    <xf numFmtId="164" fontId="6" fillId="0" borderId="12" xfId="1" applyNumberFormat="1" applyFont="1" applyFill="1" applyBorder="1" applyAlignment="1">
      <alignment horizontal="center"/>
    </xf>
    <xf numFmtId="165" fontId="6" fillId="0" borderId="12" xfId="2" applyNumberFormat="1" applyFont="1" applyFill="1" applyBorder="1" applyAlignment="1">
      <alignment horizontal="center"/>
    </xf>
    <xf numFmtId="43" fontId="7" fillId="0" borderId="8" xfId="1" applyFont="1" applyFill="1" applyBorder="1" applyAlignment="1">
      <alignment horizontal="center"/>
    </xf>
    <xf numFmtId="164" fontId="6" fillId="0" borderId="5" xfId="1" applyNumberFormat="1" applyFont="1" applyFill="1" applyBorder="1"/>
    <xf numFmtId="165" fontId="6" fillId="0" borderId="5" xfId="2" applyNumberFormat="1" applyFont="1" applyFill="1" applyBorder="1"/>
    <xf numFmtId="9" fontId="8" fillId="0" borderId="0" xfId="1" applyNumberFormat="1" applyFont="1" applyFill="1" applyAlignment="1">
      <alignment horizontal="center"/>
    </xf>
    <xf numFmtId="9" fontId="8" fillId="0" borderId="5" xfId="1" applyNumberFormat="1" applyFont="1" applyFill="1" applyBorder="1" applyAlignment="1">
      <alignment horizontal="center"/>
    </xf>
    <xf numFmtId="9" fontId="8" fillId="0" borderId="4" xfId="1" applyNumberFormat="1" applyFont="1" applyFill="1" applyBorder="1" applyAlignment="1">
      <alignment horizontal="center"/>
    </xf>
    <xf numFmtId="9" fontId="8" fillId="0" borderId="0" xfId="1" applyNumberFormat="1" applyFont="1" applyFill="1" applyBorder="1" applyAlignment="1">
      <alignment horizontal="center"/>
    </xf>
    <xf numFmtId="49" fontId="7" fillId="0" borderId="13" xfId="0" applyNumberFormat="1" applyFont="1" applyBorder="1"/>
    <xf numFmtId="43" fontId="7" fillId="0" borderId="13" xfId="1" applyFont="1" applyFill="1" applyBorder="1" applyAlignment="1">
      <alignment horizontal="center"/>
    </xf>
    <xf numFmtId="164" fontId="7" fillId="0" borderId="14" xfId="1" applyNumberFormat="1" applyFont="1" applyFill="1" applyBorder="1" applyAlignment="1">
      <alignment horizontal="center"/>
    </xf>
    <xf numFmtId="164" fontId="7" fillId="0" borderId="15" xfId="1" applyNumberFormat="1" applyFont="1" applyFill="1" applyBorder="1" applyAlignment="1">
      <alignment horizontal="center"/>
    </xf>
    <xf numFmtId="164" fontId="6" fillId="0" borderId="13" xfId="1" applyNumberFormat="1" applyFont="1" applyFill="1" applyBorder="1"/>
    <xf numFmtId="43" fontId="7" fillId="0" borderId="15" xfId="1" applyFont="1" applyFill="1" applyBorder="1" applyAlignment="1">
      <alignment horizontal="center"/>
    </xf>
    <xf numFmtId="165" fontId="7" fillId="0" borderId="15" xfId="2" applyNumberFormat="1" applyFont="1" applyFill="1" applyBorder="1" applyAlignment="1">
      <alignment horizontal="center"/>
    </xf>
    <xf numFmtId="43" fontId="7" fillId="0" borderId="14" xfId="1" applyFont="1" applyFill="1" applyBorder="1" applyAlignment="1">
      <alignment horizontal="center"/>
    </xf>
    <xf numFmtId="164" fontId="7" fillId="0" borderId="13" xfId="1" applyNumberFormat="1" applyFont="1" applyFill="1" applyBorder="1"/>
    <xf numFmtId="164" fontId="7" fillId="0" borderId="15" xfId="1" applyNumberFormat="1" applyFont="1" applyFill="1" applyBorder="1"/>
    <xf numFmtId="43" fontId="7" fillId="0" borderId="0" xfId="1" applyFont="1" applyFill="1" applyBorder="1"/>
    <xf numFmtId="165" fontId="7" fillId="0" borderId="0" xfId="2" applyNumberFormat="1" applyFont="1" applyFill="1" applyBorder="1" applyAlignment="1">
      <alignment horizontal="center"/>
    </xf>
    <xf numFmtId="43" fontId="6" fillId="0" borderId="0" xfId="1" applyFont="1"/>
    <xf numFmtId="166" fontId="7" fillId="0" borderId="0" xfId="3" applyNumberFormat="1" applyFont="1" applyFill="1" applyBorder="1"/>
    <xf numFmtId="43" fontId="7" fillId="0" borderId="0" xfId="1" applyFont="1" applyBorder="1" applyAlignment="1">
      <alignment horizontal="center"/>
    </xf>
    <xf numFmtId="165" fontId="7" fillId="0" borderId="0" xfId="2" applyNumberFormat="1" applyFont="1" applyBorder="1" applyAlignment="1">
      <alignment horizontal="center"/>
    </xf>
    <xf numFmtId="166" fontId="7" fillId="0" borderId="0" xfId="3" applyNumberFormat="1" applyFont="1" applyBorder="1"/>
    <xf numFmtId="43" fontId="6" fillId="0" borderId="1" xfId="1" applyFont="1" applyBorder="1" applyAlignment="1">
      <alignment horizontal="center"/>
    </xf>
    <xf numFmtId="165" fontId="6" fillId="0" borderId="1" xfId="2" applyNumberFormat="1" applyFont="1" applyBorder="1" applyAlignment="1">
      <alignment horizontal="center"/>
    </xf>
    <xf numFmtId="164" fontId="1" fillId="0" borderId="0" xfId="1" applyNumberFormat="1" applyFont="1" applyFill="1" applyAlignment="1">
      <alignment horizontal="center"/>
    </xf>
    <xf numFmtId="164" fontId="11" fillId="0" borderId="0" xfId="1" applyNumberFormat="1" applyFont="1" applyFill="1" applyBorder="1" applyAlignment="1">
      <alignment horizontal="center"/>
    </xf>
    <xf numFmtId="0" fontId="1" fillId="0" borderId="0" xfId="0" applyFont="1"/>
    <xf numFmtId="9" fontId="1" fillId="0" borderId="0" xfId="2" applyFont="1"/>
    <xf numFmtId="9" fontId="1" fillId="0" borderId="0" xfId="2" applyFont="1" applyAlignment="1">
      <alignment horizontal="center"/>
    </xf>
    <xf numFmtId="9" fontId="1" fillId="0" borderId="0" xfId="2" applyFont="1" applyFill="1"/>
    <xf numFmtId="43" fontId="1" fillId="0" borderId="0" xfId="1" applyFont="1" applyFill="1" applyAlignment="1">
      <alignment horizontal="center"/>
    </xf>
    <xf numFmtId="43" fontId="1" fillId="0" borderId="0" xfId="1" applyFont="1" applyAlignment="1">
      <alignment horizontal="center"/>
    </xf>
    <xf numFmtId="9" fontId="1" fillId="0" borderId="0" xfId="2" applyFont="1" applyFill="1" applyAlignment="1">
      <alignment horizontal="center"/>
    </xf>
    <xf numFmtId="0" fontId="1" fillId="0" borderId="0" xfId="0" applyFont="1" applyAlignment="1">
      <alignment horizontal="left" indent="2"/>
    </xf>
    <xf numFmtId="164" fontId="1" fillId="0" borderId="0" xfId="1" applyNumberFormat="1" applyFont="1" applyAlignment="1">
      <alignment horizontal="center"/>
    </xf>
    <xf numFmtId="164" fontId="1" fillId="0" borderId="0" xfId="1" applyNumberFormat="1" applyFont="1" applyFill="1" applyBorder="1"/>
    <xf numFmtId="164" fontId="1" fillId="0" borderId="0" xfId="1" applyNumberFormat="1" applyFont="1"/>
    <xf numFmtId="165" fontId="1" fillId="0" borderId="0" xfId="2" applyNumberFormat="1" applyFont="1" applyAlignment="1">
      <alignment horizontal="center"/>
    </xf>
    <xf numFmtId="164" fontId="1" fillId="0" borderId="0" xfId="1" applyNumberFormat="1" applyFont="1" applyFill="1"/>
    <xf numFmtId="165" fontId="1" fillId="0" borderId="0" xfId="2" applyNumberFormat="1" applyFont="1" applyFill="1" applyAlignment="1">
      <alignment horizontal="center"/>
    </xf>
    <xf numFmtId="164" fontId="1" fillId="0" borderId="0" xfId="0" applyNumberFormat="1" applyFont="1"/>
    <xf numFmtId="3" fontId="1" fillId="0" borderId="0" xfId="0" applyNumberFormat="1" applyFont="1"/>
    <xf numFmtId="164" fontId="1" fillId="0" borderId="0" xfId="1" applyNumberFormat="1" applyFont="1" applyFill="1" applyBorder="1" applyAlignment="1">
      <alignment horizontal="center"/>
    </xf>
    <xf numFmtId="165" fontId="1" fillId="0" borderId="0" xfId="2" applyNumberFormat="1" applyFont="1" applyFill="1" applyBorder="1" applyAlignment="1">
      <alignment horizontal="center"/>
    </xf>
    <xf numFmtId="9" fontId="1" fillId="0" borderId="0" xfId="2" applyFont="1" applyFill="1" applyBorder="1" applyAlignment="1">
      <alignment horizontal="center"/>
    </xf>
    <xf numFmtId="43" fontId="1" fillId="0" borderId="0" xfId="0" applyNumberFormat="1" applyFont="1"/>
    <xf numFmtId="164" fontId="1" fillId="0" borderId="0" xfId="2" applyNumberFormat="1" applyFont="1" applyAlignment="1">
      <alignment horizontal="center"/>
    </xf>
    <xf numFmtId="9" fontId="1" fillId="0" borderId="0" xfId="2" applyFont="1" applyBorder="1" applyAlignment="1">
      <alignment horizontal="center"/>
    </xf>
    <xf numFmtId="49" fontId="1" fillId="0" borderId="0" xfId="0" applyNumberFormat="1" applyFont="1" applyAlignment="1">
      <alignment horizontal="left"/>
    </xf>
    <xf numFmtId="49" fontId="1" fillId="0" borderId="0" xfId="0" applyNumberFormat="1" applyFont="1"/>
    <xf numFmtId="0" fontId="1" fillId="0" borderId="0" xfId="2" applyNumberFormat="1" applyFont="1" applyFill="1" applyAlignment="1">
      <alignment horizontal="center"/>
    </xf>
    <xf numFmtId="165" fontId="1" fillId="0" borderId="0" xfId="1" applyNumberFormat="1" applyFont="1" applyFill="1" applyAlignment="1">
      <alignment horizontal="center"/>
    </xf>
    <xf numFmtId="165" fontId="1" fillId="0" borderId="0" xfId="1" applyNumberFormat="1" applyFont="1" applyAlignment="1">
      <alignment horizontal="center"/>
    </xf>
    <xf numFmtId="43" fontId="1" fillId="5" borderId="0" xfId="1" applyFont="1" applyFill="1" applyAlignment="1">
      <alignment horizontal="center"/>
    </xf>
    <xf numFmtId="165" fontId="1" fillId="5" borderId="0" xfId="2" applyNumberFormat="1" applyFont="1" applyFill="1" applyAlignment="1">
      <alignment horizontal="center"/>
    </xf>
    <xf numFmtId="0" fontId="1" fillId="5" borderId="0" xfId="0" applyFont="1" applyFill="1"/>
    <xf numFmtId="0" fontId="1" fillId="0" borderId="3" xfId="0" applyFont="1" applyBorder="1"/>
    <xf numFmtId="43" fontId="1" fillId="0" borderId="3" xfId="1" applyFont="1" applyFill="1" applyBorder="1" applyAlignment="1">
      <alignment horizontal="center"/>
    </xf>
    <xf numFmtId="164" fontId="1" fillId="0" borderId="3" xfId="1" applyNumberFormat="1" applyFont="1" applyFill="1" applyBorder="1" applyAlignment="1">
      <alignment horizontal="center"/>
    </xf>
    <xf numFmtId="165" fontId="1" fillId="0" borderId="3" xfId="2" applyNumberFormat="1" applyFont="1" applyFill="1" applyBorder="1" applyAlignment="1">
      <alignment horizontal="center"/>
    </xf>
    <xf numFmtId="43" fontId="1" fillId="0" borderId="0" xfId="1" applyFont="1" applyFill="1" applyBorder="1" applyAlignment="1">
      <alignment horizontal="center"/>
    </xf>
    <xf numFmtId="43" fontId="1" fillId="0" borderId="0" xfId="1" applyFont="1" applyFill="1" applyBorder="1" applyAlignment="1">
      <alignment horizontal="left"/>
    </xf>
    <xf numFmtId="164" fontId="1" fillId="0" borderId="4" xfId="1" applyNumberFormat="1" applyFont="1" applyFill="1" applyBorder="1" applyAlignment="1">
      <alignment horizontal="center"/>
    </xf>
    <xf numFmtId="164" fontId="1" fillId="0" borderId="5" xfId="1" applyNumberFormat="1" applyFont="1" applyFill="1" applyBorder="1" applyAlignment="1">
      <alignment horizontal="center"/>
    </xf>
    <xf numFmtId="165" fontId="1" fillId="0" borderId="5" xfId="2" applyNumberFormat="1" applyFont="1" applyFill="1" applyBorder="1" applyAlignment="1">
      <alignment horizontal="center"/>
    </xf>
    <xf numFmtId="164" fontId="1" fillId="0" borderId="5" xfId="1" applyNumberFormat="1" applyFont="1" applyFill="1" applyBorder="1"/>
    <xf numFmtId="43" fontId="1" fillId="0" borderId="4" xfId="1" applyFont="1" applyFill="1" applyBorder="1" applyAlignment="1">
      <alignment horizontal="center"/>
    </xf>
    <xf numFmtId="43" fontId="1" fillId="0" borderId="5" xfId="1" applyFont="1" applyFill="1" applyBorder="1" applyAlignment="1">
      <alignment horizontal="center"/>
    </xf>
    <xf numFmtId="0" fontId="1" fillId="6" borderId="0" xfId="0" applyFont="1" applyFill="1" applyAlignment="1">
      <alignment horizontal="left" indent="2"/>
    </xf>
    <xf numFmtId="9" fontId="1" fillId="6" borderId="0" xfId="0" applyNumberFormat="1" applyFont="1" applyFill="1" applyAlignment="1">
      <alignment horizontal="center"/>
    </xf>
    <xf numFmtId="164" fontId="1" fillId="6" borderId="4" xfId="1" applyNumberFormat="1" applyFont="1" applyFill="1" applyBorder="1" applyAlignment="1">
      <alignment horizontal="center"/>
    </xf>
    <xf numFmtId="164" fontId="1" fillId="6" borderId="5" xfId="1" applyNumberFormat="1" applyFont="1" applyFill="1" applyBorder="1" applyAlignment="1">
      <alignment horizontal="center"/>
    </xf>
    <xf numFmtId="165" fontId="1" fillId="6" borderId="5" xfId="2" applyNumberFormat="1" applyFont="1" applyFill="1" applyBorder="1" applyAlignment="1">
      <alignment horizontal="center"/>
    </xf>
    <xf numFmtId="165" fontId="1" fillId="6" borderId="4" xfId="2" applyNumberFormat="1" applyFont="1" applyFill="1" applyBorder="1" applyAlignment="1">
      <alignment horizontal="center"/>
    </xf>
    <xf numFmtId="164" fontId="1" fillId="6" borderId="0" xfId="1" applyNumberFormat="1" applyFont="1" applyFill="1"/>
    <xf numFmtId="164" fontId="1" fillId="4" borderId="0" xfId="1" applyNumberFormat="1" applyFont="1" applyFill="1"/>
    <xf numFmtId="165" fontId="1" fillId="0" borderId="0" xfId="2" applyNumberFormat="1" applyFont="1" applyFill="1"/>
    <xf numFmtId="9" fontId="1" fillId="0" borderId="0" xfId="0" applyNumberFormat="1" applyFont="1" applyAlignment="1">
      <alignment horizontal="center"/>
    </xf>
    <xf numFmtId="165" fontId="1" fillId="0" borderId="4" xfId="2" applyNumberFormat="1" applyFont="1" applyFill="1" applyBorder="1" applyAlignment="1">
      <alignment horizontal="center"/>
    </xf>
    <xf numFmtId="164" fontId="1" fillId="0" borderId="4" xfId="1" applyNumberFormat="1" applyFont="1" applyFill="1" applyBorder="1"/>
    <xf numFmtId="164" fontId="1" fillId="0" borderId="9" xfId="1" applyNumberFormat="1" applyFont="1" applyFill="1" applyBorder="1" applyAlignment="1">
      <alignment horizontal="center"/>
    </xf>
    <xf numFmtId="165" fontId="1" fillId="0" borderId="6" xfId="2" applyNumberFormat="1" applyFont="1" applyFill="1" applyBorder="1" applyAlignment="1">
      <alignment horizontal="center"/>
    </xf>
    <xf numFmtId="165" fontId="1" fillId="0" borderId="6" xfId="1" applyNumberFormat="1" applyFont="1" applyFill="1" applyBorder="1" applyAlignment="1">
      <alignment horizontal="center"/>
    </xf>
    <xf numFmtId="43" fontId="1" fillId="0" borderId="10" xfId="1" applyFont="1" applyFill="1" applyBorder="1" applyAlignment="1">
      <alignment horizontal="center"/>
    </xf>
    <xf numFmtId="165" fontId="1" fillId="0" borderId="0" xfId="1" applyNumberFormat="1" applyFont="1" applyFill="1" applyBorder="1" applyAlignment="1">
      <alignment horizontal="center"/>
    </xf>
    <xf numFmtId="165" fontId="1" fillId="6" borderId="4" xfId="1" applyNumberFormat="1" applyFont="1" applyFill="1" applyBorder="1" applyAlignment="1">
      <alignment horizontal="center"/>
    </xf>
    <xf numFmtId="165" fontId="1" fillId="0" borderId="0" xfId="2" applyNumberFormat="1" applyFont="1"/>
    <xf numFmtId="10" fontId="1" fillId="0" borderId="1" xfId="1" applyNumberFormat="1" applyFont="1" applyFill="1" applyBorder="1"/>
    <xf numFmtId="10" fontId="1" fillId="0" borderId="0" xfId="2" applyNumberFormat="1" applyFont="1" applyFill="1"/>
    <xf numFmtId="165" fontId="1" fillId="0" borderId="6" xfId="1" applyNumberFormat="1" applyFont="1" applyFill="1" applyBorder="1" applyAlignment="1">
      <alignment horizontal="right"/>
    </xf>
    <xf numFmtId="164" fontId="1" fillId="0" borderId="0" xfId="0" applyNumberFormat="1" applyFont="1" applyAlignment="1">
      <alignment horizontal="right"/>
    </xf>
    <xf numFmtId="10" fontId="1" fillId="0" borderId="6" xfId="1" applyNumberFormat="1" applyFont="1" applyFill="1" applyBorder="1" applyAlignment="1">
      <alignment horizontal="center"/>
    </xf>
    <xf numFmtId="0" fontId="1" fillId="0" borderId="0" xfId="0" quotePrefix="1" applyFont="1"/>
    <xf numFmtId="164" fontId="1" fillId="4" borderId="0" xfId="1" applyNumberFormat="1" applyFont="1" applyFill="1" applyAlignment="1">
      <alignment horizontal="center"/>
    </xf>
    <xf numFmtId="164" fontId="1" fillId="4" borderId="4" xfId="1" applyNumberFormat="1" applyFont="1" applyFill="1" applyBorder="1" applyAlignment="1">
      <alignment horizontal="center"/>
    </xf>
    <xf numFmtId="164" fontId="1" fillId="0" borderId="1" xfId="0" applyNumberFormat="1" applyFont="1" applyBorder="1"/>
    <xf numFmtId="165" fontId="1" fillId="0" borderId="1" xfId="2" applyNumberFormat="1" applyFont="1" applyBorder="1"/>
    <xf numFmtId="164" fontId="1" fillId="6" borderId="0" xfId="0" applyNumberFormat="1" applyFont="1" applyFill="1"/>
    <xf numFmtId="165" fontId="1" fillId="0" borderId="1" xfId="2" applyNumberFormat="1" applyFont="1" applyFill="1" applyBorder="1"/>
    <xf numFmtId="164" fontId="1" fillId="0" borderId="16" xfId="0" applyNumberFormat="1" applyFont="1" applyBorder="1"/>
    <xf numFmtId="10" fontId="1" fillId="0" borderId="16" xfId="2" applyNumberFormat="1" applyFont="1" applyFill="1" applyBorder="1"/>
    <xf numFmtId="10" fontId="1" fillId="0" borderId="1" xfId="2" applyNumberFormat="1" applyFont="1" applyFill="1" applyBorder="1"/>
    <xf numFmtId="0" fontId="1" fillId="0" borderId="0" xfId="0" applyFont="1" applyAlignment="1">
      <alignment horizontal="left"/>
    </xf>
    <xf numFmtId="43" fontId="1" fillId="0" borderId="1" xfId="1" applyFont="1" applyBorder="1" applyAlignment="1">
      <alignment horizontal="center"/>
    </xf>
    <xf numFmtId="165" fontId="1" fillId="0" borderId="1" xfId="2" applyNumberFormat="1" applyFont="1" applyBorder="1" applyAlignment="1">
      <alignment horizontal="center"/>
    </xf>
    <xf numFmtId="43" fontId="1" fillId="0" borderId="1" xfId="0" applyNumberFormat="1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0" fontId="14" fillId="5" borderId="0" xfId="0" applyFont="1" applyFill="1" applyAlignment="1">
      <alignment horizontal="center"/>
    </xf>
    <xf numFmtId="164" fontId="11" fillId="0" borderId="0" xfId="1" applyNumberFormat="1" applyFont="1" applyFill="1" applyBorder="1" applyAlignment="1">
      <alignment horizontal="center"/>
    </xf>
  </cellXfs>
  <cellStyles count="8">
    <cellStyle name="Bad" xfId="4" builtinId="27"/>
    <cellStyle name="Comma" xfId="1" builtinId="3"/>
    <cellStyle name="Comma 2" xfId="6" xr:uid="{22C4D65D-B0C5-4C30-94B4-51390EF32065}"/>
    <cellStyle name="Currency" xfId="3" builtinId="4"/>
    <cellStyle name="Currency 2" xfId="5" xr:uid="{AA00D504-FC73-462F-9B8C-DB63EEB0EB09}"/>
    <cellStyle name="Normal" xfId="0" builtinId="0"/>
    <cellStyle name="Percent" xfId="2" builtinId="5"/>
    <cellStyle name="Percent 2" xfId="7" xr:uid="{8D8D1D8A-A687-4A9B-8919-E2C215BFD36F}"/>
  </cellStyles>
  <dxfs count="0"/>
  <tableStyles count="0" defaultTableStyle="TableStyleMedium2" defaultPivotStyle="PivotStyleLight16"/>
  <colors>
    <mruColors>
      <color rgb="FFA044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328706</xdr:colOff>
      <xdr:row>1</xdr:row>
      <xdr:rowOff>149413</xdr:rowOff>
    </xdr:from>
    <xdr:to>
      <xdr:col>20</xdr:col>
      <xdr:colOff>912074</xdr:colOff>
      <xdr:row>2</xdr:row>
      <xdr:rowOff>119529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BDD08A-8F4B-4907-9F8E-3036CF6E78D3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43625" y="349438"/>
          <a:ext cx="1769324" cy="5987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bbig/Dropbox%20(Culinary%20Accountants)/Doi%20Moi%20JV%20(CA)/Reports/2020/2020%20BUD%20P9-P13%20DOI%20MOI%20%207-22-20%20S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wan Proj. 2018P vs. 2019B"/>
      <sheetName val="Doi Moi 2020 Budget"/>
      <sheetName val="Management Wages "/>
      <sheetName val="Kitchen Labor"/>
      <sheetName val="Incremental Sales"/>
      <sheetName val="Zero Base Expenses"/>
      <sheetName val="2020 Z Base Expenses"/>
      <sheetName val="Sheet2"/>
      <sheetName val="Sheet3"/>
      <sheetName val="BOH Budget"/>
      <sheetName val="FOH Budget"/>
      <sheetName val="Culinary Budget"/>
      <sheetName val="Culinary  Current"/>
    </sheetNames>
    <sheetDataSet>
      <sheetData sheetId="0"/>
      <sheetData sheetId="1"/>
      <sheetData sheetId="2">
        <row r="13">
          <cell r="I13">
            <v>15959.330769230768</v>
          </cell>
          <cell r="J13">
            <v>31918.661538461536</v>
          </cell>
          <cell r="K13">
            <v>31918.661538461536</v>
          </cell>
          <cell r="L13">
            <v>31918.661538461536</v>
          </cell>
          <cell r="M13">
            <v>30280.661538461536</v>
          </cell>
        </row>
        <row r="26">
          <cell r="J26">
            <v>2300.59</v>
          </cell>
          <cell r="K26">
            <v>2300.59</v>
          </cell>
          <cell r="L26">
            <v>2300.59</v>
          </cell>
          <cell r="M26">
            <v>2300.59</v>
          </cell>
        </row>
        <row r="40">
          <cell r="J40">
            <v>1123.4664615384618</v>
          </cell>
          <cell r="K40">
            <v>1276.7464615384617</v>
          </cell>
          <cell r="L40">
            <v>1276.7464615384617</v>
          </cell>
          <cell r="M40">
            <v>1042.7464615384615</v>
          </cell>
        </row>
        <row r="49">
          <cell r="J49">
            <v>1750</v>
          </cell>
          <cell r="K49">
            <v>1750</v>
          </cell>
          <cell r="L49">
            <v>1750</v>
          </cell>
          <cell r="M49">
            <v>1750</v>
          </cell>
        </row>
      </sheetData>
      <sheetData sheetId="3">
        <row r="7">
          <cell r="E7">
            <v>12376</v>
          </cell>
        </row>
        <row r="8">
          <cell r="E8">
            <v>28274.400000000005</v>
          </cell>
        </row>
        <row r="9">
          <cell r="E9">
            <v>28274.400000000005</v>
          </cell>
        </row>
        <row r="10">
          <cell r="E10">
            <v>32986.800000000003</v>
          </cell>
        </row>
        <row r="11">
          <cell r="E11">
            <v>33748.400000000001</v>
          </cell>
        </row>
      </sheetData>
      <sheetData sheetId="4">
        <row r="10">
          <cell r="E10">
            <v>142.53299999999999</v>
          </cell>
          <cell r="F10">
            <v>285.06599999999997</v>
          </cell>
          <cell r="G10">
            <v>285.06599999999997</v>
          </cell>
          <cell r="H10">
            <v>325.79039999999998</v>
          </cell>
          <cell r="I10">
            <v>325.79039999999998</v>
          </cell>
        </row>
        <row r="11">
          <cell r="E11">
            <v>2137.9949999999999</v>
          </cell>
          <cell r="F11">
            <v>4275.99</v>
          </cell>
          <cell r="G11">
            <v>4275.99</v>
          </cell>
          <cell r="H11">
            <v>8144.7599999999993</v>
          </cell>
          <cell r="I11">
            <v>8144.7599999999993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K203"/>
  <sheetViews>
    <sheetView tabSelected="1" topLeftCell="A2" zoomScaleNormal="100" workbookViewId="0">
      <pane xSplit="1" ySplit="4" topLeftCell="DF168" activePane="bottomRight" state="frozen"/>
      <selection pane="bottomRight" activeCell="EF168" sqref="EF168"/>
      <selection pane="bottomLeft" activeCell="A6" sqref="A6"/>
      <selection pane="topRight" activeCell="B2" sqref="B2"/>
    </sheetView>
  </sheetViews>
  <sheetFormatPr defaultColWidth="8.7109375" defaultRowHeight="15.95"/>
  <cols>
    <col min="1" max="1" width="39.140625" style="1" bestFit="1" customWidth="1"/>
    <col min="2" max="2" width="2.7109375" style="1" hidden="1" customWidth="1"/>
    <col min="3" max="3" width="10.28515625" style="1" hidden="1" customWidth="1"/>
    <col min="4" max="4" width="8.7109375" style="29" hidden="1" customWidth="1"/>
    <col min="5" max="5" width="10.28515625" style="1" hidden="1" customWidth="1"/>
    <col min="6" max="6" width="9.28515625" style="17" hidden="1" customWidth="1"/>
    <col min="7" max="7" width="11.7109375" style="17" hidden="1" customWidth="1"/>
    <col min="8" max="8" width="10.28515625" style="17" hidden="1" customWidth="1"/>
    <col min="9" max="9" width="2.7109375" style="1" hidden="1" customWidth="1"/>
    <col min="10" max="10" width="10.28515625" style="1" hidden="1" customWidth="1"/>
    <col min="11" max="11" width="8.7109375" style="29" hidden="1" customWidth="1"/>
    <col min="12" max="12" width="10.28515625" style="1" hidden="1" customWidth="1"/>
    <col min="13" max="13" width="9.28515625" style="17" hidden="1" customWidth="1"/>
    <col min="14" max="14" width="13.42578125" style="17" hidden="1" customWidth="1"/>
    <col min="15" max="15" width="10.28515625" style="17" hidden="1" customWidth="1"/>
    <col min="16" max="16" width="2.7109375" style="1" hidden="1" customWidth="1"/>
    <col min="17" max="17" width="10.28515625" style="1" hidden="1" customWidth="1"/>
    <col min="18" max="18" width="8.42578125" style="1" hidden="1" customWidth="1"/>
    <col min="19" max="19" width="10.28515625" style="1" hidden="1" customWidth="1"/>
    <col min="20" max="20" width="9.28515625" style="17" hidden="1" customWidth="1"/>
    <col min="21" max="21" width="11.7109375" style="17" hidden="1" customWidth="1"/>
    <col min="22" max="22" width="10.28515625" style="17" hidden="1" customWidth="1"/>
    <col min="23" max="23" width="2.7109375" style="1" customWidth="1"/>
    <col min="24" max="24" width="11.42578125" style="1" customWidth="1"/>
    <col min="25" max="25" width="7.85546875" style="29" bestFit="1" customWidth="1"/>
    <col min="26" max="26" width="10.7109375" style="1" customWidth="1"/>
    <col min="27" max="27" width="7.140625" style="17" customWidth="1"/>
    <col min="28" max="28" width="11.7109375" style="17" hidden="1" customWidth="1"/>
    <col min="29" max="29" width="10.140625" style="17" customWidth="1"/>
    <col min="30" max="30" width="2.7109375" style="1" customWidth="1"/>
    <col min="31" max="31" width="10.42578125" style="1" hidden="1" customWidth="1"/>
    <col min="32" max="32" width="8.7109375" style="1" hidden="1" customWidth="1"/>
    <col min="33" max="33" width="10.140625" style="1" hidden="1" customWidth="1"/>
    <col min="34" max="34" width="8.7109375" style="1" hidden="1" customWidth="1"/>
    <col min="35" max="35" width="12.140625" style="1" hidden="1" customWidth="1"/>
    <col min="36" max="36" width="10.42578125" style="1" hidden="1" customWidth="1"/>
    <col min="37" max="37" width="2.7109375" style="1" hidden="1" customWidth="1"/>
    <col min="38" max="38" width="10.42578125" style="1" hidden="1" customWidth="1"/>
    <col min="39" max="39" width="8.7109375" style="1" hidden="1" customWidth="1"/>
    <col min="40" max="40" width="10.140625" style="1" hidden="1" customWidth="1"/>
    <col min="41" max="41" width="8.7109375" style="1" hidden="1" customWidth="1"/>
    <col min="42" max="42" width="12.140625" style="1" hidden="1" customWidth="1"/>
    <col min="43" max="43" width="10.42578125" style="1" hidden="1" customWidth="1"/>
    <col min="44" max="44" width="2.7109375" style="1" hidden="1" customWidth="1"/>
    <col min="45" max="45" width="10.42578125" style="1" hidden="1" customWidth="1"/>
    <col min="46" max="46" width="8.7109375" style="1" hidden="1" customWidth="1"/>
    <col min="47" max="47" width="10.140625" style="1" hidden="1" customWidth="1"/>
    <col min="48" max="48" width="8.7109375" style="1" hidden="1" customWidth="1"/>
    <col min="49" max="49" width="12.140625" style="1" hidden="1" customWidth="1"/>
    <col min="50" max="50" width="10.42578125" style="1" hidden="1" customWidth="1"/>
    <col min="51" max="51" width="2.7109375" style="1" hidden="1" customWidth="1"/>
    <col min="52" max="52" width="11.42578125" style="1" customWidth="1"/>
    <col min="53" max="53" width="8.7109375" style="1" customWidth="1"/>
    <col min="54" max="54" width="10.7109375" style="1" customWidth="1"/>
    <col min="55" max="55" width="7.140625" style="1" customWidth="1"/>
    <col min="56" max="56" width="12.140625" style="1" hidden="1" customWidth="1"/>
    <col min="57" max="57" width="10.140625" style="1" customWidth="1"/>
    <col min="58" max="58" width="2.7109375" style="1" customWidth="1"/>
    <col min="59" max="59" width="9.85546875" style="1" hidden="1" customWidth="1"/>
    <col min="60" max="60" width="8.7109375" style="1" hidden="1" customWidth="1"/>
    <col min="61" max="61" width="8.42578125" style="1" hidden="1" customWidth="1"/>
    <col min="62" max="62" width="8.7109375" style="1" hidden="1" customWidth="1"/>
    <col min="63" max="63" width="12.140625" style="1" hidden="1" customWidth="1"/>
    <col min="64" max="64" width="10.140625" style="1" hidden="1" customWidth="1"/>
    <col min="65" max="65" width="2.7109375" style="1" hidden="1" customWidth="1"/>
    <col min="66" max="66" width="10.140625" style="1" hidden="1" customWidth="1"/>
    <col min="67" max="67" width="8.7109375" style="48" hidden="1" customWidth="1"/>
    <col min="68" max="68" width="10.140625" style="1" hidden="1" customWidth="1"/>
    <col min="69" max="69" width="8.7109375" style="48" hidden="1" customWidth="1"/>
    <col min="70" max="70" width="13.42578125" style="1" hidden="1" customWidth="1"/>
    <col min="71" max="71" width="10.140625" style="48" hidden="1" customWidth="1"/>
    <col min="72" max="72" width="2.7109375" style="1" hidden="1" customWidth="1"/>
    <col min="73" max="73" width="11.42578125" style="1" hidden="1" customWidth="1"/>
    <col min="74" max="74" width="8.7109375" style="48" hidden="1" customWidth="1"/>
    <col min="75" max="75" width="11.42578125" style="1" hidden="1" customWidth="1"/>
    <col min="76" max="76" width="8.7109375" style="48" hidden="1" customWidth="1"/>
    <col min="77" max="77" width="12.140625" style="1" hidden="1" customWidth="1"/>
    <col min="78" max="78" width="10.42578125" style="48" hidden="1" customWidth="1"/>
    <col min="79" max="79" width="2.7109375" style="1" hidden="1" customWidth="1"/>
    <col min="80" max="80" width="10.7109375" style="1" hidden="1" customWidth="1"/>
    <col min="81" max="81" width="8.7109375" style="48" hidden="1" customWidth="1"/>
    <col min="82" max="82" width="10.7109375" style="1" hidden="1" customWidth="1"/>
    <col min="83" max="83" width="5.28515625" style="48" hidden="1" customWidth="1"/>
    <col min="84" max="84" width="12.140625" style="1" hidden="1" customWidth="1"/>
    <col min="85" max="85" width="10.42578125" style="48" hidden="1" customWidth="1"/>
    <col min="86" max="86" width="2.7109375" style="1" hidden="1" customWidth="1"/>
    <col min="87" max="87" width="11.42578125" style="1" bestFit="1" customWidth="1"/>
    <col min="88" max="88" width="7.28515625" style="48" bestFit="1" customWidth="1"/>
    <col min="89" max="89" width="11.42578125" style="1" bestFit="1" customWidth="1"/>
    <col min="90" max="90" width="7.28515625" style="48" bestFit="1" customWidth="1"/>
    <col min="91" max="91" width="12" style="1" hidden="1" customWidth="1"/>
    <col min="92" max="92" width="10.140625" style="48" bestFit="1" customWidth="1"/>
    <col min="93" max="93" width="2.7109375" style="1" customWidth="1"/>
    <col min="94" max="94" width="10.7109375" style="1" bestFit="1" customWidth="1"/>
    <col min="95" max="95" width="7.85546875" style="1" bestFit="1" customWidth="1"/>
    <col min="96" max="96" width="10.7109375" style="1" bestFit="1" customWidth="1"/>
    <col min="97" max="97" width="7.140625" style="1" customWidth="1"/>
    <col min="98" max="98" width="12.140625" style="1" hidden="1" customWidth="1"/>
    <col min="99" max="99" width="10.140625" style="1" bestFit="1" customWidth="1"/>
    <col min="100" max="100" width="2.7109375" style="1" customWidth="1"/>
    <col min="101" max="101" width="10.7109375" style="1" bestFit="1" customWidth="1"/>
    <col min="102" max="102" width="5.28515625" style="48" bestFit="1" customWidth="1"/>
    <col min="103" max="103" width="10.7109375" style="1" customWidth="1"/>
    <col min="104" max="104" width="5.28515625" style="48" bestFit="1" customWidth="1"/>
    <col min="105" max="105" width="12.140625" style="1" hidden="1" customWidth="1"/>
    <col min="106" max="106" width="10.140625" style="48" bestFit="1" customWidth="1"/>
    <col min="107" max="107" width="2.7109375" style="1" customWidth="1"/>
    <col min="108" max="108" width="10.28515625" style="1" customWidth="1"/>
    <col min="109" max="109" width="6.42578125" style="48" bestFit="1" customWidth="1"/>
    <col min="110" max="110" width="10.28515625" style="1" customWidth="1"/>
    <col min="111" max="111" width="5.28515625" style="48" bestFit="1" customWidth="1"/>
    <col min="112" max="112" width="12.140625" style="1" hidden="1" customWidth="1"/>
    <col min="113" max="113" width="10.140625" style="48" bestFit="1" customWidth="1"/>
    <col min="114" max="114" width="2.7109375" style="1" customWidth="1"/>
    <col min="115" max="115" width="10.7109375" style="1" bestFit="1" customWidth="1"/>
    <col min="116" max="116" width="8.28515625" style="48" customWidth="1"/>
    <col min="117" max="117" width="10.7109375" style="1" bestFit="1" customWidth="1"/>
    <col min="118" max="118" width="5.28515625" style="48" customWidth="1"/>
    <col min="119" max="119" width="12.140625" style="1" hidden="1" customWidth="1"/>
    <col min="120" max="120" width="10.140625" style="48" bestFit="1" customWidth="1"/>
    <col min="121" max="121" width="2.7109375" style="1" customWidth="1"/>
    <col min="122" max="122" width="11.42578125" style="1" bestFit="1" customWidth="1"/>
    <col min="123" max="123" width="6" style="48" bestFit="1" customWidth="1"/>
    <col min="124" max="124" width="12.42578125" style="1" customWidth="1"/>
    <col min="125" max="125" width="5.28515625" style="48" customWidth="1"/>
    <col min="126" max="126" width="13.42578125" style="1" hidden="1" customWidth="1"/>
    <col min="127" max="127" width="10.140625" style="48" bestFit="1" customWidth="1"/>
    <col min="128" max="128" width="2.7109375" style="1" customWidth="1"/>
    <col min="129" max="129" width="13.42578125" style="1" customWidth="1"/>
    <col min="130" max="130" width="7.28515625" style="48" bestFit="1" customWidth="1"/>
    <col min="131" max="131" width="13" style="1" bestFit="1" customWidth="1"/>
    <col min="132" max="132" width="5.42578125" style="17" bestFit="1" customWidth="1"/>
    <col min="133" max="133" width="12.140625" style="17" hidden="1" customWidth="1"/>
    <col min="134" max="134" width="10.42578125" style="17" bestFit="1" customWidth="1"/>
    <col min="135" max="135" width="8.7109375" style="1" customWidth="1"/>
    <col min="136" max="136" width="10.85546875" style="1" bestFit="1" customWidth="1"/>
    <col min="137" max="138" width="9.28515625" style="1" bestFit="1" customWidth="1"/>
    <col min="139" max="139" width="11.140625" style="1" bestFit="1" customWidth="1"/>
    <col min="140" max="16384" width="8.7109375" style="1"/>
  </cols>
  <sheetData>
    <row r="1" spans="1:137">
      <c r="A1" s="291" t="s">
        <v>0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  <c r="W1" s="291"/>
      <c r="X1" s="291"/>
      <c r="Y1" s="291"/>
      <c r="Z1" s="291"/>
      <c r="AA1" s="291"/>
      <c r="AB1" s="291"/>
      <c r="AC1" s="291"/>
      <c r="AD1" s="291"/>
      <c r="AE1" s="291"/>
      <c r="AF1" s="291"/>
      <c r="AG1" s="291"/>
      <c r="AH1" s="291"/>
      <c r="AI1" s="291"/>
      <c r="AJ1" s="291"/>
      <c r="AK1" s="291"/>
      <c r="AL1" s="291"/>
      <c r="AM1" s="291"/>
      <c r="AN1" s="291"/>
      <c r="AO1" s="291"/>
      <c r="AP1" s="291"/>
      <c r="AQ1" s="291"/>
      <c r="AR1" s="291"/>
      <c r="AS1" s="291"/>
      <c r="AT1" s="291"/>
      <c r="AU1" s="291"/>
      <c r="AV1" s="291"/>
      <c r="AW1" s="291"/>
      <c r="AX1" s="291"/>
      <c r="AY1" s="291"/>
      <c r="AZ1" s="291"/>
      <c r="BA1" s="291"/>
      <c r="BB1" s="291"/>
      <c r="BC1" s="291"/>
      <c r="BD1" s="291"/>
      <c r="BE1" s="291"/>
      <c r="BF1" s="291"/>
      <c r="BG1" s="291"/>
      <c r="BH1" s="291"/>
      <c r="BI1" s="291"/>
      <c r="BJ1" s="291"/>
      <c r="BK1" s="291"/>
      <c r="BL1" s="291"/>
      <c r="BM1" s="291"/>
      <c r="BN1" s="291"/>
      <c r="BO1" s="291"/>
      <c r="BP1" s="291"/>
      <c r="BQ1" s="291"/>
      <c r="BR1" s="291"/>
      <c r="BS1" s="291"/>
      <c r="BT1" s="291"/>
      <c r="BU1" s="291"/>
      <c r="BV1" s="291"/>
      <c r="BW1" s="291"/>
      <c r="BX1" s="291"/>
      <c r="BY1" s="291"/>
      <c r="BZ1" s="291"/>
      <c r="CA1" s="291"/>
      <c r="CB1" s="291"/>
      <c r="CC1" s="291"/>
      <c r="CD1" s="291"/>
      <c r="CE1" s="291"/>
      <c r="CF1" s="291"/>
      <c r="CG1" s="291"/>
      <c r="CH1" s="291"/>
      <c r="CI1" s="291"/>
      <c r="CJ1" s="291"/>
      <c r="CK1" s="291"/>
      <c r="CL1" s="291"/>
      <c r="CM1" s="291"/>
      <c r="CN1" s="291"/>
      <c r="CO1" s="291"/>
      <c r="CP1" s="291"/>
      <c r="CQ1" s="291"/>
      <c r="CR1" s="291"/>
      <c r="CS1" s="291"/>
      <c r="CT1" s="291"/>
      <c r="CU1" s="291"/>
      <c r="CV1" s="291"/>
      <c r="CW1" s="291"/>
      <c r="CX1" s="291"/>
      <c r="CY1" s="291"/>
      <c r="CZ1" s="291"/>
      <c r="DA1" s="291"/>
      <c r="DB1" s="291"/>
      <c r="DC1" s="291"/>
      <c r="DD1" s="291"/>
      <c r="DE1" s="291"/>
      <c r="DF1" s="291"/>
      <c r="DG1" s="291"/>
      <c r="DH1" s="291"/>
      <c r="DI1" s="291"/>
      <c r="DJ1" s="291"/>
      <c r="DK1" s="291"/>
      <c r="DL1" s="291"/>
      <c r="DM1" s="291"/>
      <c r="DN1" s="291"/>
      <c r="DO1" s="291"/>
      <c r="DP1" s="291"/>
      <c r="DQ1" s="291"/>
      <c r="DR1" s="291"/>
      <c r="DS1" s="291"/>
      <c r="DT1" s="291"/>
      <c r="DU1" s="291"/>
      <c r="DV1" s="291"/>
      <c r="DW1" s="291"/>
      <c r="DX1" s="291"/>
      <c r="DY1" s="291"/>
      <c r="DZ1" s="291"/>
      <c r="EA1" s="291"/>
      <c r="EB1" s="291"/>
      <c r="EC1" s="291"/>
      <c r="ED1" s="291"/>
      <c r="EE1" s="210"/>
      <c r="EF1" s="210"/>
      <c r="EG1" s="210"/>
    </row>
    <row r="2" spans="1:137">
      <c r="A2" s="290" t="s">
        <v>1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290"/>
      <c r="Z2" s="290"/>
      <c r="AA2" s="290"/>
      <c r="AB2" s="290"/>
      <c r="AC2" s="290"/>
      <c r="AD2" s="290"/>
      <c r="AE2" s="290"/>
      <c r="AF2" s="290"/>
      <c r="AG2" s="290"/>
      <c r="AH2" s="290"/>
      <c r="AI2" s="290"/>
      <c r="AJ2" s="290"/>
      <c r="AK2" s="290"/>
      <c r="AL2" s="290"/>
      <c r="AM2" s="290"/>
      <c r="AN2" s="290"/>
      <c r="AO2" s="290"/>
      <c r="AP2" s="290"/>
      <c r="AQ2" s="290"/>
      <c r="AR2" s="290"/>
      <c r="AS2" s="290"/>
      <c r="AT2" s="290"/>
      <c r="AU2" s="290"/>
      <c r="AV2" s="290"/>
      <c r="AW2" s="290"/>
      <c r="AX2" s="290"/>
      <c r="AY2" s="290"/>
      <c r="AZ2" s="290"/>
      <c r="BA2" s="290"/>
      <c r="BB2" s="290"/>
      <c r="BC2" s="290"/>
      <c r="BD2" s="290"/>
      <c r="BE2" s="290"/>
      <c r="BF2" s="290"/>
      <c r="BG2" s="290"/>
      <c r="BH2" s="290"/>
      <c r="BI2" s="290"/>
      <c r="BJ2" s="290"/>
      <c r="BK2" s="290"/>
      <c r="BL2" s="290"/>
      <c r="BM2" s="290"/>
      <c r="BN2" s="290"/>
      <c r="BO2" s="290"/>
      <c r="BP2" s="290"/>
      <c r="BQ2" s="290"/>
      <c r="BR2" s="290"/>
      <c r="BS2" s="290"/>
      <c r="BT2" s="290"/>
      <c r="BU2" s="290"/>
      <c r="BV2" s="290"/>
      <c r="BW2" s="290"/>
      <c r="BX2" s="290"/>
      <c r="BY2" s="290"/>
      <c r="BZ2" s="290"/>
      <c r="CA2" s="290"/>
      <c r="CB2" s="290"/>
      <c r="CC2" s="290"/>
      <c r="CD2" s="290"/>
      <c r="CE2" s="290"/>
      <c r="CF2" s="290"/>
      <c r="CG2" s="290"/>
      <c r="CH2" s="290"/>
      <c r="CI2" s="290"/>
      <c r="CJ2" s="290"/>
      <c r="CK2" s="290"/>
      <c r="CL2" s="290"/>
      <c r="CM2" s="290"/>
      <c r="CN2" s="290"/>
      <c r="CO2" s="290"/>
      <c r="CP2" s="290"/>
      <c r="CQ2" s="290"/>
      <c r="CR2" s="290"/>
      <c r="CS2" s="290"/>
      <c r="CT2" s="290"/>
      <c r="CU2" s="290"/>
      <c r="CV2" s="290"/>
      <c r="CW2" s="290"/>
      <c r="CX2" s="290"/>
      <c r="CY2" s="290"/>
      <c r="CZ2" s="290"/>
      <c r="DA2" s="290"/>
      <c r="DB2" s="290"/>
      <c r="DC2" s="290"/>
      <c r="DD2" s="290"/>
      <c r="DE2" s="290"/>
      <c r="DF2" s="290"/>
      <c r="DG2" s="290"/>
      <c r="DH2" s="290"/>
      <c r="DI2" s="290"/>
      <c r="DJ2" s="290"/>
      <c r="DK2" s="290"/>
      <c r="DL2" s="290"/>
      <c r="DM2" s="290"/>
      <c r="DN2" s="290"/>
      <c r="DO2" s="290"/>
      <c r="DP2" s="290"/>
      <c r="DQ2" s="290"/>
      <c r="DR2" s="290"/>
      <c r="DS2" s="290"/>
      <c r="DT2" s="290"/>
      <c r="DU2" s="290"/>
      <c r="DV2" s="290"/>
      <c r="DW2" s="290"/>
      <c r="DX2" s="290"/>
      <c r="DY2" s="290"/>
      <c r="DZ2" s="290"/>
      <c r="EA2" s="290"/>
      <c r="EB2" s="290"/>
      <c r="EC2" s="290"/>
      <c r="ED2" s="290"/>
      <c r="EE2" s="210"/>
      <c r="EF2" s="210"/>
      <c r="EG2" s="210"/>
    </row>
    <row r="3" spans="1:137">
      <c r="A3" s="3" t="s">
        <v>2</v>
      </c>
      <c r="B3" s="3"/>
      <c r="C3" s="210"/>
      <c r="D3" s="211"/>
      <c r="E3" s="210"/>
      <c r="F3" s="212"/>
      <c r="G3" s="212"/>
      <c r="H3" s="212"/>
      <c r="I3" s="210"/>
      <c r="J3" s="210"/>
      <c r="K3" s="211"/>
      <c r="L3" s="210"/>
      <c r="M3" s="212"/>
      <c r="N3" s="212"/>
      <c r="O3" s="212"/>
      <c r="P3" s="210"/>
      <c r="Q3" s="210"/>
      <c r="R3" s="210"/>
      <c r="S3" s="210"/>
      <c r="T3" s="212"/>
      <c r="U3" s="212"/>
      <c r="V3" s="212"/>
      <c r="W3" s="210"/>
      <c r="X3" s="210"/>
      <c r="Y3" s="211"/>
      <c r="Z3" s="210"/>
      <c r="AA3" s="212"/>
      <c r="AB3" s="212"/>
      <c r="AC3" s="212"/>
      <c r="AD3" s="210"/>
      <c r="AE3" s="210"/>
      <c r="AF3" s="210"/>
      <c r="AG3" s="210"/>
      <c r="AH3" s="210"/>
      <c r="AI3" s="210"/>
      <c r="AJ3" s="210"/>
      <c r="AK3" s="210"/>
      <c r="AL3" s="210"/>
      <c r="AM3" s="210"/>
      <c r="AN3" s="210"/>
      <c r="AO3" s="210"/>
      <c r="AP3" s="210"/>
      <c r="AQ3" s="210"/>
      <c r="AR3" s="210"/>
      <c r="AS3" s="210"/>
      <c r="AT3" s="210"/>
      <c r="AU3" s="210"/>
      <c r="AV3" s="210"/>
      <c r="AW3" s="210"/>
      <c r="AX3" s="210"/>
      <c r="AY3" s="210"/>
      <c r="AZ3" s="210"/>
      <c r="BA3" s="210"/>
      <c r="BB3" s="210"/>
      <c r="BC3" s="210"/>
      <c r="BD3" s="210"/>
      <c r="BE3" s="210"/>
      <c r="BF3" s="210"/>
      <c r="BG3" s="210"/>
      <c r="BH3" s="210"/>
      <c r="BI3" s="210"/>
      <c r="BJ3" s="210"/>
      <c r="BK3" s="210"/>
      <c r="BL3" s="210"/>
      <c r="BM3" s="210"/>
      <c r="BN3" s="210"/>
      <c r="BO3" s="213"/>
      <c r="BP3" s="210"/>
      <c r="BQ3" s="213"/>
      <c r="BR3" s="210"/>
      <c r="BS3" s="213"/>
      <c r="BT3" s="210"/>
      <c r="BU3" s="210"/>
      <c r="BV3" s="213"/>
      <c r="BW3" s="210"/>
      <c r="BX3" s="213"/>
      <c r="BY3" s="210"/>
      <c r="BZ3" s="213"/>
      <c r="CA3" s="210"/>
      <c r="CB3" s="210"/>
      <c r="CC3" s="213"/>
      <c r="CD3" s="210"/>
      <c r="CE3" s="213"/>
      <c r="CF3" s="210"/>
      <c r="CG3" s="213"/>
      <c r="CH3" s="210"/>
      <c r="CI3" s="210"/>
      <c r="CJ3" s="213"/>
      <c r="CK3" s="210"/>
      <c r="CL3" s="213"/>
      <c r="CM3" s="210"/>
      <c r="CN3" s="213"/>
      <c r="CO3" s="210"/>
      <c r="CP3" s="210"/>
      <c r="CQ3" s="210"/>
      <c r="CR3" s="210"/>
      <c r="CS3" s="210"/>
      <c r="CT3" s="210"/>
      <c r="CU3" s="210"/>
      <c r="CV3" s="210"/>
      <c r="CW3" s="210"/>
      <c r="CX3" s="213"/>
      <c r="CY3" s="210"/>
      <c r="CZ3" s="213"/>
      <c r="DA3" s="210"/>
      <c r="DB3" s="213"/>
      <c r="DC3" s="210"/>
      <c r="DD3" s="210"/>
      <c r="DE3" s="213"/>
      <c r="DF3" s="210"/>
      <c r="DG3" s="213"/>
      <c r="DH3" s="210"/>
      <c r="DI3" s="213"/>
      <c r="DJ3" s="210"/>
      <c r="DK3" s="210"/>
      <c r="DL3" s="213"/>
      <c r="DM3" s="210"/>
      <c r="DN3" s="213"/>
      <c r="DO3" s="210"/>
      <c r="DP3" s="213"/>
      <c r="DQ3" s="210"/>
      <c r="DR3" s="210"/>
      <c r="DS3" s="213"/>
      <c r="DT3" s="210"/>
      <c r="DU3" s="213"/>
      <c r="DV3" s="210"/>
      <c r="DW3" s="213"/>
      <c r="DX3" s="210"/>
      <c r="DY3" s="210"/>
      <c r="DZ3" s="213"/>
      <c r="EA3" s="210"/>
      <c r="EB3" s="212"/>
      <c r="EC3" s="212"/>
      <c r="ED3" s="212"/>
      <c r="EE3" s="210"/>
      <c r="EF3" s="210"/>
      <c r="EG3" s="210"/>
    </row>
    <row r="4" spans="1:137">
      <c r="A4" s="2"/>
      <c r="B4" s="2"/>
      <c r="C4" s="292" t="s">
        <v>3</v>
      </c>
      <c r="D4" s="292"/>
      <c r="E4" s="292"/>
      <c r="F4" s="292"/>
      <c r="G4" s="292"/>
      <c r="H4" s="292"/>
      <c r="I4" s="210"/>
      <c r="J4" s="292" t="s">
        <v>4</v>
      </c>
      <c r="K4" s="292"/>
      <c r="L4" s="292"/>
      <c r="M4" s="292"/>
      <c r="N4" s="292"/>
      <c r="O4" s="292"/>
      <c r="P4" s="210"/>
      <c r="Q4" s="292" t="s">
        <v>5</v>
      </c>
      <c r="R4" s="292"/>
      <c r="S4" s="292"/>
      <c r="T4" s="292"/>
      <c r="U4" s="292"/>
      <c r="V4" s="292"/>
      <c r="W4" s="210"/>
      <c r="X4" s="292" t="s">
        <v>6</v>
      </c>
      <c r="Y4" s="292"/>
      <c r="Z4" s="292"/>
      <c r="AA4" s="292"/>
      <c r="AB4" s="292"/>
      <c r="AC4" s="292"/>
      <c r="AD4" s="210"/>
      <c r="AE4" s="292" t="s">
        <v>7</v>
      </c>
      <c r="AF4" s="292"/>
      <c r="AG4" s="292"/>
      <c r="AH4" s="292"/>
      <c r="AI4" s="292"/>
      <c r="AJ4" s="292"/>
      <c r="AK4" s="210"/>
      <c r="AL4" s="292" t="s">
        <v>8</v>
      </c>
      <c r="AM4" s="292"/>
      <c r="AN4" s="292"/>
      <c r="AO4" s="292"/>
      <c r="AP4" s="292"/>
      <c r="AQ4" s="292"/>
      <c r="AR4" s="210"/>
      <c r="AS4" s="292" t="s">
        <v>9</v>
      </c>
      <c r="AT4" s="292"/>
      <c r="AU4" s="292"/>
      <c r="AV4" s="292"/>
      <c r="AW4" s="292"/>
      <c r="AX4" s="292"/>
      <c r="AY4" s="210"/>
      <c r="AZ4" s="292" t="s">
        <v>10</v>
      </c>
      <c r="BA4" s="292"/>
      <c r="BB4" s="292"/>
      <c r="BC4" s="292"/>
      <c r="BD4" s="292"/>
      <c r="BE4" s="292"/>
      <c r="BF4" s="210"/>
      <c r="BG4" s="292" t="s">
        <v>11</v>
      </c>
      <c r="BH4" s="292"/>
      <c r="BI4" s="292"/>
      <c r="BJ4" s="292"/>
      <c r="BK4" s="292"/>
      <c r="BL4" s="292"/>
      <c r="BM4" s="210"/>
      <c r="BN4" s="292" t="s">
        <v>12</v>
      </c>
      <c r="BO4" s="292"/>
      <c r="BP4" s="292"/>
      <c r="BQ4" s="292"/>
      <c r="BR4" s="292"/>
      <c r="BS4" s="292"/>
      <c r="BT4" s="210"/>
      <c r="BU4" s="292" t="s">
        <v>13</v>
      </c>
      <c r="BV4" s="292"/>
      <c r="BW4" s="292"/>
      <c r="BX4" s="292"/>
      <c r="BY4" s="292"/>
      <c r="BZ4" s="292"/>
      <c r="CA4" s="210"/>
      <c r="CB4" s="292" t="s">
        <v>14</v>
      </c>
      <c r="CC4" s="292"/>
      <c r="CD4" s="292"/>
      <c r="CE4" s="292"/>
      <c r="CF4" s="292"/>
      <c r="CG4" s="292"/>
      <c r="CH4" s="210"/>
      <c r="CI4" s="292" t="s">
        <v>15</v>
      </c>
      <c r="CJ4" s="292"/>
      <c r="CK4" s="292"/>
      <c r="CL4" s="292"/>
      <c r="CM4" s="292"/>
      <c r="CN4" s="292"/>
      <c r="CO4" s="210"/>
      <c r="CP4" s="292" t="s">
        <v>16</v>
      </c>
      <c r="CQ4" s="292"/>
      <c r="CR4" s="292"/>
      <c r="CS4" s="292"/>
      <c r="CT4" s="292"/>
      <c r="CU4" s="292"/>
      <c r="CV4" s="210"/>
      <c r="CW4" s="292" t="s">
        <v>17</v>
      </c>
      <c r="CX4" s="292"/>
      <c r="CY4" s="292"/>
      <c r="CZ4" s="292"/>
      <c r="DA4" s="292"/>
      <c r="DB4" s="292"/>
      <c r="DC4" s="210"/>
      <c r="DD4" s="292" t="s">
        <v>18</v>
      </c>
      <c r="DE4" s="292"/>
      <c r="DF4" s="292"/>
      <c r="DG4" s="292"/>
      <c r="DH4" s="292"/>
      <c r="DI4" s="292"/>
      <c r="DJ4" s="210"/>
      <c r="DK4" s="292" t="s">
        <v>19</v>
      </c>
      <c r="DL4" s="292"/>
      <c r="DM4" s="292"/>
      <c r="DN4" s="292"/>
      <c r="DO4" s="292"/>
      <c r="DP4" s="292"/>
      <c r="DQ4" s="210"/>
      <c r="DR4" s="292" t="s">
        <v>20</v>
      </c>
      <c r="DS4" s="292"/>
      <c r="DT4" s="292"/>
      <c r="DU4" s="292"/>
      <c r="DV4" s="292"/>
      <c r="DW4" s="292"/>
      <c r="DX4" s="210"/>
      <c r="DY4" s="292" t="s">
        <v>21</v>
      </c>
      <c r="DZ4" s="292"/>
      <c r="EA4" s="292"/>
      <c r="EB4" s="292"/>
      <c r="EC4" s="292"/>
      <c r="ED4" s="292"/>
      <c r="EE4" s="210"/>
      <c r="EF4" s="210"/>
      <c r="EG4" s="210"/>
    </row>
    <row r="5" spans="1:137">
      <c r="A5" s="49"/>
      <c r="B5" s="49"/>
      <c r="C5" s="43" t="s">
        <v>22</v>
      </c>
      <c r="D5" s="30"/>
      <c r="E5" s="49" t="s">
        <v>23</v>
      </c>
      <c r="F5" s="30"/>
      <c r="G5" s="30" t="s">
        <v>24</v>
      </c>
      <c r="H5" s="30" t="s">
        <v>25</v>
      </c>
      <c r="I5" s="210"/>
      <c r="J5" s="15" t="s">
        <v>22</v>
      </c>
      <c r="K5" s="30"/>
      <c r="L5" s="49" t="s">
        <v>23</v>
      </c>
      <c r="M5" s="30"/>
      <c r="N5" s="30" t="s">
        <v>24</v>
      </c>
      <c r="O5" s="30" t="s">
        <v>25</v>
      </c>
      <c r="P5" s="210"/>
      <c r="Q5" s="43" t="s">
        <v>22</v>
      </c>
      <c r="R5" s="15"/>
      <c r="S5" s="49" t="s">
        <v>23</v>
      </c>
      <c r="T5" s="30"/>
      <c r="U5" s="30" t="s">
        <v>24</v>
      </c>
      <c r="V5" s="30" t="s">
        <v>25</v>
      </c>
      <c r="W5" s="210"/>
      <c r="X5" s="43" t="s">
        <v>22</v>
      </c>
      <c r="Y5" s="30"/>
      <c r="Z5" s="15" t="s">
        <v>23</v>
      </c>
      <c r="AA5" s="30"/>
      <c r="AB5" s="30" t="s">
        <v>24</v>
      </c>
      <c r="AC5" s="30" t="s">
        <v>25</v>
      </c>
      <c r="AD5" s="210"/>
      <c r="AE5" s="43" t="s">
        <v>22</v>
      </c>
      <c r="AF5" s="15"/>
      <c r="AG5" s="49" t="s">
        <v>23</v>
      </c>
      <c r="AH5" s="15"/>
      <c r="AI5" s="49" t="s">
        <v>24</v>
      </c>
      <c r="AJ5" s="49" t="s">
        <v>25</v>
      </c>
      <c r="AK5" s="210"/>
      <c r="AL5" s="43" t="s">
        <v>22</v>
      </c>
      <c r="AM5" s="15"/>
      <c r="AN5" s="49" t="s">
        <v>23</v>
      </c>
      <c r="AO5" s="15"/>
      <c r="AP5" s="49" t="s">
        <v>24</v>
      </c>
      <c r="AQ5" s="49" t="s">
        <v>25</v>
      </c>
      <c r="AR5" s="210"/>
      <c r="AS5" s="43" t="s">
        <v>22</v>
      </c>
      <c r="AT5" s="15"/>
      <c r="AU5" s="49" t="s">
        <v>23</v>
      </c>
      <c r="AV5" s="15"/>
      <c r="AW5" s="49" t="s">
        <v>24</v>
      </c>
      <c r="AX5" s="49" t="s">
        <v>25</v>
      </c>
      <c r="AY5" s="210"/>
      <c r="AZ5" s="43" t="s">
        <v>22</v>
      </c>
      <c r="BA5" s="15"/>
      <c r="BB5" s="15" t="s">
        <v>23</v>
      </c>
      <c r="BC5" s="15"/>
      <c r="BD5" s="49" t="s">
        <v>24</v>
      </c>
      <c r="BE5" s="49" t="s">
        <v>25</v>
      </c>
      <c r="BF5" s="210"/>
      <c r="BG5" s="43" t="s">
        <v>22</v>
      </c>
      <c r="BH5" s="15"/>
      <c r="BI5" s="49" t="s">
        <v>23</v>
      </c>
      <c r="BJ5" s="15"/>
      <c r="BK5" s="49" t="s">
        <v>24</v>
      </c>
      <c r="BL5" s="49" t="s">
        <v>25</v>
      </c>
      <c r="BM5" s="210"/>
      <c r="BN5" s="43" t="s">
        <v>22</v>
      </c>
      <c r="BO5" s="50"/>
      <c r="BP5" s="49" t="s">
        <v>23</v>
      </c>
      <c r="BQ5" s="50"/>
      <c r="BR5" s="49" t="s">
        <v>24</v>
      </c>
      <c r="BS5" s="50" t="s">
        <v>25</v>
      </c>
      <c r="BT5" s="210"/>
      <c r="BU5" s="43" t="s">
        <v>22</v>
      </c>
      <c r="BV5" s="50"/>
      <c r="BW5" s="49" t="s">
        <v>23</v>
      </c>
      <c r="BX5" s="50"/>
      <c r="BY5" s="49" t="s">
        <v>24</v>
      </c>
      <c r="BZ5" s="50" t="s">
        <v>25</v>
      </c>
      <c r="CA5" s="210"/>
      <c r="CB5" s="43" t="s">
        <v>22</v>
      </c>
      <c r="CC5" s="50"/>
      <c r="CD5" s="49" t="s">
        <v>23</v>
      </c>
      <c r="CE5" s="50"/>
      <c r="CF5" s="49" t="s">
        <v>24</v>
      </c>
      <c r="CG5" s="50" t="s">
        <v>25</v>
      </c>
      <c r="CH5" s="210"/>
      <c r="CI5" s="43" t="s">
        <v>22</v>
      </c>
      <c r="CJ5" s="50"/>
      <c r="CK5" s="43" t="s">
        <v>23</v>
      </c>
      <c r="CL5" s="50"/>
      <c r="CM5" s="49" t="s">
        <v>24</v>
      </c>
      <c r="CN5" s="50" t="s">
        <v>25</v>
      </c>
      <c r="CO5" s="210"/>
      <c r="CP5" s="43" t="s">
        <v>22</v>
      </c>
      <c r="CQ5" s="43"/>
      <c r="CR5" s="49" t="s">
        <v>23</v>
      </c>
      <c r="CS5" s="43"/>
      <c r="CT5" s="49" t="s">
        <v>24</v>
      </c>
      <c r="CU5" s="49" t="s">
        <v>25</v>
      </c>
      <c r="CV5" s="210"/>
      <c r="CW5" s="43" t="s">
        <v>22</v>
      </c>
      <c r="CX5" s="50"/>
      <c r="CY5" s="49" t="s">
        <v>23</v>
      </c>
      <c r="CZ5" s="50"/>
      <c r="DA5" s="49" t="s">
        <v>24</v>
      </c>
      <c r="DB5" s="50" t="s">
        <v>25</v>
      </c>
      <c r="DC5" s="210"/>
      <c r="DD5" s="43" t="s">
        <v>22</v>
      </c>
      <c r="DE5" s="50"/>
      <c r="DF5" s="49" t="s">
        <v>23</v>
      </c>
      <c r="DG5" s="50"/>
      <c r="DH5" s="49" t="s">
        <v>24</v>
      </c>
      <c r="DI5" s="50" t="s">
        <v>25</v>
      </c>
      <c r="DJ5" s="210"/>
      <c r="DK5" s="43" t="s">
        <v>22</v>
      </c>
      <c r="DL5" s="50"/>
      <c r="DM5" s="49" t="s">
        <v>23</v>
      </c>
      <c r="DN5" s="50"/>
      <c r="DO5" s="49" t="s">
        <v>24</v>
      </c>
      <c r="DP5" s="50" t="s">
        <v>25</v>
      </c>
      <c r="DQ5" s="210"/>
      <c r="DR5" s="43" t="s">
        <v>22</v>
      </c>
      <c r="DS5" s="50"/>
      <c r="DT5" s="43" t="s">
        <v>23</v>
      </c>
      <c r="DU5" s="50"/>
      <c r="DV5" s="49" t="s">
        <v>24</v>
      </c>
      <c r="DW5" s="50" t="s">
        <v>25</v>
      </c>
      <c r="DX5" s="210"/>
      <c r="DY5" s="43" t="s">
        <v>22</v>
      </c>
      <c r="DZ5" s="50"/>
      <c r="EA5" s="43" t="s">
        <v>23</v>
      </c>
      <c r="EB5" s="30"/>
      <c r="EC5" s="30" t="s">
        <v>24</v>
      </c>
      <c r="ED5" s="30" t="s">
        <v>25</v>
      </c>
      <c r="EE5" s="210"/>
      <c r="EF5" s="210"/>
      <c r="EG5" s="210"/>
    </row>
    <row r="6" spans="1:137">
      <c r="A6" s="3" t="s">
        <v>26</v>
      </c>
      <c r="B6" s="3"/>
      <c r="C6" s="214"/>
      <c r="D6" s="212"/>
      <c r="E6" s="210"/>
      <c r="F6" s="212"/>
      <c r="G6" s="212"/>
      <c r="H6" s="212"/>
      <c r="I6" s="210"/>
      <c r="J6" s="215"/>
      <c r="K6" s="212"/>
      <c r="L6" s="210"/>
      <c r="M6" s="212"/>
      <c r="N6" s="212"/>
      <c r="O6" s="212"/>
      <c r="P6" s="210"/>
      <c r="Q6" s="214"/>
      <c r="R6" s="215"/>
      <c r="S6" s="210"/>
      <c r="T6" s="212"/>
      <c r="U6" s="212"/>
      <c r="V6" s="212"/>
      <c r="W6" s="210"/>
      <c r="X6" s="214"/>
      <c r="Y6" s="212"/>
      <c r="Z6" s="215"/>
      <c r="AA6" s="212"/>
      <c r="AB6" s="212"/>
      <c r="AC6" s="212"/>
      <c r="AD6" s="210"/>
      <c r="AE6" s="214"/>
      <c r="AF6" s="215"/>
      <c r="AG6" s="210"/>
      <c r="AH6" s="215"/>
      <c r="AI6" s="210"/>
      <c r="AJ6" s="210"/>
      <c r="AK6" s="210"/>
      <c r="AL6" s="214"/>
      <c r="AM6" s="215"/>
      <c r="AN6" s="210"/>
      <c r="AO6" s="215"/>
      <c r="AP6" s="210"/>
      <c r="AQ6" s="210"/>
      <c r="AR6" s="210"/>
      <c r="AS6" s="214"/>
      <c r="AT6" s="215"/>
      <c r="AU6" s="210"/>
      <c r="AV6" s="215"/>
      <c r="AW6" s="210"/>
      <c r="AX6" s="210"/>
      <c r="AY6" s="210"/>
      <c r="AZ6" s="214"/>
      <c r="BA6" s="215"/>
      <c r="BB6" s="215"/>
      <c r="BC6" s="215"/>
      <c r="BD6" s="210"/>
      <c r="BE6" s="212"/>
      <c r="BF6" s="210"/>
      <c r="BG6" s="214"/>
      <c r="BH6" s="215"/>
      <c r="BI6" s="210"/>
      <c r="BJ6" s="215"/>
      <c r="BK6" s="210"/>
      <c r="BL6" s="212"/>
      <c r="BM6" s="210"/>
      <c r="BN6" s="214"/>
      <c r="BO6" s="216"/>
      <c r="BP6" s="210"/>
      <c r="BQ6" s="216"/>
      <c r="BR6" s="210"/>
      <c r="BS6" s="216"/>
      <c r="BT6" s="210"/>
      <c r="BU6" s="214"/>
      <c r="BV6" s="216"/>
      <c r="BW6" s="210"/>
      <c r="BX6" s="216"/>
      <c r="BY6" s="210"/>
      <c r="BZ6" s="213"/>
      <c r="CA6" s="210"/>
      <c r="CB6" s="214"/>
      <c r="CC6" s="216"/>
      <c r="CD6" s="210"/>
      <c r="CE6" s="216"/>
      <c r="CF6" s="210"/>
      <c r="CG6" s="213"/>
      <c r="CH6" s="210"/>
      <c r="CI6" s="214"/>
      <c r="CJ6" s="216"/>
      <c r="CK6" s="214"/>
      <c r="CL6" s="216"/>
      <c r="CM6" s="210"/>
      <c r="CN6" s="213"/>
      <c r="CO6" s="210"/>
      <c r="CP6" s="214"/>
      <c r="CQ6" s="214"/>
      <c r="CR6" s="210"/>
      <c r="CS6" s="214"/>
      <c r="CT6" s="210"/>
      <c r="CU6" s="210"/>
      <c r="CV6" s="210"/>
      <c r="CW6" s="214"/>
      <c r="CX6" s="216"/>
      <c r="CY6" s="210"/>
      <c r="CZ6" s="216"/>
      <c r="DA6" s="210"/>
      <c r="DB6" s="213"/>
      <c r="DC6" s="210"/>
      <c r="DD6" s="214"/>
      <c r="DE6" s="216"/>
      <c r="DF6" s="210"/>
      <c r="DG6" s="216"/>
      <c r="DH6" s="210"/>
      <c r="DI6" s="213"/>
      <c r="DJ6" s="210"/>
      <c r="DK6" s="214"/>
      <c r="DL6" s="216"/>
      <c r="DM6" s="210"/>
      <c r="DN6" s="216"/>
      <c r="DO6" s="210"/>
      <c r="DP6" s="213"/>
      <c r="DQ6" s="210"/>
      <c r="DR6" s="214"/>
      <c r="DS6" s="216"/>
      <c r="DT6" s="214"/>
      <c r="DU6" s="216"/>
      <c r="DV6" s="210"/>
      <c r="DW6" s="213"/>
      <c r="DX6" s="210"/>
      <c r="DY6" s="214"/>
      <c r="DZ6" s="216"/>
      <c r="EA6" s="214"/>
      <c r="EB6" s="212"/>
      <c r="EC6" s="212"/>
      <c r="ED6" s="212"/>
      <c r="EE6" s="210"/>
      <c r="EF6" s="210"/>
      <c r="EG6" s="210"/>
    </row>
    <row r="7" spans="1:137">
      <c r="A7" s="217" t="s">
        <v>27</v>
      </c>
      <c r="B7" s="217"/>
      <c r="C7" s="208"/>
      <c r="D7" s="212" t="e">
        <f>C7/C12</f>
        <v>#DIV/0!</v>
      </c>
      <c r="E7" s="208">
        <v>161695</v>
      </c>
      <c r="F7" s="212">
        <f>E7/E12</f>
        <v>0.64077212059727995</v>
      </c>
      <c r="G7" s="212">
        <f t="shared" ref="G7:G11" si="0">C7-E7</f>
        <v>-161695</v>
      </c>
      <c r="H7" s="212"/>
      <c r="I7" s="210"/>
      <c r="J7" s="218">
        <v>91758</v>
      </c>
      <c r="K7" s="212">
        <f>J7/J12</f>
        <v>0.63923479642059722</v>
      </c>
      <c r="L7" s="219">
        <v>162909.37602076249</v>
      </c>
      <c r="M7" s="212">
        <f>L7/L12</f>
        <v>0.6407752108635334</v>
      </c>
      <c r="N7" s="212">
        <f t="shared" ref="N7:N11" si="1">J7-L7</f>
        <v>-71151.376020762487</v>
      </c>
      <c r="O7" s="212"/>
      <c r="P7" s="210"/>
      <c r="Q7" s="208">
        <v>75224.81</v>
      </c>
      <c r="R7" s="212">
        <f>Q7/Q12</f>
        <v>0.6196906852161076</v>
      </c>
      <c r="S7" s="219">
        <v>187626.38397607848</v>
      </c>
      <c r="T7" s="212">
        <f>S7/S12</f>
        <v>0.6407752108635334</v>
      </c>
      <c r="U7" s="212">
        <f t="shared" ref="U7:U11" si="2">Q7-S7</f>
        <v>-112401.57397607848</v>
      </c>
      <c r="V7" s="212"/>
      <c r="W7" s="210"/>
      <c r="X7" s="208">
        <f>C7+J7+Q7</f>
        <v>166982.81</v>
      </c>
      <c r="Y7" s="212">
        <f>X7/X12</f>
        <v>0.63027983531017495</v>
      </c>
      <c r="Z7" s="218">
        <f t="shared" ref="Z7:Z9" si="3">E7+L7+S7</f>
        <v>512230.75999684096</v>
      </c>
      <c r="AA7" s="212">
        <f>Z7/Z12</f>
        <v>0.64077423536129874</v>
      </c>
      <c r="AB7" s="212">
        <f t="shared" ref="AB7:AB11" si="4">X7-Z7</f>
        <v>-345247.94999684097</v>
      </c>
      <c r="AC7" s="212"/>
      <c r="AD7" s="210"/>
      <c r="AE7" s="208">
        <v>0</v>
      </c>
      <c r="AF7" s="212" t="e">
        <f>AE7/AE12</f>
        <v>#DIV/0!</v>
      </c>
      <c r="AG7" s="218">
        <v>201998.73358736909</v>
      </c>
      <c r="AH7" s="212">
        <f>AG7/AG12</f>
        <v>0.64077521086353328</v>
      </c>
      <c r="AI7" s="220">
        <f t="shared" ref="AI7:AI9" si="5">AE7-AG7</f>
        <v>-201998.73358736909</v>
      </c>
      <c r="AJ7" s="221"/>
      <c r="AK7" s="210"/>
      <c r="AL7" s="208">
        <v>0</v>
      </c>
      <c r="AM7" s="212" t="e">
        <f>AL7/AL12</f>
        <v>#DIV/0!</v>
      </c>
      <c r="AN7" s="218">
        <v>202784.01001603444</v>
      </c>
      <c r="AO7" s="212">
        <f>AN7/AN12</f>
        <v>0.64077521086353328</v>
      </c>
      <c r="AP7" s="220">
        <f t="shared" ref="AP7:AP10" si="6">AL7-AN7</f>
        <v>-202784.01001603444</v>
      </c>
      <c r="AQ7" s="221"/>
      <c r="AR7" s="210"/>
      <c r="AS7" s="208">
        <v>0</v>
      </c>
      <c r="AT7" s="212" t="e">
        <f>AS7/AS12</f>
        <v>#DIV/0!</v>
      </c>
      <c r="AU7" s="218">
        <v>207104.30487558839</v>
      </c>
      <c r="AV7" s="212">
        <f>AU7/AU12</f>
        <v>0.6407752108635334</v>
      </c>
      <c r="AW7" s="220">
        <f t="shared" ref="AW7:AW10" si="7">AS7-AU7</f>
        <v>-207104.30487558839</v>
      </c>
      <c r="AX7" s="221"/>
      <c r="AY7" s="210"/>
      <c r="AZ7" s="208">
        <f t="shared" ref="AZ7:AZ11" si="8">AE7+AL7+AS7</f>
        <v>0</v>
      </c>
      <c r="BA7" s="212" t="e">
        <f>AZ7/AZ12</f>
        <v>#DIV/0!</v>
      </c>
      <c r="BB7" s="218">
        <f t="shared" ref="BB7:BB11" si="9">AG7+AN7+AU7</f>
        <v>611887.04847899196</v>
      </c>
      <c r="BC7" s="212">
        <f>BB7/BB12</f>
        <v>0.64077521086353328</v>
      </c>
      <c r="BD7" s="220">
        <f t="shared" ref="BD7:BD11" si="10">AZ7-BB7</f>
        <v>-611887.04847899196</v>
      </c>
      <c r="BE7" s="212"/>
      <c r="BF7" s="210"/>
      <c r="BG7" s="208">
        <v>0</v>
      </c>
      <c r="BH7" s="212" t="e">
        <f>BG7/BG12</f>
        <v>#DIV/0!</v>
      </c>
      <c r="BI7" s="208">
        <v>0</v>
      </c>
      <c r="BJ7" s="212" t="e">
        <f>BI7/BI12</f>
        <v>#DIV/0!</v>
      </c>
      <c r="BK7" s="220">
        <f t="shared" ref="BK7:BK10" si="11">BG7-BI7</f>
        <v>0</v>
      </c>
      <c r="BL7" s="212"/>
      <c r="BM7" s="210"/>
      <c r="BN7" s="208">
        <v>0</v>
      </c>
      <c r="BO7" s="216" t="e">
        <f>BN7/BN12</f>
        <v>#DIV/0!</v>
      </c>
      <c r="BP7" s="208">
        <v>0</v>
      </c>
      <c r="BQ7" s="216" t="e">
        <f>BP7/BP12</f>
        <v>#DIV/0!</v>
      </c>
      <c r="BR7" s="222">
        <f t="shared" ref="BR7:BR11" si="12">BN7-BP7</f>
        <v>0</v>
      </c>
      <c r="BS7" s="216"/>
      <c r="BT7" s="210"/>
      <c r="BU7" s="208">
        <v>5222.1000000000004</v>
      </c>
      <c r="BV7" s="216">
        <f>BU7/BU12</f>
        <v>0.61147995925106269</v>
      </c>
      <c r="BW7" s="208">
        <v>0</v>
      </c>
      <c r="BX7" s="216" t="e">
        <f>BW7/BW12</f>
        <v>#DIV/0!</v>
      </c>
      <c r="BY7" s="222">
        <f>BU7-BW7</f>
        <v>5222.1000000000004</v>
      </c>
      <c r="BZ7" s="216"/>
      <c r="CA7" s="210"/>
      <c r="CB7" s="208">
        <v>51179.03</v>
      </c>
      <c r="CC7" s="216">
        <f>CB7/CB12</f>
        <v>0.70394631420451115</v>
      </c>
      <c r="CD7" s="208">
        <v>76110</v>
      </c>
      <c r="CE7" s="216">
        <f>CD7/CD12</f>
        <v>0.640775227735776</v>
      </c>
      <c r="CF7" s="222">
        <f>CB7-CD7</f>
        <v>-24930.97</v>
      </c>
      <c r="CG7" s="216"/>
      <c r="CH7" s="210"/>
      <c r="CI7" s="208">
        <f>BG7+BN7+BU7+CB7</f>
        <v>56401.13</v>
      </c>
      <c r="CJ7" s="216">
        <f>CI7/CI12</f>
        <v>0.69422645336288735</v>
      </c>
      <c r="CK7" s="208">
        <f>BI7+BP7+BW7+CD7</f>
        <v>76110</v>
      </c>
      <c r="CL7" s="216">
        <f>CK7/CK12</f>
        <v>0.640775227735776</v>
      </c>
      <c r="CM7" s="222">
        <f t="shared" ref="CM7:CM11" si="13">CI7-CK7</f>
        <v>-19708.870000000003</v>
      </c>
      <c r="CN7" s="216"/>
      <c r="CO7" s="210"/>
      <c r="CP7" s="208">
        <v>149783.76</v>
      </c>
      <c r="CQ7" s="216">
        <f>CP7/CP12</f>
        <v>0.67482090077543433</v>
      </c>
      <c r="CR7" s="208">
        <v>152219</v>
      </c>
      <c r="CS7" s="216">
        <f>CR7/CR12</f>
        <v>0.64077101820202398</v>
      </c>
      <c r="CT7" s="222">
        <f t="shared" ref="CT7:CT11" si="14">CP7-CR7</f>
        <v>-2435.2399999999907</v>
      </c>
      <c r="CU7" s="223"/>
      <c r="CV7" s="210"/>
      <c r="CW7" s="208">
        <v>186248.99</v>
      </c>
      <c r="CX7" s="216">
        <f>CW7/CW12</f>
        <v>0.71451615829988968</v>
      </c>
      <c r="CY7" s="208">
        <v>152219</v>
      </c>
      <c r="CZ7" s="216">
        <f>CY7/CY12</f>
        <v>0.64077101820202398</v>
      </c>
      <c r="DA7" s="222">
        <f t="shared" ref="DA7:DA11" si="15">CW7-CY7</f>
        <v>34029.989999999991</v>
      </c>
      <c r="DB7" s="216"/>
      <c r="DC7" s="210"/>
      <c r="DD7" s="208">
        <v>160189.46</v>
      </c>
      <c r="DE7" s="216">
        <f>DD7/DD12</f>
        <v>0.70404760835289226</v>
      </c>
      <c r="DF7" s="208">
        <v>173965</v>
      </c>
      <c r="DG7" s="216">
        <f>DF7/DF12</f>
        <v>0.64077630566022448</v>
      </c>
      <c r="DH7" s="222">
        <f t="shared" ref="DH7:DH11" si="16">DD7-DF7</f>
        <v>-13775.540000000008</v>
      </c>
      <c r="DI7" s="216"/>
      <c r="DJ7" s="210"/>
      <c r="DK7" s="208">
        <v>113501.49</v>
      </c>
      <c r="DL7" s="223">
        <f>DK7/DK12</f>
        <v>0.76358197725309074</v>
      </c>
      <c r="DM7" s="208">
        <v>173965</v>
      </c>
      <c r="DN7" s="216">
        <f>DM7/DM12</f>
        <v>0.64077630566022448</v>
      </c>
      <c r="DO7" s="222">
        <f t="shared" ref="DO7:DO11" si="17">DK7-DM7</f>
        <v>-60463.509999999995</v>
      </c>
      <c r="DP7" s="216"/>
      <c r="DQ7" s="210"/>
      <c r="DR7" s="208">
        <f>CP7+CW7+DD7+DK7</f>
        <v>609723.69999999995</v>
      </c>
      <c r="DS7" s="216">
        <f>DR7/DR12</f>
        <v>0.70997567289616892</v>
      </c>
      <c r="DT7" s="208">
        <f t="shared" ref="DT7:DT11" si="18">CR7+CY7+DF7+DM7</f>
        <v>652368</v>
      </c>
      <c r="DU7" s="216">
        <f>DT7/DT12</f>
        <v>0.64077383817211375</v>
      </c>
      <c r="DV7" s="222">
        <f t="shared" ref="DV7:DV11" si="19">DR7-DT7</f>
        <v>-42644.300000000047</v>
      </c>
      <c r="DW7" s="216"/>
      <c r="DX7" s="210"/>
      <c r="DY7" s="208">
        <f>X7+AZ7+CI7+DR7</f>
        <v>833107.6399999999</v>
      </c>
      <c r="DZ7" s="212">
        <f>DY7/DY12</f>
        <v>0.6913912815271761</v>
      </c>
      <c r="EA7" s="208">
        <f>Z7+BB7+CK7+DT7</f>
        <v>1852595.8084758329</v>
      </c>
      <c r="EB7" s="212">
        <f>EA7/EA12</f>
        <v>0.64077445846028558</v>
      </c>
      <c r="EC7" s="212">
        <f t="shared" ref="EC7:EC10" si="20">DY7-EA7</f>
        <v>-1019488.168475833</v>
      </c>
      <c r="ED7" s="212"/>
      <c r="EE7" s="210"/>
      <c r="EF7" s="210"/>
      <c r="EG7" s="210"/>
    </row>
    <row r="8" spans="1:137">
      <c r="A8" s="217" t="s">
        <v>28</v>
      </c>
      <c r="B8" s="217"/>
      <c r="C8" s="208"/>
      <c r="D8" s="212" t="e">
        <f>C8/C12</f>
        <v>#DIV/0!</v>
      </c>
      <c r="E8" s="208">
        <v>10001</v>
      </c>
      <c r="F8" s="212">
        <f>E8/E12</f>
        <v>3.9632406556129728E-2</v>
      </c>
      <c r="G8" s="212">
        <f t="shared" si="0"/>
        <v>-10001</v>
      </c>
      <c r="H8" s="212"/>
      <c r="I8" s="210"/>
      <c r="J8" s="218">
        <v>4299</v>
      </c>
      <c r="K8" s="212">
        <f>J8/J12</f>
        <v>2.9949109503390959E-2</v>
      </c>
      <c r="L8" s="219">
        <v>10075.698406586198</v>
      </c>
      <c r="M8" s="212">
        <f>L8/L12</f>
        <v>3.9630977226594991E-2</v>
      </c>
      <c r="N8" s="212">
        <f t="shared" si="1"/>
        <v>-5776.698406586198</v>
      </c>
      <c r="O8" s="212"/>
      <c r="P8" s="210"/>
      <c r="Q8" s="208">
        <v>4538.99</v>
      </c>
      <c r="R8" s="212">
        <f>Q8/Q12</f>
        <v>3.7391517815585841E-2</v>
      </c>
      <c r="S8" s="219">
        <v>11604.407948995937</v>
      </c>
      <c r="T8" s="212">
        <f>S8/S12</f>
        <v>3.9630977226594991E-2</v>
      </c>
      <c r="U8" s="212">
        <f t="shared" si="2"/>
        <v>-7065.417948995937</v>
      </c>
      <c r="V8" s="212"/>
      <c r="W8" s="210"/>
      <c r="X8" s="208">
        <f t="shared" ref="X8:X11" si="21">C8+J8+Q8</f>
        <v>8837.99</v>
      </c>
      <c r="Y8" s="212">
        <f>X8/X12</f>
        <v>3.3359163626920478E-2</v>
      </c>
      <c r="Z8" s="218">
        <f t="shared" si="3"/>
        <v>31681.106355582135</v>
      </c>
      <c r="AA8" s="212">
        <f>Z8/Z12</f>
        <v>3.9631428422071568E-2</v>
      </c>
      <c r="AB8" s="212">
        <f t="shared" si="4"/>
        <v>-22843.116355582133</v>
      </c>
      <c r="AC8" s="212"/>
      <c r="AD8" s="210"/>
      <c r="AE8" s="208">
        <v>0</v>
      </c>
      <c r="AF8" s="212" t="e">
        <f>AE8/AE12</f>
        <v>#DIV/0!</v>
      </c>
      <c r="AG8" s="218">
        <v>12493.316025464932</v>
      </c>
      <c r="AH8" s="212">
        <f>AG8/AG12</f>
        <v>3.9630977226594984E-2</v>
      </c>
      <c r="AI8" s="220">
        <f t="shared" si="5"/>
        <v>-12493.316025464932</v>
      </c>
      <c r="AJ8" s="221"/>
      <c r="AK8" s="210"/>
      <c r="AL8" s="208">
        <v>0</v>
      </c>
      <c r="AM8" s="212" t="e">
        <f>AL8/AL12</f>
        <v>#DIV/0!</v>
      </c>
      <c r="AN8" s="218">
        <v>12541.884184365897</v>
      </c>
      <c r="AO8" s="212">
        <f>AN8/AN12</f>
        <v>3.9630977226594984E-2</v>
      </c>
      <c r="AP8" s="220">
        <f t="shared" si="6"/>
        <v>-12541.884184365897</v>
      </c>
      <c r="AQ8" s="221"/>
      <c r="AR8" s="210"/>
      <c r="AS8" s="208">
        <v>0</v>
      </c>
      <c r="AT8" s="212" t="e">
        <f>AS8/AS12</f>
        <v>#DIV/0!</v>
      </c>
      <c r="AU8" s="218">
        <v>12809.087884334904</v>
      </c>
      <c r="AV8" s="212">
        <f>AU8/AU12</f>
        <v>3.9630977226594991E-2</v>
      </c>
      <c r="AW8" s="220">
        <f t="shared" si="7"/>
        <v>-12809.087884334904</v>
      </c>
      <c r="AX8" s="221"/>
      <c r="AY8" s="210"/>
      <c r="AZ8" s="208">
        <f t="shared" si="8"/>
        <v>0</v>
      </c>
      <c r="BA8" s="212" t="e">
        <f>AZ8/AZ12</f>
        <v>#DIV/0!</v>
      </c>
      <c r="BB8" s="218">
        <f t="shared" si="9"/>
        <v>37844.288094165735</v>
      </c>
      <c r="BC8" s="212">
        <f>BB8/BB12</f>
        <v>3.9630977226594984E-2</v>
      </c>
      <c r="BD8" s="220">
        <f t="shared" si="10"/>
        <v>-37844.288094165735</v>
      </c>
      <c r="BE8" s="212"/>
      <c r="BF8" s="210"/>
      <c r="BG8" s="208">
        <v>0</v>
      </c>
      <c r="BH8" s="212" t="e">
        <f>BG8/BG12</f>
        <v>#DIV/0!</v>
      </c>
      <c r="BI8" s="208">
        <v>0</v>
      </c>
      <c r="BJ8" s="212" t="e">
        <f>BI8/BI12</f>
        <v>#DIV/0!</v>
      </c>
      <c r="BK8" s="220">
        <f t="shared" si="11"/>
        <v>0</v>
      </c>
      <c r="BL8" s="212"/>
      <c r="BM8" s="210"/>
      <c r="BN8" s="208">
        <v>0</v>
      </c>
      <c r="BO8" s="216" t="e">
        <f>BN8/BN12</f>
        <v>#DIV/0!</v>
      </c>
      <c r="BP8" s="208">
        <v>0</v>
      </c>
      <c r="BQ8" s="216" t="e">
        <f>BP8/BP12</f>
        <v>#DIV/0!</v>
      </c>
      <c r="BR8" s="222">
        <f t="shared" si="12"/>
        <v>0</v>
      </c>
      <c r="BS8" s="216"/>
      <c r="BT8" s="210"/>
      <c r="BU8" s="208">
        <v>369.5</v>
      </c>
      <c r="BV8" s="216">
        <f>BU8/BU12</f>
        <v>4.326647228955164E-2</v>
      </c>
      <c r="BW8" s="208">
        <v>0</v>
      </c>
      <c r="BX8" s="216" t="e">
        <f>BW8/BW12</f>
        <v>#DIV/0!</v>
      </c>
      <c r="BY8" s="222">
        <f>BU8-BW8</f>
        <v>369.5</v>
      </c>
      <c r="BZ8" s="216"/>
      <c r="CA8" s="210"/>
      <c r="CB8" s="208">
        <v>2147</v>
      </c>
      <c r="CC8" s="216">
        <f>CB8/CB12</f>
        <v>2.9531093820986554E-2</v>
      </c>
      <c r="CD8" s="208">
        <v>4707</v>
      </c>
      <c r="CE8" s="216">
        <f>CD8/CD12</f>
        <v>3.9628550741719844E-2</v>
      </c>
      <c r="CF8" s="222">
        <f>CB8-CD8</f>
        <v>-2560</v>
      </c>
      <c r="CG8" s="216"/>
      <c r="CH8" s="210"/>
      <c r="CI8" s="208">
        <f t="shared" ref="CI8:CI11" si="22">BG8+BN8+BU8+CB8</f>
        <v>2516.5</v>
      </c>
      <c r="CJ8" s="216">
        <f>CI8/CI12</f>
        <v>3.0974926741498019E-2</v>
      </c>
      <c r="CK8" s="208">
        <f t="shared" ref="CK8:CK11" si="23">BI8+BP8+BW8+CD8</f>
        <v>4707</v>
      </c>
      <c r="CL8" s="216">
        <f>CK8/CK12</f>
        <v>3.9628550741719844E-2</v>
      </c>
      <c r="CM8" s="222">
        <f t="shared" si="13"/>
        <v>-2190.5</v>
      </c>
      <c r="CN8" s="216"/>
      <c r="CO8" s="210"/>
      <c r="CP8" s="208">
        <v>14734</v>
      </c>
      <c r="CQ8" s="216">
        <f>CP8/CP12</f>
        <v>6.6381102677788628E-2</v>
      </c>
      <c r="CR8" s="208">
        <v>9415</v>
      </c>
      <c r="CS8" s="216">
        <f>CR8/CR12</f>
        <v>3.9632760275471891E-2</v>
      </c>
      <c r="CT8" s="222">
        <f t="shared" si="14"/>
        <v>5319</v>
      </c>
      <c r="CU8" s="223"/>
      <c r="CV8" s="210"/>
      <c r="CW8" s="208">
        <v>9144</v>
      </c>
      <c r="CX8" s="216">
        <f>CW8/CW12</f>
        <v>3.5079576815392081E-2</v>
      </c>
      <c r="CY8" s="208">
        <v>9415</v>
      </c>
      <c r="CZ8" s="216">
        <f>CY8/CY12</f>
        <v>3.9632760275471891E-2</v>
      </c>
      <c r="DA8" s="222">
        <f t="shared" si="15"/>
        <v>-271</v>
      </c>
      <c r="DB8" s="216"/>
      <c r="DC8" s="210"/>
      <c r="DD8" s="208">
        <v>8405.5</v>
      </c>
      <c r="DE8" s="216">
        <f>DD8/DD12</f>
        <v>3.6942955997293678E-2</v>
      </c>
      <c r="DF8" s="208">
        <v>10759</v>
      </c>
      <c r="DG8" s="216">
        <f>DF8/DF12</f>
        <v>3.9629306312179778E-2</v>
      </c>
      <c r="DH8" s="222">
        <f t="shared" si="16"/>
        <v>-2353.5</v>
      </c>
      <c r="DI8" s="216"/>
      <c r="DJ8" s="210"/>
      <c r="DK8" s="208">
        <v>4417</v>
      </c>
      <c r="DL8" s="223">
        <f>DK8/DK12</f>
        <v>2.9715394868621559E-2</v>
      </c>
      <c r="DM8" s="208">
        <v>10759</v>
      </c>
      <c r="DN8" s="216">
        <f>DM8/DM12</f>
        <v>3.9629306312179778E-2</v>
      </c>
      <c r="DO8" s="222">
        <f t="shared" si="17"/>
        <v>-6342</v>
      </c>
      <c r="DP8" s="216"/>
      <c r="DQ8" s="210"/>
      <c r="DR8" s="208">
        <f t="shared" ref="DR8:DR11" si="24">CP8+CW8+DD8+DK8</f>
        <v>36700.5</v>
      </c>
      <c r="DS8" s="216">
        <f>DR8/DR12</f>
        <v>4.2734868569363219E-2</v>
      </c>
      <c r="DT8" s="208">
        <f t="shared" si="18"/>
        <v>40348</v>
      </c>
      <c r="DU8" s="216">
        <f>DT8/DT12</f>
        <v>3.9630918166691877E-2</v>
      </c>
      <c r="DV8" s="222">
        <f t="shared" si="19"/>
        <v>-3647.5</v>
      </c>
      <c r="DW8" s="216"/>
      <c r="DX8" s="210"/>
      <c r="DY8" s="208">
        <f>X8+AZ8+CI8+DR8</f>
        <v>48054.99</v>
      </c>
      <c r="DZ8" s="212">
        <f>DY8/DY12</f>
        <v>3.988056227629317E-2</v>
      </c>
      <c r="EA8" s="208">
        <f t="shared" ref="EA8:EA11" si="25">Z8+BB8+CK8+DT8</f>
        <v>114580.39444974787</v>
      </c>
      <c r="EB8" s="212">
        <f>EA8/EA12</f>
        <v>3.9630981495152651E-2</v>
      </c>
      <c r="EC8" s="212">
        <f t="shared" si="20"/>
        <v>-66525.404449747875</v>
      </c>
      <c r="ED8" s="212"/>
      <c r="EE8" s="210"/>
      <c r="EF8" s="210"/>
      <c r="EG8" s="210"/>
    </row>
    <row r="9" spans="1:137">
      <c r="A9" s="217" t="s">
        <v>29</v>
      </c>
      <c r="B9" s="217"/>
      <c r="C9" s="208"/>
      <c r="D9" s="212" t="e">
        <f>C9/C12</f>
        <v>#DIV/0!</v>
      </c>
      <c r="E9" s="208">
        <v>53925</v>
      </c>
      <c r="F9" s="212">
        <f>E9/E12</f>
        <v>0.213696382715658</v>
      </c>
      <c r="G9" s="212">
        <f t="shared" si="0"/>
        <v>-53925</v>
      </c>
      <c r="H9" s="212"/>
      <c r="I9" s="210"/>
      <c r="J9" s="218">
        <v>28767</v>
      </c>
      <c r="K9" s="212">
        <f>J9/J12</f>
        <v>0.20040614865876893</v>
      </c>
      <c r="L9" s="219">
        <v>54329.608208329948</v>
      </c>
      <c r="M9" s="212">
        <f>L9/L12</f>
        <v>0.21369590263109792</v>
      </c>
      <c r="N9" s="212">
        <f t="shared" si="1"/>
        <v>-25562.608208329948</v>
      </c>
      <c r="O9" s="212"/>
      <c r="P9" s="210"/>
      <c r="Q9" s="208">
        <v>25813.25</v>
      </c>
      <c r="R9" s="212">
        <f>Q9/Q12</f>
        <v>0.21264567607621326</v>
      </c>
      <c r="S9" s="219">
        <v>62572.628905452671</v>
      </c>
      <c r="T9" s="212">
        <f>S9/S12</f>
        <v>0.21369590263109792</v>
      </c>
      <c r="U9" s="212">
        <f t="shared" si="2"/>
        <v>-36759.378905452671</v>
      </c>
      <c r="V9" s="212"/>
      <c r="W9" s="210"/>
      <c r="X9" s="208">
        <f t="shared" si="21"/>
        <v>54580.25</v>
      </c>
      <c r="Y9" s="212">
        <f>X9/X12</f>
        <v>0.2060142057807518</v>
      </c>
      <c r="Z9" s="218">
        <f t="shared" si="3"/>
        <v>170827.23711378261</v>
      </c>
      <c r="AA9" s="212">
        <f>Z9/Z12</f>
        <v>0.21369605417906257</v>
      </c>
      <c r="AB9" s="212">
        <f t="shared" si="4"/>
        <v>-116246.98711378261</v>
      </c>
      <c r="AC9" s="212"/>
      <c r="AD9" s="210"/>
      <c r="AE9" s="208">
        <v>0</v>
      </c>
      <c r="AF9" s="212" t="e">
        <f>AE9/AE12</f>
        <v>#DIV/0!</v>
      </c>
      <c r="AG9" s="218">
        <v>67365.748506592412</v>
      </c>
      <c r="AH9" s="212">
        <f>AG9/AG12</f>
        <v>0.21369590263109789</v>
      </c>
      <c r="AI9" s="220">
        <f t="shared" si="5"/>
        <v>-67365.748506592412</v>
      </c>
      <c r="AJ9" s="221"/>
      <c r="AK9" s="210"/>
      <c r="AL9" s="208">
        <v>0</v>
      </c>
      <c r="AM9" s="212" t="e">
        <f>AL9/AL12</f>
        <v>#DIV/0!</v>
      </c>
      <c r="AN9" s="218">
        <v>67627.634972225846</v>
      </c>
      <c r="AO9" s="212">
        <f>AN9/AN12</f>
        <v>0.21369590263109786</v>
      </c>
      <c r="AP9" s="220">
        <f t="shared" si="6"/>
        <v>-67627.634972225846</v>
      </c>
      <c r="AQ9" s="221"/>
      <c r="AR9" s="210"/>
      <c r="AS9" s="208">
        <v>0</v>
      </c>
      <c r="AT9" s="212" t="e">
        <f>AS9/AS12</f>
        <v>#DIV/0!</v>
      </c>
      <c r="AU9" s="218">
        <v>69068.43557436009</v>
      </c>
      <c r="AV9" s="212">
        <f>AU9/AU12</f>
        <v>0.21369590263109794</v>
      </c>
      <c r="AW9" s="220">
        <f t="shared" si="7"/>
        <v>-69068.43557436009</v>
      </c>
      <c r="AX9" s="221"/>
      <c r="AY9" s="210"/>
      <c r="AZ9" s="208">
        <f t="shared" si="8"/>
        <v>0</v>
      </c>
      <c r="BA9" s="212" t="e">
        <f>AZ9/AZ12</f>
        <v>#DIV/0!</v>
      </c>
      <c r="BB9" s="218">
        <f t="shared" si="9"/>
        <v>204061.81905317836</v>
      </c>
      <c r="BC9" s="212">
        <f>BB9/BB12</f>
        <v>0.21369590263109789</v>
      </c>
      <c r="BD9" s="220">
        <f t="shared" si="10"/>
        <v>-204061.81905317836</v>
      </c>
      <c r="BE9" s="212"/>
      <c r="BF9" s="210"/>
      <c r="BG9" s="208">
        <v>0</v>
      </c>
      <c r="BH9" s="212" t="e">
        <f>BG9/BG12</f>
        <v>#DIV/0!</v>
      </c>
      <c r="BI9" s="208">
        <v>0</v>
      </c>
      <c r="BJ9" s="212" t="e">
        <f>BI9/BI12</f>
        <v>#DIV/0!</v>
      </c>
      <c r="BK9" s="220">
        <f t="shared" si="11"/>
        <v>0</v>
      </c>
      <c r="BL9" s="212"/>
      <c r="BM9" s="210"/>
      <c r="BN9" s="208">
        <v>0</v>
      </c>
      <c r="BO9" s="216" t="e">
        <f>BN9/BN12</f>
        <v>#DIV/0!</v>
      </c>
      <c r="BP9" s="208">
        <v>0</v>
      </c>
      <c r="BQ9" s="216" t="e">
        <f>BP9/BP12</f>
        <v>#DIV/0!</v>
      </c>
      <c r="BR9" s="222">
        <f t="shared" si="12"/>
        <v>0</v>
      </c>
      <c r="BS9" s="216"/>
      <c r="BT9" s="210"/>
      <c r="BU9" s="208">
        <v>2324</v>
      </c>
      <c r="BV9" s="216">
        <f>BU9/BU12</f>
        <v>0.27212796103090126</v>
      </c>
      <c r="BW9" s="208">
        <v>0</v>
      </c>
      <c r="BX9" s="216" t="e">
        <f>BW9/BW12</f>
        <v>#DIV/0!</v>
      </c>
      <c r="BY9" s="222">
        <f>BU9-BW9</f>
        <v>2324</v>
      </c>
      <c r="BZ9" s="216"/>
      <c r="CA9" s="210"/>
      <c r="CB9" s="208">
        <v>13205</v>
      </c>
      <c r="CC9" s="216">
        <f>CB9/CB12</f>
        <v>0.1816292938547403</v>
      </c>
      <c r="CD9" s="208">
        <v>25382</v>
      </c>
      <c r="CE9" s="216">
        <f>CD9/CD12</f>
        <v>0.21369277138864098</v>
      </c>
      <c r="CF9" s="222">
        <f>CB9-CD9</f>
        <v>-12177</v>
      </c>
      <c r="CG9" s="216"/>
      <c r="CH9" s="210"/>
      <c r="CI9" s="208">
        <f t="shared" si="22"/>
        <v>15529</v>
      </c>
      <c r="CJ9" s="216">
        <f>CI9/CI12</f>
        <v>0.191142315664106</v>
      </c>
      <c r="CK9" s="208">
        <f t="shared" si="23"/>
        <v>25382</v>
      </c>
      <c r="CL9" s="216">
        <f>CK9/CK12</f>
        <v>0.21369277138864098</v>
      </c>
      <c r="CM9" s="222">
        <f t="shared" si="13"/>
        <v>-9853</v>
      </c>
      <c r="CN9" s="216"/>
      <c r="CO9" s="210"/>
      <c r="CP9" s="208">
        <v>38462</v>
      </c>
      <c r="CQ9" s="216">
        <f>CP9/CP12</f>
        <v>0.17328288117232973</v>
      </c>
      <c r="CR9" s="208">
        <v>50765</v>
      </c>
      <c r="CS9" s="216">
        <f>CR9/CR12</f>
        <v>0.21369698092239303</v>
      </c>
      <c r="CT9" s="222">
        <f t="shared" si="14"/>
        <v>-12303</v>
      </c>
      <c r="CU9" s="223"/>
      <c r="CV9" s="210"/>
      <c r="CW9" s="208">
        <v>44817</v>
      </c>
      <c r="CX9" s="216">
        <f>CW9/CW12</f>
        <v>0.17193366077596531</v>
      </c>
      <c r="CY9" s="208">
        <v>50765</v>
      </c>
      <c r="CZ9" s="216">
        <f>CY9/CY12</f>
        <v>0.21369698092239303</v>
      </c>
      <c r="DA9" s="222">
        <f t="shared" si="15"/>
        <v>-5948</v>
      </c>
      <c r="DB9" s="216"/>
      <c r="DC9" s="210"/>
      <c r="DD9" s="208">
        <v>44781</v>
      </c>
      <c r="DE9" s="216">
        <f>DD9/DD12</f>
        <v>0.19681666914696427</v>
      </c>
      <c r="DF9" s="208">
        <v>58017</v>
      </c>
      <c r="DG9" s="216">
        <f>DF9/DF12</f>
        <v>0.21369769163618685</v>
      </c>
      <c r="DH9" s="222">
        <f t="shared" si="16"/>
        <v>-13236</v>
      </c>
      <c r="DI9" s="216"/>
      <c r="DJ9" s="210"/>
      <c r="DK9" s="208">
        <v>22018</v>
      </c>
      <c r="DL9" s="223">
        <f>DK9/DK12</f>
        <v>0.1481262314279623</v>
      </c>
      <c r="DM9" s="208">
        <v>58017</v>
      </c>
      <c r="DN9" s="216">
        <f>DM9/DM12</f>
        <v>0.21369769163618685</v>
      </c>
      <c r="DO9" s="222">
        <f t="shared" si="17"/>
        <v>-35999</v>
      </c>
      <c r="DP9" s="216"/>
      <c r="DQ9" s="210"/>
      <c r="DR9" s="208">
        <f t="shared" si="24"/>
        <v>150078</v>
      </c>
      <c r="DS9" s="216">
        <f>DR9/DR12</f>
        <v>0.17475412065647317</v>
      </c>
      <c r="DT9" s="208">
        <f t="shared" si="18"/>
        <v>217564</v>
      </c>
      <c r="DU9" s="216">
        <f>DT9/DT12</f>
        <v>0.21369735996872588</v>
      </c>
      <c r="DV9" s="222">
        <f t="shared" si="19"/>
        <v>-67486</v>
      </c>
      <c r="DW9" s="216"/>
      <c r="DX9" s="210"/>
      <c r="DY9" s="208">
        <f>X9+AZ9+CI9+DR9</f>
        <v>220187.25</v>
      </c>
      <c r="DZ9" s="212">
        <f>DY9/DY12</f>
        <v>0.18273214365606433</v>
      </c>
      <c r="EA9" s="208">
        <f t="shared" si="25"/>
        <v>617835.05616696097</v>
      </c>
      <c r="EB9" s="212">
        <f>EA9/EA12</f>
        <v>0.21369632907615907</v>
      </c>
      <c r="EC9" s="212">
        <f t="shared" si="20"/>
        <v>-397647.80616696097</v>
      </c>
      <c r="ED9" s="212"/>
      <c r="EE9" s="210"/>
      <c r="EF9" s="210"/>
      <c r="EG9" s="210"/>
    </row>
    <row r="10" spans="1:137">
      <c r="A10" s="217" t="s">
        <v>30</v>
      </c>
      <c r="B10" s="217"/>
      <c r="C10" s="208"/>
      <c r="D10" s="212" t="e">
        <f>C10/C12</f>
        <v>#DIV/0!</v>
      </c>
      <c r="E10" s="208">
        <v>7620</v>
      </c>
      <c r="F10" s="212">
        <f>E10/E12</f>
        <v>3.0196874108360017E-2</v>
      </c>
      <c r="G10" s="212">
        <f t="shared" si="0"/>
        <v>-7620</v>
      </c>
      <c r="H10" s="212"/>
      <c r="I10" s="210"/>
      <c r="J10" s="218">
        <v>5483.5</v>
      </c>
      <c r="K10" s="212">
        <f>J10/J12</f>
        <v>3.820096347100356E-2</v>
      </c>
      <c r="L10" s="219">
        <v>7677.2846034297818</v>
      </c>
      <c r="M10" s="212">
        <f>L10/L12</f>
        <v>3.0197240826673518E-2</v>
      </c>
      <c r="N10" s="212">
        <f t="shared" si="1"/>
        <v>-2193.7846034297818</v>
      </c>
      <c r="O10" s="212"/>
      <c r="P10" s="210"/>
      <c r="Q10" s="208">
        <v>5109.05</v>
      </c>
      <c r="R10" s="212">
        <f>Q10/Q12</f>
        <v>4.2087586466530852E-2</v>
      </c>
      <c r="S10" s="219">
        <v>8842.1009525760364</v>
      </c>
      <c r="T10" s="212">
        <f>S10/S12</f>
        <v>3.0197240826673518E-2</v>
      </c>
      <c r="U10" s="212">
        <f t="shared" si="2"/>
        <v>-3733.0509525760363</v>
      </c>
      <c r="V10" s="212"/>
      <c r="W10" s="210"/>
      <c r="X10" s="208">
        <f t="shared" si="21"/>
        <v>10592.55</v>
      </c>
      <c r="Y10" s="212">
        <f>X10/X12</f>
        <v>3.9981784169968115E-2</v>
      </c>
      <c r="Z10" s="218">
        <f>E10+L10+S10</f>
        <v>24139.385556005818</v>
      </c>
      <c r="AA10" s="212">
        <f>Z10/Z12</f>
        <v>3.0197125064954321E-2</v>
      </c>
      <c r="AB10" s="212">
        <f t="shared" si="4"/>
        <v>-13546.835556005819</v>
      </c>
      <c r="AC10" s="212"/>
      <c r="AD10" s="210"/>
      <c r="AE10" s="208">
        <v>0</v>
      </c>
      <c r="AF10" s="212" t="e">
        <f>AE10/AE12</f>
        <v>#DIV/0!</v>
      </c>
      <c r="AG10" s="218">
        <v>9519.4138309447353</v>
      </c>
      <c r="AH10" s="212">
        <f>AG10/AG12</f>
        <v>3.0197240826673515E-2</v>
      </c>
      <c r="AI10" s="220">
        <f>AE10-AG10</f>
        <v>-9519.4138309447353</v>
      </c>
      <c r="AJ10" s="221"/>
      <c r="AK10" s="210"/>
      <c r="AL10" s="208">
        <v>0</v>
      </c>
      <c r="AM10" s="212" t="e">
        <f>AL10/AL12</f>
        <v>#DIV/0!</v>
      </c>
      <c r="AN10" s="218">
        <v>9556.4208515502323</v>
      </c>
      <c r="AO10" s="212">
        <f>AN10/AN12</f>
        <v>3.0197240826673515E-2</v>
      </c>
      <c r="AP10" s="220">
        <f t="shared" si="6"/>
        <v>-9556.4208515502323</v>
      </c>
      <c r="AQ10" s="221"/>
      <c r="AR10" s="210"/>
      <c r="AS10" s="208">
        <v>0</v>
      </c>
      <c r="AT10" s="212" t="e">
        <f>AS10/AS12</f>
        <v>#DIV/0!</v>
      </c>
      <c r="AU10" s="218">
        <v>9760.0195271924676</v>
      </c>
      <c r="AV10" s="212">
        <f>AU10/AU12</f>
        <v>3.0197240826673518E-2</v>
      </c>
      <c r="AW10" s="220">
        <f t="shared" si="7"/>
        <v>-9760.0195271924676</v>
      </c>
      <c r="AX10" s="221"/>
      <c r="AY10" s="210"/>
      <c r="AZ10" s="208">
        <f t="shared" si="8"/>
        <v>0</v>
      </c>
      <c r="BA10" s="212" t="e">
        <f>AZ10/AZ12</f>
        <v>#DIV/0!</v>
      </c>
      <c r="BB10" s="218">
        <f t="shared" si="9"/>
        <v>28835.854209687437</v>
      </c>
      <c r="BC10" s="212">
        <f>BB10/BB12</f>
        <v>3.0197240826673515E-2</v>
      </c>
      <c r="BD10" s="220">
        <f t="shared" si="10"/>
        <v>-28835.854209687437</v>
      </c>
      <c r="BE10" s="212"/>
      <c r="BF10" s="210"/>
      <c r="BG10" s="208">
        <v>0</v>
      </c>
      <c r="BH10" s="212" t="e">
        <f>BG10/BG12</f>
        <v>#DIV/0!</v>
      </c>
      <c r="BI10" s="208">
        <v>0</v>
      </c>
      <c r="BJ10" s="212" t="e">
        <f>BI10/BI12</f>
        <v>#DIV/0!</v>
      </c>
      <c r="BK10" s="220">
        <f t="shared" si="11"/>
        <v>0</v>
      </c>
      <c r="BL10" s="212"/>
      <c r="BM10" s="210"/>
      <c r="BN10" s="208">
        <v>0</v>
      </c>
      <c r="BO10" s="216" t="e">
        <f>BN10/BN12</f>
        <v>#DIV/0!</v>
      </c>
      <c r="BP10" s="208">
        <v>0</v>
      </c>
      <c r="BQ10" s="216" t="e">
        <f>BP10/BP12</f>
        <v>#DIV/0!</v>
      </c>
      <c r="BR10" s="222">
        <f t="shared" si="12"/>
        <v>0</v>
      </c>
      <c r="BS10" s="216"/>
      <c r="BT10" s="210"/>
      <c r="BU10" s="208">
        <v>220</v>
      </c>
      <c r="BV10" s="216">
        <f>BU10/BU12</f>
        <v>2.5760822472804767E-2</v>
      </c>
      <c r="BW10" s="208">
        <v>0</v>
      </c>
      <c r="BX10" s="216" t="e">
        <f>BW10/BW12</f>
        <v>#DIV/0!</v>
      </c>
      <c r="BY10" s="222">
        <f>BU10-BW10</f>
        <v>220</v>
      </c>
      <c r="BZ10" s="216"/>
      <c r="CA10" s="210"/>
      <c r="CB10" s="208">
        <v>1948.5</v>
      </c>
      <c r="CC10" s="216">
        <f>CB10/CB12</f>
        <v>2.6800808714574895E-2</v>
      </c>
      <c r="CD10" s="208">
        <v>3587</v>
      </c>
      <c r="CE10" s="216">
        <f>CD10/CD12</f>
        <v>3.0199195137146608E-2</v>
      </c>
      <c r="CF10" s="222">
        <f>CB10-CD10</f>
        <v>-1638.5</v>
      </c>
      <c r="CG10" s="216"/>
      <c r="CH10" s="210"/>
      <c r="CI10" s="208">
        <f t="shared" si="22"/>
        <v>2168.5</v>
      </c>
      <c r="CJ10" s="216">
        <f>CI10/CI12</f>
        <v>2.669148763717006E-2</v>
      </c>
      <c r="CK10" s="208">
        <f t="shared" si="23"/>
        <v>3587</v>
      </c>
      <c r="CL10" s="216">
        <f>CK10/CK12</f>
        <v>3.0199195137146608E-2</v>
      </c>
      <c r="CM10" s="222">
        <f t="shared" si="13"/>
        <v>-1418.5</v>
      </c>
      <c r="CN10" s="216"/>
      <c r="CO10" s="210"/>
      <c r="CP10" s="208">
        <v>5148.5</v>
      </c>
      <c r="CQ10" s="216">
        <f>CP10/CP12</f>
        <v>2.3195541410112309E-2</v>
      </c>
      <c r="CR10" s="208">
        <v>7174</v>
      </c>
      <c r="CS10" s="216">
        <f>CR10/CR12</f>
        <v>3.0199195137146608E-2</v>
      </c>
      <c r="CT10" s="222">
        <f t="shared" si="14"/>
        <v>-2025.5</v>
      </c>
      <c r="CU10" s="223"/>
      <c r="CV10" s="210"/>
      <c r="CW10" s="208">
        <v>6141.5</v>
      </c>
      <c r="CX10" s="216">
        <f>CW10/CW12</f>
        <v>2.3560938430854161E-2</v>
      </c>
      <c r="CY10" s="208">
        <v>7174</v>
      </c>
      <c r="CZ10" s="216">
        <f>CY10/CY12</f>
        <v>3.0199195137146608E-2</v>
      </c>
      <c r="DA10" s="222">
        <f t="shared" si="15"/>
        <v>-1032.5</v>
      </c>
      <c r="DB10" s="216"/>
      <c r="DC10" s="210"/>
      <c r="DD10" s="208">
        <v>4322.5</v>
      </c>
      <c r="DE10" s="216">
        <f>DD10/DD12</f>
        <v>1.8997790410838371E-2</v>
      </c>
      <c r="DF10" s="208">
        <v>8198</v>
      </c>
      <c r="DG10" s="216">
        <f>DF10/DF12</f>
        <v>3.0196212765800708E-2</v>
      </c>
      <c r="DH10" s="222">
        <f t="shared" si="16"/>
        <v>-3875.5</v>
      </c>
      <c r="DI10" s="216"/>
      <c r="DJ10" s="210"/>
      <c r="DK10" s="208">
        <v>3045</v>
      </c>
      <c r="DL10" s="223">
        <f>DK10/DK12</f>
        <v>2.0485256367433247E-2</v>
      </c>
      <c r="DM10" s="208">
        <v>8198</v>
      </c>
      <c r="DN10" s="216">
        <f>DM10/DM12</f>
        <v>3.0196212765800708E-2</v>
      </c>
      <c r="DO10" s="222">
        <f t="shared" si="17"/>
        <v>-5153</v>
      </c>
      <c r="DP10" s="216"/>
      <c r="DQ10" s="210"/>
      <c r="DR10" s="208">
        <f t="shared" si="24"/>
        <v>18657.5</v>
      </c>
      <c r="DS10" s="216">
        <f>DR10/DR12</f>
        <v>2.1725202935461214E-2</v>
      </c>
      <c r="DT10" s="208">
        <f t="shared" si="18"/>
        <v>30744</v>
      </c>
      <c r="DU10" s="216">
        <f>DT10/DT12</f>
        <v>3.0197604543391869E-2</v>
      </c>
      <c r="DV10" s="222">
        <f t="shared" si="19"/>
        <v>-12086.5</v>
      </c>
      <c r="DW10" s="216"/>
      <c r="DX10" s="210"/>
      <c r="DY10" s="208">
        <f>X10+AZ10+CI10+DR10</f>
        <v>31418.55</v>
      </c>
      <c r="DZ10" s="212">
        <f>DY10/DY12</f>
        <v>2.6074075551900663E-2</v>
      </c>
      <c r="EA10" s="208">
        <f t="shared" si="25"/>
        <v>87306.239765693259</v>
      </c>
      <c r="EB10" s="212">
        <f>EA10/EA12</f>
        <v>3.0197417186262478E-2</v>
      </c>
      <c r="EC10" s="212">
        <f t="shared" si="20"/>
        <v>-55887.689765693256</v>
      </c>
      <c r="ED10" s="212"/>
      <c r="EE10" s="210"/>
      <c r="EF10" s="210"/>
      <c r="EG10" s="210"/>
    </row>
    <row r="11" spans="1:137">
      <c r="A11" s="217" t="s">
        <v>31</v>
      </c>
      <c r="B11" s="217"/>
      <c r="C11" s="208"/>
      <c r="D11" s="212"/>
      <c r="E11" s="208">
        <v>19103</v>
      </c>
      <c r="F11" s="212"/>
      <c r="G11" s="212">
        <f t="shared" si="0"/>
        <v>-19103</v>
      </c>
      <c r="H11" s="212"/>
      <c r="I11" s="210"/>
      <c r="J11" s="218">
        <v>13236</v>
      </c>
      <c r="K11" s="212">
        <f>+J11/J12</f>
        <v>9.2208981946239291E-2</v>
      </c>
      <c r="L11" s="219">
        <v>19245.982760891649</v>
      </c>
      <c r="M11" s="212">
        <f>+L11/L12</f>
        <v>7.5700668452100273E-2</v>
      </c>
      <c r="N11" s="212">
        <f t="shared" si="1"/>
        <v>-6009.9827608916494</v>
      </c>
      <c r="O11" s="212"/>
      <c r="P11" s="210"/>
      <c r="Q11" s="208">
        <v>10704.8</v>
      </c>
      <c r="R11" s="212">
        <f>+Q11/Q12</f>
        <v>8.8184534425562372E-2</v>
      </c>
      <c r="S11" s="219">
        <v>22166.030216896921</v>
      </c>
      <c r="T11" s="212">
        <f>+S11/S12</f>
        <v>7.5700668452100273E-2</v>
      </c>
      <c r="U11" s="212">
        <f t="shared" si="2"/>
        <v>-11461.230216896922</v>
      </c>
      <c r="V11" s="212"/>
      <c r="W11" s="210"/>
      <c r="X11" s="208">
        <f t="shared" si="21"/>
        <v>23940.799999999999</v>
      </c>
      <c r="Y11" s="212">
        <f>+X11/X12</f>
        <v>9.0365011112184757E-2</v>
      </c>
      <c r="Z11" s="218">
        <f>E11+L11+S11</f>
        <v>60515.012977788574</v>
      </c>
      <c r="AA11" s="212">
        <f>+Z11/Z12</f>
        <v>7.5701156972612663E-2</v>
      </c>
      <c r="AB11" s="212">
        <f t="shared" si="4"/>
        <v>-36574.212977788571</v>
      </c>
      <c r="AC11" s="212"/>
      <c r="AD11" s="210"/>
      <c r="AE11" s="208">
        <v>0</v>
      </c>
      <c r="AF11" s="212" t="e">
        <f>+AE11/AE12</f>
        <v>#DIV/0!</v>
      </c>
      <c r="AG11" s="218">
        <v>23863.968049628864</v>
      </c>
      <c r="AH11" s="212">
        <f>+AG11/AG12</f>
        <v>7.5700668452100259E-2</v>
      </c>
      <c r="AI11" s="220">
        <f>AE11-AG11</f>
        <v>-23863.968049628864</v>
      </c>
      <c r="AJ11" s="221"/>
      <c r="AK11" s="210"/>
      <c r="AL11" s="208">
        <v>0</v>
      </c>
      <c r="AM11" s="212" t="e">
        <f>+AL11/AL12</f>
        <v>#DIV/0!</v>
      </c>
      <c r="AN11" s="218">
        <v>23956.739975823599</v>
      </c>
      <c r="AO11" s="212">
        <f>+AN11/AN12</f>
        <v>7.5700668452100259E-2</v>
      </c>
      <c r="AP11" s="220"/>
      <c r="AQ11" s="221"/>
      <c r="AR11" s="210"/>
      <c r="AS11" s="208">
        <v>0</v>
      </c>
      <c r="AT11" s="212" t="e">
        <f>+AS11/AS12</f>
        <v>#DIV/0!</v>
      </c>
      <c r="AU11" s="218">
        <v>24467.13613852418</v>
      </c>
      <c r="AV11" s="212">
        <f>+AU11/AU12</f>
        <v>7.5700668452100273E-2</v>
      </c>
      <c r="AW11" s="220"/>
      <c r="AX11" s="221"/>
      <c r="AY11" s="210"/>
      <c r="AZ11" s="208">
        <f t="shared" si="8"/>
        <v>0</v>
      </c>
      <c r="BA11" s="212" t="e">
        <f>+AZ11/AZ12</f>
        <v>#DIV/0!</v>
      </c>
      <c r="BB11" s="218">
        <f t="shared" si="9"/>
        <v>72287.844163976639</v>
      </c>
      <c r="BC11" s="212">
        <f>+BB11/BB12</f>
        <v>7.5700668452100259E-2</v>
      </c>
      <c r="BD11" s="220">
        <f t="shared" si="10"/>
        <v>-72287.844163976639</v>
      </c>
      <c r="BE11" s="212"/>
      <c r="BF11" s="210"/>
      <c r="BG11" s="208">
        <v>0</v>
      </c>
      <c r="BH11" s="212" t="e">
        <f>+BG11/BG12</f>
        <v>#DIV/0!</v>
      </c>
      <c r="BI11" s="208">
        <v>0</v>
      </c>
      <c r="BJ11" s="212" t="e">
        <f>+BI11/BI12</f>
        <v>#DIV/0!</v>
      </c>
      <c r="BK11" s="220"/>
      <c r="BL11" s="212"/>
      <c r="BM11" s="210"/>
      <c r="BN11" s="208">
        <v>0</v>
      </c>
      <c r="BO11" s="216" t="e">
        <f>+BN11/BN12</f>
        <v>#DIV/0!</v>
      </c>
      <c r="BP11" s="208">
        <v>0</v>
      </c>
      <c r="BQ11" s="216" t="e">
        <f>+BP11/BP12</f>
        <v>#DIV/0!</v>
      </c>
      <c r="BR11" s="222">
        <f t="shared" si="12"/>
        <v>0</v>
      </c>
      <c r="BS11" s="216"/>
      <c r="BT11" s="210"/>
      <c r="BU11" s="208">
        <v>404.5</v>
      </c>
      <c r="BV11" s="216">
        <f>+BU11/BU12</f>
        <v>4.7364784955679674E-2</v>
      </c>
      <c r="BW11" s="208">
        <v>0</v>
      </c>
      <c r="BX11" s="216" t="e">
        <f>+BW11/BW12</f>
        <v>#DIV/0!</v>
      </c>
      <c r="BY11" s="222">
        <f>BU11-BW11</f>
        <v>404.5</v>
      </c>
      <c r="BZ11" s="216"/>
      <c r="CA11" s="210"/>
      <c r="CB11" s="208">
        <v>4223.5</v>
      </c>
      <c r="CC11" s="216">
        <f>+CB11/CB12</f>
        <v>5.8092489405187103E-2</v>
      </c>
      <c r="CD11" s="208">
        <v>8992</v>
      </c>
      <c r="CE11" s="216">
        <f>+CD11/CD12</f>
        <v>7.5704254996716569E-2</v>
      </c>
      <c r="CF11" s="222">
        <f>CB11-CD11</f>
        <v>-4768.5</v>
      </c>
      <c r="CG11" s="216"/>
      <c r="CH11" s="210"/>
      <c r="CI11" s="208">
        <f t="shared" si="22"/>
        <v>4628</v>
      </c>
      <c r="CJ11" s="216">
        <f>+CI11/CI12</f>
        <v>5.6964816594338497E-2</v>
      </c>
      <c r="CK11" s="208">
        <f t="shared" si="23"/>
        <v>8992</v>
      </c>
      <c r="CL11" s="216">
        <f>+CK11/CK12</f>
        <v>7.5704254996716569E-2</v>
      </c>
      <c r="CM11" s="222">
        <f t="shared" si="13"/>
        <v>-4364</v>
      </c>
      <c r="CN11" s="216"/>
      <c r="CO11" s="210"/>
      <c r="CP11" s="208">
        <v>13832.5</v>
      </c>
      <c r="CQ11" s="216">
        <f>+CP11/CP12</f>
        <v>6.2319573964334955E-2</v>
      </c>
      <c r="CR11" s="208">
        <v>17983</v>
      </c>
      <c r="CS11" s="216">
        <f>+CR11/CR12</f>
        <v>7.5700045462964521E-2</v>
      </c>
      <c r="CT11" s="222">
        <f t="shared" si="14"/>
        <v>-4150.5</v>
      </c>
      <c r="CU11" s="223"/>
      <c r="CV11" s="210"/>
      <c r="CW11" s="208">
        <v>14313</v>
      </c>
      <c r="CX11" s="216">
        <f>+CW11/CW12</f>
        <v>5.4909665677898824E-2</v>
      </c>
      <c r="CY11" s="208">
        <v>17983</v>
      </c>
      <c r="CZ11" s="216">
        <f>+CY11/CY12</f>
        <v>7.5700045462964521E-2</v>
      </c>
      <c r="DA11" s="222">
        <f t="shared" si="15"/>
        <v>-3670</v>
      </c>
      <c r="DB11" s="216"/>
      <c r="DC11" s="210"/>
      <c r="DD11" s="208">
        <v>9828</v>
      </c>
      <c r="DE11" s="216">
        <f>+DD11/DD12</f>
        <v>4.3194976092011457E-2</v>
      </c>
      <c r="DF11" s="208">
        <v>20552</v>
      </c>
      <c r="DG11" s="216">
        <f>+DF11/DF12</f>
        <v>7.5700483625608217E-2</v>
      </c>
      <c r="DH11" s="222">
        <f t="shared" si="16"/>
        <v>-10724</v>
      </c>
      <c r="DI11" s="216"/>
      <c r="DJ11" s="210"/>
      <c r="DK11" s="208">
        <v>5662</v>
      </c>
      <c r="DL11" s="223">
        <f>+DK11/DK12</f>
        <v>3.80911400828923E-2</v>
      </c>
      <c r="DM11" s="208">
        <v>20552</v>
      </c>
      <c r="DN11" s="216">
        <f>+DM11/DM12</f>
        <v>7.5700483625608217E-2</v>
      </c>
      <c r="DO11" s="222">
        <f t="shared" si="17"/>
        <v>-14890</v>
      </c>
      <c r="DP11" s="216"/>
      <c r="DQ11" s="210"/>
      <c r="DR11" s="208">
        <f t="shared" si="24"/>
        <v>43635.5</v>
      </c>
      <c r="DS11" s="216">
        <f>+DR11/DR12</f>
        <v>5.0810134942533447E-2</v>
      </c>
      <c r="DT11" s="208">
        <f t="shared" si="18"/>
        <v>77070</v>
      </c>
      <c r="DU11" s="216">
        <f>+DT11/DT12</f>
        <v>7.5700279149076607E-2</v>
      </c>
      <c r="DV11" s="222">
        <f t="shared" si="19"/>
        <v>-33434.5</v>
      </c>
      <c r="DW11" s="216"/>
      <c r="DX11" s="210"/>
      <c r="DY11" s="208">
        <f>X11+AZ11+CI11+DR11</f>
        <v>72204.3</v>
      </c>
      <c r="DZ11" s="212">
        <f>+DY11/DY12</f>
        <v>5.992193698856571E-2</v>
      </c>
      <c r="EA11" s="208">
        <f t="shared" si="25"/>
        <v>218864.85714176521</v>
      </c>
      <c r="EB11" s="212">
        <f>+EA11/EA12</f>
        <v>7.5700813782140122E-2</v>
      </c>
      <c r="EC11" s="212"/>
      <c r="ED11" s="212"/>
      <c r="EE11" s="210"/>
      <c r="EF11" s="210"/>
      <c r="EG11" s="210"/>
    </row>
    <row r="12" spans="1:137" ht="17.100000000000001" thickBot="1">
      <c r="A12" s="4" t="s">
        <v>32</v>
      </c>
      <c r="B12" s="3"/>
      <c r="C12" s="66">
        <f>SUM(C7:C11)</f>
        <v>0</v>
      </c>
      <c r="D12" s="31"/>
      <c r="E12" s="18">
        <f>SUM(E7:E11)</f>
        <v>252344</v>
      </c>
      <c r="F12" s="31"/>
      <c r="G12" s="34">
        <f>SUM(G7:G11)</f>
        <v>-252344</v>
      </c>
      <c r="H12" s="31">
        <f>G12/E12</f>
        <v>-1</v>
      </c>
      <c r="I12" s="210"/>
      <c r="J12" s="18">
        <f>SUM(J7:J11)</f>
        <v>143543.5</v>
      </c>
      <c r="K12" s="31"/>
      <c r="L12" s="18">
        <f>SUM(L7:L11)</f>
        <v>254237.95000000004</v>
      </c>
      <c r="M12" s="31"/>
      <c r="N12" s="34">
        <f>SUM(N7:N11)</f>
        <v>-110694.45000000006</v>
      </c>
      <c r="O12" s="31">
        <f>N12/L12</f>
        <v>-0.43539703651638173</v>
      </c>
      <c r="P12" s="210"/>
      <c r="Q12" s="66">
        <f>SUM(Q7:Q11)</f>
        <v>121390.90000000001</v>
      </c>
      <c r="R12" s="31"/>
      <c r="S12" s="18">
        <f>SUM(S7:S11)</f>
        <v>292811.55200000003</v>
      </c>
      <c r="T12" s="31"/>
      <c r="U12" s="34">
        <f>SUM(U7:U11)</f>
        <v>-171420.65200000006</v>
      </c>
      <c r="V12" s="31">
        <f>U12/S12</f>
        <v>-0.58542994915719737</v>
      </c>
      <c r="W12" s="210"/>
      <c r="X12" s="66">
        <f>SUM(X7:X11)</f>
        <v>264934.39999999997</v>
      </c>
      <c r="Y12" s="31"/>
      <c r="Z12" s="18">
        <f>SUM(Z7:Z11)</f>
        <v>799393.50200000021</v>
      </c>
      <c r="AA12" s="31"/>
      <c r="AB12" s="34">
        <f>SUM(AB7:AB11)</f>
        <v>-534459.10200000007</v>
      </c>
      <c r="AC12" s="31">
        <f>AB12/Z12</f>
        <v>-0.66858074360479347</v>
      </c>
      <c r="AD12" s="210"/>
      <c r="AE12" s="66">
        <f>SUM(AE7:AE11)</f>
        <v>0</v>
      </c>
      <c r="AF12" s="31"/>
      <c r="AG12" s="18">
        <f>SUM(AG7:AG11)</f>
        <v>315241.18000000005</v>
      </c>
      <c r="AH12" s="31"/>
      <c r="AI12" s="18">
        <f>SUM(AI7:AI11)</f>
        <v>-315241.18000000005</v>
      </c>
      <c r="AJ12" s="19">
        <f>AI12/AG12</f>
        <v>-1</v>
      </c>
      <c r="AK12" s="210"/>
      <c r="AL12" s="66">
        <f>SUM(AL7:AL11)</f>
        <v>0</v>
      </c>
      <c r="AM12" s="31"/>
      <c r="AN12" s="18">
        <f>SUM(AN7:AN11)</f>
        <v>316466.69000000006</v>
      </c>
      <c r="AO12" s="31"/>
      <c r="AP12" s="18">
        <f>SUM(AP7:AP10)</f>
        <v>-292509.95002417645</v>
      </c>
      <c r="AQ12" s="19">
        <f>AP12/AN12</f>
        <v>-0.92429933154789967</v>
      </c>
      <c r="AR12" s="210"/>
      <c r="AS12" s="66">
        <f>SUM(AS7:AS11)</f>
        <v>0</v>
      </c>
      <c r="AT12" s="31"/>
      <c r="AU12" s="18">
        <f>SUM(AU7:AU11)</f>
        <v>323208.984</v>
      </c>
      <c r="AV12" s="31"/>
      <c r="AW12" s="18">
        <f>SUM(AW7:AW10)</f>
        <v>-298741.84786147584</v>
      </c>
      <c r="AX12" s="19">
        <f>AW12/AU12</f>
        <v>-0.92429933154789978</v>
      </c>
      <c r="AY12" s="210"/>
      <c r="AZ12" s="18">
        <f>SUM(AZ7:AZ11)</f>
        <v>0</v>
      </c>
      <c r="BA12" s="31"/>
      <c r="BB12" s="18">
        <f>SUM(BB7:BB11)</f>
        <v>954916.85400000017</v>
      </c>
      <c r="BC12" s="31"/>
      <c r="BD12" s="18">
        <f>SUM(BD7:BD11)</f>
        <v>-954916.85400000017</v>
      </c>
      <c r="BE12" s="19">
        <f>BD12/BB12</f>
        <v>-1</v>
      </c>
      <c r="BF12" s="210"/>
      <c r="BG12" s="66">
        <f>SUM(BG7:BG11)</f>
        <v>0</v>
      </c>
      <c r="BH12" s="31"/>
      <c r="BI12" s="66">
        <f>SUM(BI7:BI11)</f>
        <v>0</v>
      </c>
      <c r="BJ12" s="31"/>
      <c r="BK12" s="18">
        <f>SUM(BK7:BK10)</f>
        <v>0</v>
      </c>
      <c r="BL12" s="19" t="e">
        <f>BK12/BI12</f>
        <v>#DIV/0!</v>
      </c>
      <c r="BM12" s="210"/>
      <c r="BN12" s="66">
        <f>SUM(BN7:BN11)</f>
        <v>0</v>
      </c>
      <c r="BO12" s="40"/>
      <c r="BP12" s="66">
        <f>SUM(BP7:BP11)</f>
        <v>0</v>
      </c>
      <c r="BQ12" s="40"/>
      <c r="BR12" s="66">
        <f>SUM(BR7:BR11)</f>
        <v>0</v>
      </c>
      <c r="BS12" s="40" t="e">
        <f>BR12/BP12</f>
        <v>#DIV/0!</v>
      </c>
      <c r="BT12" s="210"/>
      <c r="BU12" s="66">
        <f>SUM(BU7:BU11)</f>
        <v>8540.1</v>
      </c>
      <c r="BV12" s="40"/>
      <c r="BW12" s="66">
        <f>SUM(BW7:BW11)</f>
        <v>0</v>
      </c>
      <c r="BX12" s="40"/>
      <c r="BY12" s="66">
        <f>SUM(BY7:BY11)</f>
        <v>8540.1</v>
      </c>
      <c r="BZ12" s="40" t="e">
        <f>BY12/BW12</f>
        <v>#DIV/0!</v>
      </c>
      <c r="CA12" s="210"/>
      <c r="CB12" s="66">
        <f>SUM(CB7:CB11)</f>
        <v>72703.03</v>
      </c>
      <c r="CC12" s="40"/>
      <c r="CD12" s="66">
        <f>SUM(CD7:CD11)</f>
        <v>118778</v>
      </c>
      <c r="CE12" s="40"/>
      <c r="CF12" s="66">
        <f>SUM(CF7:CF11)</f>
        <v>-46074.97</v>
      </c>
      <c r="CG12" s="40">
        <f>CF12/CD12</f>
        <v>-0.38790828267861055</v>
      </c>
      <c r="CH12" s="210"/>
      <c r="CI12" s="66">
        <f>SUM(CI7:CI11)</f>
        <v>81243.13</v>
      </c>
      <c r="CJ12" s="40"/>
      <c r="CK12" s="66">
        <f>SUM(CK7:CK11)</f>
        <v>118778</v>
      </c>
      <c r="CL12" s="40"/>
      <c r="CM12" s="66">
        <f>SUM(CM7:CM11)</f>
        <v>-37534.870000000003</v>
      </c>
      <c r="CN12" s="40">
        <f>CM12/CK12</f>
        <v>-0.31600860428698918</v>
      </c>
      <c r="CO12" s="210"/>
      <c r="CP12" s="66">
        <f>SUM(CP7:CP11)</f>
        <v>221960.76</v>
      </c>
      <c r="CQ12" s="40"/>
      <c r="CR12" s="66">
        <f>SUM(CR7:CR11)</f>
        <v>237556</v>
      </c>
      <c r="CS12" s="40"/>
      <c r="CT12" s="66">
        <f>SUM(CT7:CT11)</f>
        <v>-15595.239999999991</v>
      </c>
      <c r="CU12" s="40">
        <f>CT12/CR12</f>
        <v>-6.5648689151189571E-2</v>
      </c>
      <c r="CV12" s="210"/>
      <c r="CW12" s="66">
        <f>SUM(CW7:CW11)</f>
        <v>260664.49</v>
      </c>
      <c r="CX12" s="40"/>
      <c r="CY12" s="66">
        <f>SUM(CY7:CY11)</f>
        <v>237556</v>
      </c>
      <c r="CZ12" s="40"/>
      <c r="DA12" s="66">
        <f>SUM(DA7:DA11)</f>
        <v>23108.489999999991</v>
      </c>
      <c r="DB12" s="40">
        <f>DA12/CY12</f>
        <v>9.7275968613716304E-2</v>
      </c>
      <c r="DC12" s="210"/>
      <c r="DD12" s="66">
        <f>SUM(DD7:DD11)</f>
        <v>227526.46</v>
      </c>
      <c r="DE12" s="40"/>
      <c r="DF12" s="66">
        <f>SUM(DF7:DF11)</f>
        <v>271491</v>
      </c>
      <c r="DG12" s="40"/>
      <c r="DH12" s="66">
        <f>SUM(DH7:DH11)</f>
        <v>-43964.540000000008</v>
      </c>
      <c r="DI12" s="40">
        <f>DH12/DF12</f>
        <v>-0.16193737545627668</v>
      </c>
      <c r="DJ12" s="210"/>
      <c r="DK12" s="66">
        <f>SUM(DK7:DK11)</f>
        <v>148643.49</v>
      </c>
      <c r="DL12" s="42"/>
      <c r="DM12" s="66">
        <f>SUM(DM7:DM11)</f>
        <v>271491</v>
      </c>
      <c r="DN12" s="40"/>
      <c r="DO12" s="66">
        <f>SUM(DO7:DO11)</f>
        <v>-122847.51</v>
      </c>
      <c r="DP12" s="40">
        <f>DO12/DM12</f>
        <v>-0.45249201630993291</v>
      </c>
      <c r="DQ12" s="210"/>
      <c r="DR12" s="66">
        <f>SUM(DR7:DR11)</f>
        <v>858795.2</v>
      </c>
      <c r="DS12" s="40"/>
      <c r="DT12" s="66">
        <f>SUM(DT7:DT11)</f>
        <v>1018094</v>
      </c>
      <c r="DU12" s="40"/>
      <c r="DV12" s="66">
        <f>SUM(DV7:DV11)</f>
        <v>-159298.80000000005</v>
      </c>
      <c r="DW12" s="40">
        <f>DV12/DT12</f>
        <v>-0.15646767390830321</v>
      </c>
      <c r="DX12" s="210"/>
      <c r="DY12" s="66">
        <f>SUM(DY7:DY11)</f>
        <v>1204972.73</v>
      </c>
      <c r="DZ12" s="31"/>
      <c r="EA12" s="66">
        <f>SUM(EA7:EA11)</f>
        <v>2891182.3560000006</v>
      </c>
      <c r="EB12" s="31"/>
      <c r="EC12" s="34">
        <f>SUM(EC7:EC10)</f>
        <v>-1539549.0688582351</v>
      </c>
      <c r="ED12" s="31">
        <f>EC12/EA12</f>
        <v>-0.53249808531213749</v>
      </c>
      <c r="EE12" s="224"/>
      <c r="EF12" s="224">
        <v>1204973</v>
      </c>
      <c r="EG12" s="225">
        <v>2891182</v>
      </c>
    </row>
    <row r="13" spans="1:137" ht="17.100000000000001" thickTop="1">
      <c r="A13" s="210"/>
      <c r="B13" s="210"/>
      <c r="C13" s="208"/>
      <c r="D13" s="212"/>
      <c r="E13" s="218"/>
      <c r="F13" s="212"/>
      <c r="G13" s="212"/>
      <c r="H13" s="212"/>
      <c r="I13" s="210"/>
      <c r="J13" s="218"/>
      <c r="K13" s="212"/>
      <c r="L13" s="218"/>
      <c r="M13" s="212"/>
      <c r="N13" s="212"/>
      <c r="O13" s="212"/>
      <c r="P13" s="210"/>
      <c r="Q13" s="208"/>
      <c r="R13" s="212"/>
      <c r="S13" s="218"/>
      <c r="T13" s="212"/>
      <c r="U13" s="212"/>
      <c r="V13" s="212"/>
      <c r="W13" s="210"/>
      <c r="X13" s="208"/>
      <c r="Y13" s="212"/>
      <c r="Z13" s="218"/>
      <c r="AA13" s="212"/>
      <c r="AB13" s="212"/>
      <c r="AC13" s="212"/>
      <c r="AD13" s="210"/>
      <c r="AE13" s="208"/>
      <c r="AF13" s="212"/>
      <c r="AG13" s="218"/>
      <c r="AH13" s="212"/>
      <c r="AI13" s="220"/>
      <c r="AJ13" s="220"/>
      <c r="AK13" s="210"/>
      <c r="AL13" s="208"/>
      <c r="AM13" s="212"/>
      <c r="AN13" s="218"/>
      <c r="AO13" s="212"/>
      <c r="AP13" s="220"/>
      <c r="AQ13" s="220"/>
      <c r="AR13" s="210"/>
      <c r="AS13" s="208"/>
      <c r="AT13" s="212"/>
      <c r="AU13" s="218"/>
      <c r="AV13" s="212"/>
      <c r="AW13" s="220"/>
      <c r="AX13" s="220"/>
      <c r="AY13" s="210"/>
      <c r="AZ13" s="208"/>
      <c r="BA13" s="212"/>
      <c r="BB13" s="218"/>
      <c r="BC13" s="212"/>
      <c r="BD13" s="220"/>
      <c r="BE13" s="212"/>
      <c r="BF13" s="210"/>
      <c r="BG13" s="208"/>
      <c r="BH13" s="212"/>
      <c r="BI13" s="208"/>
      <c r="BJ13" s="212"/>
      <c r="BK13" s="220"/>
      <c r="BL13" s="212"/>
      <c r="BM13" s="210"/>
      <c r="BN13" s="208"/>
      <c r="BO13" s="216"/>
      <c r="BP13" s="208"/>
      <c r="BQ13" s="216"/>
      <c r="BR13" s="222"/>
      <c r="BS13" s="216"/>
      <c r="BT13" s="210"/>
      <c r="BU13" s="208"/>
      <c r="BV13" s="216"/>
      <c r="BW13" s="208"/>
      <c r="BX13" s="216"/>
      <c r="BY13" s="222"/>
      <c r="BZ13" s="213"/>
      <c r="CA13" s="210"/>
      <c r="CB13" s="208"/>
      <c r="CC13" s="216"/>
      <c r="CD13" s="208"/>
      <c r="CE13" s="216"/>
      <c r="CF13" s="222"/>
      <c r="CG13" s="213"/>
      <c r="CH13" s="210"/>
      <c r="CI13" s="208"/>
      <c r="CJ13" s="216"/>
      <c r="CK13" s="208"/>
      <c r="CL13" s="216"/>
      <c r="CM13" s="222"/>
      <c r="CN13" s="213"/>
      <c r="CO13" s="210"/>
      <c r="CP13" s="208"/>
      <c r="CQ13" s="216"/>
      <c r="CR13" s="208"/>
      <c r="CS13" s="216"/>
      <c r="CT13" s="222"/>
      <c r="CU13" s="222"/>
      <c r="CV13" s="210"/>
      <c r="CW13" s="208"/>
      <c r="CX13" s="216"/>
      <c r="CY13" s="208"/>
      <c r="CZ13" s="216"/>
      <c r="DA13" s="222"/>
      <c r="DB13" s="213"/>
      <c r="DC13" s="210"/>
      <c r="DD13" s="208"/>
      <c r="DE13" s="216"/>
      <c r="DF13" s="208"/>
      <c r="DG13" s="216"/>
      <c r="DH13" s="222"/>
      <c r="DI13" s="213"/>
      <c r="DJ13" s="210"/>
      <c r="DK13" s="208"/>
      <c r="DL13" s="223"/>
      <c r="DM13" s="208"/>
      <c r="DN13" s="216"/>
      <c r="DO13" s="222"/>
      <c r="DP13" s="213"/>
      <c r="DQ13" s="210"/>
      <c r="DR13" s="208"/>
      <c r="DS13" s="216"/>
      <c r="DT13" s="208"/>
      <c r="DU13" s="216"/>
      <c r="DV13" s="222"/>
      <c r="DW13" s="213"/>
      <c r="DX13" s="210"/>
      <c r="DY13" s="208"/>
      <c r="DZ13" s="212"/>
      <c r="EA13" s="208"/>
      <c r="EB13" s="212"/>
      <c r="EC13" s="212"/>
      <c r="ED13" s="212"/>
      <c r="EE13" s="210"/>
      <c r="EF13" s="210"/>
      <c r="EG13" s="210"/>
    </row>
    <row r="14" spans="1:137">
      <c r="A14" s="5" t="s">
        <v>33</v>
      </c>
      <c r="B14" s="5"/>
      <c r="C14" s="208"/>
      <c r="D14" s="212"/>
      <c r="E14" s="218"/>
      <c r="F14" s="212"/>
      <c r="G14" s="212"/>
      <c r="H14" s="212"/>
      <c r="I14" s="210"/>
      <c r="J14" s="218"/>
      <c r="K14" s="212"/>
      <c r="L14" s="218"/>
      <c r="M14" s="212"/>
      <c r="N14" s="212"/>
      <c r="O14" s="212"/>
      <c r="P14" s="210"/>
      <c r="Q14" s="208"/>
      <c r="R14" s="212"/>
      <c r="S14" s="218"/>
      <c r="T14" s="212"/>
      <c r="U14" s="212"/>
      <c r="V14" s="212"/>
      <c r="W14" s="210"/>
      <c r="X14" s="208"/>
      <c r="Y14" s="212"/>
      <c r="Z14" s="218"/>
      <c r="AA14" s="212"/>
      <c r="AB14" s="212"/>
      <c r="AC14" s="212"/>
      <c r="AD14" s="210"/>
      <c r="AE14" s="208"/>
      <c r="AF14" s="212"/>
      <c r="AG14" s="218"/>
      <c r="AH14" s="212"/>
      <c r="AI14" s="220"/>
      <c r="AJ14" s="220"/>
      <c r="AK14" s="210"/>
      <c r="AL14" s="208"/>
      <c r="AM14" s="212"/>
      <c r="AN14" s="218"/>
      <c r="AO14" s="212"/>
      <c r="AP14" s="220"/>
      <c r="AQ14" s="220"/>
      <c r="AR14" s="210"/>
      <c r="AS14" s="208"/>
      <c r="AT14" s="212"/>
      <c r="AU14" s="218"/>
      <c r="AV14" s="212"/>
      <c r="AW14" s="220"/>
      <c r="AX14" s="220"/>
      <c r="AY14" s="210"/>
      <c r="AZ14" s="208"/>
      <c r="BA14" s="212"/>
      <c r="BB14" s="218"/>
      <c r="BC14" s="212"/>
      <c r="BD14" s="220"/>
      <c r="BE14" s="212"/>
      <c r="BF14" s="210"/>
      <c r="BG14" s="208"/>
      <c r="BH14" s="212"/>
      <c r="BI14" s="208"/>
      <c r="BJ14" s="212"/>
      <c r="BK14" s="220"/>
      <c r="BL14" s="212"/>
      <c r="BM14" s="210"/>
      <c r="BN14" s="208"/>
      <c r="BO14" s="216"/>
      <c r="BP14" s="208"/>
      <c r="BQ14" s="216"/>
      <c r="BR14" s="222"/>
      <c r="BS14" s="216"/>
      <c r="BT14" s="210"/>
      <c r="BU14" s="208"/>
      <c r="BV14" s="216"/>
      <c r="BW14" s="208"/>
      <c r="BX14" s="216"/>
      <c r="BY14" s="222"/>
      <c r="BZ14" s="213"/>
      <c r="CA14" s="210"/>
      <c r="CB14" s="208"/>
      <c r="CC14" s="216"/>
      <c r="CD14" s="208"/>
      <c r="CE14" s="216"/>
      <c r="CF14" s="222"/>
      <c r="CG14" s="213"/>
      <c r="CH14" s="210"/>
      <c r="CI14" s="208"/>
      <c r="CJ14" s="216"/>
      <c r="CK14" s="208"/>
      <c r="CL14" s="216"/>
      <c r="CM14" s="222"/>
      <c r="CN14" s="213"/>
      <c r="CO14" s="210"/>
      <c r="CP14" s="208"/>
      <c r="CQ14" s="216"/>
      <c r="CR14" s="208"/>
      <c r="CS14" s="216"/>
      <c r="CT14" s="222"/>
      <c r="CU14" s="222"/>
      <c r="CV14" s="210"/>
      <c r="CW14" s="208"/>
      <c r="CX14" s="216"/>
      <c r="CY14" s="208"/>
      <c r="CZ14" s="216"/>
      <c r="DA14" s="222"/>
      <c r="DB14" s="213"/>
      <c r="DC14" s="210"/>
      <c r="DD14" s="208"/>
      <c r="DE14" s="216"/>
      <c r="DF14" s="208"/>
      <c r="DG14" s="216"/>
      <c r="DH14" s="222"/>
      <c r="DI14" s="213"/>
      <c r="DJ14" s="210"/>
      <c r="DK14" s="208"/>
      <c r="DL14" s="223"/>
      <c r="DM14" s="208"/>
      <c r="DN14" s="216"/>
      <c r="DO14" s="222"/>
      <c r="DP14" s="213"/>
      <c r="DQ14" s="210"/>
      <c r="DR14" s="208"/>
      <c r="DS14" s="216"/>
      <c r="DT14" s="208"/>
      <c r="DU14" s="216"/>
      <c r="DV14" s="222"/>
      <c r="DW14" s="213"/>
      <c r="DX14" s="210"/>
      <c r="DY14" s="208"/>
      <c r="DZ14" s="212"/>
      <c r="EA14" s="208"/>
      <c r="EB14" s="212"/>
      <c r="EC14" s="212"/>
      <c r="ED14" s="212"/>
      <c r="EE14" s="210"/>
      <c r="EF14" s="210"/>
      <c r="EG14" s="210"/>
    </row>
    <row r="15" spans="1:137">
      <c r="A15" s="217" t="s">
        <v>34</v>
      </c>
      <c r="B15" s="217"/>
      <c r="C15" s="208"/>
      <c r="D15" s="212" t="e">
        <f t="shared" ref="D15:D20" si="26">C15/C7</f>
        <v>#DIV/0!</v>
      </c>
      <c r="E15" s="218">
        <v>45275</v>
      </c>
      <c r="F15" s="212">
        <f t="shared" ref="F15:F20" si="27">E15/E7</f>
        <v>0.28000247379325272</v>
      </c>
      <c r="G15" s="212">
        <f t="shared" ref="G15:G22" si="28">E15-C15</f>
        <v>45275</v>
      </c>
      <c r="H15" s="212"/>
      <c r="I15" s="210"/>
      <c r="J15" s="218">
        <f>24513.51+48</f>
        <v>24561.51</v>
      </c>
      <c r="K15" s="212">
        <f t="shared" ref="K15:K20" si="29">J15/J7</f>
        <v>0.26767704178382262</v>
      </c>
      <c r="L15" s="222">
        <v>45614.625285813498</v>
      </c>
      <c r="M15" s="212">
        <f t="shared" ref="M15:M20" si="30">L15/L7</f>
        <v>0.28000000000000003</v>
      </c>
      <c r="N15" s="212">
        <f t="shared" ref="N15:N22" si="31">L15-J15</f>
        <v>21053.115285813499</v>
      </c>
      <c r="O15" s="212"/>
      <c r="P15" s="210"/>
      <c r="Q15" s="208">
        <v>13812.9</v>
      </c>
      <c r="R15" s="212">
        <f t="shared" ref="R15:R20" si="32">Q15/Q7</f>
        <v>0.18362160037360015</v>
      </c>
      <c r="S15" s="222">
        <v>52535.387513301976</v>
      </c>
      <c r="T15" s="212">
        <f>S15/S7</f>
        <v>0.28000000000000003</v>
      </c>
      <c r="U15" s="212">
        <f t="shared" ref="U15:U22" si="33">S15-Q15</f>
        <v>38722.487513301974</v>
      </c>
      <c r="V15" s="212"/>
      <c r="W15" s="210"/>
      <c r="X15" s="208">
        <f>C15+J15+Q15</f>
        <v>38374.409999999996</v>
      </c>
      <c r="Y15" s="212">
        <f t="shared" ref="Y15:Y20" si="34">X15/X7</f>
        <v>0.22981054157610592</v>
      </c>
      <c r="Z15" s="218">
        <f t="shared" ref="Z15:Z21" si="35">E15+L15+S15</f>
        <v>143425.01279911547</v>
      </c>
      <c r="AA15" s="212">
        <f t="shared" ref="AA15:AA20" si="36">Z15/Z7</f>
        <v>0.28000078089804681</v>
      </c>
      <c r="AB15" s="212">
        <f t="shared" ref="AB15:AB22" si="37">Z15-X15</f>
        <v>105050.60279911547</v>
      </c>
      <c r="AC15" s="212"/>
      <c r="AD15" s="210"/>
      <c r="AE15" s="208">
        <v>68.28</v>
      </c>
      <c r="AF15" s="212" t="e">
        <f t="shared" ref="AF15:AF20" si="38">AE15/AE7</f>
        <v>#DIV/0!</v>
      </c>
      <c r="AG15" s="218">
        <v>56559.64540446335</v>
      </c>
      <c r="AH15" s="212">
        <f t="shared" ref="AH15:AH20" si="39">AG15/AG7</f>
        <v>0.28000000000000003</v>
      </c>
      <c r="AI15" s="220">
        <f t="shared" ref="AI15:AI22" si="40">AG15-AE15</f>
        <v>56491.365404463351</v>
      </c>
      <c r="AJ15" s="221"/>
      <c r="AK15" s="210"/>
      <c r="AL15" s="208">
        <v>-75.260000000000005</v>
      </c>
      <c r="AM15" s="212" t="e">
        <f t="shared" ref="AM15:AM20" si="41">AL15/AL7</f>
        <v>#DIV/0!</v>
      </c>
      <c r="AN15" s="218">
        <v>56779.52280448965</v>
      </c>
      <c r="AO15" s="212">
        <f t="shared" ref="AO15:AO20" si="42">AN15/AN7</f>
        <v>0.28000000000000003</v>
      </c>
      <c r="AP15" s="220">
        <f t="shared" ref="AP15:AP22" si="43">AN15-AL15</f>
        <v>56854.782804489652</v>
      </c>
      <c r="AQ15" s="221"/>
      <c r="AR15" s="210"/>
      <c r="AS15" s="208">
        <v>0</v>
      </c>
      <c r="AT15" s="212" t="e">
        <f t="shared" ref="AT15:AT20" si="44">AS15/AS7</f>
        <v>#DIV/0!</v>
      </c>
      <c r="AU15" s="208">
        <v>57989.205365164758</v>
      </c>
      <c r="AV15" s="212">
        <f t="shared" ref="AV15:AV20" si="45">AU15/AU7</f>
        <v>0.28000000000000003</v>
      </c>
      <c r="AW15" s="220">
        <f t="shared" ref="AW15:AW21" si="46">AU15-AS15</f>
        <v>57989.205365164758</v>
      </c>
      <c r="AX15" s="221"/>
      <c r="AY15" s="210"/>
      <c r="AZ15" s="208">
        <f t="shared" ref="AZ15:AZ21" si="47">AE15+AL15+AS15</f>
        <v>-6.980000000000004</v>
      </c>
      <c r="BA15" s="212" t="e">
        <f t="shared" ref="BA15:BA20" si="48">AZ15/AZ7</f>
        <v>#DIV/0!</v>
      </c>
      <c r="BB15" s="218">
        <f t="shared" ref="BB15:BB21" si="49">AG15+AN15+AU15</f>
        <v>171328.37357411775</v>
      </c>
      <c r="BC15" s="212">
        <f t="shared" ref="BC15:BC20" si="50">BB15/BB7</f>
        <v>0.28000000000000003</v>
      </c>
      <c r="BD15" s="220">
        <f t="shared" ref="BD15:BD22" si="51">BB15-AZ15</f>
        <v>171335.35357411776</v>
      </c>
      <c r="BE15" s="212"/>
      <c r="BF15" s="210"/>
      <c r="BG15" s="208">
        <v>0</v>
      </c>
      <c r="BH15" s="212" t="e">
        <f t="shared" ref="BH15:BH20" si="52">BG15/BG7</f>
        <v>#DIV/0!</v>
      </c>
      <c r="BI15" s="208">
        <v>0</v>
      </c>
      <c r="BJ15" s="212" t="e">
        <f t="shared" ref="BJ15:BJ20" si="53">BI15/BI7</f>
        <v>#DIV/0!</v>
      </c>
      <c r="BK15" s="220">
        <f t="shared" ref="BK15:BK22" si="54">BI15-BG15</f>
        <v>0</v>
      </c>
      <c r="BL15" s="212"/>
      <c r="BM15" s="210"/>
      <c r="BN15" s="208">
        <v>89.37</v>
      </c>
      <c r="BO15" s="216" t="e">
        <f t="shared" ref="BO15:BO20" si="55">BN15/BN7</f>
        <v>#DIV/0!</v>
      </c>
      <c r="BP15" s="208">
        <v>0</v>
      </c>
      <c r="BQ15" s="216" t="e">
        <f t="shared" ref="BQ15:BQ20" si="56">BP15/BP7</f>
        <v>#DIV/0!</v>
      </c>
      <c r="BR15" s="222">
        <f t="shared" ref="BR15:BR21" si="57">BN15-BP15</f>
        <v>89.37</v>
      </c>
      <c r="BS15" s="216"/>
      <c r="BT15" s="210"/>
      <c r="BU15" s="208">
        <v>0</v>
      </c>
      <c r="BV15" s="216">
        <f t="shared" ref="BV15:BV20" si="58">BU15/BU7</f>
        <v>0</v>
      </c>
      <c r="BW15" s="208">
        <v>0</v>
      </c>
      <c r="BX15" s="216" t="e">
        <f t="shared" ref="BX15:BX20" si="59">BW15/BW7</f>
        <v>#DIV/0!</v>
      </c>
      <c r="BY15" s="222">
        <f t="shared" ref="BY15:BY21" si="60">BU15-BW15</f>
        <v>0</v>
      </c>
      <c r="BZ15" s="216"/>
      <c r="CA15" s="210"/>
      <c r="CB15" s="208">
        <v>14769.83</v>
      </c>
      <c r="CC15" s="216">
        <f t="shared" ref="CC15:CC20" si="61">CB15/CB7</f>
        <v>0.28859144067404169</v>
      </c>
      <c r="CD15" s="208">
        <v>20550</v>
      </c>
      <c r="CE15" s="216">
        <f t="shared" ref="CE15:CE20" si="62">CD15/CD7</f>
        <v>0.27000394166338193</v>
      </c>
      <c r="CF15" s="222">
        <f t="shared" ref="CF15:CF21" si="63">CB15-CD15</f>
        <v>-5780.17</v>
      </c>
      <c r="CG15" s="216"/>
      <c r="CH15" s="210"/>
      <c r="CI15" s="208">
        <f>BG15+BN15+BU15+CB15</f>
        <v>14859.2</v>
      </c>
      <c r="CJ15" s="216">
        <f t="shared" ref="CJ15:CJ20" si="64">CI15/CI7</f>
        <v>0.26345571445111121</v>
      </c>
      <c r="CK15" s="208">
        <f t="shared" ref="CK15:CK21" si="65">BI15+BP15+BW15+CD15</f>
        <v>20550</v>
      </c>
      <c r="CL15" s="216">
        <f t="shared" ref="CL15:CL20" si="66">CK15/CK7</f>
        <v>0.27000394166338193</v>
      </c>
      <c r="CM15" s="222">
        <f t="shared" ref="CM15:CM21" si="67">CI15-CK15</f>
        <v>-5690.7999999999993</v>
      </c>
      <c r="CN15" s="216"/>
      <c r="CO15" s="210"/>
      <c r="CP15" s="208">
        <v>43819.01</v>
      </c>
      <c r="CQ15" s="216">
        <f t="shared" ref="CQ15:CQ20" si="68">CP15/CP7</f>
        <v>0.29254847120942884</v>
      </c>
      <c r="CR15" s="222">
        <v>41099</v>
      </c>
      <c r="CS15" s="216">
        <f t="shared" ref="CS15:CS20" si="69">CR15/CR7</f>
        <v>0.26999914596732338</v>
      </c>
      <c r="CT15" s="222">
        <f t="shared" ref="CT15:CT21" si="70">CP15-CR15</f>
        <v>2720.010000000002</v>
      </c>
      <c r="CU15" s="223"/>
      <c r="CV15" s="210"/>
      <c r="CW15" s="208">
        <v>54704.2</v>
      </c>
      <c r="CX15" s="216">
        <f t="shared" ref="CX15:CX20" si="71">CW15/CW7</f>
        <v>0.2937154182688454</v>
      </c>
      <c r="CY15" s="222">
        <v>41099</v>
      </c>
      <c r="CZ15" s="216">
        <f t="shared" ref="CZ15:CZ20" si="72">CY15/CY7</f>
        <v>0.26999914596732338</v>
      </c>
      <c r="DA15" s="222">
        <f t="shared" ref="DA15:DA21" si="73">CW15-CY15</f>
        <v>13605.199999999997</v>
      </c>
      <c r="DB15" s="216"/>
      <c r="DC15" s="210"/>
      <c r="DD15" s="208">
        <v>49308.83</v>
      </c>
      <c r="DE15" s="216">
        <f t="shared" ref="DE15:DE20" si="74">DD15/DD7</f>
        <v>0.30781569523987412</v>
      </c>
      <c r="DF15" s="208">
        <v>46971</v>
      </c>
      <c r="DG15" s="216">
        <f t="shared" ref="DG15:DG20" si="75">DF15/DF7</f>
        <v>0.27000258672721522</v>
      </c>
      <c r="DH15" s="222">
        <f t="shared" ref="DH15:DH21" si="76">DD15-DF15</f>
        <v>2337.8300000000017</v>
      </c>
      <c r="DI15" s="216"/>
      <c r="DJ15" s="210"/>
      <c r="DK15" s="208">
        <v>31228</v>
      </c>
      <c r="DL15" s="223">
        <f t="shared" ref="DL15:DL20" si="77">DK15/DK7</f>
        <v>0.27513295199913235</v>
      </c>
      <c r="DM15" s="208">
        <v>46971</v>
      </c>
      <c r="DN15" s="216">
        <f t="shared" ref="DN15:DN20" si="78">DM15/DM7</f>
        <v>0.27000258672721522</v>
      </c>
      <c r="DO15" s="222">
        <f t="shared" ref="DO15:DO21" si="79">DK15-DM15</f>
        <v>-15743</v>
      </c>
      <c r="DP15" s="216"/>
      <c r="DQ15" s="210"/>
      <c r="DR15" s="208">
        <f t="shared" ref="DR15:DR21" si="80">CP15+CW15+DD15+DK15</f>
        <v>179060.03999999998</v>
      </c>
      <c r="DS15" s="216">
        <f t="shared" ref="DS15:DS20" si="81">DR15/DR7</f>
        <v>0.29367406909063892</v>
      </c>
      <c r="DT15" s="208">
        <f t="shared" ref="DT15:DT21" si="82">CR15+CY15+DF15+DM15</f>
        <v>176140</v>
      </c>
      <c r="DU15" s="216">
        <f t="shared" ref="DU15:DU20" si="83">DT15/DT7</f>
        <v>0.27000098104137543</v>
      </c>
      <c r="DV15" s="222">
        <f t="shared" ref="DV15:DV21" si="84">DR15-DT15</f>
        <v>2920.039999999979</v>
      </c>
      <c r="DW15" s="216"/>
      <c r="DX15" s="210"/>
      <c r="DY15" s="208">
        <f t="shared" ref="DY15:DY21" si="85">X15+AZ15+CI15+DR15</f>
        <v>232286.66999999998</v>
      </c>
      <c r="DZ15" s="212">
        <f t="shared" ref="DZ15:DZ20" si="86">DY15/DY7</f>
        <v>0.27881951724749521</v>
      </c>
      <c r="EA15" s="208">
        <f>Z15+BB15+CK15+DT15</f>
        <v>511443.38637323322</v>
      </c>
      <c r="EB15" s="212">
        <f t="shared" ref="EB15:EB20" si="87">EA15/EA7</f>
        <v>0.27606852181858693</v>
      </c>
      <c r="EC15" s="212">
        <f t="shared" ref="EC15:EC22" si="88">EA15-DY15</f>
        <v>279156.71637323324</v>
      </c>
      <c r="ED15" s="212"/>
      <c r="EE15" s="210"/>
      <c r="EF15" s="210"/>
      <c r="EG15" s="210"/>
    </row>
    <row r="16" spans="1:137">
      <c r="A16" s="217" t="s">
        <v>35</v>
      </c>
      <c r="B16" s="217"/>
      <c r="C16" s="208"/>
      <c r="D16" s="212" t="e">
        <f t="shared" si="26"/>
        <v>#DIV/0!</v>
      </c>
      <c r="E16" s="208">
        <v>2250</v>
      </c>
      <c r="F16" s="212">
        <f t="shared" si="27"/>
        <v>0.22497750224977503</v>
      </c>
      <c r="G16" s="212">
        <f t="shared" si="28"/>
        <v>2250</v>
      </c>
      <c r="H16" s="212"/>
      <c r="I16" s="210"/>
      <c r="J16" s="218">
        <v>526.14</v>
      </c>
      <c r="K16" s="212">
        <f t="shared" si="29"/>
        <v>0.12238660153524075</v>
      </c>
      <c r="L16" s="222">
        <v>2267.0321414818945</v>
      </c>
      <c r="M16" s="212">
        <f t="shared" si="30"/>
        <v>0.22500000000000001</v>
      </c>
      <c r="N16" s="212">
        <f t="shared" si="31"/>
        <v>1740.8921414818947</v>
      </c>
      <c r="O16" s="212"/>
      <c r="P16" s="210"/>
      <c r="Q16" s="208">
        <v>-584.04</v>
      </c>
      <c r="R16" s="212">
        <f t="shared" si="32"/>
        <v>-0.12867179702973569</v>
      </c>
      <c r="S16" s="222">
        <v>2610.9917885240857</v>
      </c>
      <c r="T16" s="212">
        <f>S16/S8</f>
        <v>0.22500000000000001</v>
      </c>
      <c r="U16" s="212">
        <f t="shared" si="33"/>
        <v>3195.0317885240856</v>
      </c>
      <c r="V16" s="212"/>
      <c r="W16" s="210"/>
      <c r="X16" s="208">
        <f t="shared" ref="X16:X21" si="89">C16+J16+Q16</f>
        <v>-57.899999999999977</v>
      </c>
      <c r="Y16" s="212">
        <f t="shared" si="34"/>
        <v>-6.5512633528664295E-3</v>
      </c>
      <c r="Z16" s="218">
        <f t="shared" si="35"/>
        <v>7128.0239300059802</v>
      </c>
      <c r="AA16" s="212">
        <f t="shared" si="36"/>
        <v>0.22499289797529559</v>
      </c>
      <c r="AB16" s="212">
        <f t="shared" si="37"/>
        <v>7185.9239300059799</v>
      </c>
      <c r="AC16" s="212"/>
      <c r="AD16" s="210"/>
      <c r="AE16" s="208">
        <v>965.5</v>
      </c>
      <c r="AF16" s="212" t="e">
        <f t="shared" si="38"/>
        <v>#DIV/0!</v>
      </c>
      <c r="AG16" s="218">
        <v>2810.9961057296096</v>
      </c>
      <c r="AH16" s="212">
        <f t="shared" si="39"/>
        <v>0.22499999999999998</v>
      </c>
      <c r="AI16" s="220">
        <f t="shared" si="40"/>
        <v>1845.4961057296096</v>
      </c>
      <c r="AJ16" s="221"/>
      <c r="AK16" s="210"/>
      <c r="AL16" s="208">
        <v>0</v>
      </c>
      <c r="AM16" s="212" t="e">
        <f t="shared" si="41"/>
        <v>#DIV/0!</v>
      </c>
      <c r="AN16" s="218">
        <v>2821.9239414823269</v>
      </c>
      <c r="AO16" s="212">
        <f t="shared" si="42"/>
        <v>0.22500000000000001</v>
      </c>
      <c r="AP16" s="220">
        <f t="shared" si="43"/>
        <v>2821.9239414823269</v>
      </c>
      <c r="AQ16" s="221"/>
      <c r="AR16" s="210"/>
      <c r="AS16" s="208">
        <v>0</v>
      </c>
      <c r="AT16" s="212" t="e">
        <f t="shared" si="44"/>
        <v>#DIV/0!</v>
      </c>
      <c r="AU16" s="208">
        <v>2882.0447739753536</v>
      </c>
      <c r="AV16" s="212">
        <f t="shared" si="45"/>
        <v>0.22500000000000001</v>
      </c>
      <c r="AW16" s="220">
        <f t="shared" si="46"/>
        <v>2882.0447739753536</v>
      </c>
      <c r="AX16" s="221"/>
      <c r="AY16" s="210"/>
      <c r="AZ16" s="208">
        <f t="shared" si="47"/>
        <v>965.5</v>
      </c>
      <c r="BA16" s="212" t="e">
        <f t="shared" si="48"/>
        <v>#DIV/0!</v>
      </c>
      <c r="BB16" s="218">
        <f t="shared" si="49"/>
        <v>8514.96482118729</v>
      </c>
      <c r="BC16" s="212">
        <f t="shared" si="50"/>
        <v>0.22499999999999998</v>
      </c>
      <c r="BD16" s="220">
        <f t="shared" si="51"/>
        <v>7549.46482118729</v>
      </c>
      <c r="BE16" s="212"/>
      <c r="BF16" s="210"/>
      <c r="BG16" s="208">
        <v>0</v>
      </c>
      <c r="BH16" s="212" t="e">
        <f t="shared" si="52"/>
        <v>#DIV/0!</v>
      </c>
      <c r="BI16" s="208">
        <v>0</v>
      </c>
      <c r="BJ16" s="212" t="e">
        <f t="shared" si="53"/>
        <v>#DIV/0!</v>
      </c>
      <c r="BK16" s="220">
        <f t="shared" si="54"/>
        <v>0</v>
      </c>
      <c r="BL16" s="212"/>
      <c r="BM16" s="210"/>
      <c r="BN16" s="208">
        <v>307.5</v>
      </c>
      <c r="BO16" s="216" t="e">
        <f t="shared" si="55"/>
        <v>#DIV/0!</v>
      </c>
      <c r="BP16" s="208">
        <v>0</v>
      </c>
      <c r="BQ16" s="216" t="e">
        <f t="shared" si="56"/>
        <v>#DIV/0!</v>
      </c>
      <c r="BR16" s="222">
        <f t="shared" si="57"/>
        <v>307.5</v>
      </c>
      <c r="BS16" s="216"/>
      <c r="BT16" s="210"/>
      <c r="BU16" s="208">
        <v>0</v>
      </c>
      <c r="BV16" s="216">
        <f t="shared" si="58"/>
        <v>0</v>
      </c>
      <c r="BW16" s="208">
        <v>0</v>
      </c>
      <c r="BX16" s="216" t="e">
        <f t="shared" si="59"/>
        <v>#DIV/0!</v>
      </c>
      <c r="BY16" s="222">
        <f t="shared" si="60"/>
        <v>0</v>
      </c>
      <c r="BZ16" s="216"/>
      <c r="CA16" s="210"/>
      <c r="CB16" s="208">
        <v>-225.34</v>
      </c>
      <c r="CC16" s="216">
        <f t="shared" si="61"/>
        <v>-0.10495575221238938</v>
      </c>
      <c r="CD16" s="208">
        <v>1031</v>
      </c>
      <c r="CE16" s="216">
        <f t="shared" si="62"/>
        <v>0.21903547907371998</v>
      </c>
      <c r="CF16" s="222">
        <f t="shared" si="63"/>
        <v>-1256.3399999999999</v>
      </c>
      <c r="CG16" s="216"/>
      <c r="CH16" s="210"/>
      <c r="CI16" s="208">
        <f t="shared" ref="CI16:CI21" si="90">BG16+BN16+BU16+CB16</f>
        <v>82.16</v>
      </c>
      <c r="CJ16" s="216">
        <f t="shared" si="64"/>
        <v>3.2648519769521156E-2</v>
      </c>
      <c r="CK16" s="208">
        <f t="shared" si="65"/>
        <v>1031</v>
      </c>
      <c r="CL16" s="216">
        <f t="shared" si="66"/>
        <v>0.21903547907371998</v>
      </c>
      <c r="CM16" s="222">
        <f t="shared" si="67"/>
        <v>-948.84</v>
      </c>
      <c r="CN16" s="216"/>
      <c r="CO16" s="210"/>
      <c r="CP16" s="208">
        <v>683.57</v>
      </c>
      <c r="CQ16" s="216">
        <f t="shared" si="68"/>
        <v>4.6394054567666626E-2</v>
      </c>
      <c r="CR16" s="222">
        <v>2062</v>
      </c>
      <c r="CS16" s="216">
        <f t="shared" si="69"/>
        <v>0.219012214551248</v>
      </c>
      <c r="CT16" s="222">
        <f t="shared" si="70"/>
        <v>-1378.4299999999998</v>
      </c>
      <c r="CU16" s="223"/>
      <c r="CV16" s="210"/>
      <c r="CW16" s="208">
        <v>707.89</v>
      </c>
      <c r="CX16" s="216">
        <f t="shared" si="71"/>
        <v>7.741579177602799E-2</v>
      </c>
      <c r="CY16" s="222">
        <v>2062</v>
      </c>
      <c r="CZ16" s="216">
        <f t="shared" si="72"/>
        <v>0.219012214551248</v>
      </c>
      <c r="DA16" s="222">
        <f t="shared" si="73"/>
        <v>-1354.1100000000001</v>
      </c>
      <c r="DB16" s="216"/>
      <c r="DC16" s="210"/>
      <c r="DD16" s="208">
        <v>1040.19</v>
      </c>
      <c r="DE16" s="216">
        <f t="shared" si="74"/>
        <v>0.12375111534114569</v>
      </c>
      <c r="DF16" s="208">
        <v>2356</v>
      </c>
      <c r="DG16" s="216">
        <f t="shared" si="75"/>
        <v>0.21897945905753322</v>
      </c>
      <c r="DH16" s="222">
        <f t="shared" si="76"/>
        <v>-1315.81</v>
      </c>
      <c r="DI16" s="216"/>
      <c r="DJ16" s="210"/>
      <c r="DK16" s="208">
        <v>808.06</v>
      </c>
      <c r="DL16" s="223">
        <f t="shared" si="77"/>
        <v>0.18294317410006791</v>
      </c>
      <c r="DM16" s="208">
        <v>2356</v>
      </c>
      <c r="DN16" s="216">
        <f t="shared" si="78"/>
        <v>0.21897945905753322</v>
      </c>
      <c r="DO16" s="222">
        <f t="shared" si="79"/>
        <v>-1547.94</v>
      </c>
      <c r="DP16" s="216"/>
      <c r="DQ16" s="210"/>
      <c r="DR16" s="208">
        <f t="shared" si="80"/>
        <v>3239.71</v>
      </c>
      <c r="DS16" s="216">
        <f t="shared" si="81"/>
        <v>8.8274274192449695E-2</v>
      </c>
      <c r="DT16" s="208">
        <f t="shared" si="82"/>
        <v>8836</v>
      </c>
      <c r="DU16" s="216">
        <f t="shared" si="83"/>
        <v>0.21899474571230296</v>
      </c>
      <c r="DV16" s="222">
        <f t="shared" si="84"/>
        <v>-5596.29</v>
      </c>
      <c r="DW16" s="216"/>
      <c r="DX16" s="210"/>
      <c r="DY16" s="208">
        <f t="shared" si="85"/>
        <v>4229.47</v>
      </c>
      <c r="DZ16" s="212">
        <f t="shared" si="86"/>
        <v>8.8013128293232407E-2</v>
      </c>
      <c r="EA16" s="208">
        <f t="shared" ref="EA16:EA21" si="91">Z16+BB16+CK16+DT16</f>
        <v>25509.988751193268</v>
      </c>
      <c r="EB16" s="212">
        <f t="shared" si="87"/>
        <v>0.22263833942709388</v>
      </c>
      <c r="EC16" s="212">
        <f t="shared" si="88"/>
        <v>21280.518751193267</v>
      </c>
      <c r="ED16" s="212"/>
      <c r="EE16" s="210"/>
      <c r="EF16" s="210"/>
      <c r="EG16" s="210"/>
    </row>
    <row r="17" spans="1:136">
      <c r="A17" s="217" t="s">
        <v>29</v>
      </c>
      <c r="B17" s="217"/>
      <c r="C17" s="208"/>
      <c r="D17" s="212" t="e">
        <f t="shared" si="26"/>
        <v>#DIV/0!</v>
      </c>
      <c r="E17" s="208">
        <v>9059</v>
      </c>
      <c r="F17" s="212">
        <f t="shared" si="27"/>
        <v>0.16799258229021791</v>
      </c>
      <c r="G17" s="212">
        <f t="shared" si="28"/>
        <v>9059</v>
      </c>
      <c r="H17" s="212"/>
      <c r="I17" s="210"/>
      <c r="J17" s="218">
        <v>3924.42</v>
      </c>
      <c r="K17" s="212">
        <f t="shared" si="29"/>
        <v>0.13642089894670978</v>
      </c>
      <c r="L17" s="222">
        <v>9127.374178999431</v>
      </c>
      <c r="M17" s="212">
        <f t="shared" si="30"/>
        <v>0.16799999999999998</v>
      </c>
      <c r="N17" s="212">
        <f t="shared" si="31"/>
        <v>5202.954178999431</v>
      </c>
      <c r="O17" s="212"/>
      <c r="P17" s="210"/>
      <c r="Q17" s="208">
        <v>3688.08</v>
      </c>
      <c r="R17" s="212">
        <f t="shared" si="32"/>
        <v>0.1428754612456781</v>
      </c>
      <c r="S17" s="222">
        <v>10512.201656116049</v>
      </c>
      <c r="T17" s="212">
        <f>S17/S9</f>
        <v>0.16800000000000001</v>
      </c>
      <c r="U17" s="212">
        <f t="shared" si="33"/>
        <v>6824.1216561160491</v>
      </c>
      <c r="V17" s="212"/>
      <c r="W17" s="210"/>
      <c r="X17" s="208">
        <f t="shared" si="89"/>
        <v>7612.5</v>
      </c>
      <c r="Y17" s="212">
        <f t="shared" si="34"/>
        <v>0.13947352751224115</v>
      </c>
      <c r="Z17" s="218">
        <f t="shared" si="35"/>
        <v>28698.57583511548</v>
      </c>
      <c r="AA17" s="212">
        <f t="shared" si="36"/>
        <v>0.16799765845302683</v>
      </c>
      <c r="AB17" s="212">
        <f t="shared" si="37"/>
        <v>21086.07583511548</v>
      </c>
      <c r="AC17" s="212"/>
      <c r="AD17" s="210"/>
      <c r="AE17" s="208">
        <v>0</v>
      </c>
      <c r="AF17" s="212" t="e">
        <f t="shared" si="38"/>
        <v>#DIV/0!</v>
      </c>
      <c r="AG17" s="218">
        <v>11317.445749107526</v>
      </c>
      <c r="AH17" s="212">
        <f t="shared" si="39"/>
        <v>0.16800000000000001</v>
      </c>
      <c r="AI17" s="220">
        <f t="shared" si="40"/>
        <v>11317.445749107526</v>
      </c>
      <c r="AJ17" s="221"/>
      <c r="AK17" s="210"/>
      <c r="AL17" s="208">
        <v>1498.09</v>
      </c>
      <c r="AM17" s="212" t="e">
        <f t="shared" si="41"/>
        <v>#DIV/0!</v>
      </c>
      <c r="AN17" s="218">
        <v>11361.442675333943</v>
      </c>
      <c r="AO17" s="212">
        <f t="shared" si="42"/>
        <v>0.16800000000000001</v>
      </c>
      <c r="AP17" s="220">
        <f t="shared" si="43"/>
        <v>9863.3526753339429</v>
      </c>
      <c r="AQ17" s="221"/>
      <c r="AR17" s="210"/>
      <c r="AS17" s="208">
        <v>183.53</v>
      </c>
      <c r="AT17" s="212" t="e">
        <f t="shared" si="44"/>
        <v>#DIV/0!</v>
      </c>
      <c r="AU17" s="208">
        <v>11603.497176492496</v>
      </c>
      <c r="AV17" s="212">
        <f t="shared" si="45"/>
        <v>0.16800000000000001</v>
      </c>
      <c r="AW17" s="220">
        <f t="shared" si="46"/>
        <v>11419.967176492495</v>
      </c>
      <c r="AX17" s="221"/>
      <c r="AY17" s="210"/>
      <c r="AZ17" s="208">
        <f t="shared" si="47"/>
        <v>1681.62</v>
      </c>
      <c r="BA17" s="212" t="e">
        <f t="shared" si="48"/>
        <v>#DIV/0!</v>
      </c>
      <c r="BB17" s="218">
        <f t="shared" si="49"/>
        <v>34282.385600933965</v>
      </c>
      <c r="BC17" s="212">
        <f t="shared" si="50"/>
        <v>0.16800000000000001</v>
      </c>
      <c r="BD17" s="220">
        <f t="shared" si="51"/>
        <v>32600.765600933966</v>
      </c>
      <c r="BE17" s="212"/>
      <c r="BF17" s="210"/>
      <c r="BG17" s="208">
        <v>1215</v>
      </c>
      <c r="BH17" s="212" t="e">
        <f t="shared" si="52"/>
        <v>#DIV/0!</v>
      </c>
      <c r="BI17" s="208">
        <v>0</v>
      </c>
      <c r="BJ17" s="212" t="e">
        <f t="shared" si="53"/>
        <v>#DIV/0!</v>
      </c>
      <c r="BK17" s="220">
        <f t="shared" si="54"/>
        <v>-1215</v>
      </c>
      <c r="BL17" s="212"/>
      <c r="BM17" s="210"/>
      <c r="BN17" s="208">
        <v>0</v>
      </c>
      <c r="BO17" s="216" t="e">
        <f t="shared" si="55"/>
        <v>#DIV/0!</v>
      </c>
      <c r="BP17" s="208">
        <v>0</v>
      </c>
      <c r="BQ17" s="216" t="e">
        <f t="shared" si="56"/>
        <v>#DIV/0!</v>
      </c>
      <c r="BR17" s="222">
        <f t="shared" si="57"/>
        <v>0</v>
      </c>
      <c r="BS17" s="216"/>
      <c r="BT17" s="210"/>
      <c r="BU17" s="208">
        <v>0</v>
      </c>
      <c r="BV17" s="216">
        <f t="shared" si="58"/>
        <v>0</v>
      </c>
      <c r="BW17" s="208">
        <v>0</v>
      </c>
      <c r="BX17" s="216" t="e">
        <f t="shared" si="59"/>
        <v>#DIV/0!</v>
      </c>
      <c r="BY17" s="222">
        <f t="shared" si="60"/>
        <v>0</v>
      </c>
      <c r="BZ17" s="216"/>
      <c r="CA17" s="210"/>
      <c r="CB17" s="208">
        <v>2212.98</v>
      </c>
      <c r="CC17" s="216">
        <f t="shared" si="61"/>
        <v>0.16758652025747822</v>
      </c>
      <c r="CD17" s="208">
        <v>4264</v>
      </c>
      <c r="CE17" s="216">
        <f t="shared" si="62"/>
        <v>0.16799306595224964</v>
      </c>
      <c r="CF17" s="222">
        <f t="shared" si="63"/>
        <v>-2051.02</v>
      </c>
      <c r="CG17" s="216"/>
      <c r="CH17" s="210"/>
      <c r="CI17" s="208">
        <f t="shared" si="90"/>
        <v>3427.98</v>
      </c>
      <c r="CJ17" s="216">
        <f t="shared" si="64"/>
        <v>0.22074698950350957</v>
      </c>
      <c r="CK17" s="208">
        <f t="shared" si="65"/>
        <v>4264</v>
      </c>
      <c r="CL17" s="216">
        <f t="shared" si="66"/>
        <v>0.16799306595224964</v>
      </c>
      <c r="CM17" s="222">
        <f t="shared" si="67"/>
        <v>-836.02</v>
      </c>
      <c r="CN17" s="216"/>
      <c r="CO17" s="210"/>
      <c r="CP17" s="208">
        <v>7518.01</v>
      </c>
      <c r="CQ17" s="216">
        <f t="shared" si="68"/>
        <v>0.19546591440902711</v>
      </c>
      <c r="CR17" s="222">
        <v>8528</v>
      </c>
      <c r="CS17" s="216">
        <f t="shared" si="69"/>
        <v>0.16798975672215108</v>
      </c>
      <c r="CT17" s="222">
        <f t="shared" si="70"/>
        <v>-1009.9899999999998</v>
      </c>
      <c r="CU17" s="223"/>
      <c r="CV17" s="210"/>
      <c r="CW17" s="208">
        <v>9400.0499999999993</v>
      </c>
      <c r="CX17" s="216">
        <f t="shared" si="71"/>
        <v>0.20974295468237497</v>
      </c>
      <c r="CY17" s="222">
        <v>8528</v>
      </c>
      <c r="CZ17" s="216">
        <f t="shared" si="72"/>
        <v>0.16798975672215108</v>
      </c>
      <c r="DA17" s="222">
        <f t="shared" si="73"/>
        <v>872.04999999999927</v>
      </c>
      <c r="DB17" s="216"/>
      <c r="DC17" s="210"/>
      <c r="DD17" s="208">
        <v>6639.88</v>
      </c>
      <c r="DE17" s="216">
        <f t="shared" si="74"/>
        <v>0.14827449141376922</v>
      </c>
      <c r="DF17" s="208">
        <v>9747</v>
      </c>
      <c r="DG17" s="216">
        <f t="shared" si="75"/>
        <v>0.1680024820311288</v>
      </c>
      <c r="DH17" s="222">
        <f t="shared" si="76"/>
        <v>-3107.12</v>
      </c>
      <c r="DI17" s="216"/>
      <c r="DJ17" s="210"/>
      <c r="DK17" s="208">
        <v>4527.84</v>
      </c>
      <c r="DL17" s="223">
        <f t="shared" si="77"/>
        <v>0.20564265600872014</v>
      </c>
      <c r="DM17" s="208">
        <v>9747</v>
      </c>
      <c r="DN17" s="216">
        <f t="shared" si="78"/>
        <v>0.1680024820311288</v>
      </c>
      <c r="DO17" s="222">
        <f t="shared" si="79"/>
        <v>-5219.16</v>
      </c>
      <c r="DP17" s="216"/>
      <c r="DQ17" s="210"/>
      <c r="DR17" s="208">
        <f t="shared" si="80"/>
        <v>28085.78</v>
      </c>
      <c r="DS17" s="216">
        <f t="shared" si="81"/>
        <v>0.18714121989898586</v>
      </c>
      <c r="DT17" s="208">
        <f t="shared" si="82"/>
        <v>36550</v>
      </c>
      <c r="DU17" s="216">
        <f t="shared" si="83"/>
        <v>0.1679965435458072</v>
      </c>
      <c r="DV17" s="222">
        <f t="shared" si="84"/>
        <v>-8464.2200000000012</v>
      </c>
      <c r="DW17" s="216"/>
      <c r="DX17" s="210"/>
      <c r="DY17" s="208">
        <f t="shared" si="85"/>
        <v>40807.879999999997</v>
      </c>
      <c r="DZ17" s="212">
        <f t="shared" si="86"/>
        <v>0.185332620303855</v>
      </c>
      <c r="EA17" s="208">
        <f t="shared" si="91"/>
        <v>103794.96143604945</v>
      </c>
      <c r="EB17" s="212">
        <f t="shared" si="87"/>
        <v>0.16799785055900157</v>
      </c>
      <c r="EC17" s="212">
        <f t="shared" si="88"/>
        <v>62987.081436049448</v>
      </c>
      <c r="ED17" s="212"/>
      <c r="EE17" s="210"/>
      <c r="EF17" s="210"/>
    </row>
    <row r="18" spans="1:136">
      <c r="A18" s="217" t="s">
        <v>30</v>
      </c>
      <c r="B18" s="217"/>
      <c r="C18" s="208"/>
      <c r="D18" s="212" t="e">
        <f t="shared" si="26"/>
        <v>#DIV/0!</v>
      </c>
      <c r="E18" s="208">
        <v>1387</v>
      </c>
      <c r="F18" s="212">
        <f t="shared" si="27"/>
        <v>0.18202099737532809</v>
      </c>
      <c r="G18" s="212">
        <f t="shared" si="28"/>
        <v>1387</v>
      </c>
      <c r="H18" s="212"/>
      <c r="I18" s="210"/>
      <c r="J18" s="218">
        <v>1432.83</v>
      </c>
      <c r="K18" s="212">
        <f t="shared" si="29"/>
        <v>0.26129844077687608</v>
      </c>
      <c r="L18" s="222">
        <v>1397.2657978242203</v>
      </c>
      <c r="M18" s="212">
        <f t="shared" si="30"/>
        <v>0.182</v>
      </c>
      <c r="N18" s="212">
        <f t="shared" si="31"/>
        <v>-35.564202175779656</v>
      </c>
      <c r="O18" s="212"/>
      <c r="P18" s="210"/>
      <c r="Q18" s="208">
        <v>1199.02</v>
      </c>
      <c r="R18" s="212">
        <f t="shared" si="32"/>
        <v>0.2346855090476703</v>
      </c>
      <c r="S18" s="222">
        <v>1609.2623733688386</v>
      </c>
      <c r="T18" s="212">
        <f>S18/S10</f>
        <v>0.182</v>
      </c>
      <c r="U18" s="212">
        <f t="shared" si="33"/>
        <v>410.24237336883857</v>
      </c>
      <c r="V18" s="212"/>
      <c r="W18" s="210"/>
      <c r="X18" s="208">
        <f t="shared" si="89"/>
        <v>2631.85</v>
      </c>
      <c r="Y18" s="212">
        <f t="shared" si="34"/>
        <v>0.24846236269831157</v>
      </c>
      <c r="Z18" s="218">
        <f t="shared" si="35"/>
        <v>4393.5281711930593</v>
      </c>
      <c r="AA18" s="212">
        <f t="shared" si="36"/>
        <v>0.18200662817202323</v>
      </c>
      <c r="AB18" s="212">
        <f t="shared" si="37"/>
        <v>1761.6781711930594</v>
      </c>
      <c r="AC18" s="212"/>
      <c r="AD18" s="210"/>
      <c r="AE18" s="208">
        <v>0</v>
      </c>
      <c r="AF18" s="212" t="e">
        <f t="shared" si="38"/>
        <v>#DIV/0!</v>
      </c>
      <c r="AG18" s="218">
        <v>1732.5333172319417</v>
      </c>
      <c r="AH18" s="212">
        <f t="shared" si="39"/>
        <v>0.182</v>
      </c>
      <c r="AI18" s="220">
        <f t="shared" si="40"/>
        <v>1732.5333172319417</v>
      </c>
      <c r="AJ18" s="221"/>
      <c r="AK18" s="210"/>
      <c r="AL18" s="208">
        <v>0</v>
      </c>
      <c r="AM18" s="212" t="e">
        <f t="shared" si="41"/>
        <v>#DIV/0!</v>
      </c>
      <c r="AN18" s="218">
        <v>1739.2685949821423</v>
      </c>
      <c r="AO18" s="212">
        <f t="shared" si="42"/>
        <v>0.182</v>
      </c>
      <c r="AP18" s="220">
        <f t="shared" si="43"/>
        <v>1739.2685949821423</v>
      </c>
      <c r="AQ18" s="221"/>
      <c r="AR18" s="210"/>
      <c r="AS18" s="208">
        <v>0</v>
      </c>
      <c r="AT18" s="212" t="e">
        <f t="shared" si="44"/>
        <v>#DIV/0!</v>
      </c>
      <c r="AU18" s="208">
        <v>1776.323553949029</v>
      </c>
      <c r="AV18" s="212">
        <f t="shared" si="45"/>
        <v>0.182</v>
      </c>
      <c r="AW18" s="220">
        <f t="shared" si="46"/>
        <v>1776.323553949029</v>
      </c>
      <c r="AX18" s="221"/>
      <c r="AY18" s="210"/>
      <c r="AZ18" s="208">
        <f t="shared" si="47"/>
        <v>0</v>
      </c>
      <c r="BA18" s="212" t="e">
        <f t="shared" si="48"/>
        <v>#DIV/0!</v>
      </c>
      <c r="BB18" s="218">
        <f t="shared" si="49"/>
        <v>5248.1254661631128</v>
      </c>
      <c r="BC18" s="212">
        <f t="shared" si="50"/>
        <v>0.18199999999999997</v>
      </c>
      <c r="BD18" s="220">
        <f t="shared" si="51"/>
        <v>5248.1254661631128</v>
      </c>
      <c r="BE18" s="212"/>
      <c r="BF18" s="210"/>
      <c r="BG18" s="208">
        <v>142.5</v>
      </c>
      <c r="BH18" s="212" t="e">
        <f t="shared" si="52"/>
        <v>#DIV/0!</v>
      </c>
      <c r="BI18" s="208">
        <v>0</v>
      </c>
      <c r="BJ18" s="212" t="e">
        <f t="shared" si="53"/>
        <v>#DIV/0!</v>
      </c>
      <c r="BK18" s="220">
        <f t="shared" si="54"/>
        <v>-142.5</v>
      </c>
      <c r="BL18" s="212"/>
      <c r="BM18" s="210"/>
      <c r="BN18" s="208">
        <v>0</v>
      </c>
      <c r="BO18" s="216" t="e">
        <f t="shared" si="55"/>
        <v>#DIV/0!</v>
      </c>
      <c r="BP18" s="208">
        <v>0</v>
      </c>
      <c r="BQ18" s="216" t="e">
        <f t="shared" si="56"/>
        <v>#DIV/0!</v>
      </c>
      <c r="BR18" s="222">
        <f t="shared" si="57"/>
        <v>0</v>
      </c>
      <c r="BS18" s="216"/>
      <c r="BT18" s="210"/>
      <c r="BU18" s="208">
        <v>0</v>
      </c>
      <c r="BV18" s="216">
        <f t="shared" si="58"/>
        <v>0</v>
      </c>
      <c r="BW18" s="208">
        <v>0</v>
      </c>
      <c r="BX18" s="216" t="e">
        <f t="shared" si="59"/>
        <v>#DIV/0!</v>
      </c>
      <c r="BY18" s="222">
        <f t="shared" si="60"/>
        <v>0</v>
      </c>
      <c r="BZ18" s="216"/>
      <c r="CA18" s="210"/>
      <c r="CB18" s="208">
        <v>-294.26</v>
      </c>
      <c r="CC18" s="216">
        <f t="shared" si="61"/>
        <v>-0.15101873235822427</v>
      </c>
      <c r="CD18" s="208">
        <v>653</v>
      </c>
      <c r="CE18" s="216">
        <f t="shared" si="62"/>
        <v>0.18204627822693059</v>
      </c>
      <c r="CF18" s="222">
        <f t="shared" si="63"/>
        <v>-947.26</v>
      </c>
      <c r="CG18" s="216"/>
      <c r="CH18" s="210"/>
      <c r="CI18" s="208">
        <f t="shared" si="90"/>
        <v>-151.76</v>
      </c>
      <c r="CJ18" s="216">
        <f t="shared" si="64"/>
        <v>-6.9983859810929208E-2</v>
      </c>
      <c r="CK18" s="208">
        <f t="shared" si="65"/>
        <v>653</v>
      </c>
      <c r="CL18" s="216">
        <f t="shared" si="66"/>
        <v>0.18204627822693059</v>
      </c>
      <c r="CM18" s="222">
        <f t="shared" si="67"/>
        <v>-804.76</v>
      </c>
      <c r="CN18" s="216"/>
      <c r="CO18" s="210"/>
      <c r="CP18" s="208">
        <v>2054.81</v>
      </c>
      <c r="CQ18" s="216">
        <f t="shared" si="68"/>
        <v>0.39910847819753326</v>
      </c>
      <c r="CR18" s="222">
        <v>1306</v>
      </c>
      <c r="CS18" s="216">
        <f t="shared" si="69"/>
        <v>0.18204627822693059</v>
      </c>
      <c r="CT18" s="222">
        <f t="shared" si="70"/>
        <v>748.81</v>
      </c>
      <c r="CU18" s="223"/>
      <c r="CV18" s="210"/>
      <c r="CW18" s="208">
        <v>1117.92</v>
      </c>
      <c r="CX18" s="216">
        <f t="shared" si="71"/>
        <v>0.18202719205405846</v>
      </c>
      <c r="CY18" s="222">
        <v>1306</v>
      </c>
      <c r="CZ18" s="216">
        <f t="shared" si="72"/>
        <v>0.18204627822693059</v>
      </c>
      <c r="DA18" s="222">
        <f t="shared" si="73"/>
        <v>-188.07999999999993</v>
      </c>
      <c r="DB18" s="216"/>
      <c r="DC18" s="210"/>
      <c r="DD18" s="208">
        <v>1024.4100000000001</v>
      </c>
      <c r="DE18" s="216">
        <f t="shared" si="74"/>
        <v>0.23699479467900522</v>
      </c>
      <c r="DF18" s="208">
        <v>1492</v>
      </c>
      <c r="DG18" s="216">
        <f t="shared" si="75"/>
        <v>0.18199560868504513</v>
      </c>
      <c r="DH18" s="222">
        <f t="shared" si="76"/>
        <v>-467.58999999999992</v>
      </c>
      <c r="DI18" s="216"/>
      <c r="DJ18" s="210"/>
      <c r="DK18" s="208">
        <v>661.73</v>
      </c>
      <c r="DL18" s="223">
        <f t="shared" si="77"/>
        <v>0.21731691297208539</v>
      </c>
      <c r="DM18" s="208">
        <v>1492</v>
      </c>
      <c r="DN18" s="216">
        <f t="shared" si="78"/>
        <v>0.18199560868504513</v>
      </c>
      <c r="DO18" s="222">
        <f t="shared" si="79"/>
        <v>-830.27</v>
      </c>
      <c r="DP18" s="216"/>
      <c r="DQ18" s="210"/>
      <c r="DR18" s="208">
        <f t="shared" si="80"/>
        <v>4858.8700000000008</v>
      </c>
      <c r="DS18" s="216">
        <f t="shared" si="81"/>
        <v>0.26042449417124486</v>
      </c>
      <c r="DT18" s="208">
        <f t="shared" si="82"/>
        <v>5596</v>
      </c>
      <c r="DU18" s="216">
        <f t="shared" si="83"/>
        <v>0.18201925578974759</v>
      </c>
      <c r="DV18" s="222">
        <f t="shared" si="84"/>
        <v>-737.1299999999992</v>
      </c>
      <c r="DW18" s="216"/>
      <c r="DX18" s="210"/>
      <c r="DY18" s="208">
        <f t="shared" si="85"/>
        <v>7338.9600000000009</v>
      </c>
      <c r="DZ18" s="212">
        <f t="shared" si="86"/>
        <v>0.23358684598748194</v>
      </c>
      <c r="EA18" s="208">
        <f t="shared" si="91"/>
        <v>15890.653637356172</v>
      </c>
      <c r="EB18" s="212">
        <f t="shared" si="87"/>
        <v>0.18201051471237867</v>
      </c>
      <c r="EC18" s="212">
        <f t="shared" si="88"/>
        <v>8551.6936373561712</v>
      </c>
      <c r="ED18" s="212"/>
      <c r="EE18" s="210"/>
      <c r="EF18" s="210"/>
    </row>
    <row r="19" spans="1:136">
      <c r="A19" s="217" t="s">
        <v>31</v>
      </c>
      <c r="B19" s="217"/>
      <c r="C19" s="208"/>
      <c r="D19" s="212" t="e">
        <f t="shared" si="26"/>
        <v>#DIV/0!</v>
      </c>
      <c r="E19" s="208">
        <v>5215</v>
      </c>
      <c r="F19" s="212">
        <f t="shared" si="27"/>
        <v>0.27299377061194574</v>
      </c>
      <c r="G19" s="212">
        <f t="shared" si="28"/>
        <v>5215</v>
      </c>
      <c r="H19" s="212"/>
      <c r="I19" s="210"/>
      <c r="J19" s="218">
        <v>3432.36</v>
      </c>
      <c r="K19" s="212">
        <f t="shared" si="29"/>
        <v>0.25932003626473255</v>
      </c>
      <c r="L19" s="222">
        <v>5254.1532937234206</v>
      </c>
      <c r="M19" s="212">
        <f t="shared" si="30"/>
        <v>0.27300000000000002</v>
      </c>
      <c r="N19" s="212">
        <f t="shared" si="31"/>
        <v>1821.7932937234204</v>
      </c>
      <c r="O19" s="212"/>
      <c r="P19" s="210"/>
      <c r="Q19" s="208">
        <v>3683.33</v>
      </c>
      <c r="R19" s="212">
        <f t="shared" si="32"/>
        <v>0.34408209401390033</v>
      </c>
      <c r="S19" s="222">
        <v>6051.3262492128597</v>
      </c>
      <c r="T19" s="212">
        <f>S19/S11</f>
        <v>0.27300000000000002</v>
      </c>
      <c r="U19" s="212">
        <f t="shared" si="33"/>
        <v>2367.9962492128598</v>
      </c>
      <c r="V19" s="212"/>
      <c r="W19" s="210"/>
      <c r="X19" s="208">
        <f t="shared" si="89"/>
        <v>7115.6900000000005</v>
      </c>
      <c r="Y19" s="212">
        <f t="shared" si="34"/>
        <v>0.29722022655884517</v>
      </c>
      <c r="Z19" s="218">
        <f t="shared" si="35"/>
        <v>16520.479542936278</v>
      </c>
      <c r="AA19" s="212">
        <f t="shared" si="36"/>
        <v>0.27299803354582364</v>
      </c>
      <c r="AB19" s="212">
        <f t="shared" si="37"/>
        <v>9404.7895429362779</v>
      </c>
      <c r="AC19" s="212"/>
      <c r="AD19" s="210"/>
      <c r="AE19" s="208">
        <v>0</v>
      </c>
      <c r="AF19" s="212" t="e">
        <f t="shared" si="38"/>
        <v>#DIV/0!</v>
      </c>
      <c r="AG19" s="218">
        <v>6514.8632775486803</v>
      </c>
      <c r="AH19" s="212">
        <f t="shared" si="39"/>
        <v>0.27300000000000002</v>
      </c>
      <c r="AI19" s="220">
        <f t="shared" si="40"/>
        <v>6514.8632775486803</v>
      </c>
      <c r="AJ19" s="221"/>
      <c r="AK19" s="210"/>
      <c r="AL19" s="208">
        <v>0</v>
      </c>
      <c r="AM19" s="212" t="e">
        <f t="shared" si="41"/>
        <v>#DIV/0!</v>
      </c>
      <c r="AN19" s="218">
        <v>6540.1900133998433</v>
      </c>
      <c r="AO19" s="212">
        <f t="shared" si="42"/>
        <v>0.27300000000000002</v>
      </c>
      <c r="AP19" s="220">
        <f t="shared" si="43"/>
        <v>6540.1900133998433</v>
      </c>
      <c r="AQ19" s="221"/>
      <c r="AR19" s="210"/>
      <c r="AS19" s="208">
        <v>0</v>
      </c>
      <c r="AT19" s="212" t="e">
        <f t="shared" si="44"/>
        <v>#DIV/0!</v>
      </c>
      <c r="AU19" s="208">
        <v>6679.5281658171016</v>
      </c>
      <c r="AV19" s="212">
        <f t="shared" si="45"/>
        <v>0.27300000000000002</v>
      </c>
      <c r="AW19" s="220">
        <f t="shared" si="46"/>
        <v>6679.5281658171016</v>
      </c>
      <c r="AX19" s="221"/>
      <c r="AY19" s="210"/>
      <c r="AZ19" s="208">
        <f t="shared" si="47"/>
        <v>0</v>
      </c>
      <c r="BA19" s="212" t="e">
        <f t="shared" si="48"/>
        <v>#DIV/0!</v>
      </c>
      <c r="BB19" s="218">
        <f t="shared" si="49"/>
        <v>19734.581456765623</v>
      </c>
      <c r="BC19" s="212">
        <f t="shared" si="50"/>
        <v>0.27300000000000002</v>
      </c>
      <c r="BD19" s="220">
        <f t="shared" si="51"/>
        <v>19734.581456765623</v>
      </c>
      <c r="BE19" s="212"/>
      <c r="BF19" s="210"/>
      <c r="BG19" s="208">
        <v>0</v>
      </c>
      <c r="BH19" s="212" t="e">
        <f t="shared" si="52"/>
        <v>#DIV/0!</v>
      </c>
      <c r="BI19" s="208">
        <v>0</v>
      </c>
      <c r="BJ19" s="212" t="e">
        <f t="shared" si="53"/>
        <v>#DIV/0!</v>
      </c>
      <c r="BK19" s="220">
        <f t="shared" si="54"/>
        <v>0</v>
      </c>
      <c r="BL19" s="212"/>
      <c r="BM19" s="210"/>
      <c r="BN19" s="208">
        <v>0</v>
      </c>
      <c r="BO19" s="216" t="e">
        <f t="shared" si="55"/>
        <v>#DIV/0!</v>
      </c>
      <c r="BP19" s="208">
        <v>0</v>
      </c>
      <c r="BQ19" s="216" t="e">
        <f t="shared" si="56"/>
        <v>#DIV/0!</v>
      </c>
      <c r="BR19" s="222">
        <f t="shared" si="57"/>
        <v>0</v>
      </c>
      <c r="BS19" s="216"/>
      <c r="BT19" s="210"/>
      <c r="BU19" s="208">
        <v>0</v>
      </c>
      <c r="BV19" s="216">
        <f t="shared" si="58"/>
        <v>0</v>
      </c>
      <c r="BW19" s="208">
        <v>0</v>
      </c>
      <c r="BX19" s="216" t="e">
        <f t="shared" si="59"/>
        <v>#DIV/0!</v>
      </c>
      <c r="BY19" s="222">
        <f t="shared" si="60"/>
        <v>0</v>
      </c>
      <c r="BZ19" s="216"/>
      <c r="CA19" s="210"/>
      <c r="CB19" s="208">
        <v>637.66999999999996</v>
      </c>
      <c r="CC19" s="216">
        <f t="shared" si="61"/>
        <v>0.15098141351959274</v>
      </c>
      <c r="CD19" s="208">
        <v>2455</v>
      </c>
      <c r="CE19" s="216">
        <f t="shared" si="62"/>
        <v>0.27302046263345198</v>
      </c>
      <c r="CF19" s="222">
        <f t="shared" si="63"/>
        <v>-1817.33</v>
      </c>
      <c r="CG19" s="216"/>
      <c r="CH19" s="210"/>
      <c r="CI19" s="208">
        <f t="shared" si="90"/>
        <v>637.66999999999996</v>
      </c>
      <c r="CJ19" s="216">
        <f t="shared" si="64"/>
        <v>0.13778522039757993</v>
      </c>
      <c r="CK19" s="208">
        <f t="shared" si="65"/>
        <v>2455</v>
      </c>
      <c r="CL19" s="216">
        <f t="shared" si="66"/>
        <v>0.27302046263345198</v>
      </c>
      <c r="CM19" s="222">
        <f t="shared" si="67"/>
        <v>-1817.33</v>
      </c>
      <c r="CN19" s="216"/>
      <c r="CO19" s="210"/>
      <c r="CP19" s="208">
        <v>3866.7</v>
      </c>
      <c r="CQ19" s="216">
        <f t="shared" si="68"/>
        <v>0.27953732152539307</v>
      </c>
      <c r="CR19" s="222">
        <v>4909</v>
      </c>
      <c r="CS19" s="216">
        <f t="shared" si="69"/>
        <v>0.27298003670132903</v>
      </c>
      <c r="CT19" s="222">
        <f t="shared" si="70"/>
        <v>-1042.3000000000002</v>
      </c>
      <c r="CU19" s="223"/>
      <c r="CV19" s="210"/>
      <c r="CW19" s="208">
        <v>2776.5</v>
      </c>
      <c r="CX19" s="216">
        <f t="shared" si="71"/>
        <v>0.1939844896248166</v>
      </c>
      <c r="CY19" s="222">
        <v>4909</v>
      </c>
      <c r="CZ19" s="216">
        <f t="shared" si="72"/>
        <v>0.27298003670132903</v>
      </c>
      <c r="DA19" s="222">
        <f t="shared" si="73"/>
        <v>-2132.5</v>
      </c>
      <c r="DB19" s="216"/>
      <c r="DC19" s="210"/>
      <c r="DD19" s="208">
        <v>2086.08</v>
      </c>
      <c r="DE19" s="216">
        <f t="shared" si="74"/>
        <v>0.21225885225885224</v>
      </c>
      <c r="DF19" s="208">
        <v>5611</v>
      </c>
      <c r="DG19" s="216">
        <f t="shared" si="75"/>
        <v>0.27301479174776178</v>
      </c>
      <c r="DH19" s="222">
        <f t="shared" si="76"/>
        <v>-3524.92</v>
      </c>
      <c r="DI19" s="216"/>
      <c r="DJ19" s="210"/>
      <c r="DK19" s="208">
        <v>1985.4</v>
      </c>
      <c r="DL19" s="223">
        <f t="shared" si="77"/>
        <v>0.35065347933592372</v>
      </c>
      <c r="DM19" s="208">
        <v>5611</v>
      </c>
      <c r="DN19" s="216">
        <f t="shared" si="78"/>
        <v>0.27301479174776178</v>
      </c>
      <c r="DO19" s="222">
        <f t="shared" si="79"/>
        <v>-3625.6</v>
      </c>
      <c r="DP19" s="216"/>
      <c r="DQ19" s="210"/>
      <c r="DR19" s="208">
        <f t="shared" si="80"/>
        <v>10714.679999999998</v>
      </c>
      <c r="DS19" s="216">
        <f t="shared" si="81"/>
        <v>0.24554960983602797</v>
      </c>
      <c r="DT19" s="208">
        <f t="shared" si="82"/>
        <v>21040</v>
      </c>
      <c r="DU19" s="216">
        <f t="shared" si="83"/>
        <v>0.27299857272609318</v>
      </c>
      <c r="DV19" s="222">
        <f t="shared" si="84"/>
        <v>-10325.320000000002</v>
      </c>
      <c r="DW19" s="216"/>
      <c r="DX19" s="210"/>
      <c r="DY19" s="208">
        <f t="shared" si="85"/>
        <v>18468.04</v>
      </c>
      <c r="DZ19" s="212">
        <f t="shared" si="86"/>
        <v>0.25577479457594632</v>
      </c>
      <c r="EA19" s="208">
        <f t="shared" si="91"/>
        <v>59750.060999701906</v>
      </c>
      <c r="EB19" s="212">
        <f t="shared" si="87"/>
        <v>0.27299979439367023</v>
      </c>
      <c r="EC19" s="212">
        <f t="shared" si="88"/>
        <v>41282.020999701905</v>
      </c>
      <c r="ED19" s="212"/>
      <c r="EE19" s="210"/>
      <c r="EF19" s="210"/>
    </row>
    <row r="20" spans="1:136">
      <c r="A20" s="217" t="s">
        <v>36</v>
      </c>
      <c r="B20" s="217"/>
      <c r="C20" s="208"/>
      <c r="D20" s="212" t="e">
        <f t="shared" si="26"/>
        <v>#DIV/0!</v>
      </c>
      <c r="E20" s="208">
        <v>5215</v>
      </c>
      <c r="F20" s="212">
        <f t="shared" si="27"/>
        <v>2.0666233395682083E-2</v>
      </c>
      <c r="G20" s="212">
        <f t="shared" ref="G20" si="92">E20-C20</f>
        <v>5215</v>
      </c>
      <c r="H20" s="212"/>
      <c r="I20" s="210"/>
      <c r="J20" s="218">
        <v>0</v>
      </c>
      <c r="K20" s="212">
        <f t="shared" si="29"/>
        <v>0</v>
      </c>
      <c r="L20" s="222">
        <v>0</v>
      </c>
      <c r="M20" s="212">
        <f t="shared" si="30"/>
        <v>0</v>
      </c>
      <c r="N20" s="212">
        <f t="shared" ref="N20" si="93">L20-J20</f>
        <v>0</v>
      </c>
      <c r="O20" s="212"/>
      <c r="P20" s="210"/>
      <c r="Q20" s="208">
        <v>246.98</v>
      </c>
      <c r="R20" s="212">
        <f t="shared" si="32"/>
        <v>2.0345841409858561E-3</v>
      </c>
      <c r="S20" s="222">
        <v>0</v>
      </c>
      <c r="T20" s="212">
        <f t="shared" ref="T20" si="94">S20/S12</f>
        <v>0</v>
      </c>
      <c r="U20" s="212">
        <f t="shared" ref="U20" si="95">S20-Q20</f>
        <v>-246.98</v>
      </c>
      <c r="V20" s="212"/>
      <c r="W20" s="210"/>
      <c r="X20" s="208">
        <f t="shared" si="89"/>
        <v>246.98</v>
      </c>
      <c r="Y20" s="212">
        <f t="shared" si="34"/>
        <v>9.3223077108899423E-4</v>
      </c>
      <c r="Z20" s="218">
        <v>0</v>
      </c>
      <c r="AA20" s="212">
        <f t="shared" si="36"/>
        <v>0</v>
      </c>
      <c r="AB20" s="212">
        <f t="shared" ref="AB20" si="96">Z20-X20</f>
        <v>-246.98</v>
      </c>
      <c r="AC20" s="212"/>
      <c r="AD20" s="210"/>
      <c r="AE20" s="208">
        <v>246.98</v>
      </c>
      <c r="AF20" s="212" t="e">
        <f t="shared" si="38"/>
        <v>#DIV/0!</v>
      </c>
      <c r="AG20" s="218">
        <v>6514.8632775486803</v>
      </c>
      <c r="AH20" s="212">
        <f t="shared" si="39"/>
        <v>2.0666282487423374E-2</v>
      </c>
      <c r="AI20" s="220">
        <f t="shared" ref="AI20" si="97">AG20-AE20</f>
        <v>6267.8832775486808</v>
      </c>
      <c r="AJ20" s="221"/>
      <c r="AK20" s="210"/>
      <c r="AL20" s="208">
        <v>246.98</v>
      </c>
      <c r="AM20" s="212" t="e">
        <f t="shared" si="41"/>
        <v>#DIV/0!</v>
      </c>
      <c r="AN20" s="218">
        <v>6540.1900133998433</v>
      </c>
      <c r="AO20" s="212">
        <f t="shared" si="42"/>
        <v>2.0666282487423374E-2</v>
      </c>
      <c r="AP20" s="220">
        <f t="shared" ref="AP20" si="98">AN20-AL20</f>
        <v>6293.2100133998438</v>
      </c>
      <c r="AQ20" s="221"/>
      <c r="AR20" s="210"/>
      <c r="AS20" s="208">
        <v>0</v>
      </c>
      <c r="AT20" s="212" t="e">
        <f t="shared" si="44"/>
        <v>#DIV/0!</v>
      </c>
      <c r="AU20" s="208">
        <v>6679.5281658171016</v>
      </c>
      <c r="AV20" s="212">
        <f t="shared" si="45"/>
        <v>2.0666282487423374E-2</v>
      </c>
      <c r="AW20" s="220">
        <f t="shared" ref="AW20" si="99">AU20-AS20</f>
        <v>6679.5281658171016</v>
      </c>
      <c r="AX20" s="221"/>
      <c r="AY20" s="210"/>
      <c r="AZ20" s="208">
        <f t="shared" ref="AZ20" si="100">AE20+AL20+AS20</f>
        <v>493.96</v>
      </c>
      <c r="BA20" s="212" t="e">
        <f t="shared" si="48"/>
        <v>#DIV/0!</v>
      </c>
      <c r="BB20" s="218">
        <f t="shared" ref="BB20" si="101">AG20+AN20+AU20</f>
        <v>19734.581456765623</v>
      </c>
      <c r="BC20" s="212">
        <f t="shared" si="50"/>
        <v>2.066628248742337E-2</v>
      </c>
      <c r="BD20" s="220">
        <f t="shared" ref="BD20" si="102">BB20-AZ20</f>
        <v>19240.621456765624</v>
      </c>
      <c r="BE20" s="212"/>
      <c r="BF20" s="210"/>
      <c r="BG20" s="208">
        <v>0</v>
      </c>
      <c r="BH20" s="212" t="e">
        <f t="shared" si="52"/>
        <v>#DIV/0!</v>
      </c>
      <c r="BI20" s="208">
        <v>0</v>
      </c>
      <c r="BJ20" s="212" t="e">
        <f t="shared" si="53"/>
        <v>#DIV/0!</v>
      </c>
      <c r="BK20" s="220">
        <f t="shared" ref="BK20" si="103">BI20-BG20</f>
        <v>0</v>
      </c>
      <c r="BL20" s="212"/>
      <c r="BM20" s="210"/>
      <c r="BN20" s="208">
        <v>0</v>
      </c>
      <c r="BO20" s="216" t="e">
        <f t="shared" si="55"/>
        <v>#DIV/0!</v>
      </c>
      <c r="BP20" s="208">
        <v>0</v>
      </c>
      <c r="BQ20" s="216" t="e">
        <f t="shared" si="56"/>
        <v>#DIV/0!</v>
      </c>
      <c r="BR20" s="222">
        <f t="shared" si="57"/>
        <v>0</v>
      </c>
      <c r="BS20" s="216"/>
      <c r="BT20" s="210"/>
      <c r="BU20" s="208">
        <v>0</v>
      </c>
      <c r="BV20" s="216">
        <f t="shared" si="58"/>
        <v>0</v>
      </c>
      <c r="BW20" s="208">
        <v>0</v>
      </c>
      <c r="BX20" s="216" t="e">
        <f t="shared" si="59"/>
        <v>#DIV/0!</v>
      </c>
      <c r="BY20" s="222">
        <f t="shared" si="60"/>
        <v>0</v>
      </c>
      <c r="BZ20" s="216"/>
      <c r="CA20" s="210"/>
      <c r="CB20" s="208">
        <v>0</v>
      </c>
      <c r="CC20" s="216">
        <f t="shared" si="61"/>
        <v>0</v>
      </c>
      <c r="CD20" s="208">
        <v>0</v>
      </c>
      <c r="CE20" s="216">
        <f t="shared" si="62"/>
        <v>0</v>
      </c>
      <c r="CF20" s="222">
        <f t="shared" si="63"/>
        <v>0</v>
      </c>
      <c r="CG20" s="216"/>
      <c r="CH20" s="210"/>
      <c r="CI20" s="208">
        <f t="shared" si="90"/>
        <v>0</v>
      </c>
      <c r="CJ20" s="216">
        <f t="shared" si="64"/>
        <v>0</v>
      </c>
      <c r="CK20" s="208">
        <f t="shared" si="65"/>
        <v>0</v>
      </c>
      <c r="CL20" s="216">
        <f t="shared" si="66"/>
        <v>0</v>
      </c>
      <c r="CM20" s="222">
        <f t="shared" si="67"/>
        <v>0</v>
      </c>
      <c r="CN20" s="216"/>
      <c r="CO20" s="210"/>
      <c r="CP20" s="208">
        <v>0</v>
      </c>
      <c r="CQ20" s="216">
        <f t="shared" si="68"/>
        <v>0</v>
      </c>
      <c r="CR20" s="222">
        <v>0</v>
      </c>
      <c r="CS20" s="216">
        <f t="shared" si="69"/>
        <v>0</v>
      </c>
      <c r="CT20" s="222">
        <f t="shared" si="70"/>
        <v>0</v>
      </c>
      <c r="CU20" s="223"/>
      <c r="CV20" s="210"/>
      <c r="CW20" s="208">
        <v>0</v>
      </c>
      <c r="CX20" s="216">
        <f t="shared" si="71"/>
        <v>0</v>
      </c>
      <c r="CY20" s="208">
        <v>0</v>
      </c>
      <c r="CZ20" s="216">
        <f t="shared" si="72"/>
        <v>0</v>
      </c>
      <c r="DA20" s="222">
        <f t="shared" si="73"/>
        <v>0</v>
      </c>
      <c r="DB20" s="216"/>
      <c r="DC20" s="210"/>
      <c r="DD20" s="208"/>
      <c r="DE20" s="216">
        <f t="shared" si="74"/>
        <v>0</v>
      </c>
      <c r="DF20" s="208">
        <v>0</v>
      </c>
      <c r="DG20" s="216">
        <f t="shared" si="75"/>
        <v>0</v>
      </c>
      <c r="DH20" s="222">
        <f t="shared" si="76"/>
        <v>0</v>
      </c>
      <c r="DI20" s="216"/>
      <c r="DJ20" s="210"/>
      <c r="DK20" s="208"/>
      <c r="DL20" s="223">
        <f t="shared" si="77"/>
        <v>0</v>
      </c>
      <c r="DM20" s="208">
        <v>0</v>
      </c>
      <c r="DN20" s="216">
        <f t="shared" si="78"/>
        <v>0</v>
      </c>
      <c r="DO20" s="222">
        <f t="shared" si="79"/>
        <v>0</v>
      </c>
      <c r="DP20" s="216"/>
      <c r="DQ20" s="210"/>
      <c r="DR20" s="208">
        <f t="shared" si="80"/>
        <v>0</v>
      </c>
      <c r="DS20" s="216">
        <f t="shared" si="81"/>
        <v>0</v>
      </c>
      <c r="DT20" s="208">
        <f t="shared" si="82"/>
        <v>0</v>
      </c>
      <c r="DU20" s="216">
        <f t="shared" si="83"/>
        <v>0</v>
      </c>
      <c r="DV20" s="222">
        <f t="shared" si="84"/>
        <v>0</v>
      </c>
      <c r="DW20" s="216"/>
      <c r="DX20" s="210"/>
      <c r="DY20" s="208">
        <f t="shared" si="85"/>
        <v>740.93999999999994</v>
      </c>
      <c r="DZ20" s="212">
        <f t="shared" si="86"/>
        <v>6.1490188246832774E-4</v>
      </c>
      <c r="EA20" s="208">
        <f t="shared" si="91"/>
        <v>19734.581456765623</v>
      </c>
      <c r="EB20" s="212">
        <f t="shared" si="87"/>
        <v>6.825782336354857E-3</v>
      </c>
      <c r="EC20" s="212">
        <f t="shared" ref="EC20" si="104">EA20-DY20</f>
        <v>18993.641456765625</v>
      </c>
      <c r="ED20" s="212"/>
      <c r="EE20" s="210"/>
      <c r="EF20" s="210"/>
    </row>
    <row r="21" spans="1:136">
      <c r="A21" s="217" t="s">
        <v>37</v>
      </c>
      <c r="B21" s="217"/>
      <c r="C21" s="208"/>
      <c r="D21" s="212"/>
      <c r="E21" s="208">
        <v>0</v>
      </c>
      <c r="F21" s="212"/>
      <c r="G21" s="212">
        <f t="shared" si="28"/>
        <v>0</v>
      </c>
      <c r="H21" s="212"/>
      <c r="I21" s="210"/>
      <c r="J21" s="218">
        <v>0</v>
      </c>
      <c r="K21" s="212"/>
      <c r="L21" s="222">
        <v>0</v>
      </c>
      <c r="M21" s="212"/>
      <c r="N21" s="212">
        <f t="shared" si="31"/>
        <v>0</v>
      </c>
      <c r="O21" s="212"/>
      <c r="P21" s="210"/>
      <c r="Q21" s="208">
        <v>0</v>
      </c>
      <c r="R21" s="212"/>
      <c r="S21" s="222">
        <v>0</v>
      </c>
      <c r="T21" s="212"/>
      <c r="U21" s="212">
        <f t="shared" si="33"/>
        <v>0</v>
      </c>
      <c r="V21" s="212"/>
      <c r="W21" s="210"/>
      <c r="X21" s="208">
        <f t="shared" si="89"/>
        <v>0</v>
      </c>
      <c r="Y21" s="212"/>
      <c r="Z21" s="218">
        <f t="shared" si="35"/>
        <v>0</v>
      </c>
      <c r="AA21" s="212"/>
      <c r="AB21" s="212">
        <f t="shared" si="37"/>
        <v>0</v>
      </c>
      <c r="AC21" s="212"/>
      <c r="AD21" s="210"/>
      <c r="AE21" s="208">
        <v>0</v>
      </c>
      <c r="AF21" s="221"/>
      <c r="AG21" s="218">
        <v>0</v>
      </c>
      <c r="AH21" s="221"/>
      <c r="AI21" s="220">
        <f t="shared" si="40"/>
        <v>0</v>
      </c>
      <c r="AJ21" s="221"/>
      <c r="AK21" s="210"/>
      <c r="AL21" s="208">
        <v>0</v>
      </c>
      <c r="AM21" s="221"/>
      <c r="AN21" s="218">
        <v>0</v>
      </c>
      <c r="AO21" s="221"/>
      <c r="AP21" s="220">
        <f t="shared" si="43"/>
        <v>0</v>
      </c>
      <c r="AQ21" s="221"/>
      <c r="AR21" s="210"/>
      <c r="AS21" s="208">
        <v>0</v>
      </c>
      <c r="AT21" s="221"/>
      <c r="AU21" s="208">
        <v>0</v>
      </c>
      <c r="AV21" s="221"/>
      <c r="AW21" s="220">
        <f t="shared" si="46"/>
        <v>0</v>
      </c>
      <c r="AX21" s="221"/>
      <c r="AY21" s="210"/>
      <c r="AZ21" s="208">
        <f t="shared" si="47"/>
        <v>0</v>
      </c>
      <c r="BA21" s="221"/>
      <c r="BB21" s="218">
        <f t="shared" si="49"/>
        <v>0</v>
      </c>
      <c r="BC21" s="221"/>
      <c r="BD21" s="220">
        <f t="shared" si="51"/>
        <v>0</v>
      </c>
      <c r="BE21" s="212"/>
      <c r="BF21" s="210"/>
      <c r="BG21" s="208">
        <v>0</v>
      </c>
      <c r="BH21" s="221"/>
      <c r="BI21" s="208">
        <v>0</v>
      </c>
      <c r="BJ21" s="221"/>
      <c r="BK21" s="220">
        <f t="shared" si="54"/>
        <v>0</v>
      </c>
      <c r="BL21" s="212"/>
      <c r="BM21" s="210"/>
      <c r="BN21" s="208">
        <v>0</v>
      </c>
      <c r="BO21" s="216"/>
      <c r="BP21" s="208">
        <v>0</v>
      </c>
      <c r="BQ21" s="216"/>
      <c r="BR21" s="222">
        <f t="shared" si="57"/>
        <v>0</v>
      </c>
      <c r="BS21" s="216"/>
      <c r="BT21" s="210"/>
      <c r="BU21" s="208">
        <v>0</v>
      </c>
      <c r="BV21" s="40"/>
      <c r="BW21" s="208">
        <v>0</v>
      </c>
      <c r="BX21" s="216"/>
      <c r="BY21" s="222">
        <f t="shared" si="60"/>
        <v>0</v>
      </c>
      <c r="BZ21" s="216"/>
      <c r="CA21" s="210"/>
      <c r="CB21" s="208">
        <v>0</v>
      </c>
      <c r="CC21" s="40"/>
      <c r="CD21" s="208">
        <v>0</v>
      </c>
      <c r="CE21" s="216"/>
      <c r="CF21" s="222">
        <f t="shared" si="63"/>
        <v>0</v>
      </c>
      <c r="CG21" s="216"/>
      <c r="CH21" s="210"/>
      <c r="CI21" s="208">
        <f t="shared" si="90"/>
        <v>0</v>
      </c>
      <c r="CJ21" s="216"/>
      <c r="CK21" s="208">
        <f t="shared" si="65"/>
        <v>0</v>
      </c>
      <c r="CL21" s="216"/>
      <c r="CM21" s="222">
        <f t="shared" si="67"/>
        <v>0</v>
      </c>
      <c r="CN21" s="216"/>
      <c r="CO21" s="210"/>
      <c r="CP21" s="208">
        <v>0</v>
      </c>
      <c r="CQ21" s="223"/>
      <c r="CR21" s="222">
        <v>0</v>
      </c>
      <c r="CS21" s="223"/>
      <c r="CT21" s="222">
        <f t="shared" si="70"/>
        <v>0</v>
      </c>
      <c r="CU21" s="223"/>
      <c r="CV21" s="210"/>
      <c r="CW21" s="208">
        <v>0</v>
      </c>
      <c r="CX21" s="216"/>
      <c r="CY21" s="208">
        <v>0</v>
      </c>
      <c r="CZ21" s="216"/>
      <c r="DA21" s="222">
        <f t="shared" si="73"/>
        <v>0</v>
      </c>
      <c r="DB21" s="216"/>
      <c r="DC21" s="210"/>
      <c r="DD21" s="208"/>
      <c r="DE21" s="216"/>
      <c r="DF21" s="208">
        <v>0</v>
      </c>
      <c r="DG21" s="216"/>
      <c r="DH21" s="222">
        <f t="shared" si="76"/>
        <v>0</v>
      </c>
      <c r="DI21" s="216"/>
      <c r="DJ21" s="210"/>
      <c r="DK21" s="208"/>
      <c r="DL21" s="216"/>
      <c r="DM21" s="208">
        <v>0</v>
      </c>
      <c r="DN21" s="216"/>
      <c r="DO21" s="222">
        <f t="shared" si="79"/>
        <v>0</v>
      </c>
      <c r="DP21" s="216"/>
      <c r="DQ21" s="210"/>
      <c r="DR21" s="208">
        <f t="shared" si="80"/>
        <v>0</v>
      </c>
      <c r="DS21" s="216"/>
      <c r="DT21" s="208">
        <f t="shared" si="82"/>
        <v>0</v>
      </c>
      <c r="DU21" s="216"/>
      <c r="DV21" s="222">
        <f t="shared" si="84"/>
        <v>0</v>
      </c>
      <c r="DW21" s="216"/>
      <c r="DX21" s="210"/>
      <c r="DY21" s="208">
        <f t="shared" si="85"/>
        <v>0</v>
      </c>
      <c r="DZ21" s="216"/>
      <c r="EA21" s="208">
        <f t="shared" si="91"/>
        <v>0</v>
      </c>
      <c r="EB21" s="212"/>
      <c r="EC21" s="212">
        <f t="shared" si="88"/>
        <v>0</v>
      </c>
      <c r="ED21" s="212"/>
      <c r="EE21" s="210"/>
      <c r="EF21" s="210"/>
    </row>
    <row r="22" spans="1:136" ht="17.100000000000001" thickBot="1">
      <c r="A22" s="6" t="s">
        <v>38</v>
      </c>
      <c r="B22" s="5"/>
      <c r="C22" s="66">
        <f>SUM(C15:C21)</f>
        <v>0</v>
      </c>
      <c r="D22" s="31" t="e">
        <f>C22/C12</f>
        <v>#DIV/0!</v>
      </c>
      <c r="E22" s="18">
        <f>SUM(E15:E21)</f>
        <v>68401</v>
      </c>
      <c r="F22" s="31">
        <f>E22/E12</f>
        <v>0.27106251783279967</v>
      </c>
      <c r="G22" s="34">
        <f t="shared" si="28"/>
        <v>68401</v>
      </c>
      <c r="H22" s="31">
        <f>G22/E22</f>
        <v>1</v>
      </c>
      <c r="I22" s="210"/>
      <c r="J22" s="18">
        <f>SUM(J15:J21)</f>
        <v>33877.26</v>
      </c>
      <c r="K22" s="31">
        <f>J22/J12</f>
        <v>0.2360069247301341</v>
      </c>
      <c r="L22" s="18">
        <f>SUM(L15:L21)</f>
        <v>63660.450697842469</v>
      </c>
      <c r="M22" s="31">
        <f>L22/L12</f>
        <v>0.25039712087767563</v>
      </c>
      <c r="N22" s="34">
        <f t="shared" si="31"/>
        <v>29783.190697842467</v>
      </c>
      <c r="O22" s="31">
        <f>N22/L22</f>
        <v>0.4678444838413916</v>
      </c>
      <c r="P22" s="210"/>
      <c r="Q22" s="66">
        <f>SUM(Q15:Q21)</f>
        <v>22046.27</v>
      </c>
      <c r="R22" s="19">
        <f>Q22/Q12</f>
        <v>0.18161386067654164</v>
      </c>
      <c r="S22" s="18">
        <f>SUM(S15:S21)</f>
        <v>73319.169580523812</v>
      </c>
      <c r="T22" s="31">
        <f>S22/S12</f>
        <v>0.25039712087767563</v>
      </c>
      <c r="U22" s="34">
        <f t="shared" si="33"/>
        <v>51272.899580523808</v>
      </c>
      <c r="V22" s="31">
        <f>U22/S22</f>
        <v>0.69931096974867701</v>
      </c>
      <c r="W22" s="210"/>
      <c r="X22" s="66">
        <f>SUM(X15:X21)</f>
        <v>55923.53</v>
      </c>
      <c r="Y22" s="31">
        <f>X22/X12</f>
        <v>0.21108444203546239</v>
      </c>
      <c r="Z22" s="18">
        <f>SUM(Z15:Z21)</f>
        <v>200165.62027836629</v>
      </c>
      <c r="AA22" s="19">
        <f>Z22/Z12</f>
        <v>0.25039685683905677</v>
      </c>
      <c r="AB22" s="34">
        <f t="shared" si="37"/>
        <v>144242.09027836629</v>
      </c>
      <c r="AC22" s="31">
        <f>AB22/Z22</f>
        <v>0.72061371017546227</v>
      </c>
      <c r="AD22" s="210"/>
      <c r="AE22" s="66">
        <f>SUM(AE15:AE21)</f>
        <v>1280.76</v>
      </c>
      <c r="AF22" s="19" t="e">
        <f>AE22/AE12</f>
        <v>#DIV/0!</v>
      </c>
      <c r="AG22" s="18">
        <f>SUM(AG15:AG21)</f>
        <v>85450.34713162978</v>
      </c>
      <c r="AH22" s="19">
        <f>AG22/AG12</f>
        <v>0.27106340336509893</v>
      </c>
      <c r="AI22" s="71">
        <f t="shared" si="40"/>
        <v>84169.587131629785</v>
      </c>
      <c r="AJ22" s="19">
        <f>AI22/AG22</f>
        <v>0.98501164661125273</v>
      </c>
      <c r="AK22" s="210"/>
      <c r="AL22" s="66">
        <f>SUM(AL15:AL21)</f>
        <v>1669.81</v>
      </c>
      <c r="AM22" s="19" t="e">
        <f>AL22/AL12</f>
        <v>#DIV/0!</v>
      </c>
      <c r="AN22" s="18">
        <f>SUM(AN15:AN21)</f>
        <v>85782.538043087741</v>
      </c>
      <c r="AO22" s="19">
        <f>AN22/AN12</f>
        <v>0.27106340336509893</v>
      </c>
      <c r="AP22" s="71">
        <f t="shared" si="43"/>
        <v>84112.728043087744</v>
      </c>
      <c r="AQ22" s="19">
        <f>AP22/AN22</f>
        <v>0.98053438335945164</v>
      </c>
      <c r="AR22" s="210"/>
      <c r="AS22" s="66">
        <f>SUM(AS15:AS21)</f>
        <v>183.53</v>
      </c>
      <c r="AT22" s="19" t="e">
        <f>AS22/AS12</f>
        <v>#DIV/0!</v>
      </c>
      <c r="AU22" s="18">
        <f>SUM(AU15:AU21)</f>
        <v>87610.12720121583</v>
      </c>
      <c r="AV22" s="19">
        <f>AU22/AU12</f>
        <v>0.27106340336509899</v>
      </c>
      <c r="AW22" s="71">
        <f t="shared" ref="AW22" si="105">AU22-AS22</f>
        <v>87426.597201215831</v>
      </c>
      <c r="AX22" s="19">
        <f>AW22/AU22</f>
        <v>0.99790515085569409</v>
      </c>
      <c r="AY22" s="210"/>
      <c r="AZ22" s="66">
        <f>SUM(AZ15:AZ21)</f>
        <v>3134.1</v>
      </c>
      <c r="BA22" s="19" t="e">
        <f>AZ22/AZ12</f>
        <v>#DIV/0!</v>
      </c>
      <c r="BB22" s="18">
        <f>SUM(BB15:BB21)</f>
        <v>258843.01237593338</v>
      </c>
      <c r="BC22" s="19">
        <f>BB22/BB12</f>
        <v>0.27106340336509899</v>
      </c>
      <c r="BD22" s="71">
        <f t="shared" si="51"/>
        <v>255708.91237593337</v>
      </c>
      <c r="BE22" s="31">
        <f>BD22/BB22</f>
        <v>0.98789188871188005</v>
      </c>
      <c r="BF22" s="210"/>
      <c r="BG22" s="66">
        <f>SUM(BG15:BG21)</f>
        <v>1357.5</v>
      </c>
      <c r="BH22" s="19" t="e">
        <f>BG22/BG12</f>
        <v>#DIV/0!</v>
      </c>
      <c r="BI22" s="66">
        <f>SUM(BI15:BI21)</f>
        <v>0</v>
      </c>
      <c r="BJ22" s="19" t="e">
        <f>BI22/BI12</f>
        <v>#DIV/0!</v>
      </c>
      <c r="BK22" s="71">
        <f t="shared" si="54"/>
        <v>-1357.5</v>
      </c>
      <c r="BL22" s="31" t="e">
        <f>BK22/BI22</f>
        <v>#DIV/0!</v>
      </c>
      <c r="BM22" s="210"/>
      <c r="BN22" s="66">
        <f>SUM(BN15:BN21)</f>
        <v>396.87</v>
      </c>
      <c r="BO22" s="40" t="e">
        <f>BN22/BN12</f>
        <v>#DIV/0!</v>
      </c>
      <c r="BP22" s="66">
        <f>SUM(BP15:BP21)</f>
        <v>0</v>
      </c>
      <c r="BQ22" s="40" t="e">
        <f>+BP22/BP12</f>
        <v>#DIV/0!</v>
      </c>
      <c r="BR22" s="66">
        <f>SUM(BR15:BR21)</f>
        <v>396.87</v>
      </c>
      <c r="BS22" s="40">
        <f t="shared" ref="BS22:BY22" si="106">SUM(BS15:BS21)</f>
        <v>0</v>
      </c>
      <c r="BT22" s="18">
        <f t="shared" si="106"/>
        <v>0</v>
      </c>
      <c r="BU22" s="66">
        <f t="shared" si="106"/>
        <v>0</v>
      </c>
      <c r="BV22" s="40">
        <f>BU22/BU12</f>
        <v>0</v>
      </c>
      <c r="BW22" s="66">
        <f t="shared" si="106"/>
        <v>0</v>
      </c>
      <c r="BX22" s="40" t="e">
        <f>BW22/BW12</f>
        <v>#DIV/0!</v>
      </c>
      <c r="BY22" s="66">
        <f t="shared" si="106"/>
        <v>0</v>
      </c>
      <c r="BZ22" s="40" t="e">
        <f>BY22/BW22</f>
        <v>#DIV/0!</v>
      </c>
      <c r="CA22" s="210"/>
      <c r="CB22" s="66">
        <f t="shared" ref="CB22" si="107">SUM(CB15:CB21)</f>
        <v>17100.88</v>
      </c>
      <c r="CC22" s="40">
        <f>CB22/CB12</f>
        <v>0.2352155061487809</v>
      </c>
      <c r="CD22" s="66">
        <f t="shared" ref="CD22" si="108">SUM(CD15:CD21)</f>
        <v>28953</v>
      </c>
      <c r="CE22" s="40">
        <f>CD22/CD12</f>
        <v>0.24375726144572227</v>
      </c>
      <c r="CF22" s="66">
        <f t="shared" ref="CF22" si="109">SUM(CF15:CF21)</f>
        <v>-11852.12</v>
      </c>
      <c r="CG22" s="40">
        <f>CF22/CD22</f>
        <v>-0.40935723413808589</v>
      </c>
      <c r="CH22" s="210"/>
      <c r="CI22" s="66">
        <f>SUM(CI15:CI21)</f>
        <v>18855.25</v>
      </c>
      <c r="CJ22" s="40">
        <f>CI22/CI12</f>
        <v>0.23208423899965447</v>
      </c>
      <c r="CK22" s="66">
        <f>SUM(CK15:CK21)</f>
        <v>28953</v>
      </c>
      <c r="CL22" s="40">
        <f>CK22/CK12</f>
        <v>0.24375726144572227</v>
      </c>
      <c r="CM22" s="66">
        <f>SUM(CM15:CM19)</f>
        <v>-10097.75</v>
      </c>
      <c r="CN22" s="40">
        <f>CM22/CK22</f>
        <v>-0.34876351328014366</v>
      </c>
      <c r="CO22" s="210"/>
      <c r="CP22" s="66">
        <f>SUM(CP15:CP21)</f>
        <v>57942.1</v>
      </c>
      <c r="CQ22" s="42">
        <f>CP22/CP12</f>
        <v>0.26104659219945003</v>
      </c>
      <c r="CR22" s="66">
        <f>SUM(CR15:CR21)</f>
        <v>57904</v>
      </c>
      <c r="CS22" s="42">
        <f>CR22/CR12</f>
        <v>0.2437488423782182</v>
      </c>
      <c r="CT22" s="66">
        <f>SUM(CT15:CT21)</f>
        <v>38.100000000002183</v>
      </c>
      <c r="CU22" s="42">
        <f>CT22/CR22</f>
        <v>6.5798563138992443E-4</v>
      </c>
      <c r="CV22" s="210"/>
      <c r="CW22" s="66">
        <f>SUM(CW15:CW21)</f>
        <v>68706.559999999998</v>
      </c>
      <c r="CX22" s="40">
        <f>CW22/CW12</f>
        <v>0.26358235446646378</v>
      </c>
      <c r="CY22" s="66">
        <f>SUM(CY15:CY21)</f>
        <v>57904</v>
      </c>
      <c r="CZ22" s="40">
        <f>CY22/CY12</f>
        <v>0.2437488423782182</v>
      </c>
      <c r="DA22" s="66">
        <f>SUM(DA15:DA21)</f>
        <v>10802.559999999996</v>
      </c>
      <c r="DB22" s="40">
        <f>DA22/CY22</f>
        <v>0.18655982315556777</v>
      </c>
      <c r="DC22" s="210"/>
      <c r="DD22" s="66">
        <f>SUM(DD15:DD21)</f>
        <v>60099.390000000007</v>
      </c>
      <c r="DE22" s="40">
        <f>DD22/DD12</f>
        <v>0.26414242106170865</v>
      </c>
      <c r="DF22" s="66">
        <f>SUM(DF15:DF21)</f>
        <v>66177</v>
      </c>
      <c r="DG22" s="40">
        <f>DF22/DF12</f>
        <v>0.24375393659458325</v>
      </c>
      <c r="DH22" s="66">
        <f>SUM(DH15:DH21)</f>
        <v>-6077.6099999999979</v>
      </c>
      <c r="DI22" s="40">
        <f>DH22/DF22</f>
        <v>-9.1838705290357647E-2</v>
      </c>
      <c r="DJ22" s="210"/>
      <c r="DK22" s="66">
        <f>SUM(DK15:DK21)</f>
        <v>39211.030000000006</v>
      </c>
      <c r="DL22" s="40">
        <f>DK22/DK12</f>
        <v>0.26379244728443879</v>
      </c>
      <c r="DM22" s="66">
        <f>SUM(DM15:DM21)</f>
        <v>66177</v>
      </c>
      <c r="DN22" s="40">
        <f>DM22/DM12</f>
        <v>0.24375393659458325</v>
      </c>
      <c r="DO22" s="66">
        <f>SUM(DO15:DO21)</f>
        <v>-26965.969999999998</v>
      </c>
      <c r="DP22" s="40">
        <f>DO22/DM22</f>
        <v>-0.40748250902881661</v>
      </c>
      <c r="DQ22" s="210"/>
      <c r="DR22" s="66">
        <f>SUM(DR15:DR21)</f>
        <v>225959.07999999996</v>
      </c>
      <c r="DS22" s="40">
        <f>DR22/DR12</f>
        <v>0.2631117174385697</v>
      </c>
      <c r="DT22" s="66">
        <f>SUM(DT15:DT21)</f>
        <v>248162</v>
      </c>
      <c r="DU22" s="40">
        <f>DT22/DT12</f>
        <v>0.24375155928627415</v>
      </c>
      <c r="DV22" s="67">
        <f t="shared" ref="DV22" si="110">DT22-DR22</f>
        <v>22202.920000000042</v>
      </c>
      <c r="DW22" s="40">
        <f>DV22/DT22</f>
        <v>8.9469459465994161E-2</v>
      </c>
      <c r="DX22" s="210"/>
      <c r="DY22" s="66">
        <f>SUM(DY15:DY21)</f>
        <v>303871.95999999996</v>
      </c>
      <c r="DZ22" s="40">
        <f>DY22/DY12</f>
        <v>0.25218160746260204</v>
      </c>
      <c r="EA22" s="66">
        <f>SUM(EA15:EA21)</f>
        <v>736123.63265429961</v>
      </c>
      <c r="EB22" s="40">
        <f>EA22/EA12</f>
        <v>0.25460989381269572</v>
      </c>
      <c r="EC22" s="34">
        <f t="shared" si="88"/>
        <v>432251.67265429965</v>
      </c>
      <c r="ED22" s="31">
        <f>EC22/EA22</f>
        <v>0.5871998309518951</v>
      </c>
      <c r="EE22" s="224"/>
      <c r="EF22" s="224"/>
    </row>
    <row r="23" spans="1:136" ht="17.100000000000001" thickTop="1">
      <c r="A23" s="210"/>
      <c r="B23" s="210"/>
      <c r="C23" s="208"/>
      <c r="D23" s="212"/>
      <c r="E23" s="218"/>
      <c r="F23" s="212"/>
      <c r="G23" s="212"/>
      <c r="H23" s="212"/>
      <c r="I23" s="210"/>
      <c r="J23" s="218"/>
      <c r="K23" s="212"/>
      <c r="L23" s="218"/>
      <c r="M23" s="212"/>
      <c r="N23" s="212"/>
      <c r="O23" s="212"/>
      <c r="P23" s="210"/>
      <c r="Q23" s="208"/>
      <c r="R23" s="218"/>
      <c r="S23" s="218"/>
      <c r="T23" s="212"/>
      <c r="U23" s="212"/>
      <c r="V23" s="212"/>
      <c r="W23" s="210"/>
      <c r="X23" s="208"/>
      <c r="Y23" s="212"/>
      <c r="Z23" s="218"/>
      <c r="AA23" s="221"/>
      <c r="AB23" s="212"/>
      <c r="AC23" s="212"/>
      <c r="AD23" s="210"/>
      <c r="AE23" s="208"/>
      <c r="AF23" s="218"/>
      <c r="AG23" s="218"/>
      <c r="AH23" s="218"/>
      <c r="AI23" s="220"/>
      <c r="AJ23" s="220"/>
      <c r="AK23" s="210"/>
      <c r="AL23" s="208"/>
      <c r="AM23" s="218"/>
      <c r="AN23" s="218"/>
      <c r="AO23" s="218"/>
      <c r="AP23" s="220"/>
      <c r="AQ23" s="220"/>
      <c r="AR23" s="210"/>
      <c r="AS23" s="208"/>
      <c r="AT23" s="218"/>
      <c r="AU23" s="218"/>
      <c r="AV23" s="218"/>
      <c r="AW23" s="220"/>
      <c r="AX23" s="220"/>
      <c r="AY23" s="210"/>
      <c r="AZ23" s="208"/>
      <c r="BA23" s="218"/>
      <c r="BB23" s="218"/>
      <c r="BC23" s="218"/>
      <c r="BD23" s="220"/>
      <c r="BE23" s="212"/>
      <c r="BF23" s="210"/>
      <c r="BG23" s="208"/>
      <c r="BH23" s="218"/>
      <c r="BI23" s="208"/>
      <c r="BJ23" s="218"/>
      <c r="BK23" s="220"/>
      <c r="BL23" s="212"/>
      <c r="BM23" s="210"/>
      <c r="BN23" s="208"/>
      <c r="BO23" s="216"/>
      <c r="BP23" s="208"/>
      <c r="BQ23" s="216"/>
      <c r="BR23" s="222"/>
      <c r="BS23" s="216"/>
      <c r="BT23" s="210"/>
      <c r="BU23" s="208"/>
      <c r="BV23" s="216"/>
      <c r="BW23" s="208"/>
      <c r="BX23" s="216"/>
      <c r="BY23" s="222"/>
      <c r="BZ23" s="213"/>
      <c r="CA23" s="210"/>
      <c r="CB23" s="208"/>
      <c r="CC23" s="216"/>
      <c r="CD23" s="208"/>
      <c r="CE23" s="216"/>
      <c r="CF23" s="222"/>
      <c r="CG23" s="213"/>
      <c r="CH23" s="210"/>
      <c r="CI23" s="208"/>
      <c r="CJ23" s="216"/>
      <c r="CK23" s="208"/>
      <c r="CL23" s="216"/>
      <c r="CM23" s="222"/>
      <c r="CN23" s="213"/>
      <c r="CO23" s="210"/>
      <c r="CP23" s="208"/>
      <c r="CQ23" s="208"/>
      <c r="CR23" s="208"/>
      <c r="CS23" s="208"/>
      <c r="CT23" s="222"/>
      <c r="CU23" s="222"/>
      <c r="CV23" s="210"/>
      <c r="CW23" s="208"/>
      <c r="CX23" s="216"/>
      <c r="CY23" s="208"/>
      <c r="CZ23" s="216"/>
      <c r="DA23" s="222"/>
      <c r="DB23" s="213"/>
      <c r="DC23" s="210"/>
      <c r="DD23" s="208"/>
      <c r="DE23" s="216"/>
      <c r="DF23" s="208"/>
      <c r="DG23" s="216"/>
      <c r="DH23" s="222"/>
      <c r="DI23" s="213"/>
      <c r="DJ23" s="210"/>
      <c r="DK23" s="208"/>
      <c r="DL23" s="216"/>
      <c r="DM23" s="208"/>
      <c r="DN23" s="216"/>
      <c r="DO23" s="222"/>
      <c r="DP23" s="213"/>
      <c r="DQ23" s="210"/>
      <c r="DR23" s="208"/>
      <c r="DS23" s="216"/>
      <c r="DT23" s="208"/>
      <c r="DU23" s="216"/>
      <c r="DV23" s="222"/>
      <c r="DW23" s="213"/>
      <c r="DX23" s="210"/>
      <c r="DY23" s="208"/>
      <c r="DZ23" s="216"/>
      <c r="EA23" s="208"/>
      <c r="EB23" s="212"/>
      <c r="EC23" s="212"/>
      <c r="ED23" s="212"/>
      <c r="EE23" s="210"/>
      <c r="EF23" s="210"/>
    </row>
    <row r="24" spans="1:136" s="3" customFormat="1">
      <c r="A24" s="7" t="s">
        <v>39</v>
      </c>
      <c r="B24" s="7"/>
      <c r="C24" s="44">
        <f>+C12-C22</f>
        <v>0</v>
      </c>
      <c r="D24" s="32" t="e">
        <f>C24/C12</f>
        <v>#DIV/0!</v>
      </c>
      <c r="E24" s="20">
        <f>+E12-E22</f>
        <v>183943</v>
      </c>
      <c r="F24" s="32">
        <f>E24/E12</f>
        <v>0.72893748216720033</v>
      </c>
      <c r="G24" s="31">
        <f>C24-E24</f>
        <v>-183943</v>
      </c>
      <c r="H24" s="31">
        <f>G24/E24</f>
        <v>-1</v>
      </c>
      <c r="J24" s="44">
        <f>+J12-J22</f>
        <v>109666.23999999999</v>
      </c>
      <c r="K24" s="32">
        <f>J24/J12</f>
        <v>0.76399307526986582</v>
      </c>
      <c r="L24" s="20">
        <f>+L12-L22</f>
        <v>190577.49930215758</v>
      </c>
      <c r="M24" s="32">
        <f>L24/L12</f>
        <v>0.74960287912232437</v>
      </c>
      <c r="N24" s="31">
        <f>J24-L24</f>
        <v>-80911.259302157589</v>
      </c>
      <c r="O24" s="31">
        <f>N24/L24</f>
        <v>-0.42455830094545466</v>
      </c>
      <c r="Q24" s="44">
        <f>+Q12-Q22</f>
        <v>99344.63</v>
      </c>
      <c r="R24" s="32">
        <f>Q24/Q12</f>
        <v>0.81838613932345827</v>
      </c>
      <c r="S24" s="20">
        <f>+S12-S22</f>
        <v>219492.38241947623</v>
      </c>
      <c r="T24" s="32">
        <f>S24/S12</f>
        <v>0.74960287912232437</v>
      </c>
      <c r="U24" s="31">
        <f>Q24-S24</f>
        <v>-120147.75241947622</v>
      </c>
      <c r="V24" s="31">
        <f>U24/S24</f>
        <v>-0.54738916720061603</v>
      </c>
      <c r="X24" s="44">
        <f>+X12-X22</f>
        <v>209010.86999999997</v>
      </c>
      <c r="Y24" s="32">
        <f>X24/X12</f>
        <v>0.78891555796453761</v>
      </c>
      <c r="Z24" s="20">
        <f>+Z12-Z22</f>
        <v>599227.88172163395</v>
      </c>
      <c r="AA24" s="32">
        <f>Z24/Z12</f>
        <v>0.74960314316094323</v>
      </c>
      <c r="AB24" s="31">
        <f>X24-Z24</f>
        <v>-390217.01172163396</v>
      </c>
      <c r="AC24" s="31">
        <f>AB24/Z24</f>
        <v>-0.65119969151052592</v>
      </c>
      <c r="AE24" s="44">
        <f>+AE12-AE22</f>
        <v>-1280.76</v>
      </c>
      <c r="AF24" s="32" t="e">
        <f>AE24/AE12</f>
        <v>#DIV/0!</v>
      </c>
      <c r="AG24" s="20">
        <f>+AG12-AG22</f>
        <v>229790.83286837029</v>
      </c>
      <c r="AH24" s="32">
        <f>AG24/AG12</f>
        <v>0.72893659663490107</v>
      </c>
      <c r="AI24" s="31">
        <f>AE24-AG24</f>
        <v>-231071.5928683703</v>
      </c>
      <c r="AJ24" s="31">
        <f>AI24/AG24</f>
        <v>-1.0055735904866738</v>
      </c>
      <c r="AL24" s="44">
        <f>+AL12-AL22</f>
        <v>-1669.81</v>
      </c>
      <c r="AM24" s="32" t="e">
        <f>AL24/AL12</f>
        <v>#DIV/0!</v>
      </c>
      <c r="AN24" s="20">
        <f>+AN12-AN22</f>
        <v>230684.1519569123</v>
      </c>
      <c r="AO24" s="32">
        <f>AN24/AN12</f>
        <v>0.72893659663490096</v>
      </c>
      <c r="AP24" s="31">
        <f>AL24-AN24</f>
        <v>-232353.9619569123</v>
      </c>
      <c r="AQ24" s="31">
        <f>AP24/AN24</f>
        <v>-1.0072385119906802</v>
      </c>
      <c r="AS24" s="44">
        <f>+AS12-AS22</f>
        <v>-183.53</v>
      </c>
      <c r="AT24" s="32" t="e">
        <f>AS24/AS12</f>
        <v>#DIV/0!</v>
      </c>
      <c r="AU24" s="20">
        <f>+AU12-AU22</f>
        <v>235598.85679878417</v>
      </c>
      <c r="AV24" s="32">
        <f>AU24/AU12</f>
        <v>0.72893659663490096</v>
      </c>
      <c r="AW24" s="31">
        <f>AS24-AU24</f>
        <v>-235782.38679878417</v>
      </c>
      <c r="AX24" s="31">
        <f>AW24/AU24</f>
        <v>-1.0007789935931513</v>
      </c>
      <c r="AZ24" s="44">
        <f>+AZ12-AZ22</f>
        <v>-3134.1</v>
      </c>
      <c r="BA24" s="32" t="e">
        <f>AZ24/AZ12</f>
        <v>#DIV/0!</v>
      </c>
      <c r="BB24" s="20">
        <f>+BB12-BB22</f>
        <v>696073.84162406682</v>
      </c>
      <c r="BC24" s="32">
        <f>BB24/BB12</f>
        <v>0.72893659663490107</v>
      </c>
      <c r="BD24" s="31">
        <f>AZ24-BB24</f>
        <v>-699207.94162406679</v>
      </c>
      <c r="BE24" s="31">
        <f>BD24/BB24</f>
        <v>-1.0045025395476543</v>
      </c>
      <c r="BG24" s="44">
        <f>+BG12-BG22</f>
        <v>-1357.5</v>
      </c>
      <c r="BH24" s="32" t="e">
        <f>BG24/BG12</f>
        <v>#DIV/0!</v>
      </c>
      <c r="BI24" s="44">
        <f>+BI12-BI22</f>
        <v>0</v>
      </c>
      <c r="BJ24" s="32" t="e">
        <f>BI24/BI12</f>
        <v>#DIV/0!</v>
      </c>
      <c r="BK24" s="79">
        <f>BG24-BI24</f>
        <v>-1357.5</v>
      </c>
      <c r="BL24" s="31" t="e">
        <f>BK24/BI24</f>
        <v>#DIV/0!</v>
      </c>
      <c r="BN24" s="44">
        <f>+BN12-BN22</f>
        <v>-396.87</v>
      </c>
      <c r="BO24" s="38" t="e">
        <f>BN24/BN12</f>
        <v>#DIV/0!</v>
      </c>
      <c r="BP24" s="44">
        <f>+BP12-BP22</f>
        <v>0</v>
      </c>
      <c r="BQ24" s="38" t="e">
        <f>BP24/BP12</f>
        <v>#DIV/0!</v>
      </c>
      <c r="BR24" s="44">
        <f>+BR12-BR22</f>
        <v>-396.87</v>
      </c>
      <c r="BS24" s="40" t="e">
        <f>BR24/BP24</f>
        <v>#DIV/0!</v>
      </c>
      <c r="BU24" s="44">
        <f>+BU12-BU22</f>
        <v>8540.1</v>
      </c>
      <c r="BV24" s="38">
        <f>BU24/BU12</f>
        <v>1</v>
      </c>
      <c r="BW24" s="44">
        <f>+BW12-BW22</f>
        <v>0</v>
      </c>
      <c r="BX24" s="38" t="e">
        <f>BW24/BW12</f>
        <v>#DIV/0!</v>
      </c>
      <c r="BY24" s="44">
        <f>+BY12-BY22</f>
        <v>8540.1</v>
      </c>
      <c r="BZ24" s="40" t="e">
        <f>BY24/BW24</f>
        <v>#DIV/0!</v>
      </c>
      <c r="CB24" s="44">
        <f>+CB12-CB22</f>
        <v>55602.149999999994</v>
      </c>
      <c r="CC24" s="38">
        <f>CB24/CB12</f>
        <v>0.76478449385121905</v>
      </c>
      <c r="CD24" s="44">
        <f>+CD12-CD22</f>
        <v>89825</v>
      </c>
      <c r="CE24" s="38">
        <f>CD24/CD12</f>
        <v>0.7562427385542777</v>
      </c>
      <c r="CF24" s="44">
        <f>+CF12-CF22</f>
        <v>-34222.85</v>
      </c>
      <c r="CG24" s="40">
        <f>CF24/CD24</f>
        <v>-0.3809947119398831</v>
      </c>
      <c r="CI24" s="44">
        <f>+CI12-CI22</f>
        <v>62387.880000000005</v>
      </c>
      <c r="CJ24" s="38">
        <f>CI24/CI12</f>
        <v>0.76791576100034553</v>
      </c>
      <c r="CK24" s="44">
        <f>+CK12-CK22</f>
        <v>89825</v>
      </c>
      <c r="CL24" s="38">
        <f>CK24/CK12</f>
        <v>0.7562427385542777</v>
      </c>
      <c r="CM24" s="44">
        <f>+CM12-CM22</f>
        <v>-27437.120000000003</v>
      </c>
      <c r="CN24" s="40">
        <f>CM24/CK24</f>
        <v>-0.30545082104091292</v>
      </c>
      <c r="CP24" s="44">
        <f>+CP12-CP22</f>
        <v>164018.66</v>
      </c>
      <c r="CQ24" s="38">
        <f>CP24/CP12</f>
        <v>0.73895340780054997</v>
      </c>
      <c r="CR24" s="44">
        <f>+CR12-CR22</f>
        <v>179652</v>
      </c>
      <c r="CS24" s="38">
        <f>CR24/CR12</f>
        <v>0.75625115762178186</v>
      </c>
      <c r="CT24" s="44">
        <f>+CT12-CT22</f>
        <v>-15633.339999999993</v>
      </c>
      <c r="CU24" s="40">
        <f>CT24/CR24</f>
        <v>-8.7020127802640623E-2</v>
      </c>
      <c r="CW24" s="44">
        <f>+CW12-CW22</f>
        <v>191957.93</v>
      </c>
      <c r="CX24" s="38">
        <f>CW24/CW12</f>
        <v>0.73641764553353628</v>
      </c>
      <c r="CY24" s="44">
        <f>+CY12-CY22</f>
        <v>179652</v>
      </c>
      <c r="CZ24" s="38">
        <f>CY24/CY12</f>
        <v>0.75625115762178186</v>
      </c>
      <c r="DA24" s="44">
        <f>+DA12-DA22</f>
        <v>12305.929999999995</v>
      </c>
      <c r="DB24" s="40">
        <f>DA24/CY24</f>
        <v>6.8498708614432316E-2</v>
      </c>
      <c r="DD24" s="44">
        <f>+DD12-DD22</f>
        <v>167427.06999999998</v>
      </c>
      <c r="DE24" s="38">
        <f>DD24/DD12</f>
        <v>0.73585757893829129</v>
      </c>
      <c r="DF24" s="44">
        <f>+DF12-DF22</f>
        <v>205314</v>
      </c>
      <c r="DG24" s="38">
        <f>DF24/DF12</f>
        <v>0.75624606340541678</v>
      </c>
      <c r="DH24" s="44">
        <f>+DH12-DH22</f>
        <v>-37886.930000000008</v>
      </c>
      <c r="DI24" s="40">
        <f>DH24/DF24</f>
        <v>-0.18453164421325388</v>
      </c>
      <c r="DK24" s="44">
        <f>+DK12-DK22</f>
        <v>109432.45999999999</v>
      </c>
      <c r="DL24" s="38">
        <f>DK24/DK12</f>
        <v>0.73620755271556126</v>
      </c>
      <c r="DM24" s="44">
        <f>+DM12-DM22</f>
        <v>205314</v>
      </c>
      <c r="DN24" s="38">
        <f>DM24/DM12</f>
        <v>0.75624606340541678</v>
      </c>
      <c r="DO24" s="44">
        <f>+DO12-DO22</f>
        <v>-95881.54</v>
      </c>
      <c r="DP24" s="40">
        <f>DO24/DM24</f>
        <v>-0.46699952268233047</v>
      </c>
      <c r="DR24" s="44">
        <f>+DR12-DR22</f>
        <v>632836.12</v>
      </c>
      <c r="DS24" s="38">
        <f>DR24/DR12</f>
        <v>0.73688828256143024</v>
      </c>
      <c r="DT24" s="44">
        <f>+DT12-DT22</f>
        <v>769932</v>
      </c>
      <c r="DU24" s="38">
        <f>DT24/DT12</f>
        <v>0.75624844071372588</v>
      </c>
      <c r="DV24" s="44">
        <f>+DV12-DV22</f>
        <v>-181501.72000000009</v>
      </c>
      <c r="DW24" s="40">
        <f>DV24/DT24</f>
        <v>-0.23573733784282261</v>
      </c>
      <c r="DY24" s="44">
        <f>+DY12-DY22</f>
        <v>901100.77</v>
      </c>
      <c r="DZ24" s="32">
        <f>DY24/DY12</f>
        <v>0.7478183925373979</v>
      </c>
      <c r="EA24" s="20">
        <f>+EA12-EA22</f>
        <v>2155058.7233457011</v>
      </c>
      <c r="EB24" s="32">
        <f>EA24/EA12</f>
        <v>0.74539010618730428</v>
      </c>
      <c r="EC24" s="31">
        <f>DY24-EA24</f>
        <v>-1253957.9533457011</v>
      </c>
      <c r="ED24" s="31">
        <f>EC24/EA24</f>
        <v>-0.58186718522405156</v>
      </c>
      <c r="EE24" s="224"/>
    </row>
    <row r="25" spans="1:136">
      <c r="A25" s="8"/>
      <c r="B25" s="8"/>
      <c r="C25" s="65"/>
      <c r="D25" s="33"/>
      <c r="E25" s="22"/>
      <c r="F25" s="33"/>
      <c r="G25" s="33"/>
      <c r="H25" s="33"/>
      <c r="I25" s="210"/>
      <c r="J25" s="22"/>
      <c r="K25" s="33"/>
      <c r="L25" s="22"/>
      <c r="M25" s="33"/>
      <c r="N25" s="33"/>
      <c r="O25" s="33"/>
      <c r="P25" s="210"/>
      <c r="Q25" s="65"/>
      <c r="R25" s="23"/>
      <c r="S25" s="22"/>
      <c r="T25" s="33"/>
      <c r="U25" s="33"/>
      <c r="V25" s="33"/>
      <c r="W25" s="210"/>
      <c r="X25" s="65"/>
      <c r="Y25" s="33"/>
      <c r="Z25" s="22"/>
      <c r="AA25" s="23"/>
      <c r="AB25" s="33"/>
      <c r="AC25" s="33"/>
      <c r="AD25" s="210"/>
      <c r="AE25" s="65"/>
      <c r="AF25" s="23"/>
      <c r="AG25" s="22"/>
      <c r="AH25" s="23"/>
      <c r="AI25" s="73"/>
      <c r="AJ25" s="73"/>
      <c r="AK25" s="210"/>
      <c r="AL25" s="65"/>
      <c r="AM25" s="23"/>
      <c r="AN25" s="22"/>
      <c r="AO25" s="23"/>
      <c r="AP25" s="73"/>
      <c r="AQ25" s="73"/>
      <c r="AR25" s="210"/>
      <c r="AS25" s="65"/>
      <c r="AT25" s="23"/>
      <c r="AU25" s="22"/>
      <c r="AV25" s="23"/>
      <c r="AW25" s="73"/>
      <c r="AX25" s="73"/>
      <c r="AY25" s="210"/>
      <c r="AZ25" s="65"/>
      <c r="BA25" s="23"/>
      <c r="BB25" s="22"/>
      <c r="BC25" s="23"/>
      <c r="BD25" s="73"/>
      <c r="BE25" s="33"/>
      <c r="BF25" s="210"/>
      <c r="BG25" s="65"/>
      <c r="BH25" s="23"/>
      <c r="BI25" s="65"/>
      <c r="BJ25" s="23"/>
      <c r="BK25" s="73"/>
      <c r="BL25" s="33"/>
      <c r="BM25" s="210"/>
      <c r="BN25" s="65"/>
      <c r="BO25" s="52"/>
      <c r="BP25" s="65"/>
      <c r="BQ25" s="52"/>
      <c r="BR25" s="68"/>
      <c r="BS25" s="52"/>
      <c r="BT25" s="210"/>
      <c r="BU25" s="65"/>
      <c r="BV25" s="52"/>
      <c r="BW25" s="65"/>
      <c r="BX25" s="52"/>
      <c r="BY25" s="68"/>
      <c r="BZ25" s="81"/>
      <c r="CA25" s="210"/>
      <c r="CB25" s="65"/>
      <c r="CC25" s="52"/>
      <c r="CD25" s="65"/>
      <c r="CE25" s="52"/>
      <c r="CF25" s="68"/>
      <c r="CG25" s="81"/>
      <c r="CH25" s="210"/>
      <c r="CI25" s="65"/>
      <c r="CJ25" s="52"/>
      <c r="CK25" s="65"/>
      <c r="CL25" s="52"/>
      <c r="CM25" s="68"/>
      <c r="CN25" s="81"/>
      <c r="CO25" s="210"/>
      <c r="CP25" s="65"/>
      <c r="CQ25" s="51"/>
      <c r="CR25" s="65"/>
      <c r="CS25" s="51"/>
      <c r="CT25" s="68"/>
      <c r="CU25" s="68"/>
      <c r="CV25" s="210"/>
      <c r="CW25" s="65"/>
      <c r="CX25" s="52"/>
      <c r="CY25" s="65"/>
      <c r="CZ25" s="52"/>
      <c r="DA25" s="68"/>
      <c r="DB25" s="81"/>
      <c r="DC25" s="210"/>
      <c r="DD25" s="65"/>
      <c r="DE25" s="52"/>
      <c r="DF25" s="65"/>
      <c r="DG25" s="52"/>
      <c r="DH25" s="68"/>
      <c r="DI25" s="81"/>
      <c r="DJ25" s="210"/>
      <c r="DK25" s="65"/>
      <c r="DL25" s="52"/>
      <c r="DM25" s="65"/>
      <c r="DN25" s="52"/>
      <c r="DO25" s="68"/>
      <c r="DP25" s="81"/>
      <c r="DQ25" s="210"/>
      <c r="DR25" s="65"/>
      <c r="DS25" s="52"/>
      <c r="DT25" s="65"/>
      <c r="DU25" s="52"/>
      <c r="DV25" s="68"/>
      <c r="DW25" s="81"/>
      <c r="DX25" s="210"/>
      <c r="DY25" s="65"/>
      <c r="DZ25" s="52"/>
      <c r="EA25" s="65"/>
      <c r="EB25" s="33"/>
      <c r="EC25" s="33"/>
      <c r="ED25" s="33"/>
      <c r="EE25" s="210"/>
      <c r="EF25" s="210"/>
    </row>
    <row r="26" spans="1:136">
      <c r="A26" s="57" t="s">
        <v>40</v>
      </c>
      <c r="B26" s="9"/>
      <c r="C26" s="68"/>
      <c r="D26" s="33" t="e">
        <f>C26/C12</f>
        <v>#DIV/0!</v>
      </c>
      <c r="E26" s="225">
        <v>20369</v>
      </c>
      <c r="F26" s="33">
        <f>E26/E12</f>
        <v>8.0719176996480999E-2</v>
      </c>
      <c r="G26" s="212">
        <f>E26-C26</f>
        <v>20369</v>
      </c>
      <c r="H26" s="212">
        <f>G26/E26</f>
        <v>1</v>
      </c>
      <c r="I26" s="210"/>
      <c r="J26" s="73">
        <f>11305.08+16708.14</f>
        <v>28013.22</v>
      </c>
      <c r="K26" s="33">
        <f>J26/J12</f>
        <v>0.19515491819552958</v>
      </c>
      <c r="L26" s="68">
        <v>26754</v>
      </c>
      <c r="M26" s="33">
        <f>L26/L12</f>
        <v>0.10523212604569851</v>
      </c>
      <c r="N26" s="212">
        <f>L26-J26</f>
        <v>-1259.2200000000012</v>
      </c>
      <c r="O26" s="212">
        <f>N26/L26</f>
        <v>-4.706660686252527E-2</v>
      </c>
      <c r="P26" s="210"/>
      <c r="Q26" s="68">
        <v>25552.400000000001</v>
      </c>
      <c r="R26" s="23">
        <f>Q26/Q12</f>
        <v>0.21049683295864846</v>
      </c>
      <c r="S26" s="68">
        <v>26754</v>
      </c>
      <c r="T26" s="33">
        <f>S26/S12</f>
        <v>9.1369345974437507E-2</v>
      </c>
      <c r="U26" s="212">
        <f>S26-Q26</f>
        <v>1201.5999999999985</v>
      </c>
      <c r="V26" s="212">
        <f>U26/S26</f>
        <v>4.4912910219032612E-2</v>
      </c>
      <c r="W26" s="210"/>
      <c r="X26" s="208">
        <f t="shared" ref="X26:X27" si="111">C26+J26+Q26</f>
        <v>53565.62</v>
      </c>
      <c r="Y26" s="33">
        <f>X26/X12</f>
        <v>0.20218446528650114</v>
      </c>
      <c r="Z26" s="218">
        <f>E26+L26+S26</f>
        <v>73877</v>
      </c>
      <c r="AA26" s="23">
        <f>Z26/Z12</f>
        <v>9.2416312886166016E-2</v>
      </c>
      <c r="AB26" s="212">
        <f>Z26-X26</f>
        <v>20311.379999999997</v>
      </c>
      <c r="AC26" s="212">
        <f>AB26/Z26</f>
        <v>0.27493509481976797</v>
      </c>
      <c r="AD26" s="210"/>
      <c r="AE26" s="68">
        <v>0</v>
      </c>
      <c r="AF26" s="23" t="e">
        <f>AE26/AE12</f>
        <v>#DIV/0!</v>
      </c>
      <c r="AG26" s="225">
        <v>27238</v>
      </c>
      <c r="AH26" s="23">
        <f>AG26/AG12</f>
        <v>8.6403686218913395E-2</v>
      </c>
      <c r="AI26" s="220">
        <f>AG26-AE26</f>
        <v>27238</v>
      </c>
      <c r="AJ26" s="221">
        <f>AI26/AG26</f>
        <v>1</v>
      </c>
      <c r="AK26" s="210"/>
      <c r="AL26" s="68">
        <v>0</v>
      </c>
      <c r="AM26" s="23" t="e">
        <f>AL26/AL12</f>
        <v>#DIV/0!</v>
      </c>
      <c r="AN26" s="225">
        <v>27238</v>
      </c>
      <c r="AO26" s="23">
        <f>AN26/AN12</f>
        <v>8.6069089925388337E-2</v>
      </c>
      <c r="AP26" s="220">
        <f>AN26-AL26</f>
        <v>27238</v>
      </c>
      <c r="AQ26" s="221">
        <f>AP26/AN26</f>
        <v>1</v>
      </c>
      <c r="AR26" s="210"/>
      <c r="AS26" s="208">
        <v>0</v>
      </c>
      <c r="AT26" s="23" t="e">
        <f>AS26/AS12</f>
        <v>#DIV/0!</v>
      </c>
      <c r="AU26" s="225">
        <v>27899</v>
      </c>
      <c r="AV26" s="23">
        <f>AU26/AU12</f>
        <v>8.631876396109088E-2</v>
      </c>
      <c r="AW26" s="220">
        <f>AU26-AS26</f>
        <v>27899</v>
      </c>
      <c r="AX26" s="221">
        <f>AW26/AU26</f>
        <v>1</v>
      </c>
      <c r="AY26" s="210"/>
      <c r="AZ26" s="208">
        <f>AE26+AL26+AS26</f>
        <v>0</v>
      </c>
      <c r="BA26" s="23" t="e">
        <f>AZ26/AZ12</f>
        <v>#DIV/0!</v>
      </c>
      <c r="BB26" s="218">
        <f>AG26+AN26+AU26</f>
        <v>82375</v>
      </c>
      <c r="BC26" s="23">
        <f>BB26/BB12</f>
        <v>8.626405498546158E-2</v>
      </c>
      <c r="BD26" s="220">
        <f>BB26-AZ26</f>
        <v>82375</v>
      </c>
      <c r="BE26" s="212">
        <f>BD26/BB26</f>
        <v>1</v>
      </c>
      <c r="BF26" s="210"/>
      <c r="BG26" s="68">
        <v>1536.54</v>
      </c>
      <c r="BH26" s="23" t="e">
        <f>BG26/BG12</f>
        <v>#DIV/0!</v>
      </c>
      <c r="BI26" s="225">
        <v>2808</v>
      </c>
      <c r="BJ26" s="23" t="e">
        <f>BI26/BI12</f>
        <v>#DIV/0!</v>
      </c>
      <c r="BK26" s="220">
        <f>BI26-BG26</f>
        <v>1271.46</v>
      </c>
      <c r="BL26" s="212">
        <f>BK26/BI26</f>
        <v>0.45279914529914533</v>
      </c>
      <c r="BM26" s="210"/>
      <c r="BN26" s="68">
        <f>28222.04-1040</f>
        <v>27182.04</v>
      </c>
      <c r="BO26" s="52" t="e">
        <f>BN26/BN12</f>
        <v>#DIV/0!</v>
      </c>
      <c r="BP26" s="225">
        <v>23900</v>
      </c>
      <c r="BQ26" s="52" t="e">
        <f>BP26/BP12</f>
        <v>#DIV/0!</v>
      </c>
      <c r="BR26" s="222">
        <f t="shared" ref="BR26:BR27" si="112">BN26-BP26</f>
        <v>3282.0400000000009</v>
      </c>
      <c r="BS26" s="216">
        <f>BR26/BP26</f>
        <v>0.13732384937238498</v>
      </c>
      <c r="BT26" s="210"/>
      <c r="BU26" s="68">
        <f>5115.37+9770.84</f>
        <v>14886.21</v>
      </c>
      <c r="BV26" s="52">
        <f>BU26/BU12</f>
        <v>1.7430955141040501</v>
      </c>
      <c r="BW26" s="225">
        <v>17422</v>
      </c>
      <c r="BX26" s="52" t="e">
        <f>BW26/BW12</f>
        <v>#DIV/0!</v>
      </c>
      <c r="BY26" s="222">
        <f>BU26-BW26</f>
        <v>-2535.7900000000009</v>
      </c>
      <c r="BZ26" s="216">
        <f>BY26/BW26</f>
        <v>-0.1455510274365745</v>
      </c>
      <c r="CA26" s="210"/>
      <c r="CB26" s="68">
        <f>5115.37+13936.23</f>
        <v>19051.599999999999</v>
      </c>
      <c r="CC26" s="52">
        <f>CB26/CB12</f>
        <v>0.26204685004187583</v>
      </c>
      <c r="CD26" s="225">
        <v>15959</v>
      </c>
      <c r="CE26" s="52">
        <f>CD26/CD12</f>
        <v>0.13435989829766454</v>
      </c>
      <c r="CF26" s="222">
        <f>CB26-CD26</f>
        <v>3092.5999999999985</v>
      </c>
      <c r="CG26" s="216">
        <f>CF26/CD26</f>
        <v>0.19378407168368936</v>
      </c>
      <c r="CH26" s="210"/>
      <c r="CI26" s="208">
        <f t="shared" ref="CI26:CI27" si="113">BG26+BN26+BU26+CB26</f>
        <v>62656.39</v>
      </c>
      <c r="CJ26" s="52">
        <f>CI26/CI12</f>
        <v>0.77122077891386009</v>
      </c>
      <c r="CK26" s="208">
        <f>BI26+BP26+BW26+CD26</f>
        <v>60089</v>
      </c>
      <c r="CL26" s="52">
        <f>CK26/CK12</f>
        <v>0.50589334725285828</v>
      </c>
      <c r="CM26" s="222">
        <f t="shared" ref="CM26:CM27" si="114">CI26-CK26</f>
        <v>2567.3899999999994</v>
      </c>
      <c r="CN26" s="216">
        <f>CM26/CK26</f>
        <v>4.2726455757293336E-2</v>
      </c>
      <c r="CO26" s="210"/>
      <c r="CP26" s="68">
        <f>17857.88+26657.37</f>
        <v>44515.25</v>
      </c>
      <c r="CQ26" s="51">
        <f>CP26/CP12</f>
        <v>0.20055459352364804</v>
      </c>
      <c r="CR26" s="225">
        <v>31919</v>
      </c>
      <c r="CS26" s="51">
        <f>CR26/CR12</f>
        <v>0.13436410783141658</v>
      </c>
      <c r="CT26" s="222">
        <f t="shared" ref="CT26:CT27" si="115">CP26-CR26</f>
        <v>12596.25</v>
      </c>
      <c r="CU26" s="223">
        <f>CT26/CR26</f>
        <v>0.39463172405150537</v>
      </c>
      <c r="CV26" s="210"/>
      <c r="CW26" s="68">
        <f>9026.22+23143</f>
        <v>32169.22</v>
      </c>
      <c r="CX26" s="52">
        <f>CW26/CW12</f>
        <v>0.12341236046382843</v>
      </c>
      <c r="CY26" s="225">
        <v>31919</v>
      </c>
      <c r="CZ26" s="52">
        <f>CY26/CY12</f>
        <v>0.13436410783141658</v>
      </c>
      <c r="DA26" s="222">
        <f t="shared" ref="DA26:DA27" si="116">CW26-CY26</f>
        <v>250.22000000000116</v>
      </c>
      <c r="DB26" s="216">
        <f>DA26/CY26</f>
        <v>7.8392180206147168E-3</v>
      </c>
      <c r="DC26" s="210"/>
      <c r="DD26" s="68">
        <f>8149.54+22256.26</f>
        <v>30405.8</v>
      </c>
      <c r="DE26" s="52">
        <f>DD26/DD12</f>
        <v>0.13363632519927574</v>
      </c>
      <c r="DF26" s="225">
        <v>31919</v>
      </c>
      <c r="DG26" s="52">
        <f>DF26/DF12</f>
        <v>0.11756927485625675</v>
      </c>
      <c r="DH26" s="222">
        <f t="shared" ref="DH26:DH27" si="117">DD26-DF26</f>
        <v>-1513.2000000000007</v>
      </c>
      <c r="DI26" s="216">
        <f>DH26/DF26</f>
        <v>-4.7407500234969792E-2</v>
      </c>
      <c r="DJ26" s="210"/>
      <c r="DK26" s="68">
        <f>8933.46+19609.82</f>
        <v>28543.279999999999</v>
      </c>
      <c r="DL26" s="52">
        <f>DK26/DK12</f>
        <v>0.19202509305991133</v>
      </c>
      <c r="DM26" s="225">
        <v>30281</v>
      </c>
      <c r="DN26" s="52">
        <f>DM26/DM12</f>
        <v>0.111535925684461</v>
      </c>
      <c r="DO26" s="222">
        <f t="shared" ref="DO26:DO27" si="118">DK26-DM26</f>
        <v>-1737.7200000000012</v>
      </c>
      <c r="DP26" s="216">
        <f>DO26/DM26</f>
        <v>-5.738647997093891E-2</v>
      </c>
      <c r="DQ26" s="210"/>
      <c r="DR26" s="208">
        <f>CP26+CW26+DD26+DK26</f>
        <v>135633.54999999999</v>
      </c>
      <c r="DS26" s="52">
        <f>DR26/DR12</f>
        <v>0.1579346857085368</v>
      </c>
      <c r="DT26" s="208">
        <f>CR26+CY26+DF26+DM26</f>
        <v>126038</v>
      </c>
      <c r="DU26" s="52">
        <f>DT26/DT12</f>
        <v>0.12379799900598569</v>
      </c>
      <c r="DV26" s="222">
        <f t="shared" ref="DV26:DV27" si="119">DR26-DT26</f>
        <v>9595.5499999999884</v>
      </c>
      <c r="DW26" s="216">
        <f>DV26/DT26</f>
        <v>7.6132198225931771E-2</v>
      </c>
      <c r="DX26" s="210"/>
      <c r="DY26" s="208">
        <f>X26+AZ26+CI26+DR26</f>
        <v>251855.56</v>
      </c>
      <c r="DZ26" s="52">
        <f>DY26/DY12</f>
        <v>0.20901349360827443</v>
      </c>
      <c r="EA26" s="208">
        <f>Z26+BB26+CK26+DT26</f>
        <v>342379</v>
      </c>
      <c r="EB26" s="33">
        <f>EA26/EA12</f>
        <v>0.11842179352314777</v>
      </c>
      <c r="EC26" s="212">
        <f>EA26-DY26</f>
        <v>90523.44</v>
      </c>
      <c r="ED26" s="212">
        <f>EC26/EA26</f>
        <v>0.26439542144816125</v>
      </c>
      <c r="EE26" s="224"/>
      <c r="EF26" s="210"/>
    </row>
    <row r="27" spans="1:136">
      <c r="A27" s="57" t="s">
        <v>41</v>
      </c>
      <c r="B27" s="9"/>
      <c r="C27" s="68"/>
      <c r="D27" s="33" t="e">
        <f>C27/C12</f>
        <v>#DIV/0!</v>
      </c>
      <c r="E27" s="225">
        <v>0</v>
      </c>
      <c r="F27" s="33">
        <f>E27/E12</f>
        <v>0</v>
      </c>
      <c r="G27" s="212"/>
      <c r="H27" s="212"/>
      <c r="I27" s="210"/>
      <c r="J27" s="73">
        <v>0</v>
      </c>
      <c r="K27" s="33">
        <f>J27/J12</f>
        <v>0</v>
      </c>
      <c r="L27" s="225">
        <v>0</v>
      </c>
      <c r="M27" s="33">
        <f>L27/L12</f>
        <v>0</v>
      </c>
      <c r="N27" s="212"/>
      <c r="O27" s="212"/>
      <c r="P27" s="210"/>
      <c r="Q27" s="68">
        <v>0</v>
      </c>
      <c r="R27" s="23"/>
      <c r="S27" s="225">
        <v>0</v>
      </c>
      <c r="T27" s="33"/>
      <c r="U27" s="212"/>
      <c r="V27" s="212"/>
      <c r="W27" s="210"/>
      <c r="X27" s="208">
        <f t="shared" si="111"/>
        <v>0</v>
      </c>
      <c r="Y27" s="33">
        <f>X27/X12</f>
        <v>0</v>
      </c>
      <c r="Z27" s="218">
        <f>E27+L27+S27</f>
        <v>0</v>
      </c>
      <c r="AA27" s="33">
        <f>Z27/Z12</f>
        <v>0</v>
      </c>
      <c r="AB27" s="212"/>
      <c r="AC27" s="212"/>
      <c r="AD27" s="210"/>
      <c r="AE27" s="68">
        <v>0</v>
      </c>
      <c r="AF27" s="23"/>
      <c r="AG27" s="225">
        <v>0</v>
      </c>
      <c r="AH27" s="23"/>
      <c r="AI27" s="220"/>
      <c r="AJ27" s="221"/>
      <c r="AK27" s="210"/>
      <c r="AL27" s="68">
        <v>1040</v>
      </c>
      <c r="AM27" s="23"/>
      <c r="AN27" s="225">
        <v>0</v>
      </c>
      <c r="AO27" s="23"/>
      <c r="AP27" s="220"/>
      <c r="AQ27" s="221"/>
      <c r="AR27" s="210"/>
      <c r="AS27" s="68">
        <v>1040</v>
      </c>
      <c r="AT27" s="23"/>
      <c r="AU27" s="225">
        <v>0</v>
      </c>
      <c r="AV27" s="23"/>
      <c r="AW27" s="220"/>
      <c r="AX27" s="221"/>
      <c r="AY27" s="210"/>
      <c r="AZ27" s="208">
        <f>AE27+AL27+AS27</f>
        <v>2080</v>
      </c>
      <c r="BA27" s="23"/>
      <c r="BB27" s="225">
        <v>0</v>
      </c>
      <c r="BC27" s="23"/>
      <c r="BD27" s="220"/>
      <c r="BE27" s="221"/>
      <c r="BF27" s="210"/>
      <c r="BG27" s="68">
        <v>1040</v>
      </c>
      <c r="BH27" s="23"/>
      <c r="BI27" s="225">
        <v>1040</v>
      </c>
      <c r="BJ27" s="23"/>
      <c r="BK27" s="220"/>
      <c r="BL27" s="221"/>
      <c r="BM27" s="210"/>
      <c r="BN27" s="68">
        <v>1040</v>
      </c>
      <c r="BO27" s="52"/>
      <c r="BP27" s="225">
        <v>1040</v>
      </c>
      <c r="BQ27" s="52"/>
      <c r="BR27" s="222">
        <f t="shared" si="112"/>
        <v>0</v>
      </c>
      <c r="BS27" s="216"/>
      <c r="BT27" s="210"/>
      <c r="BU27" s="68">
        <v>520</v>
      </c>
      <c r="BV27" s="52"/>
      <c r="BW27" s="225">
        <v>520</v>
      </c>
      <c r="BX27" s="52"/>
      <c r="BY27" s="222">
        <f>BU27-BW27</f>
        <v>0</v>
      </c>
      <c r="BZ27" s="216"/>
      <c r="CA27" s="210"/>
      <c r="CB27" s="68">
        <v>520</v>
      </c>
      <c r="CC27" s="52"/>
      <c r="CD27" s="225">
        <v>520</v>
      </c>
      <c r="CE27" s="52"/>
      <c r="CF27" s="222">
        <f>CB27-CD27</f>
        <v>0</v>
      </c>
      <c r="CG27" s="216"/>
      <c r="CH27" s="210"/>
      <c r="CI27" s="208">
        <f t="shared" si="113"/>
        <v>3120</v>
      </c>
      <c r="CJ27" s="52"/>
      <c r="CK27" s="208">
        <f>BI27+BP27+BW27+CD27</f>
        <v>3120</v>
      </c>
      <c r="CL27" s="52"/>
      <c r="CM27" s="222">
        <f t="shared" si="114"/>
        <v>0</v>
      </c>
      <c r="CN27" s="216"/>
      <c r="CO27" s="210"/>
      <c r="CP27" s="68">
        <f>648.04+1040</f>
        <v>1688.04</v>
      </c>
      <c r="CQ27" s="51"/>
      <c r="CR27" s="225">
        <v>1040</v>
      </c>
      <c r="CS27" s="51"/>
      <c r="CT27" s="222">
        <f t="shared" si="115"/>
        <v>648.04</v>
      </c>
      <c r="CU27" s="223"/>
      <c r="CV27" s="210"/>
      <c r="CW27" s="68">
        <v>4877.21</v>
      </c>
      <c r="CX27" s="52"/>
      <c r="CY27" s="225">
        <v>1040</v>
      </c>
      <c r="CZ27" s="52"/>
      <c r="DA27" s="222">
        <f t="shared" si="116"/>
        <v>3837.21</v>
      </c>
      <c r="DB27" s="216"/>
      <c r="DC27" s="210"/>
      <c r="DD27" s="68">
        <v>3323.4</v>
      </c>
      <c r="DE27" s="52"/>
      <c r="DF27" s="225">
        <v>1040</v>
      </c>
      <c r="DG27" s="52"/>
      <c r="DH27" s="222">
        <f t="shared" si="117"/>
        <v>2283.4</v>
      </c>
      <c r="DI27" s="216"/>
      <c r="DJ27" s="210"/>
      <c r="DK27" s="68">
        <v>1485.94</v>
      </c>
      <c r="DL27" s="52"/>
      <c r="DM27" s="225">
        <v>1040</v>
      </c>
      <c r="DN27" s="52"/>
      <c r="DO27" s="222">
        <f t="shared" si="118"/>
        <v>445.94000000000005</v>
      </c>
      <c r="DP27" s="216"/>
      <c r="DQ27" s="210"/>
      <c r="DR27" s="208">
        <f>CP27+CW27+DD27+DK27</f>
        <v>11374.59</v>
      </c>
      <c r="DS27" s="52"/>
      <c r="DT27" s="208">
        <f>CR27+CY27+DF27+DM27</f>
        <v>4160</v>
      </c>
      <c r="DU27" s="52"/>
      <c r="DV27" s="222">
        <f t="shared" si="119"/>
        <v>7214.59</v>
      </c>
      <c r="DW27" s="216"/>
      <c r="DX27" s="210"/>
      <c r="DY27" s="208">
        <f>X27+AZ27+CI27+DR27</f>
        <v>16574.59</v>
      </c>
      <c r="DZ27" s="33"/>
      <c r="EA27" s="208">
        <f>Z27+BB27+CK27+DT27</f>
        <v>7280</v>
      </c>
      <c r="EB27" s="33"/>
      <c r="EC27" s="220"/>
      <c r="ED27" s="212"/>
      <c r="EE27" s="225"/>
      <c r="EF27" s="210"/>
    </row>
    <row r="28" spans="1:136" ht="17.100000000000001" thickBot="1">
      <c r="A28" s="6" t="s">
        <v>42</v>
      </c>
      <c r="B28" s="5"/>
      <c r="C28" s="66">
        <f>+C27+C26</f>
        <v>0</v>
      </c>
      <c r="D28" s="31" t="e">
        <f>+C28/C12</f>
        <v>#DIV/0!</v>
      </c>
      <c r="E28" s="18">
        <f>+E27+E26</f>
        <v>20369</v>
      </c>
      <c r="F28" s="31">
        <f>+E28/E12</f>
        <v>8.0719176996480999E-2</v>
      </c>
      <c r="G28" s="34"/>
      <c r="H28" s="212">
        <f>G28/E28</f>
        <v>0</v>
      </c>
      <c r="I28" s="210"/>
      <c r="J28" s="66">
        <f>+J27+J26</f>
        <v>28013.22</v>
      </c>
      <c r="K28" s="31">
        <f>+J28/J12</f>
        <v>0.19515491819552958</v>
      </c>
      <c r="L28" s="18">
        <f>+L27+L26</f>
        <v>26754</v>
      </c>
      <c r="M28" s="31">
        <f>+L28/L12</f>
        <v>0.10523212604569851</v>
      </c>
      <c r="N28" s="34"/>
      <c r="O28" s="212">
        <f>N28/L28</f>
        <v>0</v>
      </c>
      <c r="P28" s="210"/>
      <c r="Q28" s="66">
        <f>+Q27+Q26</f>
        <v>25552.400000000001</v>
      </c>
      <c r="R28" s="31">
        <f>+Q28/Q12</f>
        <v>0.21049683295864846</v>
      </c>
      <c r="S28" s="18">
        <f>+S27+S26</f>
        <v>26754</v>
      </c>
      <c r="T28" s="31">
        <f>+S28/S12</f>
        <v>9.1369345974437507E-2</v>
      </c>
      <c r="U28" s="34"/>
      <c r="V28" s="212">
        <f>U28/S28</f>
        <v>0</v>
      </c>
      <c r="W28" s="210"/>
      <c r="X28" s="66">
        <f>C28+J28+Q28</f>
        <v>53565.62</v>
      </c>
      <c r="Y28" s="31">
        <f>X28/X12</f>
        <v>0.20218446528650114</v>
      </c>
      <c r="Z28" s="18">
        <f>E28+L28+S28</f>
        <v>73877</v>
      </c>
      <c r="AA28" s="31">
        <f>Z28/Z12</f>
        <v>9.2416312886166016E-2</v>
      </c>
      <c r="AB28" s="34">
        <f>Z28-X28</f>
        <v>20311.379999999997</v>
      </c>
      <c r="AC28" s="212">
        <f>AB28/Z28</f>
        <v>0.27493509481976797</v>
      </c>
      <c r="AD28" s="210"/>
      <c r="AE28" s="66">
        <f>+AE27+AE26</f>
        <v>0</v>
      </c>
      <c r="AF28" s="31" t="e">
        <f>+AE28/AE12</f>
        <v>#DIV/0!</v>
      </c>
      <c r="AG28" s="18">
        <f>+AG27+AG26</f>
        <v>27238</v>
      </c>
      <c r="AH28" s="31">
        <f>+AG28/AG12</f>
        <v>8.6403686218913395E-2</v>
      </c>
      <c r="AI28" s="34"/>
      <c r="AJ28" s="212">
        <f>AI28/AG28</f>
        <v>0</v>
      </c>
      <c r="AK28" s="210"/>
      <c r="AL28" s="66">
        <f>+AL27+AL26</f>
        <v>1040</v>
      </c>
      <c r="AM28" s="31" t="e">
        <f>+AL28/AL12</f>
        <v>#DIV/0!</v>
      </c>
      <c r="AN28" s="18">
        <f>+AN27+AN26</f>
        <v>27238</v>
      </c>
      <c r="AO28" s="31">
        <f>+AN28/AN12</f>
        <v>8.6069089925388337E-2</v>
      </c>
      <c r="AP28" s="34"/>
      <c r="AQ28" s="212">
        <f>AP28/AN28</f>
        <v>0</v>
      </c>
      <c r="AR28" s="210"/>
      <c r="AS28" s="66">
        <f>+AS27+AS26</f>
        <v>1040</v>
      </c>
      <c r="AT28" s="31" t="e">
        <f>+AS28/AS12</f>
        <v>#DIV/0!</v>
      </c>
      <c r="AU28" s="18">
        <f>+AU27+AU26</f>
        <v>27899</v>
      </c>
      <c r="AV28" s="31">
        <f>+AU28/AU12</f>
        <v>8.631876396109088E-2</v>
      </c>
      <c r="AW28" s="34"/>
      <c r="AX28" s="212">
        <f>AW28/AU28</f>
        <v>0</v>
      </c>
      <c r="AY28" s="210"/>
      <c r="AZ28" s="66">
        <f>+AZ27+AZ26</f>
        <v>2080</v>
      </c>
      <c r="BA28" s="31" t="e">
        <f>+AZ28/AZ12</f>
        <v>#DIV/0!</v>
      </c>
      <c r="BB28" s="18">
        <f>+BB27+BB26</f>
        <v>82375</v>
      </c>
      <c r="BC28" s="31">
        <f>+BB28/BB12</f>
        <v>8.626405498546158E-2</v>
      </c>
      <c r="BD28" s="34"/>
      <c r="BE28" s="212">
        <f>BD28/BB28</f>
        <v>0</v>
      </c>
      <c r="BF28" s="210"/>
      <c r="BG28" s="66">
        <f>+BG27+BG26</f>
        <v>2576.54</v>
      </c>
      <c r="BH28" s="31" t="e">
        <f>+BG28/BG12</f>
        <v>#DIV/0!</v>
      </c>
      <c r="BI28" s="66">
        <f>+BI27+BI26</f>
        <v>3848</v>
      </c>
      <c r="BJ28" s="31" t="e">
        <f>+BI28/BI12</f>
        <v>#DIV/0!</v>
      </c>
      <c r="BK28" s="34"/>
      <c r="BL28" s="212">
        <f>BK28/BI28</f>
        <v>0</v>
      </c>
      <c r="BM28" s="210"/>
      <c r="BN28" s="66">
        <f>+BN27+BN26</f>
        <v>28222.04</v>
      </c>
      <c r="BO28" s="40" t="e">
        <f>+BN28/BN12</f>
        <v>#DIV/0!</v>
      </c>
      <c r="BP28" s="66">
        <f>+BP27+BP26</f>
        <v>24940</v>
      </c>
      <c r="BQ28" s="40" t="e">
        <f>+BP28/BP12</f>
        <v>#DIV/0!</v>
      </c>
      <c r="BR28" s="66">
        <f>+BR27+BR26</f>
        <v>3282.0400000000009</v>
      </c>
      <c r="BS28" s="216">
        <f>BR28/BP28</f>
        <v>0.13159743384121897</v>
      </c>
      <c r="BT28" s="18"/>
      <c r="BU28" s="66">
        <f>+BU27+BU26</f>
        <v>15406.21</v>
      </c>
      <c r="BV28" s="40">
        <f>+BU28/BU12</f>
        <v>1.8039847308579524</v>
      </c>
      <c r="BW28" s="66">
        <f>+BW27+BW26</f>
        <v>17942</v>
      </c>
      <c r="BX28" s="40" t="e">
        <f>+BW28/BW12</f>
        <v>#DIV/0!</v>
      </c>
      <c r="BY28" s="66">
        <f>+BY27+BY26</f>
        <v>-2535.7900000000009</v>
      </c>
      <c r="BZ28" s="216">
        <f>BY28/BW28</f>
        <v>-0.14133262735481</v>
      </c>
      <c r="CA28" s="210"/>
      <c r="CB28" s="66">
        <f>+CB27+CB26</f>
        <v>19571.599999999999</v>
      </c>
      <c r="CC28" s="40">
        <f>+CB28/CB12</f>
        <v>0.26919923419973002</v>
      </c>
      <c r="CD28" s="66">
        <f>+CD27+CD26</f>
        <v>16479</v>
      </c>
      <c r="CE28" s="40">
        <f>+CD28/CD12</f>
        <v>0.13873781339978783</v>
      </c>
      <c r="CF28" s="66">
        <f>+CF27+CF26</f>
        <v>3092.5999999999985</v>
      </c>
      <c r="CG28" s="216">
        <f>CF28/CD28</f>
        <v>0.18766915468171602</v>
      </c>
      <c r="CH28" s="210"/>
      <c r="CI28" s="66">
        <f>+CI27+CI26</f>
        <v>65776.39</v>
      </c>
      <c r="CJ28" s="40">
        <f>+CI28/CI12</f>
        <v>0.80962402605611083</v>
      </c>
      <c r="CK28" s="66">
        <f>+CK27+CK26</f>
        <v>63209</v>
      </c>
      <c r="CL28" s="40">
        <f>+CK28/CK12</f>
        <v>0.53216083786559798</v>
      </c>
      <c r="CM28" s="66">
        <f>+CM27+CM26</f>
        <v>2567.3899999999994</v>
      </c>
      <c r="CN28" s="216">
        <f>CM28/CK28</f>
        <v>4.0617475359521579E-2</v>
      </c>
      <c r="CO28" s="210"/>
      <c r="CP28" s="66">
        <f>+CP27+CP26</f>
        <v>46203.29</v>
      </c>
      <c r="CQ28" s="40">
        <f>+CP28/CP12</f>
        <v>0.20815972156519919</v>
      </c>
      <c r="CR28" s="66">
        <f>+CR27+CR26</f>
        <v>32959</v>
      </c>
      <c r="CS28" s="40">
        <f>+CR28/CR12</f>
        <v>0.13874202293353988</v>
      </c>
      <c r="CT28" s="66">
        <f>+CT27+CT26</f>
        <v>13244.29</v>
      </c>
      <c r="CU28" s="216">
        <f>CT28/CR28</f>
        <v>0.40184137868260567</v>
      </c>
      <c r="CV28" s="210"/>
      <c r="CW28" s="66">
        <f>+CW27+CW26</f>
        <v>37046.43</v>
      </c>
      <c r="CX28" s="40">
        <f>+CW28/CW12</f>
        <v>0.14212304100186413</v>
      </c>
      <c r="CY28" s="66">
        <f>+CY27+CY26</f>
        <v>32959</v>
      </c>
      <c r="CZ28" s="40">
        <f>+CY28/CY12</f>
        <v>0.13874202293353988</v>
      </c>
      <c r="DA28" s="66">
        <f>+DA27+DA26</f>
        <v>4087.4300000000012</v>
      </c>
      <c r="DB28" s="216">
        <f>DA28/CY28</f>
        <v>0.12401559513334753</v>
      </c>
      <c r="DC28" s="210"/>
      <c r="DD28" s="66">
        <f>+DD27+DD26</f>
        <v>33729.199999999997</v>
      </c>
      <c r="DE28" s="40">
        <f>+DD28/DD12</f>
        <v>0.14824297798154992</v>
      </c>
      <c r="DF28" s="66">
        <f>+DF27+DF26</f>
        <v>32959</v>
      </c>
      <c r="DG28" s="40">
        <f>+DF28/DF12</f>
        <v>0.12139997274311119</v>
      </c>
      <c r="DH28" s="66">
        <f>+DH27+DH26</f>
        <v>770.19999999999936</v>
      </c>
      <c r="DI28" s="216">
        <f>DH28/DF28</f>
        <v>2.3368427440152897E-2</v>
      </c>
      <c r="DJ28" s="210"/>
      <c r="DK28" s="66">
        <f>+DK27+DK26</f>
        <v>30029.219999999998</v>
      </c>
      <c r="DL28" s="40">
        <f>+DK28/DK12</f>
        <v>0.20202176361709484</v>
      </c>
      <c r="DM28" s="66">
        <f>+DM27+DM26</f>
        <v>31321</v>
      </c>
      <c r="DN28" s="40">
        <f>+DM28/DM12</f>
        <v>0.11536662357131544</v>
      </c>
      <c r="DO28" s="66">
        <f>+DO27+DO26</f>
        <v>-1291.7800000000011</v>
      </c>
      <c r="DP28" s="216">
        <f>DO28/DM28</f>
        <v>-4.1243255323904125E-2</v>
      </c>
      <c r="DQ28" s="210"/>
      <c r="DR28" s="66">
        <f>+DR27+DR26</f>
        <v>147008.13999999998</v>
      </c>
      <c r="DS28" s="40">
        <f>+DR28/DR12</f>
        <v>0.17117950822268219</v>
      </c>
      <c r="DT28" s="66">
        <f>+DT27+DT26</f>
        <v>130198</v>
      </c>
      <c r="DU28" s="40">
        <f>+DT28/DT12</f>
        <v>0.12788406571495362</v>
      </c>
      <c r="DV28" s="66">
        <f>+DV27+DV26</f>
        <v>16810.139999999989</v>
      </c>
      <c r="DW28" s="216">
        <f>DV28/DT28</f>
        <v>0.12911212153796517</v>
      </c>
      <c r="DX28" s="210"/>
      <c r="DY28" s="66">
        <f>+DY27+DY26</f>
        <v>268430.15000000002</v>
      </c>
      <c r="DZ28" s="31">
        <f>+DY28/DY12</f>
        <v>0.22276865137022647</v>
      </c>
      <c r="EA28" s="18">
        <f>+EA27+EA26</f>
        <v>349659</v>
      </c>
      <c r="EB28" s="31">
        <f>+EA28/EA12</f>
        <v>0.12093979450115319</v>
      </c>
      <c r="EC28" s="34"/>
      <c r="ED28" s="212">
        <f>EC28/EA28</f>
        <v>0</v>
      </c>
      <c r="EE28" s="224"/>
      <c r="EF28" s="210"/>
    </row>
    <row r="29" spans="1:136" ht="17.100000000000001" thickTop="1">
      <c r="A29" s="9"/>
      <c r="B29" s="9"/>
      <c r="C29" s="65"/>
      <c r="D29" s="33"/>
      <c r="E29" s="22"/>
      <c r="F29" s="33"/>
      <c r="G29" s="33"/>
      <c r="H29" s="33"/>
      <c r="I29" s="210"/>
      <c r="J29" s="65"/>
      <c r="K29" s="33"/>
      <c r="L29" s="22"/>
      <c r="M29" s="33"/>
      <c r="N29" s="33"/>
      <c r="O29" s="33"/>
      <c r="P29" s="210"/>
      <c r="Q29" s="65"/>
      <c r="R29" s="23"/>
      <c r="S29" s="22"/>
      <c r="T29" s="33"/>
      <c r="U29" s="33"/>
      <c r="V29" s="33"/>
      <c r="W29" s="210"/>
      <c r="X29" s="65"/>
      <c r="Y29" s="33"/>
      <c r="Z29" s="22"/>
      <c r="AA29" s="23"/>
      <c r="AB29" s="33"/>
      <c r="AC29" s="33"/>
      <c r="AD29" s="210"/>
      <c r="AE29" s="65"/>
      <c r="AF29" s="23"/>
      <c r="AG29" s="22"/>
      <c r="AH29" s="23"/>
      <c r="AI29" s="73"/>
      <c r="AJ29" s="73"/>
      <c r="AK29" s="210"/>
      <c r="AL29" s="65"/>
      <c r="AM29" s="23"/>
      <c r="AN29" s="22"/>
      <c r="AO29" s="23"/>
      <c r="AP29" s="73"/>
      <c r="AQ29" s="73"/>
      <c r="AR29" s="210"/>
      <c r="AS29" s="65"/>
      <c r="AT29" s="23"/>
      <c r="AU29" s="22"/>
      <c r="AV29" s="23"/>
      <c r="AW29" s="73"/>
      <c r="AX29" s="73"/>
      <c r="AY29" s="210"/>
      <c r="AZ29" s="65"/>
      <c r="BA29" s="23"/>
      <c r="BB29" s="22"/>
      <c r="BC29" s="23"/>
      <c r="BD29" s="73"/>
      <c r="BE29" s="33"/>
      <c r="BF29" s="210"/>
      <c r="BG29" s="65"/>
      <c r="BH29" s="23"/>
      <c r="BI29" s="65"/>
      <c r="BJ29" s="23"/>
      <c r="BK29" s="73"/>
      <c r="BL29" s="33"/>
      <c r="BM29" s="210"/>
      <c r="BN29" s="65"/>
      <c r="BO29" s="52"/>
      <c r="BP29" s="65"/>
      <c r="BQ29" s="52"/>
      <c r="BR29" s="68"/>
      <c r="BS29" s="52"/>
      <c r="BT29" s="210"/>
      <c r="BU29" s="65"/>
      <c r="BV29" s="52"/>
      <c r="BW29" s="65"/>
      <c r="BX29" s="52"/>
      <c r="BY29" s="68"/>
      <c r="BZ29" s="81"/>
      <c r="CA29" s="210"/>
      <c r="CB29" s="65"/>
      <c r="CC29" s="52"/>
      <c r="CD29" s="65"/>
      <c r="CE29" s="52"/>
      <c r="CF29" s="68"/>
      <c r="CG29" s="81"/>
      <c r="CH29" s="210"/>
      <c r="CI29" s="65"/>
      <c r="CJ29" s="52"/>
      <c r="CK29" s="65"/>
      <c r="CL29" s="52"/>
      <c r="CM29" s="68"/>
      <c r="CN29" s="81"/>
      <c r="CO29" s="210"/>
      <c r="CP29" s="65"/>
      <c r="CQ29" s="51"/>
      <c r="CR29" s="65"/>
      <c r="CS29" s="51"/>
      <c r="CT29" s="68"/>
      <c r="CU29" s="68"/>
      <c r="CV29" s="210"/>
      <c r="CW29" s="65"/>
      <c r="CX29" s="52"/>
      <c r="CY29" s="65"/>
      <c r="CZ29" s="52"/>
      <c r="DA29" s="68"/>
      <c r="DB29" s="81"/>
      <c r="DC29" s="210"/>
      <c r="DD29" s="65"/>
      <c r="DE29" s="52"/>
      <c r="DF29" s="65"/>
      <c r="DG29" s="52"/>
      <c r="DH29" s="68"/>
      <c r="DI29" s="81"/>
      <c r="DJ29" s="210"/>
      <c r="DK29" s="65"/>
      <c r="DL29" s="52"/>
      <c r="DM29" s="65"/>
      <c r="DN29" s="52"/>
      <c r="DO29" s="68"/>
      <c r="DP29" s="81"/>
      <c r="DQ29" s="210"/>
      <c r="DR29" s="65"/>
      <c r="DS29" s="52"/>
      <c r="DT29" s="65"/>
      <c r="DU29" s="52"/>
      <c r="DV29" s="68"/>
      <c r="DW29" s="81"/>
      <c r="DX29" s="210"/>
      <c r="DY29" s="65"/>
      <c r="DZ29" s="52"/>
      <c r="EA29" s="65"/>
      <c r="EB29" s="33"/>
      <c r="EC29" s="33"/>
      <c r="ED29" s="33"/>
      <c r="EE29" s="210"/>
      <c r="EF29" s="210"/>
    </row>
    <row r="30" spans="1:136">
      <c r="A30" s="9" t="s">
        <v>43</v>
      </c>
      <c r="B30" s="9"/>
      <c r="C30" s="65"/>
      <c r="D30" s="33"/>
      <c r="E30" s="22"/>
      <c r="F30" s="33"/>
      <c r="G30" s="33"/>
      <c r="H30" s="33"/>
      <c r="I30" s="210"/>
      <c r="J30" s="22"/>
      <c r="K30" s="33"/>
      <c r="L30" s="22"/>
      <c r="M30" s="33"/>
      <c r="N30" s="33"/>
      <c r="O30" s="33"/>
      <c r="P30" s="210"/>
      <c r="Q30" s="65"/>
      <c r="R30" s="23"/>
      <c r="S30" s="22"/>
      <c r="T30" s="33"/>
      <c r="U30" s="33"/>
      <c r="V30" s="33"/>
      <c r="W30" s="210"/>
      <c r="X30" s="65"/>
      <c r="Y30" s="33"/>
      <c r="Z30" s="22"/>
      <c r="AA30" s="23"/>
      <c r="AB30" s="33"/>
      <c r="AC30" s="33"/>
      <c r="AD30" s="210"/>
      <c r="AE30" s="65"/>
      <c r="AF30" s="23"/>
      <c r="AG30" s="22"/>
      <c r="AH30" s="23"/>
      <c r="AI30" s="73"/>
      <c r="AJ30" s="73"/>
      <c r="AK30" s="210"/>
      <c r="AL30" s="65"/>
      <c r="AM30" s="23"/>
      <c r="AN30" s="22"/>
      <c r="AO30" s="23"/>
      <c r="AP30" s="73"/>
      <c r="AQ30" s="73"/>
      <c r="AR30" s="210"/>
      <c r="AS30" s="65"/>
      <c r="AT30" s="23"/>
      <c r="AU30" s="22"/>
      <c r="AV30" s="23"/>
      <c r="AW30" s="73"/>
      <c r="AX30" s="73"/>
      <c r="AY30" s="210"/>
      <c r="AZ30" s="65"/>
      <c r="BA30" s="23"/>
      <c r="BB30" s="22"/>
      <c r="BC30" s="23"/>
      <c r="BD30" s="73"/>
      <c r="BE30" s="33"/>
      <c r="BF30" s="210"/>
      <c r="BG30" s="65"/>
      <c r="BH30" s="23"/>
      <c r="BI30" s="65"/>
      <c r="BJ30" s="23"/>
      <c r="BK30" s="73"/>
      <c r="BL30" s="33"/>
      <c r="BM30" s="210"/>
      <c r="BN30" s="65"/>
      <c r="BO30" s="52"/>
      <c r="BP30" s="65"/>
      <c r="BQ30" s="52"/>
      <c r="BR30" s="68"/>
      <c r="BS30" s="52"/>
      <c r="BT30" s="210"/>
      <c r="BU30" s="65"/>
      <c r="BV30" s="52"/>
      <c r="BW30" s="65"/>
      <c r="BX30" s="52"/>
      <c r="BY30" s="68"/>
      <c r="BZ30" s="81"/>
      <c r="CA30" s="210"/>
      <c r="CB30" s="65"/>
      <c r="CC30" s="52"/>
      <c r="CD30" s="65"/>
      <c r="CE30" s="52"/>
      <c r="CF30" s="68"/>
      <c r="CG30" s="81"/>
      <c r="CH30" s="210"/>
      <c r="CI30" s="65"/>
      <c r="CJ30" s="52"/>
      <c r="CK30" s="65"/>
      <c r="CL30" s="52"/>
      <c r="CM30" s="68"/>
      <c r="CN30" s="81"/>
      <c r="CO30" s="210"/>
      <c r="CP30" s="65"/>
      <c r="CQ30" s="51"/>
      <c r="CR30" s="65"/>
      <c r="CS30" s="51"/>
      <c r="CT30" s="68"/>
      <c r="CU30" s="68"/>
      <c r="CV30" s="210"/>
      <c r="CW30" s="65"/>
      <c r="CX30" s="52"/>
      <c r="CY30" s="65"/>
      <c r="CZ30" s="52"/>
      <c r="DA30" s="68"/>
      <c r="DB30" s="81"/>
      <c r="DC30" s="210"/>
      <c r="DD30" s="65"/>
      <c r="DE30" s="52"/>
      <c r="DF30" s="65"/>
      <c r="DG30" s="52"/>
      <c r="DH30" s="68"/>
      <c r="DI30" s="81"/>
      <c r="DJ30" s="210"/>
      <c r="DK30" s="65"/>
      <c r="DL30" s="52"/>
      <c r="DM30" s="65"/>
      <c r="DN30" s="52"/>
      <c r="DO30" s="68"/>
      <c r="DP30" s="81"/>
      <c r="DQ30" s="210"/>
      <c r="DR30" s="65"/>
      <c r="DS30" s="52"/>
      <c r="DT30" s="65"/>
      <c r="DU30" s="52"/>
      <c r="DV30" s="68"/>
      <c r="DW30" s="81"/>
      <c r="DX30" s="210"/>
      <c r="DY30" s="65"/>
      <c r="DZ30" s="52"/>
      <c r="EA30" s="208"/>
      <c r="EB30" s="33"/>
      <c r="EC30" s="33"/>
      <c r="ED30" s="33"/>
      <c r="EE30" s="210"/>
      <c r="EF30" s="210"/>
    </row>
    <row r="31" spans="1:136">
      <c r="A31" s="10" t="s">
        <v>44</v>
      </c>
      <c r="B31" s="10"/>
      <c r="C31" s="65"/>
      <c r="D31" s="33"/>
      <c r="E31" s="68">
        <v>15140.576399999998</v>
      </c>
      <c r="F31" s="33"/>
      <c r="G31" s="212">
        <f t="shared" ref="G31:G36" si="120">E31-C31</f>
        <v>15140.576399999998</v>
      </c>
      <c r="H31" s="212"/>
      <c r="I31" s="210"/>
      <c r="J31" s="22">
        <v>10092.629999999999</v>
      </c>
      <c r="K31" s="33"/>
      <c r="L31" s="68">
        <v>15254.277000000002</v>
      </c>
      <c r="M31" s="33"/>
      <c r="N31" s="212">
        <f t="shared" ref="N31:N36" si="121">L31-J31</f>
        <v>5161.6470000000027</v>
      </c>
      <c r="O31" s="212"/>
      <c r="P31" s="210"/>
      <c r="Q31" s="65">
        <v>11660.36</v>
      </c>
      <c r="R31" s="23"/>
      <c r="S31" s="68">
        <v>17568.69312</v>
      </c>
      <c r="T31" s="33"/>
      <c r="U31" s="212">
        <f t="shared" ref="U31:U36" si="122">S31-Q31</f>
        <v>5908.3331199999993</v>
      </c>
      <c r="V31" s="212"/>
      <c r="W31" s="210"/>
      <c r="X31" s="208">
        <f t="shared" ref="X31:X35" si="123">C31+J31+Q31</f>
        <v>21752.989999999998</v>
      </c>
      <c r="Y31" s="33"/>
      <c r="Z31" s="218">
        <f>E31+L31+S31</f>
        <v>47963.546520000004</v>
      </c>
      <c r="AA31" s="23"/>
      <c r="AB31" s="212">
        <f t="shared" ref="AB31:AB36" si="124">Z31-X31</f>
        <v>26210.556520000006</v>
      </c>
      <c r="AC31" s="212"/>
      <c r="AD31" s="210"/>
      <c r="AE31" s="65">
        <v>0</v>
      </c>
      <c r="AF31" s="23"/>
      <c r="AG31" s="22">
        <v>18914.470799999999</v>
      </c>
      <c r="AH31" s="23"/>
      <c r="AI31" s="220">
        <f t="shared" ref="AI31:AI36" si="125">AG31-AE31</f>
        <v>18914.470799999999</v>
      </c>
      <c r="AJ31" s="221"/>
      <c r="AK31" s="210"/>
      <c r="AL31" s="65">
        <v>0</v>
      </c>
      <c r="AM31" s="23"/>
      <c r="AN31" s="22">
        <v>18988.001400000001</v>
      </c>
      <c r="AO31" s="23"/>
      <c r="AP31" s="220">
        <f t="shared" ref="AP31:AP36" si="126">AN31-AL31</f>
        <v>18988.001400000001</v>
      </c>
      <c r="AQ31" s="221"/>
      <c r="AR31" s="210"/>
      <c r="AS31" s="65">
        <v>0</v>
      </c>
      <c r="AT31" s="23"/>
      <c r="AU31" s="22">
        <v>19392.53904</v>
      </c>
      <c r="AV31" s="23"/>
      <c r="AW31" s="220">
        <f t="shared" ref="AW31:AW36" si="127">AU31-AS31</f>
        <v>19392.53904</v>
      </c>
      <c r="AX31" s="221"/>
      <c r="AY31" s="210"/>
      <c r="AZ31" s="208">
        <f>AE31+AL31+AS31</f>
        <v>0</v>
      </c>
      <c r="BA31" s="23"/>
      <c r="BB31" s="218">
        <f>AG31+AN31+AU31</f>
        <v>57295.011240000007</v>
      </c>
      <c r="BC31" s="23"/>
      <c r="BD31" s="220">
        <f t="shared" ref="BD31:BD36" si="128">BB31-AZ31</f>
        <v>57295.011240000007</v>
      </c>
      <c r="BE31" s="212"/>
      <c r="BF31" s="210"/>
      <c r="BG31" s="65">
        <v>0</v>
      </c>
      <c r="BH31" s="23"/>
      <c r="BI31" s="65">
        <v>0</v>
      </c>
      <c r="BJ31" s="23"/>
      <c r="BK31" s="220">
        <f t="shared" ref="BK31:BK36" si="129">BI31-BG31</f>
        <v>0</v>
      </c>
      <c r="BL31" s="212"/>
      <c r="BM31" s="210"/>
      <c r="BN31" s="65">
        <v>0</v>
      </c>
      <c r="BO31" s="52"/>
      <c r="BP31" s="65">
        <v>0</v>
      </c>
      <c r="BQ31" s="52"/>
      <c r="BR31" s="222">
        <f t="shared" ref="BR31:BR35" si="130">BN31-BP31</f>
        <v>0</v>
      </c>
      <c r="BS31" s="216"/>
      <c r="BT31" s="210"/>
      <c r="BU31" s="65">
        <f>6876.71+787.92</f>
        <v>7664.63</v>
      </c>
      <c r="BV31" s="52"/>
      <c r="BW31" s="65">
        <v>16160</v>
      </c>
      <c r="BX31" s="52"/>
      <c r="BY31" s="222">
        <f>BU31-BW31</f>
        <v>-8495.369999999999</v>
      </c>
      <c r="BZ31" s="216"/>
      <c r="CA31" s="210"/>
      <c r="CB31" s="65">
        <v>9688.51</v>
      </c>
      <c r="CC31" s="52"/>
      <c r="CD31" s="65">
        <v>6830</v>
      </c>
      <c r="CE31" s="52"/>
      <c r="CF31" s="222">
        <f>CB31-CD31</f>
        <v>2858.51</v>
      </c>
      <c r="CG31" s="216"/>
      <c r="CH31" s="210"/>
      <c r="CI31" s="208">
        <f t="shared" ref="CI31:CI34" si="131">BG31+BN31+BU31+CB31</f>
        <v>17353.14</v>
      </c>
      <c r="CJ31" s="52"/>
      <c r="CK31" s="208">
        <f>BI31+BP31+BW31+CD31</f>
        <v>22990</v>
      </c>
      <c r="CL31" s="52"/>
      <c r="CM31" s="222">
        <f t="shared" ref="CM31:CM35" si="132">CI31-CK31</f>
        <v>-5636.8600000000006</v>
      </c>
      <c r="CN31" s="216"/>
      <c r="CO31" s="210"/>
      <c r="CP31" s="65">
        <v>23173.29</v>
      </c>
      <c r="CQ31" s="51"/>
      <c r="CR31" s="65">
        <v>13659</v>
      </c>
      <c r="CS31" s="51"/>
      <c r="CT31" s="222">
        <f t="shared" ref="CT31:CT35" si="133">CP31-CR31</f>
        <v>9514.2900000000009</v>
      </c>
      <c r="CU31" s="223"/>
      <c r="CV31" s="210"/>
      <c r="CW31" s="65">
        <v>23297.25</v>
      </c>
      <c r="CX31" s="52"/>
      <c r="CY31" s="65">
        <v>13659</v>
      </c>
      <c r="CZ31" s="52"/>
      <c r="DA31" s="222">
        <f t="shared" ref="DA31:DA35" si="134">CW31-CY31</f>
        <v>9638.25</v>
      </c>
      <c r="DB31" s="216"/>
      <c r="DC31" s="210"/>
      <c r="DD31" s="65">
        <f>20474.75</f>
        <v>20474.75</v>
      </c>
      <c r="DE31" s="52"/>
      <c r="DF31" s="65">
        <v>15611</v>
      </c>
      <c r="DG31" s="52"/>
      <c r="DH31" s="222">
        <f t="shared" ref="DH31:DH35" si="135">DD31-DF31</f>
        <v>4863.75</v>
      </c>
      <c r="DI31" s="216"/>
      <c r="DJ31" s="210"/>
      <c r="DK31" s="65">
        <v>11378.27</v>
      </c>
      <c r="DL31" s="52"/>
      <c r="DM31" s="65">
        <v>15611</v>
      </c>
      <c r="DN31" s="52"/>
      <c r="DO31" s="222">
        <f t="shared" ref="DO31:DO35" si="136">DK31-DM31</f>
        <v>-4232.7299999999996</v>
      </c>
      <c r="DP31" s="216"/>
      <c r="DQ31" s="210"/>
      <c r="DR31" s="208">
        <f>CP31+CW31+DD31+DK31</f>
        <v>78323.560000000012</v>
      </c>
      <c r="DS31" s="52"/>
      <c r="DT31" s="208">
        <f>CR31+CY31+DF31+DM31</f>
        <v>58540</v>
      </c>
      <c r="DU31" s="52"/>
      <c r="DV31" s="222">
        <f t="shared" ref="DV31:DV35" si="137">DR31-DT31</f>
        <v>19783.560000000012</v>
      </c>
      <c r="DW31" s="216"/>
      <c r="DX31" s="210"/>
      <c r="DY31" s="208">
        <f>X31+AZ31+CI31+DR31</f>
        <v>117429.69</v>
      </c>
      <c r="DZ31" s="52"/>
      <c r="EA31" s="208">
        <f>Z31+BB31+CK31+DT31</f>
        <v>186788.55776</v>
      </c>
      <c r="EB31" s="33"/>
      <c r="EC31" s="212">
        <f t="shared" ref="EC31:EC36" si="138">EA31-DY31</f>
        <v>69358.867759999994</v>
      </c>
      <c r="ED31" s="212"/>
      <c r="EE31" s="210"/>
      <c r="EF31" s="210"/>
    </row>
    <row r="32" spans="1:136">
      <c r="A32" s="10" t="s">
        <v>45</v>
      </c>
      <c r="B32" s="10"/>
      <c r="C32" s="65"/>
      <c r="D32" s="33"/>
      <c r="E32" s="68">
        <v>2800</v>
      </c>
      <c r="F32" s="33"/>
      <c r="G32" s="212">
        <f t="shared" si="120"/>
        <v>2800</v>
      </c>
      <c r="H32" s="212"/>
      <c r="I32" s="210"/>
      <c r="J32" s="22">
        <v>3272.1</v>
      </c>
      <c r="K32" s="33"/>
      <c r="L32" s="68">
        <v>2800</v>
      </c>
      <c r="M32" s="33"/>
      <c r="N32" s="212">
        <f t="shared" si="121"/>
        <v>-472.09999999999991</v>
      </c>
      <c r="O32" s="212"/>
      <c r="P32" s="210"/>
      <c r="Q32" s="65">
        <v>2400.9699999999998</v>
      </c>
      <c r="R32" s="23"/>
      <c r="S32" s="68">
        <v>2800</v>
      </c>
      <c r="T32" s="33"/>
      <c r="U32" s="212">
        <f t="shared" si="122"/>
        <v>399.0300000000002</v>
      </c>
      <c r="V32" s="212"/>
      <c r="W32" s="210"/>
      <c r="X32" s="208">
        <f t="shared" si="123"/>
        <v>5673.07</v>
      </c>
      <c r="Y32" s="33"/>
      <c r="Z32" s="218">
        <f>E32+L32+S32</f>
        <v>8400</v>
      </c>
      <c r="AA32" s="23"/>
      <c r="AB32" s="212">
        <f t="shared" si="124"/>
        <v>2726.9300000000003</v>
      </c>
      <c r="AC32" s="212"/>
      <c r="AD32" s="210"/>
      <c r="AE32" s="65">
        <v>0</v>
      </c>
      <c r="AF32" s="23"/>
      <c r="AG32" s="22">
        <v>2800</v>
      </c>
      <c r="AH32" s="23"/>
      <c r="AI32" s="220">
        <f t="shared" si="125"/>
        <v>2800</v>
      </c>
      <c r="AJ32" s="221"/>
      <c r="AK32" s="210"/>
      <c r="AL32" s="65">
        <v>0</v>
      </c>
      <c r="AM32" s="23"/>
      <c r="AN32" s="22">
        <v>5600</v>
      </c>
      <c r="AO32" s="23"/>
      <c r="AP32" s="220">
        <f t="shared" si="126"/>
        <v>5600</v>
      </c>
      <c r="AQ32" s="221"/>
      <c r="AR32" s="210"/>
      <c r="AS32" s="65">
        <v>0</v>
      </c>
      <c r="AT32" s="23"/>
      <c r="AU32" s="22">
        <v>5600</v>
      </c>
      <c r="AV32" s="23"/>
      <c r="AW32" s="220">
        <f t="shared" si="127"/>
        <v>5600</v>
      </c>
      <c r="AX32" s="221"/>
      <c r="AY32" s="210"/>
      <c r="AZ32" s="208">
        <f t="shared" ref="AZ32:AZ35" si="139">AE32+AL32+AS32</f>
        <v>0</v>
      </c>
      <c r="BA32" s="23"/>
      <c r="BB32" s="218">
        <f>AG32+AN32+AU32</f>
        <v>14000</v>
      </c>
      <c r="BC32" s="23"/>
      <c r="BD32" s="220">
        <f t="shared" si="128"/>
        <v>14000</v>
      </c>
      <c r="BE32" s="212"/>
      <c r="BF32" s="210"/>
      <c r="BG32" s="65">
        <v>0</v>
      </c>
      <c r="BH32" s="23"/>
      <c r="BI32" s="65">
        <v>0</v>
      </c>
      <c r="BJ32" s="23"/>
      <c r="BK32" s="220">
        <f t="shared" si="129"/>
        <v>0</v>
      </c>
      <c r="BL32" s="212"/>
      <c r="BM32" s="210"/>
      <c r="BN32" s="65">
        <v>0</v>
      </c>
      <c r="BO32" s="52"/>
      <c r="BP32" s="65">
        <v>0</v>
      </c>
      <c r="BQ32" s="52"/>
      <c r="BR32" s="222">
        <f t="shared" si="130"/>
        <v>0</v>
      </c>
      <c r="BS32" s="216"/>
      <c r="BT32" s="210"/>
      <c r="BU32" s="65">
        <f>278.18+4578.34</f>
        <v>4856.5200000000004</v>
      </c>
      <c r="BV32" s="52"/>
      <c r="BW32" s="65">
        <v>5954</v>
      </c>
      <c r="BX32" s="52"/>
      <c r="BY32" s="222">
        <f>BU32-BW32</f>
        <v>-1097.4799999999996</v>
      </c>
      <c r="BZ32" s="216"/>
      <c r="CA32" s="210"/>
      <c r="CB32" s="65">
        <v>3407.35</v>
      </c>
      <c r="CC32" s="52"/>
      <c r="CD32" s="65">
        <v>2969</v>
      </c>
      <c r="CE32" s="52"/>
      <c r="CF32" s="222">
        <f>CB32-CD32</f>
        <v>438.34999999999991</v>
      </c>
      <c r="CG32" s="216"/>
      <c r="CH32" s="210"/>
      <c r="CI32" s="208">
        <f t="shared" si="131"/>
        <v>8263.8700000000008</v>
      </c>
      <c r="CJ32" s="52"/>
      <c r="CK32" s="208">
        <f t="shared" ref="CK32:CK35" si="140">BI32+BP32+BW32+CD32</f>
        <v>8923</v>
      </c>
      <c r="CL32" s="52"/>
      <c r="CM32" s="222">
        <f t="shared" si="132"/>
        <v>-659.1299999999992</v>
      </c>
      <c r="CN32" s="216"/>
      <c r="CO32" s="210"/>
      <c r="CP32" s="65">
        <v>3914.54</v>
      </c>
      <c r="CQ32" s="51"/>
      <c r="CR32" s="65">
        <v>4751</v>
      </c>
      <c r="CS32" s="51"/>
      <c r="CT32" s="222">
        <f t="shared" si="133"/>
        <v>-836.46</v>
      </c>
      <c r="CU32" s="223"/>
      <c r="CV32" s="210"/>
      <c r="CW32" s="65">
        <v>4465.6499999999996</v>
      </c>
      <c r="CX32" s="52"/>
      <c r="CY32" s="65">
        <v>4751</v>
      </c>
      <c r="CZ32" s="52"/>
      <c r="DA32" s="222">
        <f t="shared" si="134"/>
        <v>-285.35000000000036</v>
      </c>
      <c r="DB32" s="216"/>
      <c r="DC32" s="210"/>
      <c r="DD32" s="65">
        <v>2863.05</v>
      </c>
      <c r="DE32" s="52"/>
      <c r="DF32" s="65">
        <v>5430</v>
      </c>
      <c r="DG32" s="52"/>
      <c r="DH32" s="222">
        <f t="shared" si="135"/>
        <v>-2566.9499999999998</v>
      </c>
      <c r="DI32" s="216"/>
      <c r="DJ32" s="210"/>
      <c r="DK32" s="65">
        <v>2677.79</v>
      </c>
      <c r="DL32" s="52"/>
      <c r="DM32" s="65">
        <v>5430</v>
      </c>
      <c r="DN32" s="52"/>
      <c r="DO32" s="222">
        <f t="shared" si="136"/>
        <v>-2752.21</v>
      </c>
      <c r="DP32" s="216"/>
      <c r="DQ32" s="210"/>
      <c r="DR32" s="208">
        <f t="shared" ref="DR32:DR35" si="141">CP32+CW32+DD32+DK32</f>
        <v>13921.029999999999</v>
      </c>
      <c r="DS32" s="52"/>
      <c r="DT32" s="208">
        <f t="shared" ref="DT32:DT35" si="142">CR32+CY32+DF32+DM32</f>
        <v>20362</v>
      </c>
      <c r="DU32" s="52"/>
      <c r="DV32" s="222">
        <f t="shared" si="137"/>
        <v>-6440.9700000000012</v>
      </c>
      <c r="DW32" s="216"/>
      <c r="DX32" s="210"/>
      <c r="DY32" s="208">
        <f>X32+AZ32+CI32+DR32</f>
        <v>27857.97</v>
      </c>
      <c r="DZ32" s="52"/>
      <c r="EA32" s="208">
        <f t="shared" ref="EA32:EA35" si="143">Z32+BB32+CK32+DT32</f>
        <v>51685</v>
      </c>
      <c r="EB32" s="33"/>
      <c r="EC32" s="212">
        <f t="shared" si="138"/>
        <v>23827.03</v>
      </c>
      <c r="ED32" s="212"/>
      <c r="EE32" s="210"/>
      <c r="EF32" s="210"/>
    </row>
    <row r="33" spans="1:138">
      <c r="A33" s="10" t="s">
        <v>46</v>
      </c>
      <c r="B33" s="10"/>
      <c r="C33" s="65"/>
      <c r="D33" s="33"/>
      <c r="E33" s="68">
        <v>37059</v>
      </c>
      <c r="F33" s="33"/>
      <c r="G33" s="212">
        <f t="shared" si="120"/>
        <v>37059</v>
      </c>
      <c r="H33" s="212"/>
      <c r="I33" s="210"/>
      <c r="J33" s="22">
        <v>28877.67</v>
      </c>
      <c r="K33" s="33"/>
      <c r="L33" s="68">
        <v>37059</v>
      </c>
      <c r="M33" s="33"/>
      <c r="N33" s="212">
        <f t="shared" si="121"/>
        <v>8181.3300000000017</v>
      </c>
      <c r="O33" s="212"/>
      <c r="P33" s="210"/>
      <c r="Q33" s="65">
        <v>32305.46</v>
      </c>
      <c r="R33" s="23"/>
      <c r="S33" s="68">
        <v>37059</v>
      </c>
      <c r="T33" s="33"/>
      <c r="U33" s="212">
        <f t="shared" si="122"/>
        <v>4753.5400000000009</v>
      </c>
      <c r="V33" s="212"/>
      <c r="W33" s="210"/>
      <c r="X33" s="208">
        <f t="shared" si="123"/>
        <v>61183.13</v>
      </c>
      <c r="Y33" s="33"/>
      <c r="Z33" s="218">
        <f>E33+L33+S33</f>
        <v>111177</v>
      </c>
      <c r="AA33" s="23"/>
      <c r="AB33" s="212">
        <f t="shared" si="124"/>
        <v>49993.87</v>
      </c>
      <c r="AC33" s="212"/>
      <c r="AD33" s="210"/>
      <c r="AE33" s="65">
        <v>379.77</v>
      </c>
      <c r="AF33" s="23"/>
      <c r="AG33" s="22">
        <v>37059</v>
      </c>
      <c r="AH33" s="23"/>
      <c r="AI33" s="220">
        <f t="shared" si="125"/>
        <v>36679.230000000003</v>
      </c>
      <c r="AJ33" s="221"/>
      <c r="AK33" s="210"/>
      <c r="AL33" s="65">
        <v>0</v>
      </c>
      <c r="AM33" s="23"/>
      <c r="AN33" s="22">
        <v>37059</v>
      </c>
      <c r="AO33" s="23"/>
      <c r="AP33" s="220">
        <f t="shared" si="126"/>
        <v>37059</v>
      </c>
      <c r="AQ33" s="221"/>
      <c r="AR33" s="210"/>
      <c r="AS33" s="65">
        <v>0</v>
      </c>
      <c r="AT33" s="23"/>
      <c r="AU33" s="22">
        <v>37059</v>
      </c>
      <c r="AV33" s="23"/>
      <c r="AW33" s="220">
        <f t="shared" si="127"/>
        <v>37059</v>
      </c>
      <c r="AX33" s="221"/>
      <c r="AY33" s="210"/>
      <c r="AZ33" s="208">
        <f t="shared" si="139"/>
        <v>379.77</v>
      </c>
      <c r="BA33" s="23"/>
      <c r="BB33" s="218">
        <f>AG33+AN33+AU33</f>
        <v>111177</v>
      </c>
      <c r="BC33" s="23"/>
      <c r="BD33" s="220">
        <f t="shared" si="128"/>
        <v>110797.23</v>
      </c>
      <c r="BE33" s="212"/>
      <c r="BF33" s="210"/>
      <c r="BG33" s="65">
        <v>0</v>
      </c>
      <c r="BH33" s="23"/>
      <c r="BI33" s="65">
        <v>0</v>
      </c>
      <c r="BJ33" s="23"/>
      <c r="BK33" s="220">
        <f t="shared" si="129"/>
        <v>0</v>
      </c>
      <c r="BL33" s="212"/>
      <c r="BM33" s="210"/>
      <c r="BN33" s="65">
        <v>2125.9899999999998</v>
      </c>
      <c r="BO33" s="52"/>
      <c r="BP33" s="65">
        <v>0</v>
      </c>
      <c r="BQ33" s="52"/>
      <c r="BR33" s="222">
        <f t="shared" si="130"/>
        <v>2125.9899999999998</v>
      </c>
      <c r="BS33" s="216"/>
      <c r="BT33" s="210"/>
      <c r="BU33" s="65">
        <f>1488.76+9554.4</f>
        <v>11043.16</v>
      </c>
      <c r="BV33" s="52"/>
      <c r="BW33" s="65">
        <v>12587</v>
      </c>
      <c r="BX33" s="52"/>
      <c r="BY33" s="222">
        <f>BU33-BW33</f>
        <v>-1543.8400000000001</v>
      </c>
      <c r="BZ33" s="216"/>
      <c r="CA33" s="210"/>
      <c r="CB33" s="65">
        <v>14997.25</v>
      </c>
      <c r="CC33" s="52"/>
      <c r="CD33" s="65">
        <v>12376</v>
      </c>
      <c r="CE33" s="52"/>
      <c r="CF33" s="222">
        <f>CB33-CD33</f>
        <v>2621.25</v>
      </c>
      <c r="CG33" s="216"/>
      <c r="CH33" s="210"/>
      <c r="CI33" s="208">
        <f t="shared" si="131"/>
        <v>28166.400000000001</v>
      </c>
      <c r="CJ33" s="52"/>
      <c r="CK33" s="208">
        <f t="shared" si="140"/>
        <v>24963</v>
      </c>
      <c r="CL33" s="52"/>
      <c r="CM33" s="222">
        <f t="shared" si="132"/>
        <v>3203.4000000000015</v>
      </c>
      <c r="CN33" s="216"/>
      <c r="CO33" s="210"/>
      <c r="CP33" s="65">
        <v>33617.120000000003</v>
      </c>
      <c r="CQ33" s="51"/>
      <c r="CR33" s="65">
        <v>28274</v>
      </c>
      <c r="CS33" s="51"/>
      <c r="CT33" s="222">
        <f t="shared" si="133"/>
        <v>5343.1200000000026</v>
      </c>
      <c r="CU33" s="223"/>
      <c r="CV33" s="210"/>
      <c r="CW33" s="65">
        <v>37699.379999999997</v>
      </c>
      <c r="CX33" s="52"/>
      <c r="CY33" s="65">
        <v>28274</v>
      </c>
      <c r="CZ33" s="52"/>
      <c r="DA33" s="222">
        <f t="shared" si="134"/>
        <v>9425.3799999999974</v>
      </c>
      <c r="DB33" s="216"/>
      <c r="DC33" s="210"/>
      <c r="DD33" s="65">
        <v>35490.22</v>
      </c>
      <c r="DE33" s="52"/>
      <c r="DF33" s="65">
        <v>32987</v>
      </c>
      <c r="DG33" s="52"/>
      <c r="DH33" s="222">
        <f t="shared" si="135"/>
        <v>2503.2200000000012</v>
      </c>
      <c r="DI33" s="216"/>
      <c r="DJ33" s="210"/>
      <c r="DK33" s="65">
        <v>20303.21</v>
      </c>
      <c r="DL33" s="52"/>
      <c r="DM33" s="65">
        <v>33748</v>
      </c>
      <c r="DN33" s="52"/>
      <c r="DO33" s="222">
        <f t="shared" si="136"/>
        <v>-13444.79</v>
      </c>
      <c r="DP33" s="216"/>
      <c r="DQ33" s="210"/>
      <c r="DR33" s="208">
        <f t="shared" si="141"/>
        <v>127109.93</v>
      </c>
      <c r="DS33" s="52"/>
      <c r="DT33" s="208">
        <f t="shared" si="142"/>
        <v>123283</v>
      </c>
      <c r="DU33" s="52"/>
      <c r="DV33" s="222">
        <f t="shared" si="137"/>
        <v>3826.929999999993</v>
      </c>
      <c r="DW33" s="216"/>
      <c r="DX33" s="210"/>
      <c r="DY33" s="208">
        <f>X33+AZ33+CI33+DR33</f>
        <v>216839.22999999998</v>
      </c>
      <c r="DZ33" s="52"/>
      <c r="EA33" s="208">
        <f t="shared" si="143"/>
        <v>370600</v>
      </c>
      <c r="EB33" s="33"/>
      <c r="EC33" s="212">
        <f t="shared" si="138"/>
        <v>153760.77000000002</v>
      </c>
      <c r="ED33" s="212"/>
      <c r="EE33" s="210"/>
      <c r="EF33" s="210"/>
      <c r="EG33" s="210"/>
      <c r="EH33" s="210"/>
    </row>
    <row r="34" spans="1:138" hidden="1">
      <c r="A34" s="10" t="s">
        <v>47</v>
      </c>
      <c r="B34" s="10"/>
      <c r="C34" s="65"/>
      <c r="D34" s="33"/>
      <c r="E34" s="68">
        <v>0</v>
      </c>
      <c r="F34" s="33"/>
      <c r="G34" s="212">
        <f t="shared" si="120"/>
        <v>0</v>
      </c>
      <c r="H34" s="212"/>
      <c r="I34" s="210"/>
      <c r="J34" s="22">
        <v>0</v>
      </c>
      <c r="K34" s="33"/>
      <c r="L34" s="68">
        <v>0</v>
      </c>
      <c r="M34" s="33"/>
      <c r="N34" s="212">
        <f t="shared" si="121"/>
        <v>0</v>
      </c>
      <c r="O34" s="212"/>
      <c r="P34" s="210"/>
      <c r="Q34" s="65">
        <v>0</v>
      </c>
      <c r="R34" s="23"/>
      <c r="S34" s="68"/>
      <c r="T34" s="33"/>
      <c r="U34" s="212">
        <f t="shared" si="122"/>
        <v>0</v>
      </c>
      <c r="V34" s="212"/>
      <c r="W34" s="210"/>
      <c r="X34" s="208">
        <f t="shared" si="123"/>
        <v>0</v>
      </c>
      <c r="Y34" s="33"/>
      <c r="Z34" s="218">
        <f>E34+L34+S34</f>
        <v>0</v>
      </c>
      <c r="AA34" s="23"/>
      <c r="AB34" s="212">
        <f t="shared" si="124"/>
        <v>0</v>
      </c>
      <c r="AC34" s="212"/>
      <c r="AD34" s="210"/>
      <c r="AE34" s="65"/>
      <c r="AF34" s="23"/>
      <c r="AG34" s="22"/>
      <c r="AH34" s="23"/>
      <c r="AI34" s="220">
        <f t="shared" si="125"/>
        <v>0</v>
      </c>
      <c r="AJ34" s="221"/>
      <c r="AK34" s="210"/>
      <c r="AL34" s="65">
        <v>0</v>
      </c>
      <c r="AM34" s="23"/>
      <c r="AN34" s="22"/>
      <c r="AO34" s="23"/>
      <c r="AP34" s="220">
        <f t="shared" si="126"/>
        <v>0</v>
      </c>
      <c r="AQ34" s="221"/>
      <c r="AR34" s="210"/>
      <c r="AS34" s="208">
        <v>0</v>
      </c>
      <c r="AT34" s="23"/>
      <c r="AU34" s="218"/>
      <c r="AV34" s="23"/>
      <c r="AW34" s="220">
        <f t="shared" si="127"/>
        <v>0</v>
      </c>
      <c r="AX34" s="221"/>
      <c r="AY34" s="210"/>
      <c r="AZ34" s="208">
        <f t="shared" si="139"/>
        <v>0</v>
      </c>
      <c r="BA34" s="23"/>
      <c r="BB34" s="218">
        <f>AG34+AN34+AU34</f>
        <v>0</v>
      </c>
      <c r="BC34" s="23"/>
      <c r="BD34" s="220">
        <f t="shared" si="128"/>
        <v>0</v>
      </c>
      <c r="BE34" s="212"/>
      <c r="BF34" s="210"/>
      <c r="BG34" s="65">
        <v>0</v>
      </c>
      <c r="BH34" s="23"/>
      <c r="BI34" s="65">
        <v>0</v>
      </c>
      <c r="BJ34" s="23"/>
      <c r="BK34" s="220">
        <f t="shared" si="129"/>
        <v>0</v>
      </c>
      <c r="BL34" s="212"/>
      <c r="BM34" s="210"/>
      <c r="BN34" s="65">
        <v>0</v>
      </c>
      <c r="BO34" s="52"/>
      <c r="BP34" s="65">
        <v>0</v>
      </c>
      <c r="BQ34" s="52"/>
      <c r="BR34" s="222">
        <f t="shared" si="130"/>
        <v>0</v>
      </c>
      <c r="BS34" s="216"/>
      <c r="BT34" s="210"/>
      <c r="BU34" s="208">
        <v>0</v>
      </c>
      <c r="BV34" s="52"/>
      <c r="BW34" s="208">
        <v>0</v>
      </c>
      <c r="BX34" s="52"/>
      <c r="BY34" s="222">
        <f>BU34-BW34</f>
        <v>0</v>
      </c>
      <c r="BZ34" s="216"/>
      <c r="CA34" s="210"/>
      <c r="CB34" s="208">
        <v>0</v>
      </c>
      <c r="CC34" s="52"/>
      <c r="CD34" s="208">
        <v>0</v>
      </c>
      <c r="CE34" s="52"/>
      <c r="CF34" s="222">
        <f>CB34-CD34</f>
        <v>0</v>
      </c>
      <c r="CG34" s="216"/>
      <c r="CH34" s="210"/>
      <c r="CI34" s="208">
        <f t="shared" si="131"/>
        <v>0</v>
      </c>
      <c r="CJ34" s="52"/>
      <c r="CK34" s="208">
        <f t="shared" si="140"/>
        <v>0</v>
      </c>
      <c r="CL34" s="52"/>
      <c r="CM34" s="222">
        <f t="shared" si="132"/>
        <v>0</v>
      </c>
      <c r="CN34" s="216"/>
      <c r="CO34" s="210"/>
      <c r="CP34" s="65">
        <v>0</v>
      </c>
      <c r="CQ34" s="51"/>
      <c r="CR34" s="65">
        <v>0</v>
      </c>
      <c r="CS34" s="51"/>
      <c r="CT34" s="222">
        <f t="shared" si="133"/>
        <v>0</v>
      </c>
      <c r="CU34" s="223"/>
      <c r="CV34" s="210"/>
      <c r="CW34" s="65">
        <v>525</v>
      </c>
      <c r="CX34" s="52"/>
      <c r="CY34" s="65">
        <v>0</v>
      </c>
      <c r="CZ34" s="52"/>
      <c r="DA34" s="222">
        <f t="shared" si="134"/>
        <v>525</v>
      </c>
      <c r="DB34" s="216"/>
      <c r="DC34" s="210"/>
      <c r="DD34" s="65">
        <v>130</v>
      </c>
      <c r="DE34" s="52"/>
      <c r="DF34" s="65">
        <v>0</v>
      </c>
      <c r="DG34" s="52"/>
      <c r="DH34" s="222">
        <f t="shared" si="135"/>
        <v>130</v>
      </c>
      <c r="DI34" s="216"/>
      <c r="DJ34" s="210"/>
      <c r="DK34" s="65"/>
      <c r="DL34" s="52"/>
      <c r="DM34" s="65">
        <v>0</v>
      </c>
      <c r="DN34" s="52"/>
      <c r="DO34" s="222">
        <f t="shared" si="136"/>
        <v>0</v>
      </c>
      <c r="DP34" s="216"/>
      <c r="DQ34" s="210"/>
      <c r="DR34" s="208">
        <f t="shared" si="141"/>
        <v>655</v>
      </c>
      <c r="DS34" s="52"/>
      <c r="DT34" s="208">
        <f t="shared" si="142"/>
        <v>0</v>
      </c>
      <c r="DU34" s="52"/>
      <c r="DV34" s="222">
        <f t="shared" si="137"/>
        <v>655</v>
      </c>
      <c r="DW34" s="216"/>
      <c r="DX34" s="210"/>
      <c r="DY34" s="208">
        <f>X34+AZ34+CI34+DR34</f>
        <v>655</v>
      </c>
      <c r="DZ34" s="52"/>
      <c r="EA34" s="208">
        <f t="shared" si="143"/>
        <v>0</v>
      </c>
      <c r="EB34" s="33"/>
      <c r="EC34" s="212">
        <f t="shared" si="138"/>
        <v>-655</v>
      </c>
      <c r="ED34" s="212"/>
      <c r="EE34" s="210"/>
      <c r="EF34" s="210"/>
      <c r="EG34" s="210"/>
      <c r="EH34" s="210"/>
    </row>
    <row r="35" spans="1:138">
      <c r="A35" s="10" t="s">
        <v>48</v>
      </c>
      <c r="B35" s="10"/>
      <c r="C35" s="65"/>
      <c r="D35" s="33"/>
      <c r="E35" s="68">
        <v>1261.7147</v>
      </c>
      <c r="F35" s="33"/>
      <c r="G35" s="212">
        <f t="shared" si="120"/>
        <v>1261.7147</v>
      </c>
      <c r="H35" s="212"/>
      <c r="I35" s="210"/>
      <c r="J35" s="22">
        <f>1269.71+17.85</f>
        <v>1287.56</v>
      </c>
      <c r="K35" s="33"/>
      <c r="L35" s="68">
        <v>1271.1897500000002</v>
      </c>
      <c r="M35" s="33"/>
      <c r="N35" s="212">
        <f t="shared" si="121"/>
        <v>-16.370249999999714</v>
      </c>
      <c r="O35" s="212"/>
      <c r="P35" s="210"/>
      <c r="Q35" s="65">
        <f>1319.77+406.68</f>
        <v>1726.45</v>
      </c>
      <c r="R35" s="23"/>
      <c r="S35" s="68">
        <v>1464.0577600000001</v>
      </c>
      <c r="T35" s="33"/>
      <c r="U35" s="212">
        <f t="shared" si="122"/>
        <v>-262.3922399999999</v>
      </c>
      <c r="V35" s="212"/>
      <c r="W35" s="210"/>
      <c r="X35" s="208">
        <f t="shared" si="123"/>
        <v>3014.01</v>
      </c>
      <c r="Y35" s="33"/>
      <c r="Z35" s="218">
        <f>E35+L35+S35</f>
        <v>3996.9622100000001</v>
      </c>
      <c r="AA35" s="23"/>
      <c r="AB35" s="212">
        <f t="shared" si="124"/>
        <v>982.95220999999992</v>
      </c>
      <c r="AC35" s="212"/>
      <c r="AD35" s="210"/>
      <c r="AE35" s="65">
        <v>0</v>
      </c>
      <c r="AF35" s="23"/>
      <c r="AG35" s="22">
        <v>1576.2058999999999</v>
      </c>
      <c r="AH35" s="23"/>
      <c r="AI35" s="220">
        <f t="shared" si="125"/>
        <v>1576.2058999999999</v>
      </c>
      <c r="AJ35" s="221"/>
      <c r="AK35" s="210"/>
      <c r="AL35" s="65">
        <v>0</v>
      </c>
      <c r="AM35" s="23"/>
      <c r="AN35" s="22">
        <v>1582.3334500000001</v>
      </c>
      <c r="AO35" s="23"/>
      <c r="AP35" s="220">
        <f t="shared" si="126"/>
        <v>1582.3334500000001</v>
      </c>
      <c r="AQ35" s="221"/>
      <c r="AR35" s="210"/>
      <c r="AS35" s="208">
        <v>0</v>
      </c>
      <c r="AT35" s="23"/>
      <c r="AU35" s="218">
        <v>1616.04492</v>
      </c>
      <c r="AV35" s="23"/>
      <c r="AW35" s="220">
        <f t="shared" si="127"/>
        <v>1616.04492</v>
      </c>
      <c r="AX35" s="221"/>
      <c r="AY35" s="210"/>
      <c r="AZ35" s="208">
        <f t="shared" si="139"/>
        <v>0</v>
      </c>
      <c r="BA35" s="23"/>
      <c r="BB35" s="218">
        <f>AG35+AN35+AU35</f>
        <v>4774.5842700000003</v>
      </c>
      <c r="BC35" s="23"/>
      <c r="BD35" s="220">
        <f t="shared" si="128"/>
        <v>4774.5842700000003</v>
      </c>
      <c r="BE35" s="212"/>
      <c r="BF35" s="210"/>
      <c r="BG35" s="65">
        <v>0</v>
      </c>
      <c r="BH35" s="23"/>
      <c r="BI35" s="65">
        <v>0</v>
      </c>
      <c r="BJ35" s="23"/>
      <c r="BK35" s="220">
        <f t="shared" si="129"/>
        <v>0</v>
      </c>
      <c r="BL35" s="212"/>
      <c r="BM35" s="210"/>
      <c r="BN35" s="65">
        <v>81</v>
      </c>
      <c r="BO35" s="52"/>
      <c r="BP35" s="65">
        <v>0</v>
      </c>
      <c r="BQ35" s="52"/>
      <c r="BR35" s="222">
        <f t="shared" si="130"/>
        <v>81</v>
      </c>
      <c r="BS35" s="216"/>
      <c r="BT35" s="210"/>
      <c r="BU35" s="208">
        <v>0</v>
      </c>
      <c r="BV35" s="52"/>
      <c r="BW35" s="208">
        <v>0</v>
      </c>
      <c r="BX35" s="52"/>
      <c r="BY35" s="222">
        <f>BU35-BW35</f>
        <v>0</v>
      </c>
      <c r="BZ35" s="216"/>
      <c r="CA35" s="210"/>
      <c r="CB35" s="208">
        <f>2951.54+15.23+100.21</f>
        <v>3066.98</v>
      </c>
      <c r="CC35" s="52"/>
      <c r="CD35" s="208">
        <v>1188</v>
      </c>
      <c r="CE35" s="52"/>
      <c r="CF35" s="222">
        <f>CB35-CD35</f>
        <v>1878.98</v>
      </c>
      <c r="CG35" s="216"/>
      <c r="CH35" s="210"/>
      <c r="CI35" s="208">
        <f>BG35+BN35+BU35+CB35</f>
        <v>3147.98</v>
      </c>
      <c r="CJ35" s="52"/>
      <c r="CK35" s="208">
        <f t="shared" si="140"/>
        <v>1188</v>
      </c>
      <c r="CL35" s="52"/>
      <c r="CM35" s="222">
        <f t="shared" si="132"/>
        <v>1959.98</v>
      </c>
      <c r="CN35" s="216"/>
      <c r="CO35" s="210"/>
      <c r="CP35" s="65">
        <f>38.26+164.87+5803.44</f>
        <v>6006.57</v>
      </c>
      <c r="CQ35" s="51"/>
      <c r="CR35" s="65">
        <v>2376</v>
      </c>
      <c r="CS35" s="51"/>
      <c r="CT35" s="222">
        <f t="shared" si="133"/>
        <v>3630.5699999999997</v>
      </c>
      <c r="CU35" s="223"/>
      <c r="CV35" s="210"/>
      <c r="CW35" s="65">
        <f>4360.06+146.12+16.51</f>
        <v>4522.6900000000005</v>
      </c>
      <c r="CX35" s="52"/>
      <c r="CY35" s="65">
        <v>2376</v>
      </c>
      <c r="CZ35" s="52"/>
      <c r="DA35" s="222">
        <f t="shared" si="134"/>
        <v>2146.6900000000005</v>
      </c>
      <c r="DB35" s="216"/>
      <c r="DC35" s="210"/>
      <c r="DD35" s="65">
        <v>2050.17</v>
      </c>
      <c r="DE35" s="52"/>
      <c r="DF35" s="65">
        <v>2715</v>
      </c>
      <c r="DG35" s="52"/>
      <c r="DH35" s="222">
        <f t="shared" si="135"/>
        <v>-664.82999999999993</v>
      </c>
      <c r="DI35" s="216"/>
      <c r="DJ35" s="210"/>
      <c r="DK35" s="65">
        <v>13.68</v>
      </c>
      <c r="DL35" s="52"/>
      <c r="DM35" s="65">
        <v>2715</v>
      </c>
      <c r="DN35" s="52"/>
      <c r="DO35" s="222">
        <f t="shared" si="136"/>
        <v>-2701.32</v>
      </c>
      <c r="DP35" s="216"/>
      <c r="DQ35" s="210"/>
      <c r="DR35" s="208">
        <f t="shared" si="141"/>
        <v>12593.11</v>
      </c>
      <c r="DS35" s="52"/>
      <c r="DT35" s="208">
        <f t="shared" si="142"/>
        <v>10182</v>
      </c>
      <c r="DU35" s="52"/>
      <c r="DV35" s="222">
        <f t="shared" si="137"/>
        <v>2411.1100000000006</v>
      </c>
      <c r="DW35" s="216"/>
      <c r="DX35" s="210"/>
      <c r="DY35" s="208">
        <f>X35+AZ35+CI35+DR35</f>
        <v>18755.099999999999</v>
      </c>
      <c r="DZ35" s="52"/>
      <c r="EA35" s="208">
        <f t="shared" si="143"/>
        <v>20141.546480000001</v>
      </c>
      <c r="EB35" s="33"/>
      <c r="EC35" s="212">
        <f t="shared" si="138"/>
        <v>1386.4464800000023</v>
      </c>
      <c r="ED35" s="212"/>
      <c r="EE35" s="210"/>
      <c r="EF35" s="210"/>
      <c r="EG35" s="210"/>
      <c r="EH35" s="210"/>
    </row>
    <row r="36" spans="1:138" ht="17.100000000000001" thickBot="1">
      <c r="A36" s="11" t="s">
        <v>49</v>
      </c>
      <c r="B36" s="9"/>
      <c r="C36" s="69">
        <f>SUM(C31:C35)</f>
        <v>0</v>
      </c>
      <c r="D36" s="32" t="e">
        <f>C36/C12</f>
        <v>#DIV/0!</v>
      </c>
      <c r="E36" s="24">
        <f>SUM(E31:E35)</f>
        <v>56261.291099999995</v>
      </c>
      <c r="F36" s="32">
        <f>E36/E12</f>
        <v>0.22295474075072122</v>
      </c>
      <c r="G36" s="34">
        <f t="shared" si="120"/>
        <v>56261.291099999995</v>
      </c>
      <c r="H36" s="31">
        <f>G36/E36</f>
        <v>1</v>
      </c>
      <c r="I36" s="210"/>
      <c r="J36" s="24">
        <f>SUM(J31:J35)</f>
        <v>43529.959999999992</v>
      </c>
      <c r="K36" s="32">
        <f>J36/J12</f>
        <v>0.30325274220009957</v>
      </c>
      <c r="L36" s="24">
        <f>SUM(L31:L35)</f>
        <v>56384.46675</v>
      </c>
      <c r="M36" s="32">
        <f>L36/L12</f>
        <v>0.22177832518709339</v>
      </c>
      <c r="N36" s="34">
        <f t="shared" si="121"/>
        <v>12854.506750000008</v>
      </c>
      <c r="O36" s="31">
        <f>N36/L36</f>
        <v>0.22797957471150523</v>
      </c>
      <c r="P36" s="210"/>
      <c r="Q36" s="69">
        <f>SUM(Q31:Q35)</f>
        <v>48093.24</v>
      </c>
      <c r="R36" s="21">
        <f>Q36/Q12</f>
        <v>0.39618488700553334</v>
      </c>
      <c r="S36" s="24">
        <f>SUM(S31:S35)</f>
        <v>58891.75088</v>
      </c>
      <c r="T36" s="32">
        <f>S36/S12</f>
        <v>0.201125093862417</v>
      </c>
      <c r="U36" s="34">
        <f t="shared" si="122"/>
        <v>10798.510880000002</v>
      </c>
      <c r="V36" s="31">
        <f>U36/S36</f>
        <v>0.18336202810480953</v>
      </c>
      <c r="W36" s="210"/>
      <c r="X36" s="69">
        <f>SUM(X31:X35)</f>
        <v>91623.2</v>
      </c>
      <c r="Y36" s="32">
        <f>X36/X12</f>
        <v>0.34583353464102817</v>
      </c>
      <c r="Z36" s="24">
        <f>SUM(Z31:Z35)</f>
        <v>171537.50873</v>
      </c>
      <c r="AA36" s="21">
        <f>Z36/Z12</f>
        <v>0.21458456730112369</v>
      </c>
      <c r="AB36" s="34">
        <f t="shared" si="124"/>
        <v>79914.308730000004</v>
      </c>
      <c r="AC36" s="31">
        <f>AB36/Z36</f>
        <v>0.46587075515819171</v>
      </c>
      <c r="AD36" s="210"/>
      <c r="AE36" s="69">
        <f>SUM(AE31:AE35)</f>
        <v>379.77</v>
      </c>
      <c r="AF36" s="21" t="e">
        <f>AE36/AE12</f>
        <v>#DIV/0!</v>
      </c>
      <c r="AG36" s="24">
        <f>SUM(AG31:AG35)</f>
        <v>60349.676699999996</v>
      </c>
      <c r="AH36" s="21">
        <f>AG36/AG12</f>
        <v>0.19143969928040488</v>
      </c>
      <c r="AI36" s="71">
        <f t="shared" si="125"/>
        <v>59969.9067</v>
      </c>
      <c r="AJ36" s="19">
        <f>AI36/AG36</f>
        <v>0.99370717424240984</v>
      </c>
      <c r="AK36" s="210"/>
      <c r="AL36" s="69">
        <f>SUM(AL31:AL35)</f>
        <v>0</v>
      </c>
      <c r="AM36" s="21" t="e">
        <f>AL36/AL12</f>
        <v>#DIV/0!</v>
      </c>
      <c r="AN36" s="24">
        <f>SUM(AN31:AN35)</f>
        <v>63229.334849999999</v>
      </c>
      <c r="AO36" s="21">
        <f>AN36/AN12</f>
        <v>0.19979775707200018</v>
      </c>
      <c r="AP36" s="71">
        <f t="shared" si="126"/>
        <v>63229.334849999999</v>
      </c>
      <c r="AQ36" s="19">
        <f>AP36/AN36</f>
        <v>1</v>
      </c>
      <c r="AR36" s="210"/>
      <c r="AS36" s="69">
        <f>SUM(AS31:AS35)</f>
        <v>0</v>
      </c>
      <c r="AT36" s="21" t="e">
        <f>AS36/AS12</f>
        <v>#DIV/0!</v>
      </c>
      <c r="AU36" s="24">
        <f>SUM(AU31:AU35)</f>
        <v>63667.583960000004</v>
      </c>
      <c r="AV36" s="21">
        <f>AU36/AU12</f>
        <v>0.19698581138450039</v>
      </c>
      <c r="AW36" s="71">
        <f t="shared" si="127"/>
        <v>63667.583960000004</v>
      </c>
      <c r="AX36" s="19">
        <f>AW36/AU36</f>
        <v>1</v>
      </c>
      <c r="AY36" s="210"/>
      <c r="AZ36" s="69">
        <f>SUM(AZ31:AZ35)</f>
        <v>379.77</v>
      </c>
      <c r="BA36" s="21" t="e">
        <f>AZ36/AZ12</f>
        <v>#DIV/0!</v>
      </c>
      <c r="BB36" s="24">
        <f>SUM(BB31:BB35)</f>
        <v>187246.59551000001</v>
      </c>
      <c r="BC36" s="21">
        <f>BB36/BB12</f>
        <v>0.19608680559532776</v>
      </c>
      <c r="BD36" s="71">
        <f t="shared" si="128"/>
        <v>186866.82551000002</v>
      </c>
      <c r="BE36" s="31">
        <f>BD36/BB36</f>
        <v>0.99797181893232501</v>
      </c>
      <c r="BF36" s="210"/>
      <c r="BG36" s="69">
        <f>SUM(BG31:BG35)</f>
        <v>0</v>
      </c>
      <c r="BH36" s="21" t="e">
        <f>BG36/BG12</f>
        <v>#DIV/0!</v>
      </c>
      <c r="BI36" s="69">
        <f>SUM(BI31:BI35)</f>
        <v>0</v>
      </c>
      <c r="BJ36" s="21" t="e">
        <f>BI36/BI12</f>
        <v>#DIV/0!</v>
      </c>
      <c r="BK36" s="71">
        <f t="shared" si="129"/>
        <v>0</v>
      </c>
      <c r="BL36" s="31" t="e">
        <f>BK36/BI36</f>
        <v>#DIV/0!</v>
      </c>
      <c r="BM36" s="210"/>
      <c r="BN36" s="69">
        <f>SUM(BN31:BN35)</f>
        <v>2206.9899999999998</v>
      </c>
      <c r="BO36" s="38" t="e">
        <f>BN36/BN12</f>
        <v>#DIV/0!</v>
      </c>
      <c r="BP36" s="69">
        <f>SUM(BP31:BP35)</f>
        <v>0</v>
      </c>
      <c r="BQ36" s="38" t="e">
        <f>BP36/BP12</f>
        <v>#DIV/0!</v>
      </c>
      <c r="BR36" s="69">
        <f>SUM(BR31:BR35)</f>
        <v>2206.9899999999998</v>
      </c>
      <c r="BS36" s="40" t="e">
        <f>BR36/BP36</f>
        <v>#DIV/0!</v>
      </c>
      <c r="BT36" s="210"/>
      <c r="BU36" s="69">
        <f>SUM(BU31:BU35)</f>
        <v>23564.31</v>
      </c>
      <c r="BV36" s="38">
        <f>BU36/BU12</f>
        <v>2.7592545754733551</v>
      </c>
      <c r="BW36" s="69">
        <f>SUM(BW31:BW35)</f>
        <v>34701</v>
      </c>
      <c r="BX36" s="38" t="e">
        <f>BW36/BW12</f>
        <v>#DIV/0!</v>
      </c>
      <c r="BY36" s="69">
        <f>SUM(BY31:BY35)</f>
        <v>-11136.689999999999</v>
      </c>
      <c r="BZ36" s="40">
        <f>BY36/BW36</f>
        <v>-0.32093282614333879</v>
      </c>
      <c r="CA36" s="210"/>
      <c r="CB36" s="69">
        <f>SUM(CB31:CB35)</f>
        <v>31160.09</v>
      </c>
      <c r="CC36" s="38">
        <f>CB36/CB12</f>
        <v>0.42859410398713782</v>
      </c>
      <c r="CD36" s="69">
        <f>SUM(CD31:CD35)</f>
        <v>23363</v>
      </c>
      <c r="CE36" s="38">
        <f>CD36/CD12</f>
        <v>0.19669467409789693</v>
      </c>
      <c r="CF36" s="69">
        <f>SUM(CF31:CF35)</f>
        <v>7797.09</v>
      </c>
      <c r="CG36" s="40">
        <f>CF36/CD36</f>
        <v>0.33373667765269871</v>
      </c>
      <c r="CH36" s="210"/>
      <c r="CI36" s="69">
        <f>SUM(CI31:CI35)</f>
        <v>56931.390000000007</v>
      </c>
      <c r="CJ36" s="38">
        <f>CI36/CI12</f>
        <v>0.70075328215444188</v>
      </c>
      <c r="CK36" s="69">
        <f>SUM(CK31:CK35)</f>
        <v>58064</v>
      </c>
      <c r="CL36" s="38">
        <f>CK36/CK12</f>
        <v>0.48884473555708968</v>
      </c>
      <c r="CM36" s="69">
        <f>SUM(CM31:CM35)</f>
        <v>-1132.6099999999983</v>
      </c>
      <c r="CN36" s="40">
        <f>CM36/CK36</f>
        <v>-1.9506234499862191E-2</v>
      </c>
      <c r="CO36" s="210"/>
      <c r="CP36" s="69">
        <f>SUM(CP31:CP35)</f>
        <v>66711.520000000004</v>
      </c>
      <c r="CQ36" s="41">
        <f>CP36/CP12</f>
        <v>0.30055546755201235</v>
      </c>
      <c r="CR36" s="69">
        <f>SUM(CR31:CR35)</f>
        <v>49060</v>
      </c>
      <c r="CS36" s="41">
        <f>CR36/CR12</f>
        <v>0.20651972587516207</v>
      </c>
      <c r="CT36" s="69">
        <f>SUM(CT31:CT35)</f>
        <v>17651.520000000004</v>
      </c>
      <c r="CU36" s="42">
        <f>CT36/CR36</f>
        <v>0.35979453730126382</v>
      </c>
      <c r="CV36" s="210"/>
      <c r="CW36" s="69">
        <f>SUM(CW31:CW35)</f>
        <v>70509.97</v>
      </c>
      <c r="CX36" s="38">
        <f>CW36/CW12</f>
        <v>0.27050086492410225</v>
      </c>
      <c r="CY36" s="69">
        <f>SUM(CY31:CY35)</f>
        <v>49060</v>
      </c>
      <c r="CZ36" s="38">
        <f>CY36/CY12</f>
        <v>0.20651972587516207</v>
      </c>
      <c r="DA36" s="69">
        <f>SUM(DA31:DA35)</f>
        <v>21449.97</v>
      </c>
      <c r="DB36" s="40">
        <f>DA36/CY36</f>
        <v>0.43721911944557684</v>
      </c>
      <c r="DC36" s="210"/>
      <c r="DD36" s="69">
        <f>SUM(DD31:DD35)</f>
        <v>61008.19</v>
      </c>
      <c r="DE36" s="38">
        <f>DD36/DD12</f>
        <v>0.26813668177318806</v>
      </c>
      <c r="DF36" s="69">
        <f>SUM(DF31:DF35)</f>
        <v>56743</v>
      </c>
      <c r="DG36" s="38">
        <f>DF36/DF12</f>
        <v>0.20900508672479015</v>
      </c>
      <c r="DH36" s="69">
        <f>SUM(DH31:DH35)</f>
        <v>4265.1900000000014</v>
      </c>
      <c r="DI36" s="40">
        <f>DH36/DF36</f>
        <v>7.5166804716000235E-2</v>
      </c>
      <c r="DJ36" s="210"/>
      <c r="DK36" s="69">
        <f>SUM(DK31:DK35)</f>
        <v>34372.950000000004</v>
      </c>
      <c r="DL36" s="38">
        <f>DK36/DK12</f>
        <v>0.23124423410672076</v>
      </c>
      <c r="DM36" s="69">
        <f>SUM(DM31:DM35)</f>
        <v>57504</v>
      </c>
      <c r="DN36" s="38">
        <f>DM36/DM12</f>
        <v>0.21180812623622883</v>
      </c>
      <c r="DO36" s="69">
        <f>SUM(DO31:DO35)</f>
        <v>-23131.05</v>
      </c>
      <c r="DP36" s="40">
        <f>DO36/DM36</f>
        <v>-0.40225114774624371</v>
      </c>
      <c r="DQ36" s="210"/>
      <c r="DR36" s="69">
        <f>SUM(DR31:DR35)</f>
        <v>232602.63</v>
      </c>
      <c r="DS36" s="38">
        <f>DR36/DR12</f>
        <v>0.27084761302811194</v>
      </c>
      <c r="DT36" s="69">
        <f>SUM(DT31:DT35)</f>
        <v>212367</v>
      </c>
      <c r="DU36" s="38">
        <f>DT36/DT12</f>
        <v>0.20859272326523878</v>
      </c>
      <c r="DV36" s="69">
        <f>SUM(DV31:DV35)</f>
        <v>20235.630000000005</v>
      </c>
      <c r="DW36" s="40">
        <f>DV36/DT36</f>
        <v>9.5286132026162276E-2</v>
      </c>
      <c r="DX36" s="210"/>
      <c r="DY36" s="69">
        <f>SUM(DY31:DY35)</f>
        <v>381536.99</v>
      </c>
      <c r="DZ36" s="38">
        <f>DY36/DY12</f>
        <v>0.31663537315072682</v>
      </c>
      <c r="EA36" s="69">
        <f>SUM(EA31:EA35)</f>
        <v>629215.10424000002</v>
      </c>
      <c r="EB36" s="32">
        <f>EA36/EA12</f>
        <v>0.21763245162803557</v>
      </c>
      <c r="EC36" s="34">
        <f t="shared" si="138"/>
        <v>247678.11424000002</v>
      </c>
      <c r="ED36" s="31">
        <f>EC36/EA36</f>
        <v>0.39363027456112809</v>
      </c>
      <c r="EE36" s="224"/>
      <c r="EF36" s="210"/>
      <c r="EG36" s="210"/>
      <c r="EH36" s="210"/>
    </row>
    <row r="37" spans="1:138" ht="17.100000000000001" thickTop="1">
      <c r="A37" s="10"/>
      <c r="B37" s="10"/>
      <c r="C37" s="65"/>
      <c r="D37" s="33"/>
      <c r="E37" s="22"/>
      <c r="F37" s="33"/>
      <c r="G37" s="33"/>
      <c r="H37" s="33"/>
      <c r="I37" s="210"/>
      <c r="J37" s="22"/>
      <c r="K37" s="33"/>
      <c r="L37" s="22"/>
      <c r="M37" s="33"/>
      <c r="N37" s="33"/>
      <c r="O37" s="33"/>
      <c r="P37" s="210"/>
      <c r="Q37" s="65"/>
      <c r="R37" s="23"/>
      <c r="S37" s="22"/>
      <c r="T37" s="33"/>
      <c r="U37" s="33"/>
      <c r="V37" s="33"/>
      <c r="W37" s="210"/>
      <c r="X37" s="65"/>
      <c r="Y37" s="33"/>
      <c r="Z37" s="22"/>
      <c r="AA37" s="23"/>
      <c r="AB37" s="33"/>
      <c r="AC37" s="33"/>
      <c r="AD37" s="210"/>
      <c r="AE37" s="65"/>
      <c r="AF37" s="23"/>
      <c r="AG37" s="22"/>
      <c r="AH37" s="23"/>
      <c r="AI37" s="73"/>
      <c r="AJ37" s="73"/>
      <c r="AK37" s="210"/>
      <c r="AL37" s="65"/>
      <c r="AM37" s="23"/>
      <c r="AN37" s="22"/>
      <c r="AO37" s="23"/>
      <c r="AP37" s="73"/>
      <c r="AQ37" s="73"/>
      <c r="AR37" s="210"/>
      <c r="AS37" s="65"/>
      <c r="AT37" s="23"/>
      <c r="AU37" s="22"/>
      <c r="AV37" s="23"/>
      <c r="AW37" s="73"/>
      <c r="AX37" s="73"/>
      <c r="AY37" s="210"/>
      <c r="AZ37" s="65"/>
      <c r="BA37" s="23"/>
      <c r="BB37" s="22"/>
      <c r="BC37" s="23"/>
      <c r="BD37" s="73"/>
      <c r="BE37" s="33"/>
      <c r="BF37" s="210"/>
      <c r="BG37" s="65"/>
      <c r="BH37" s="23"/>
      <c r="BI37" s="65"/>
      <c r="BJ37" s="23"/>
      <c r="BK37" s="73"/>
      <c r="BL37" s="33"/>
      <c r="BM37" s="210"/>
      <c r="BN37" s="65"/>
      <c r="BO37" s="52"/>
      <c r="BP37" s="65"/>
      <c r="BQ37" s="52"/>
      <c r="BR37" s="68"/>
      <c r="BS37" s="52"/>
      <c r="BT37" s="210"/>
      <c r="BU37" s="65"/>
      <c r="BV37" s="52"/>
      <c r="BW37" s="65"/>
      <c r="BX37" s="52"/>
      <c r="BY37" s="68"/>
      <c r="BZ37" s="81"/>
      <c r="CA37" s="210"/>
      <c r="CB37" s="65"/>
      <c r="CC37" s="52"/>
      <c r="CD37" s="65"/>
      <c r="CE37" s="52"/>
      <c r="CF37" s="68"/>
      <c r="CG37" s="81"/>
      <c r="CH37" s="210"/>
      <c r="CI37" s="65"/>
      <c r="CJ37" s="52"/>
      <c r="CK37" s="65"/>
      <c r="CL37" s="52"/>
      <c r="CM37" s="68"/>
      <c r="CN37" s="81"/>
      <c r="CO37" s="210"/>
      <c r="CP37" s="65"/>
      <c r="CQ37" s="51"/>
      <c r="CR37" s="65"/>
      <c r="CS37" s="51"/>
      <c r="CT37" s="68"/>
      <c r="CU37" s="68"/>
      <c r="CV37" s="210"/>
      <c r="CW37" s="65"/>
      <c r="CX37" s="52"/>
      <c r="CY37" s="65"/>
      <c r="CZ37" s="52"/>
      <c r="DA37" s="68"/>
      <c r="DB37" s="81"/>
      <c r="DC37" s="210"/>
      <c r="DD37" s="65"/>
      <c r="DE37" s="52"/>
      <c r="DF37" s="65"/>
      <c r="DG37" s="52"/>
      <c r="DH37" s="68"/>
      <c r="DI37" s="81"/>
      <c r="DJ37" s="210"/>
      <c r="DK37" s="65"/>
      <c r="DL37" s="52"/>
      <c r="DM37" s="65"/>
      <c r="DN37" s="52"/>
      <c r="DO37" s="68"/>
      <c r="DP37" s="81"/>
      <c r="DQ37" s="210"/>
      <c r="DR37" s="65"/>
      <c r="DS37" s="52"/>
      <c r="DT37" s="65"/>
      <c r="DU37" s="52"/>
      <c r="DV37" s="68"/>
      <c r="DW37" s="81"/>
      <c r="DX37" s="210"/>
      <c r="DY37" s="65"/>
      <c r="DZ37" s="52"/>
      <c r="EA37" s="65"/>
      <c r="EB37" s="33"/>
      <c r="EC37" s="33"/>
      <c r="ED37" s="33"/>
      <c r="EE37" s="210"/>
      <c r="EF37" s="210"/>
      <c r="EG37" s="210"/>
      <c r="EH37" s="210"/>
    </row>
    <row r="38" spans="1:138">
      <c r="A38" s="9" t="s">
        <v>50</v>
      </c>
      <c r="B38" s="9"/>
      <c r="C38" s="65"/>
      <c r="D38" s="33"/>
      <c r="E38" s="22"/>
      <c r="F38" s="33"/>
      <c r="G38" s="33"/>
      <c r="H38" s="33"/>
      <c r="I38" s="210"/>
      <c r="J38" s="22"/>
      <c r="K38" s="33"/>
      <c r="L38" s="22"/>
      <c r="M38" s="33"/>
      <c r="N38" s="33"/>
      <c r="O38" s="33"/>
      <c r="P38" s="210"/>
      <c r="Q38" s="65"/>
      <c r="R38" s="23"/>
      <c r="S38" s="22"/>
      <c r="T38" s="33"/>
      <c r="U38" s="33"/>
      <c r="V38" s="33"/>
      <c r="W38" s="210"/>
      <c r="X38" s="65"/>
      <c r="Y38" s="33"/>
      <c r="Z38" s="22"/>
      <c r="AA38" s="23"/>
      <c r="AB38" s="33"/>
      <c r="AC38" s="33"/>
      <c r="AD38" s="210"/>
      <c r="AE38" s="65"/>
      <c r="AF38" s="23"/>
      <c r="AG38" s="22"/>
      <c r="AH38" s="23"/>
      <c r="AI38" s="73"/>
      <c r="AJ38" s="73"/>
      <c r="AK38" s="210"/>
      <c r="AL38" s="65"/>
      <c r="AM38" s="23"/>
      <c r="AN38" s="22"/>
      <c r="AO38" s="23"/>
      <c r="AP38" s="73"/>
      <c r="AQ38" s="73"/>
      <c r="AR38" s="210"/>
      <c r="AS38" s="65"/>
      <c r="AT38" s="23"/>
      <c r="AU38" s="22"/>
      <c r="AV38" s="23"/>
      <c r="AW38" s="73"/>
      <c r="AX38" s="73"/>
      <c r="AY38" s="210"/>
      <c r="AZ38" s="65"/>
      <c r="BA38" s="23"/>
      <c r="BB38" s="22"/>
      <c r="BC38" s="23"/>
      <c r="BD38" s="73"/>
      <c r="BE38" s="33"/>
      <c r="BF38" s="210"/>
      <c r="BG38" s="65"/>
      <c r="BH38" s="23"/>
      <c r="BI38" s="65"/>
      <c r="BJ38" s="23"/>
      <c r="BK38" s="73"/>
      <c r="BL38" s="33"/>
      <c r="BM38" s="210"/>
      <c r="BN38" s="65"/>
      <c r="BO38" s="52"/>
      <c r="BP38" s="65"/>
      <c r="BQ38" s="52"/>
      <c r="BR38" s="68"/>
      <c r="BS38" s="52"/>
      <c r="BT38" s="210"/>
      <c r="BU38" s="65"/>
      <c r="BV38" s="52"/>
      <c r="BW38" s="65"/>
      <c r="BX38" s="52"/>
      <c r="BY38" s="68"/>
      <c r="BZ38" s="81"/>
      <c r="CA38" s="210"/>
      <c r="CB38" s="65"/>
      <c r="CC38" s="52"/>
      <c r="CD38" s="65"/>
      <c r="CE38" s="52"/>
      <c r="CF38" s="68"/>
      <c r="CG38" s="81"/>
      <c r="CH38" s="210"/>
      <c r="CI38" s="65"/>
      <c r="CJ38" s="52"/>
      <c r="CK38" s="65"/>
      <c r="CL38" s="52"/>
      <c r="CM38" s="68"/>
      <c r="CN38" s="81"/>
      <c r="CO38" s="210"/>
      <c r="CP38" s="65"/>
      <c r="CQ38" s="51"/>
      <c r="CR38" s="65"/>
      <c r="CS38" s="51"/>
      <c r="CT38" s="68"/>
      <c r="CU38" s="68"/>
      <c r="CV38" s="210"/>
      <c r="CW38" s="65"/>
      <c r="CX38" s="52"/>
      <c r="CY38" s="65"/>
      <c r="CZ38" s="52"/>
      <c r="DA38" s="68"/>
      <c r="DB38" s="81"/>
      <c r="DC38" s="210"/>
      <c r="DD38" s="65"/>
      <c r="DE38" s="52"/>
      <c r="DF38" s="65"/>
      <c r="DG38" s="52"/>
      <c r="DH38" s="68"/>
      <c r="DI38" s="81"/>
      <c r="DJ38" s="210"/>
      <c r="DK38" s="65"/>
      <c r="DL38" s="52"/>
      <c r="DM38" s="65"/>
      <c r="DN38" s="52"/>
      <c r="DO38" s="68"/>
      <c r="DP38" s="81"/>
      <c r="DQ38" s="210"/>
      <c r="DR38" s="65"/>
      <c r="DS38" s="52"/>
      <c r="DT38" s="65"/>
      <c r="DU38" s="52"/>
      <c r="DV38" s="68"/>
      <c r="DW38" s="81"/>
      <c r="DX38" s="210"/>
      <c r="DY38" s="65"/>
      <c r="DZ38" s="52"/>
      <c r="EA38" s="65"/>
      <c r="EB38" s="33"/>
      <c r="EC38" s="33"/>
      <c r="ED38" s="33"/>
      <c r="EE38" s="210"/>
      <c r="EF38" s="210"/>
      <c r="EG38" s="210"/>
      <c r="EH38" s="210"/>
    </row>
    <row r="39" spans="1:138">
      <c r="A39" s="10" t="s">
        <v>51</v>
      </c>
      <c r="B39" s="10"/>
      <c r="C39" s="65"/>
      <c r="D39" s="33"/>
      <c r="E39" s="74">
        <v>10268.459007400001</v>
      </c>
      <c r="F39" s="33"/>
      <c r="G39" s="212">
        <f t="shared" ref="G39:G58" si="144">E39-C39</f>
        <v>10268.459007400001</v>
      </c>
      <c r="H39" s="212"/>
      <c r="I39" s="210"/>
      <c r="J39" s="22">
        <v>7288.75</v>
      </c>
      <c r="K39" s="33"/>
      <c r="L39" s="74">
        <v>11140.554544499999</v>
      </c>
      <c r="M39" s="33"/>
      <c r="N39" s="212">
        <f t="shared" ref="N39:N58" si="145">L39-J39</f>
        <v>3851.8045444999989</v>
      </c>
      <c r="O39" s="212"/>
      <c r="P39" s="210"/>
      <c r="Q39" s="65">
        <v>6950.35</v>
      </c>
      <c r="R39" s="23"/>
      <c r="S39" s="74">
        <v>11476.530617920002</v>
      </c>
      <c r="T39" s="33"/>
      <c r="U39" s="212">
        <f t="shared" ref="U39:U58" si="146">S39-Q39</f>
        <v>4526.1806179200012</v>
      </c>
      <c r="V39" s="212"/>
      <c r="W39" s="210"/>
      <c r="X39" s="208">
        <f>C39+J39+Q39</f>
        <v>14239.1</v>
      </c>
      <c r="Y39" s="33"/>
      <c r="Z39" s="218">
        <f t="shared" ref="Z39:Z54" si="147">E39+L39+S39</f>
        <v>32885.544169820001</v>
      </c>
      <c r="AA39" s="23"/>
      <c r="AB39" s="212">
        <f t="shared" ref="AB39:AB53" si="148">Z39-X39</f>
        <v>18646.444169820003</v>
      </c>
      <c r="AC39" s="212"/>
      <c r="AD39" s="210"/>
      <c r="AE39" s="65">
        <v>0</v>
      </c>
      <c r="AF39" s="23"/>
      <c r="AG39" s="74">
        <v>11736.7486778</v>
      </c>
      <c r="AH39" s="23"/>
      <c r="AI39" s="220">
        <f t="shared" ref="AI39:AI49" si="149">AG39-AE39</f>
        <v>11736.7486778</v>
      </c>
      <c r="AJ39" s="221"/>
      <c r="AK39" s="210"/>
      <c r="AL39" s="65">
        <v>0</v>
      </c>
      <c r="AM39" s="23"/>
      <c r="AN39" s="74">
        <v>12122.6228699</v>
      </c>
      <c r="AO39" s="23"/>
      <c r="AP39" s="220">
        <f t="shared" ref="AP39:AP49" si="150">AN39-AL39</f>
        <v>12122.6228699</v>
      </c>
      <c r="AQ39" s="221"/>
      <c r="AR39" s="210"/>
      <c r="AS39" s="65">
        <v>1884.33</v>
      </c>
      <c r="AT39" s="23"/>
      <c r="AU39" s="64">
        <v>12269.922250640002</v>
      </c>
      <c r="AV39" s="23"/>
      <c r="AW39" s="220">
        <f t="shared" ref="AW39:AW49" si="151">AU39-AS39</f>
        <v>10385.592250640002</v>
      </c>
      <c r="AX39" s="221"/>
      <c r="AY39" s="210"/>
      <c r="AZ39" s="208">
        <f t="shared" ref="AZ39:AZ56" si="152">AE39+AL39+AS39</f>
        <v>1884.33</v>
      </c>
      <c r="BA39" s="23"/>
      <c r="BB39" s="218">
        <f>AG39+AN39+AU39</f>
        <v>36129.293798340004</v>
      </c>
      <c r="BC39" s="23"/>
      <c r="BD39" s="220">
        <f t="shared" ref="BD39:BD53" si="153">BB39-AZ39</f>
        <v>34244.963798340003</v>
      </c>
      <c r="BE39" s="212"/>
      <c r="BF39" s="210"/>
      <c r="BG39" s="65">
        <v>177.79</v>
      </c>
      <c r="BH39" s="23"/>
      <c r="BI39" s="65">
        <v>376</v>
      </c>
      <c r="BJ39" s="23"/>
      <c r="BK39" s="220">
        <f t="shared" ref="BK39:BK49" si="154">BI39-BG39</f>
        <v>198.21</v>
      </c>
      <c r="BL39" s="212"/>
      <c r="BM39" s="210"/>
      <c r="BN39" s="65">
        <v>2276.4299999999998</v>
      </c>
      <c r="BO39" s="52"/>
      <c r="BP39" s="65">
        <v>3203</v>
      </c>
      <c r="BQ39" s="52"/>
      <c r="BR39" s="222">
        <f t="shared" ref="BR39:BR57" si="155">BN39-BP39</f>
        <v>-926.57000000000016</v>
      </c>
      <c r="BS39" s="216"/>
      <c r="BT39" s="210"/>
      <c r="BU39" s="65">
        <f>1510.6+2016.1</f>
        <v>3526.7</v>
      </c>
      <c r="BV39" s="52"/>
      <c r="BW39" s="65">
        <v>6984</v>
      </c>
      <c r="BX39" s="52"/>
      <c r="BY39" s="222">
        <f t="shared" ref="BY39:BY57" si="156">BU39-BW39</f>
        <v>-3457.3</v>
      </c>
      <c r="BZ39" s="216"/>
      <c r="CA39" s="210"/>
      <c r="CB39" s="65">
        <v>6454.13</v>
      </c>
      <c r="CC39" s="52"/>
      <c r="CD39" s="65">
        <v>5269</v>
      </c>
      <c r="CE39" s="52"/>
      <c r="CF39" s="222">
        <f t="shared" ref="CF39:CF57" si="157">CB39-CD39</f>
        <v>1185.1300000000001</v>
      </c>
      <c r="CG39" s="216"/>
      <c r="CH39" s="210"/>
      <c r="CI39" s="208">
        <f>BG39+BN39+BU39+CB39</f>
        <v>12435.05</v>
      </c>
      <c r="CJ39" s="52"/>
      <c r="CK39" s="208">
        <f>BI39+BP39+BW39+CD39</f>
        <v>15832</v>
      </c>
      <c r="CL39" s="52"/>
      <c r="CM39" s="222">
        <f t="shared" ref="CM39:CM57" si="158">CI39-CK39</f>
        <v>-3396.9500000000007</v>
      </c>
      <c r="CN39" s="216"/>
      <c r="CO39" s="210"/>
      <c r="CP39" s="65">
        <v>16340.84</v>
      </c>
      <c r="CQ39" s="51"/>
      <c r="CR39" s="65">
        <v>10851</v>
      </c>
      <c r="CS39" s="51"/>
      <c r="CT39" s="222">
        <f t="shared" ref="CT39:CT57" si="159">CP39-CR39</f>
        <v>5489.84</v>
      </c>
      <c r="CU39" s="223"/>
      <c r="CV39" s="210"/>
      <c r="CW39" s="65">
        <v>14933.85</v>
      </c>
      <c r="CX39" s="52"/>
      <c r="CY39" s="65">
        <v>10851</v>
      </c>
      <c r="CZ39" s="52"/>
      <c r="DA39" s="222">
        <f t="shared" ref="DA39:DA57" si="160">CW39-CY39</f>
        <v>4082.8500000000004</v>
      </c>
      <c r="DB39" s="216"/>
      <c r="DC39" s="210"/>
      <c r="DD39" s="65">
        <v>11671.4</v>
      </c>
      <c r="DE39" s="52"/>
      <c r="DF39" s="65">
        <v>11881</v>
      </c>
      <c r="DG39" s="52"/>
      <c r="DH39" s="222">
        <f t="shared" ref="DH39:DH57" si="161">DD39-DF39</f>
        <v>-209.60000000000036</v>
      </c>
      <c r="DI39" s="216"/>
      <c r="DJ39" s="210"/>
      <c r="DK39" s="65">
        <v>7846.01</v>
      </c>
      <c r="DL39" s="52"/>
      <c r="DM39" s="65">
        <v>11763</v>
      </c>
      <c r="DN39" s="52"/>
      <c r="DO39" s="222">
        <f t="shared" ref="DO39:DO57" si="162">DK39-DM39</f>
        <v>-3916.99</v>
      </c>
      <c r="DP39" s="216"/>
      <c r="DQ39" s="210"/>
      <c r="DR39" s="208">
        <f t="shared" ref="DR39:DR57" si="163">CP39+CW39+DD39+DK39</f>
        <v>50792.100000000006</v>
      </c>
      <c r="DS39" s="52"/>
      <c r="DT39" s="208">
        <f t="shared" ref="DT39:DT57" si="164">CR39+CY39+DF39+DM39</f>
        <v>45346</v>
      </c>
      <c r="DU39" s="52"/>
      <c r="DV39" s="222">
        <f t="shared" ref="DV39:DV57" si="165">DR39-DT39</f>
        <v>5446.1000000000058</v>
      </c>
      <c r="DW39" s="216"/>
      <c r="DX39" s="210"/>
      <c r="DY39" s="208">
        <f t="shared" ref="DY39:DY57" si="166">X39+AZ39+CI39+DR39</f>
        <v>79350.58</v>
      </c>
      <c r="DZ39" s="52"/>
      <c r="EA39" s="208">
        <f>Z39+BB39+CK39+DT39</f>
        <v>130192.83796816001</v>
      </c>
      <c r="EB39" s="33"/>
      <c r="EC39" s="212">
        <f t="shared" ref="EC39:EC53" si="167">EA39-DY39</f>
        <v>50842.257968160004</v>
      </c>
      <c r="ED39" s="212"/>
      <c r="EE39" s="210"/>
      <c r="EF39" s="210"/>
      <c r="EG39" s="210"/>
      <c r="EH39" s="210"/>
    </row>
    <row r="40" spans="1:138">
      <c r="A40" s="10" t="s">
        <v>52</v>
      </c>
      <c r="B40" s="10"/>
      <c r="C40" s="65"/>
      <c r="D40" s="33"/>
      <c r="E40" s="72">
        <v>617.92307692307691</v>
      </c>
      <c r="F40" s="33"/>
      <c r="G40" s="212">
        <f t="shared" si="144"/>
        <v>617.92307692307691</v>
      </c>
      <c r="H40" s="212"/>
      <c r="I40" s="210"/>
      <c r="J40" s="22">
        <v>621.23</v>
      </c>
      <c r="K40" s="33"/>
      <c r="L40" s="72">
        <v>617.92307692307691</v>
      </c>
      <c r="M40" s="33"/>
      <c r="N40" s="212">
        <f t="shared" si="145"/>
        <v>-3.3069230769231126</v>
      </c>
      <c r="O40" s="212"/>
      <c r="P40" s="210"/>
      <c r="Q40" s="65">
        <v>621.23</v>
      </c>
      <c r="R40" s="23"/>
      <c r="S40" s="72">
        <v>617.92307692307691</v>
      </c>
      <c r="T40" s="33"/>
      <c r="U40" s="212">
        <f t="shared" si="146"/>
        <v>-3.3069230769231126</v>
      </c>
      <c r="V40" s="212"/>
      <c r="W40" s="210"/>
      <c r="X40" s="208">
        <f t="shared" ref="X40:X57" si="168">C40+J40+Q40</f>
        <v>1242.46</v>
      </c>
      <c r="Y40" s="33"/>
      <c r="Z40" s="218">
        <f t="shared" si="147"/>
        <v>1853.7692307692307</v>
      </c>
      <c r="AA40" s="23"/>
      <c r="AB40" s="212">
        <f t="shared" si="148"/>
        <v>611.30923076923068</v>
      </c>
      <c r="AC40" s="212"/>
      <c r="AD40" s="210"/>
      <c r="AE40" s="65">
        <v>621.23</v>
      </c>
      <c r="AF40" s="23"/>
      <c r="AG40" s="72">
        <v>617.92307692307691</v>
      </c>
      <c r="AH40" s="23"/>
      <c r="AI40" s="220">
        <f t="shared" si="149"/>
        <v>-3.3069230769231126</v>
      </c>
      <c r="AJ40" s="221"/>
      <c r="AK40" s="210"/>
      <c r="AL40" s="65">
        <v>572.73</v>
      </c>
      <c r="AM40" s="23"/>
      <c r="AN40" s="72">
        <v>617.92307692307691</v>
      </c>
      <c r="AO40" s="23"/>
      <c r="AP40" s="220">
        <f t="shared" si="150"/>
        <v>45.193076923076887</v>
      </c>
      <c r="AQ40" s="221"/>
      <c r="AR40" s="210"/>
      <c r="AS40" s="65">
        <v>572.73</v>
      </c>
      <c r="AT40" s="23"/>
      <c r="AU40" s="64">
        <v>617.92307692307691</v>
      </c>
      <c r="AV40" s="23"/>
      <c r="AW40" s="220">
        <f t="shared" si="151"/>
        <v>45.193076923076887</v>
      </c>
      <c r="AX40" s="221"/>
      <c r="AY40" s="210"/>
      <c r="AZ40" s="208">
        <f t="shared" si="152"/>
        <v>1766.69</v>
      </c>
      <c r="BA40" s="23"/>
      <c r="BB40" s="218">
        <f t="shared" ref="BB40:BB56" si="169">AG40+AN40+AU40</f>
        <v>1853.7692307692307</v>
      </c>
      <c r="BC40" s="23"/>
      <c r="BD40" s="220">
        <f t="shared" si="153"/>
        <v>87.079230769230662</v>
      </c>
      <c r="BE40" s="212"/>
      <c r="BF40" s="210"/>
      <c r="BG40" s="65">
        <v>112.73</v>
      </c>
      <c r="BH40" s="23"/>
      <c r="BI40" s="65">
        <v>621</v>
      </c>
      <c r="BJ40" s="23"/>
      <c r="BK40" s="220">
        <f t="shared" si="154"/>
        <v>508.27</v>
      </c>
      <c r="BL40" s="212"/>
      <c r="BM40" s="210"/>
      <c r="BN40" s="65">
        <v>112.73</v>
      </c>
      <c r="BO40" s="52"/>
      <c r="BP40" s="65">
        <v>621</v>
      </c>
      <c r="BQ40" s="52"/>
      <c r="BR40" s="222">
        <f t="shared" si="155"/>
        <v>-508.27</v>
      </c>
      <c r="BS40" s="216"/>
      <c r="BT40" s="210"/>
      <c r="BU40" s="65">
        <v>0</v>
      </c>
      <c r="BV40" s="52"/>
      <c r="BW40" s="65">
        <v>310</v>
      </c>
      <c r="BX40" s="52"/>
      <c r="BY40" s="222">
        <f t="shared" si="156"/>
        <v>-310</v>
      </c>
      <c r="BZ40" s="216"/>
      <c r="CA40" s="210"/>
      <c r="CB40" s="65">
        <v>374.76</v>
      </c>
      <c r="CC40" s="52"/>
      <c r="CD40" s="65">
        <v>310</v>
      </c>
      <c r="CE40" s="52"/>
      <c r="CF40" s="222">
        <f t="shared" si="157"/>
        <v>64.759999999999991</v>
      </c>
      <c r="CG40" s="216"/>
      <c r="CH40" s="210"/>
      <c r="CI40" s="208">
        <f t="shared" ref="CI40:CI57" si="170">BG40+BN40+BU40+CB40</f>
        <v>600.22</v>
      </c>
      <c r="CJ40" s="52"/>
      <c r="CK40" s="208">
        <f t="shared" ref="CK40:CK57" si="171">BI40+BP40+BW40+CD40</f>
        <v>1862</v>
      </c>
      <c r="CL40" s="52"/>
      <c r="CM40" s="222">
        <f t="shared" si="158"/>
        <v>-1261.78</v>
      </c>
      <c r="CN40" s="216"/>
      <c r="CO40" s="210"/>
      <c r="CP40" s="65">
        <v>300.11</v>
      </c>
      <c r="CQ40" s="51"/>
      <c r="CR40" s="65">
        <v>621</v>
      </c>
      <c r="CS40" s="51"/>
      <c r="CT40" s="222">
        <f t="shared" si="159"/>
        <v>-320.89</v>
      </c>
      <c r="CU40" s="223"/>
      <c r="CV40" s="210"/>
      <c r="CW40" s="65">
        <v>300.11</v>
      </c>
      <c r="CX40" s="52"/>
      <c r="CY40" s="65">
        <v>621</v>
      </c>
      <c r="CZ40" s="52"/>
      <c r="DA40" s="222">
        <f t="shared" si="160"/>
        <v>-320.89</v>
      </c>
      <c r="DB40" s="216"/>
      <c r="DC40" s="210"/>
      <c r="DD40" s="65">
        <v>300.11</v>
      </c>
      <c r="DE40" s="52"/>
      <c r="DF40" s="65">
        <v>621</v>
      </c>
      <c r="DG40" s="52"/>
      <c r="DH40" s="222">
        <f t="shared" si="161"/>
        <v>-320.89</v>
      </c>
      <c r="DI40" s="216"/>
      <c r="DJ40" s="210"/>
      <c r="DK40" s="65">
        <v>-115.17</v>
      </c>
      <c r="DL40" s="52"/>
      <c r="DM40" s="65">
        <v>621</v>
      </c>
      <c r="DN40" s="52"/>
      <c r="DO40" s="222">
        <f t="shared" si="162"/>
        <v>-736.17</v>
      </c>
      <c r="DP40" s="216"/>
      <c r="DQ40" s="210"/>
      <c r="DR40" s="208">
        <f t="shared" si="163"/>
        <v>785.16000000000008</v>
      </c>
      <c r="DS40" s="52"/>
      <c r="DT40" s="208">
        <f t="shared" si="164"/>
        <v>2484</v>
      </c>
      <c r="DU40" s="52"/>
      <c r="DV40" s="222">
        <f t="shared" si="165"/>
        <v>-1698.84</v>
      </c>
      <c r="DW40" s="216"/>
      <c r="DX40" s="210"/>
      <c r="DY40" s="208">
        <f t="shared" si="166"/>
        <v>4394.53</v>
      </c>
      <c r="DZ40" s="52"/>
      <c r="EA40" s="208">
        <f t="shared" ref="EA40:EA57" si="172">Z40+BB40+CK40+DT40</f>
        <v>8053.538461538461</v>
      </c>
      <c r="EB40" s="33"/>
      <c r="EC40" s="212">
        <f t="shared" si="167"/>
        <v>3659.0084615384612</v>
      </c>
      <c r="ED40" s="212"/>
      <c r="EE40" s="210"/>
      <c r="EF40" s="210"/>
      <c r="EG40" s="210"/>
      <c r="EH40" s="210"/>
    </row>
    <row r="41" spans="1:138">
      <c r="A41" s="10" t="s">
        <v>53</v>
      </c>
      <c r="B41" s="10"/>
      <c r="C41" s="65"/>
      <c r="D41" s="33"/>
      <c r="E41" s="72">
        <v>75</v>
      </c>
      <c r="F41" s="33"/>
      <c r="G41" s="212">
        <f t="shared" ref="G41" si="173">E41-C41</f>
        <v>75</v>
      </c>
      <c r="H41" s="212"/>
      <c r="I41" s="210"/>
      <c r="J41" s="22">
        <v>0</v>
      </c>
      <c r="K41" s="33"/>
      <c r="L41" s="72">
        <v>75</v>
      </c>
      <c r="M41" s="33"/>
      <c r="N41" s="212">
        <f t="shared" si="145"/>
        <v>75</v>
      </c>
      <c r="O41" s="212"/>
      <c r="P41" s="210"/>
      <c r="Q41" s="65">
        <v>0</v>
      </c>
      <c r="R41" s="23"/>
      <c r="S41" s="72">
        <v>75</v>
      </c>
      <c r="T41" s="33"/>
      <c r="U41" s="212">
        <f t="shared" si="146"/>
        <v>75</v>
      </c>
      <c r="V41" s="212"/>
      <c r="W41" s="210"/>
      <c r="X41" s="208">
        <f t="shared" si="168"/>
        <v>0</v>
      </c>
      <c r="Y41" s="33"/>
      <c r="Z41" s="218">
        <f t="shared" si="147"/>
        <v>225</v>
      </c>
      <c r="AA41" s="23"/>
      <c r="AB41" s="212">
        <f t="shared" si="148"/>
        <v>225</v>
      </c>
      <c r="AC41" s="212"/>
      <c r="AD41" s="210"/>
      <c r="AE41" s="65">
        <v>0</v>
      </c>
      <c r="AF41" s="23"/>
      <c r="AG41" s="72">
        <v>75</v>
      </c>
      <c r="AH41" s="23"/>
      <c r="AI41" s="220">
        <f t="shared" ref="AI41" si="174">AG41-AE41</f>
        <v>75</v>
      </c>
      <c r="AJ41" s="221"/>
      <c r="AK41" s="210"/>
      <c r="AL41" s="65">
        <v>0</v>
      </c>
      <c r="AM41" s="23"/>
      <c r="AN41" s="72">
        <v>75</v>
      </c>
      <c r="AO41" s="23"/>
      <c r="AP41" s="220">
        <f t="shared" ref="AP41" si="175">AN41-AL41</f>
        <v>75</v>
      </c>
      <c r="AQ41" s="221"/>
      <c r="AR41" s="210"/>
      <c r="AS41" s="65">
        <v>0</v>
      </c>
      <c r="AT41" s="23"/>
      <c r="AU41" s="64">
        <v>75</v>
      </c>
      <c r="AV41" s="23"/>
      <c r="AW41" s="220">
        <f t="shared" ref="AW41" si="176">AU41-AS41</f>
        <v>75</v>
      </c>
      <c r="AX41" s="221"/>
      <c r="AY41" s="210"/>
      <c r="AZ41" s="208">
        <f t="shared" si="152"/>
        <v>0</v>
      </c>
      <c r="BA41" s="23"/>
      <c r="BB41" s="218">
        <f t="shared" si="169"/>
        <v>225</v>
      </c>
      <c r="BC41" s="23"/>
      <c r="BD41" s="220">
        <f t="shared" ref="BD41" si="177">BB41-AZ41</f>
        <v>225</v>
      </c>
      <c r="BE41" s="212"/>
      <c r="BF41" s="210"/>
      <c r="BG41" s="65">
        <v>0</v>
      </c>
      <c r="BH41" s="23"/>
      <c r="BI41" s="65">
        <v>0</v>
      </c>
      <c r="BJ41" s="23"/>
      <c r="BK41" s="220">
        <f t="shared" ref="BK41" si="178">BI41-BG41</f>
        <v>0</v>
      </c>
      <c r="BL41" s="212"/>
      <c r="BM41" s="210"/>
      <c r="BN41" s="65">
        <v>0</v>
      </c>
      <c r="BO41" s="52"/>
      <c r="BP41" s="65">
        <v>0</v>
      </c>
      <c r="BQ41" s="52"/>
      <c r="BR41" s="222">
        <f t="shared" si="155"/>
        <v>0</v>
      </c>
      <c r="BS41" s="216"/>
      <c r="BT41" s="210"/>
      <c r="BU41" s="65">
        <v>0</v>
      </c>
      <c r="BV41" s="52"/>
      <c r="BW41" s="65">
        <v>0</v>
      </c>
      <c r="BX41" s="52"/>
      <c r="BY41" s="222">
        <f t="shared" si="156"/>
        <v>0</v>
      </c>
      <c r="BZ41" s="216"/>
      <c r="CA41" s="210"/>
      <c r="CB41" s="65">
        <v>0</v>
      </c>
      <c r="CC41" s="52"/>
      <c r="CD41" s="65">
        <v>75</v>
      </c>
      <c r="CE41" s="52"/>
      <c r="CF41" s="222">
        <f t="shared" si="157"/>
        <v>-75</v>
      </c>
      <c r="CG41" s="216"/>
      <c r="CH41" s="210"/>
      <c r="CI41" s="208">
        <f t="shared" si="170"/>
        <v>0</v>
      </c>
      <c r="CJ41" s="52"/>
      <c r="CK41" s="208">
        <f t="shared" si="171"/>
        <v>75</v>
      </c>
      <c r="CL41" s="52"/>
      <c r="CM41" s="222">
        <f t="shared" si="158"/>
        <v>-75</v>
      </c>
      <c r="CN41" s="216"/>
      <c r="CO41" s="210"/>
      <c r="CP41" s="65">
        <v>0</v>
      </c>
      <c r="CQ41" s="51"/>
      <c r="CR41" s="65">
        <v>75</v>
      </c>
      <c r="CS41" s="51"/>
      <c r="CT41" s="222">
        <f t="shared" si="159"/>
        <v>-75</v>
      </c>
      <c r="CU41" s="223"/>
      <c r="CV41" s="210"/>
      <c r="CW41" s="65">
        <v>0</v>
      </c>
      <c r="CX41" s="52"/>
      <c r="CY41" s="65">
        <v>75</v>
      </c>
      <c r="CZ41" s="52"/>
      <c r="DA41" s="222">
        <f t="shared" si="160"/>
        <v>-75</v>
      </c>
      <c r="DB41" s="216"/>
      <c r="DC41" s="210"/>
      <c r="DD41" s="65">
        <v>0</v>
      </c>
      <c r="DE41" s="52"/>
      <c r="DF41" s="65">
        <v>75</v>
      </c>
      <c r="DG41" s="52"/>
      <c r="DH41" s="222">
        <f t="shared" si="161"/>
        <v>-75</v>
      </c>
      <c r="DI41" s="216"/>
      <c r="DJ41" s="210"/>
      <c r="DK41" s="65">
        <v>0</v>
      </c>
      <c r="DL41" s="52"/>
      <c r="DM41" s="65">
        <v>75</v>
      </c>
      <c r="DN41" s="52"/>
      <c r="DO41" s="222">
        <f t="shared" si="162"/>
        <v>-75</v>
      </c>
      <c r="DP41" s="216"/>
      <c r="DQ41" s="210"/>
      <c r="DR41" s="208">
        <f t="shared" si="163"/>
        <v>0</v>
      </c>
      <c r="DS41" s="52"/>
      <c r="DT41" s="208">
        <f t="shared" si="164"/>
        <v>300</v>
      </c>
      <c r="DU41" s="52"/>
      <c r="DV41" s="222">
        <f t="shared" si="165"/>
        <v>-300</v>
      </c>
      <c r="DW41" s="216"/>
      <c r="DX41" s="210"/>
      <c r="DY41" s="208">
        <f t="shared" si="166"/>
        <v>0</v>
      </c>
      <c r="DZ41" s="52"/>
      <c r="EA41" s="208">
        <f t="shared" si="172"/>
        <v>825</v>
      </c>
      <c r="EB41" s="33"/>
      <c r="EC41" s="212">
        <f t="shared" si="167"/>
        <v>825</v>
      </c>
      <c r="ED41" s="212"/>
      <c r="EE41" s="210"/>
      <c r="EF41" s="210"/>
      <c r="EG41" s="210"/>
      <c r="EH41" s="224"/>
    </row>
    <row r="42" spans="1:138">
      <c r="A42" s="10" t="s">
        <v>54</v>
      </c>
      <c r="B42" s="10"/>
      <c r="C42" s="65"/>
      <c r="D42" s="33"/>
      <c r="E42" s="72">
        <v>1012.3076923076923</v>
      </c>
      <c r="F42" s="33"/>
      <c r="G42" s="212">
        <f t="shared" si="144"/>
        <v>1012.3076923076923</v>
      </c>
      <c r="H42" s="212"/>
      <c r="I42" s="210"/>
      <c r="J42" s="22">
        <v>413.38</v>
      </c>
      <c r="K42" s="33"/>
      <c r="L42" s="72">
        <v>1012.3076923076923</v>
      </c>
      <c r="M42" s="33"/>
      <c r="N42" s="212">
        <f t="shared" si="145"/>
        <v>598.92769230769227</v>
      </c>
      <c r="O42" s="212"/>
      <c r="P42" s="210"/>
      <c r="Q42" s="65">
        <v>0</v>
      </c>
      <c r="R42" s="23"/>
      <c r="S42" s="72">
        <v>1012.3076923076923</v>
      </c>
      <c r="T42" s="33"/>
      <c r="U42" s="212">
        <f t="shared" si="146"/>
        <v>1012.3076923076923</v>
      </c>
      <c r="V42" s="212"/>
      <c r="W42" s="210"/>
      <c r="X42" s="208">
        <f t="shared" si="168"/>
        <v>413.38</v>
      </c>
      <c r="Y42" s="33"/>
      <c r="Z42" s="218">
        <f t="shared" si="147"/>
        <v>3036.9230769230767</v>
      </c>
      <c r="AA42" s="23"/>
      <c r="AB42" s="212">
        <f t="shared" si="148"/>
        <v>2623.5430769230766</v>
      </c>
      <c r="AC42" s="212"/>
      <c r="AD42" s="210"/>
      <c r="AE42" s="65">
        <v>571.20000000000005</v>
      </c>
      <c r="AF42" s="23"/>
      <c r="AG42" s="72">
        <v>1012.3076923076923</v>
      </c>
      <c r="AH42" s="23"/>
      <c r="AI42" s="220">
        <f t="shared" si="149"/>
        <v>441.10769230769222</v>
      </c>
      <c r="AJ42" s="221"/>
      <c r="AK42" s="210"/>
      <c r="AL42" s="65">
        <v>0</v>
      </c>
      <c r="AM42" s="23"/>
      <c r="AN42" s="72">
        <v>1012.3076923076923</v>
      </c>
      <c r="AO42" s="23"/>
      <c r="AP42" s="220">
        <f t="shared" si="150"/>
        <v>1012.3076923076923</v>
      </c>
      <c r="AQ42" s="221"/>
      <c r="AR42" s="210"/>
      <c r="AS42" s="65">
        <v>0</v>
      </c>
      <c r="AT42" s="23"/>
      <c r="AU42" s="64">
        <v>1012.3076923076923</v>
      </c>
      <c r="AV42" s="23"/>
      <c r="AW42" s="220">
        <f t="shared" si="151"/>
        <v>1012.3076923076923</v>
      </c>
      <c r="AX42" s="221"/>
      <c r="AY42" s="210"/>
      <c r="AZ42" s="208">
        <f t="shared" si="152"/>
        <v>571.20000000000005</v>
      </c>
      <c r="BA42" s="23"/>
      <c r="BB42" s="218">
        <f t="shared" si="169"/>
        <v>3036.9230769230767</v>
      </c>
      <c r="BC42" s="23"/>
      <c r="BD42" s="220">
        <f t="shared" si="153"/>
        <v>2465.7230769230764</v>
      </c>
      <c r="BE42" s="212"/>
      <c r="BF42" s="210"/>
      <c r="BG42" s="65">
        <v>0</v>
      </c>
      <c r="BH42" s="23"/>
      <c r="BI42" s="65">
        <v>0</v>
      </c>
      <c r="BJ42" s="23"/>
      <c r="BK42" s="220">
        <f t="shared" si="154"/>
        <v>0</v>
      </c>
      <c r="BL42" s="212"/>
      <c r="BM42" s="210"/>
      <c r="BN42" s="65">
        <v>0</v>
      </c>
      <c r="BO42" s="52"/>
      <c r="BP42" s="65">
        <v>0</v>
      </c>
      <c r="BQ42" s="52"/>
      <c r="BR42" s="222">
        <f t="shared" si="155"/>
        <v>0</v>
      </c>
      <c r="BS42" s="216"/>
      <c r="BT42" s="210"/>
      <c r="BU42" s="65">
        <v>0</v>
      </c>
      <c r="BV42" s="52"/>
      <c r="BW42" s="65">
        <v>525</v>
      </c>
      <c r="BX42" s="52"/>
      <c r="BY42" s="222">
        <f t="shared" si="156"/>
        <v>-525</v>
      </c>
      <c r="BZ42" s="216"/>
      <c r="CA42" s="210"/>
      <c r="CB42" s="65">
        <v>0</v>
      </c>
      <c r="CC42" s="52"/>
      <c r="CD42" s="65">
        <v>525</v>
      </c>
      <c r="CE42" s="52"/>
      <c r="CF42" s="222">
        <f t="shared" si="157"/>
        <v>-525</v>
      </c>
      <c r="CG42" s="216"/>
      <c r="CH42" s="210"/>
      <c r="CI42" s="208">
        <f t="shared" si="170"/>
        <v>0</v>
      </c>
      <c r="CJ42" s="52"/>
      <c r="CK42" s="208">
        <f t="shared" si="171"/>
        <v>1050</v>
      </c>
      <c r="CL42" s="52"/>
      <c r="CM42" s="222">
        <f t="shared" si="158"/>
        <v>-1050</v>
      </c>
      <c r="CN42" s="216"/>
      <c r="CO42" s="210"/>
      <c r="CP42" s="65">
        <v>0</v>
      </c>
      <c r="CQ42" s="51"/>
      <c r="CR42" s="65">
        <v>1052</v>
      </c>
      <c r="CS42" s="51"/>
      <c r="CT42" s="222">
        <f t="shared" si="159"/>
        <v>-1052</v>
      </c>
      <c r="CU42" s="223"/>
      <c r="CV42" s="210"/>
      <c r="CW42" s="65">
        <v>0</v>
      </c>
      <c r="CX42" s="52"/>
      <c r="CY42" s="65">
        <v>1052</v>
      </c>
      <c r="CZ42" s="52"/>
      <c r="DA42" s="222">
        <f t="shared" si="160"/>
        <v>-1052</v>
      </c>
      <c r="DB42" s="216"/>
      <c r="DC42" s="210"/>
      <c r="DD42" s="65">
        <v>0</v>
      </c>
      <c r="DE42" s="52"/>
      <c r="DF42" s="65">
        <v>1052</v>
      </c>
      <c r="DG42" s="52"/>
      <c r="DH42" s="222">
        <f t="shared" si="161"/>
        <v>-1052</v>
      </c>
      <c r="DI42" s="216"/>
      <c r="DJ42" s="210"/>
      <c r="DK42" s="65">
        <v>0</v>
      </c>
      <c r="DL42" s="52"/>
      <c r="DM42" s="65">
        <v>1052</v>
      </c>
      <c r="DN42" s="52"/>
      <c r="DO42" s="222">
        <f t="shared" si="162"/>
        <v>-1052</v>
      </c>
      <c r="DP42" s="216"/>
      <c r="DQ42" s="210"/>
      <c r="DR42" s="208">
        <f t="shared" si="163"/>
        <v>0</v>
      </c>
      <c r="DS42" s="52"/>
      <c r="DT42" s="208">
        <f t="shared" si="164"/>
        <v>4208</v>
      </c>
      <c r="DU42" s="52"/>
      <c r="DV42" s="222">
        <f t="shared" si="165"/>
        <v>-4208</v>
      </c>
      <c r="DW42" s="216"/>
      <c r="DX42" s="210"/>
      <c r="DY42" s="208">
        <f t="shared" si="166"/>
        <v>984.58</v>
      </c>
      <c r="DZ42" s="52"/>
      <c r="EA42" s="208">
        <f t="shared" si="172"/>
        <v>11331.846153846152</v>
      </c>
      <c r="EB42" s="33"/>
      <c r="EC42" s="212">
        <f t="shared" si="167"/>
        <v>10347.266153846153</v>
      </c>
      <c r="ED42" s="212"/>
      <c r="EE42" s="210"/>
      <c r="EF42" s="210"/>
      <c r="EG42" s="210"/>
      <c r="EH42" s="224"/>
    </row>
    <row r="43" spans="1:138">
      <c r="A43" s="10" t="s">
        <v>55</v>
      </c>
      <c r="B43" s="10"/>
      <c r="C43" s="65"/>
      <c r="D43" s="33"/>
      <c r="E43" s="72">
        <v>318.92307692307691</v>
      </c>
      <c r="F43" s="33"/>
      <c r="G43" s="212">
        <f t="shared" ref="G43" si="179">E43-C43</f>
        <v>318.92307692307691</v>
      </c>
      <c r="H43" s="212"/>
      <c r="I43" s="210"/>
      <c r="J43" s="22">
        <v>968.34</v>
      </c>
      <c r="K43" s="33"/>
      <c r="L43" s="72">
        <v>318.92307692307691</v>
      </c>
      <c r="M43" s="33"/>
      <c r="N43" s="212">
        <f t="shared" si="145"/>
        <v>-649.41692307692313</v>
      </c>
      <c r="O43" s="212"/>
      <c r="P43" s="210"/>
      <c r="Q43" s="65">
        <v>404.91</v>
      </c>
      <c r="R43" s="23"/>
      <c r="S43" s="72">
        <v>318.92307692307691</v>
      </c>
      <c r="T43" s="33"/>
      <c r="U43" s="212">
        <f t="shared" si="146"/>
        <v>-85.986923076923119</v>
      </c>
      <c r="V43" s="212"/>
      <c r="W43" s="210"/>
      <c r="X43" s="208">
        <f t="shared" si="168"/>
        <v>1373.25</v>
      </c>
      <c r="Y43" s="33"/>
      <c r="Z43" s="218">
        <f t="shared" si="147"/>
        <v>956.76923076923072</v>
      </c>
      <c r="AA43" s="23"/>
      <c r="AB43" s="212">
        <f t="shared" si="148"/>
        <v>-416.48076923076928</v>
      </c>
      <c r="AC43" s="212"/>
      <c r="AD43" s="210"/>
      <c r="AE43" s="65">
        <v>196.85</v>
      </c>
      <c r="AF43" s="23"/>
      <c r="AG43" s="72">
        <v>318.92307692307691</v>
      </c>
      <c r="AH43" s="23"/>
      <c r="AI43" s="220">
        <f t="shared" ref="AI43" si="180">AG43-AE43</f>
        <v>122.07307692307691</v>
      </c>
      <c r="AJ43" s="221"/>
      <c r="AK43" s="210"/>
      <c r="AL43" s="65">
        <v>-239.25</v>
      </c>
      <c r="AM43" s="23"/>
      <c r="AN43" s="72">
        <v>318.92307692307691</v>
      </c>
      <c r="AO43" s="23"/>
      <c r="AP43" s="220">
        <f t="shared" ref="AP43" si="181">AN43-AL43</f>
        <v>558.17307692307691</v>
      </c>
      <c r="AQ43" s="221"/>
      <c r="AR43" s="210"/>
      <c r="AS43" s="65">
        <v>325.52</v>
      </c>
      <c r="AT43" s="23"/>
      <c r="AU43" s="64">
        <v>318.92307692307691</v>
      </c>
      <c r="AV43" s="23"/>
      <c r="AW43" s="220">
        <f t="shared" ref="AW43" si="182">AU43-AS43</f>
        <v>-6.5969230769230762</v>
      </c>
      <c r="AX43" s="221"/>
      <c r="AY43" s="210"/>
      <c r="AZ43" s="208">
        <f t="shared" si="152"/>
        <v>283.12</v>
      </c>
      <c r="BA43" s="23"/>
      <c r="BB43" s="218">
        <f t="shared" si="169"/>
        <v>956.76923076923072</v>
      </c>
      <c r="BC43" s="23"/>
      <c r="BD43" s="220">
        <f t="shared" ref="BD43" si="183">BB43-AZ43</f>
        <v>673.64923076923071</v>
      </c>
      <c r="BE43" s="212"/>
      <c r="BF43" s="210"/>
      <c r="BG43" s="65">
        <v>261.91000000000003</v>
      </c>
      <c r="BH43" s="23"/>
      <c r="BI43" s="65">
        <v>231</v>
      </c>
      <c r="BJ43" s="23"/>
      <c r="BK43" s="220">
        <f t="shared" ref="BK43" si="184">BI43-BG43</f>
        <v>-30.910000000000025</v>
      </c>
      <c r="BL43" s="212"/>
      <c r="BM43" s="210"/>
      <c r="BN43" s="65">
        <v>333.86</v>
      </c>
      <c r="BO43" s="52"/>
      <c r="BP43" s="65">
        <v>462</v>
      </c>
      <c r="BQ43" s="52"/>
      <c r="BR43" s="222">
        <f t="shared" si="155"/>
        <v>-128.13999999999999</v>
      </c>
      <c r="BS43" s="216"/>
      <c r="BT43" s="210"/>
      <c r="BU43" s="65">
        <v>489.06</v>
      </c>
      <c r="BV43" s="52"/>
      <c r="BW43" s="65">
        <v>231</v>
      </c>
      <c r="BX43" s="52"/>
      <c r="BY43" s="222">
        <f t="shared" si="156"/>
        <v>258.06</v>
      </c>
      <c r="BZ43" s="216"/>
      <c r="CA43" s="210"/>
      <c r="CB43" s="65">
        <v>365.68</v>
      </c>
      <c r="CC43" s="52"/>
      <c r="CD43" s="65">
        <v>231</v>
      </c>
      <c r="CE43" s="52"/>
      <c r="CF43" s="222">
        <f t="shared" si="157"/>
        <v>134.68</v>
      </c>
      <c r="CG43" s="216"/>
      <c r="CH43" s="210"/>
      <c r="CI43" s="208">
        <f t="shared" si="170"/>
        <v>1450.51</v>
      </c>
      <c r="CJ43" s="52"/>
      <c r="CK43" s="208">
        <f t="shared" si="171"/>
        <v>1155</v>
      </c>
      <c r="CL43" s="52"/>
      <c r="CM43" s="222">
        <f t="shared" si="158"/>
        <v>295.51</v>
      </c>
      <c r="CN43" s="216"/>
      <c r="CO43" s="210"/>
      <c r="CP43" s="65">
        <v>389.97</v>
      </c>
      <c r="CQ43" s="51"/>
      <c r="CR43" s="65">
        <v>319</v>
      </c>
      <c r="CS43" s="51"/>
      <c r="CT43" s="222">
        <f t="shared" si="159"/>
        <v>70.970000000000027</v>
      </c>
      <c r="CU43" s="223"/>
      <c r="CV43" s="210"/>
      <c r="CW43" s="65">
        <v>570.1</v>
      </c>
      <c r="CX43" s="52"/>
      <c r="CY43" s="65">
        <v>319</v>
      </c>
      <c r="CZ43" s="52"/>
      <c r="DA43" s="222">
        <f t="shared" si="160"/>
        <v>251.10000000000002</v>
      </c>
      <c r="DB43" s="216"/>
      <c r="DC43" s="210"/>
      <c r="DD43" s="65">
        <v>633.38</v>
      </c>
      <c r="DE43" s="52"/>
      <c r="DF43" s="65">
        <v>318.92307692307691</v>
      </c>
      <c r="DG43" s="52"/>
      <c r="DH43" s="222">
        <f t="shared" si="161"/>
        <v>314.45692307692309</v>
      </c>
      <c r="DI43" s="216"/>
      <c r="DJ43" s="210"/>
      <c r="DK43" s="65">
        <v>458.94</v>
      </c>
      <c r="DL43" s="52"/>
      <c r="DM43" s="65">
        <v>319</v>
      </c>
      <c r="DN43" s="52"/>
      <c r="DO43" s="222">
        <f t="shared" si="162"/>
        <v>139.94</v>
      </c>
      <c r="DP43" s="216"/>
      <c r="DQ43" s="210"/>
      <c r="DR43" s="208">
        <f t="shared" si="163"/>
        <v>2052.39</v>
      </c>
      <c r="DS43" s="52"/>
      <c r="DT43" s="208">
        <f t="shared" si="164"/>
        <v>1275.9230769230769</v>
      </c>
      <c r="DU43" s="52"/>
      <c r="DV43" s="222">
        <f t="shared" si="165"/>
        <v>776.46692307692297</v>
      </c>
      <c r="DW43" s="216"/>
      <c r="DX43" s="210"/>
      <c r="DY43" s="208">
        <f t="shared" si="166"/>
        <v>5159.2700000000004</v>
      </c>
      <c r="DZ43" s="52"/>
      <c r="EA43" s="208">
        <f t="shared" si="172"/>
        <v>4344.4615384615381</v>
      </c>
      <c r="EB43" s="33"/>
      <c r="EC43" s="212">
        <f t="shared" ref="EC43" si="185">EA43-DY43</f>
        <v>-814.80846153846232</v>
      </c>
      <c r="ED43" s="212"/>
      <c r="EE43" s="210"/>
      <c r="EF43" s="210"/>
      <c r="EG43" s="210"/>
      <c r="EH43" s="224"/>
    </row>
    <row r="44" spans="1:138">
      <c r="A44" s="10" t="s">
        <v>56</v>
      </c>
      <c r="B44" s="10"/>
      <c r="C44" s="65"/>
      <c r="D44" s="33"/>
      <c r="E44" s="72">
        <v>265.92307692307691</v>
      </c>
      <c r="F44" s="33"/>
      <c r="G44" s="212">
        <f t="shared" si="144"/>
        <v>265.92307692307691</v>
      </c>
      <c r="H44" s="212"/>
      <c r="I44" s="210"/>
      <c r="J44" s="22">
        <v>0</v>
      </c>
      <c r="K44" s="33"/>
      <c r="L44" s="72">
        <v>265.92307692307691</v>
      </c>
      <c r="M44" s="33"/>
      <c r="N44" s="212">
        <f t="shared" si="145"/>
        <v>265.92307692307691</v>
      </c>
      <c r="O44" s="212"/>
      <c r="P44" s="210"/>
      <c r="Q44" s="65">
        <v>434</v>
      </c>
      <c r="R44" s="23"/>
      <c r="S44" s="72">
        <v>265.92307692307691</v>
      </c>
      <c r="T44" s="33"/>
      <c r="U44" s="212">
        <f t="shared" si="146"/>
        <v>-168.07692307692309</v>
      </c>
      <c r="V44" s="212"/>
      <c r="W44" s="210"/>
      <c r="X44" s="208">
        <f t="shared" si="168"/>
        <v>434</v>
      </c>
      <c r="Y44" s="33"/>
      <c r="Z44" s="218">
        <f t="shared" si="147"/>
        <v>797.76923076923072</v>
      </c>
      <c r="AA44" s="23"/>
      <c r="AB44" s="212">
        <f t="shared" si="148"/>
        <v>363.76923076923072</v>
      </c>
      <c r="AC44" s="212"/>
      <c r="AD44" s="210"/>
      <c r="AE44" s="65">
        <v>161.74</v>
      </c>
      <c r="AF44" s="23"/>
      <c r="AG44" s="72">
        <v>265.92307692307691</v>
      </c>
      <c r="AH44" s="23"/>
      <c r="AI44" s="220">
        <f t="shared" si="149"/>
        <v>104.1830769230769</v>
      </c>
      <c r="AJ44" s="221"/>
      <c r="AK44" s="210"/>
      <c r="AL44" s="65">
        <v>434.12</v>
      </c>
      <c r="AM44" s="23"/>
      <c r="AN44" s="72">
        <v>265.92307692307691</v>
      </c>
      <c r="AO44" s="23"/>
      <c r="AP44" s="220">
        <f t="shared" si="150"/>
        <v>-168.1969230769231</v>
      </c>
      <c r="AQ44" s="221"/>
      <c r="AR44" s="210"/>
      <c r="AS44" s="65">
        <v>228.23</v>
      </c>
      <c r="AT44" s="23"/>
      <c r="AU44" s="64">
        <v>265.92307692307691</v>
      </c>
      <c r="AV44" s="23"/>
      <c r="AW44" s="220">
        <f t="shared" si="151"/>
        <v>37.693076923076916</v>
      </c>
      <c r="AX44" s="221"/>
      <c r="AY44" s="210"/>
      <c r="AZ44" s="208">
        <f t="shared" si="152"/>
        <v>824.09</v>
      </c>
      <c r="BA44" s="23"/>
      <c r="BB44" s="218">
        <f t="shared" si="169"/>
        <v>797.76923076923072</v>
      </c>
      <c r="BC44" s="23"/>
      <c r="BD44" s="220">
        <f t="shared" si="153"/>
        <v>-26.320769230769315</v>
      </c>
      <c r="BE44" s="212"/>
      <c r="BF44" s="210"/>
      <c r="BG44" s="65">
        <v>212.28</v>
      </c>
      <c r="BH44" s="23"/>
      <c r="BI44" s="65">
        <v>0</v>
      </c>
      <c r="BJ44" s="23"/>
      <c r="BK44" s="220">
        <f t="shared" si="154"/>
        <v>-212.28</v>
      </c>
      <c r="BL44" s="212"/>
      <c r="BM44" s="210"/>
      <c r="BN44" s="65">
        <v>212.28</v>
      </c>
      <c r="BO44" s="52"/>
      <c r="BP44" s="65">
        <v>266</v>
      </c>
      <c r="BQ44" s="52"/>
      <c r="BR44" s="222">
        <f t="shared" si="155"/>
        <v>-53.72</v>
      </c>
      <c r="BS44" s="216"/>
      <c r="BT44" s="210"/>
      <c r="BU44" s="65"/>
      <c r="BV44" s="52"/>
      <c r="BW44" s="65">
        <v>266</v>
      </c>
      <c r="BX44" s="52"/>
      <c r="BY44" s="222">
        <f t="shared" si="156"/>
        <v>-266</v>
      </c>
      <c r="BZ44" s="216"/>
      <c r="CA44" s="210"/>
      <c r="CB44" s="65">
        <v>212.28</v>
      </c>
      <c r="CC44" s="52"/>
      <c r="CD44" s="65">
        <v>214</v>
      </c>
      <c r="CE44" s="52"/>
      <c r="CF44" s="222">
        <f t="shared" si="157"/>
        <v>-1.7199999999999989</v>
      </c>
      <c r="CG44" s="216"/>
      <c r="CH44" s="210"/>
      <c r="CI44" s="208">
        <f t="shared" si="170"/>
        <v>636.84</v>
      </c>
      <c r="CJ44" s="52"/>
      <c r="CK44" s="208">
        <f t="shared" si="171"/>
        <v>746</v>
      </c>
      <c r="CL44" s="52"/>
      <c r="CM44" s="222">
        <f t="shared" si="158"/>
        <v>-109.15999999999997</v>
      </c>
      <c r="CN44" s="216"/>
      <c r="CO44" s="210"/>
      <c r="CP44" s="65">
        <v>212</v>
      </c>
      <c r="CQ44" s="51"/>
      <c r="CR44" s="65">
        <v>214</v>
      </c>
      <c r="CS44" s="51"/>
      <c r="CT44" s="222">
        <f t="shared" si="159"/>
        <v>-2</v>
      </c>
      <c r="CU44" s="223"/>
      <c r="CV44" s="210"/>
      <c r="CW44" s="65">
        <v>212</v>
      </c>
      <c r="CX44" s="52"/>
      <c r="CY44" s="65">
        <v>214</v>
      </c>
      <c r="CZ44" s="52"/>
      <c r="DA44" s="222">
        <f t="shared" si="160"/>
        <v>-2</v>
      </c>
      <c r="DB44" s="216"/>
      <c r="DC44" s="210"/>
      <c r="DD44" s="65">
        <v>212</v>
      </c>
      <c r="DE44" s="52"/>
      <c r="DF44" s="65">
        <v>214</v>
      </c>
      <c r="DG44" s="52"/>
      <c r="DH44" s="222">
        <f t="shared" si="161"/>
        <v>-2</v>
      </c>
      <c r="DI44" s="216"/>
      <c r="DJ44" s="210"/>
      <c r="DK44" s="65">
        <v>212</v>
      </c>
      <c r="DL44" s="52"/>
      <c r="DM44" s="65">
        <v>214</v>
      </c>
      <c r="DN44" s="52"/>
      <c r="DO44" s="222">
        <f t="shared" si="162"/>
        <v>-2</v>
      </c>
      <c r="DP44" s="216"/>
      <c r="DQ44" s="210"/>
      <c r="DR44" s="208">
        <f t="shared" si="163"/>
        <v>848</v>
      </c>
      <c r="DS44" s="52"/>
      <c r="DT44" s="208">
        <f t="shared" si="164"/>
        <v>856</v>
      </c>
      <c r="DU44" s="52"/>
      <c r="DV44" s="222">
        <f t="shared" si="165"/>
        <v>-8</v>
      </c>
      <c r="DW44" s="216"/>
      <c r="DX44" s="210"/>
      <c r="DY44" s="208">
        <f>X44+AZ44+CI44+DR44</f>
        <v>2742.9300000000003</v>
      </c>
      <c r="DZ44" s="52"/>
      <c r="EA44" s="208">
        <f t="shared" si="172"/>
        <v>3197.5384615384614</v>
      </c>
      <c r="EB44" s="33"/>
      <c r="EC44" s="212">
        <f t="shared" si="167"/>
        <v>454.60846153846114</v>
      </c>
      <c r="ED44" s="212"/>
      <c r="EE44" s="210"/>
      <c r="EF44" s="210"/>
      <c r="EG44" s="224"/>
      <c r="EH44" s="210"/>
    </row>
    <row r="45" spans="1:138">
      <c r="A45" s="10" t="s">
        <v>57</v>
      </c>
      <c r="B45" s="10"/>
      <c r="C45" s="65"/>
      <c r="D45" s="33"/>
      <c r="E45" s="72">
        <v>2277.1538461538462</v>
      </c>
      <c r="F45" s="33"/>
      <c r="G45" s="212">
        <f t="shared" si="144"/>
        <v>2277.1538461538462</v>
      </c>
      <c r="H45" s="212"/>
      <c r="I45" s="210"/>
      <c r="J45" s="22">
        <v>2007.75</v>
      </c>
      <c r="K45" s="33"/>
      <c r="L45" s="72">
        <v>2277.1538461538462</v>
      </c>
      <c r="M45" s="33"/>
      <c r="N45" s="212">
        <f t="shared" si="145"/>
        <v>269.40384615384619</v>
      </c>
      <c r="O45" s="212"/>
      <c r="P45" s="210"/>
      <c r="Q45" s="65">
        <v>-907.75</v>
      </c>
      <c r="R45" s="23"/>
      <c r="S45" s="72">
        <v>2277.1538461538462</v>
      </c>
      <c r="T45" s="33"/>
      <c r="U45" s="212">
        <f t="shared" si="146"/>
        <v>3184.9038461538462</v>
      </c>
      <c r="V45" s="212"/>
      <c r="W45" s="210"/>
      <c r="X45" s="208">
        <f t="shared" si="168"/>
        <v>1100</v>
      </c>
      <c r="Y45" s="33"/>
      <c r="Z45" s="218">
        <f t="shared" si="147"/>
        <v>6831.461538461539</v>
      </c>
      <c r="AA45" s="23"/>
      <c r="AB45" s="212">
        <f t="shared" si="148"/>
        <v>5731.461538461539</v>
      </c>
      <c r="AC45" s="212"/>
      <c r="AD45" s="210"/>
      <c r="AE45" s="65">
        <v>0</v>
      </c>
      <c r="AF45" s="23"/>
      <c r="AG45" s="72">
        <v>2277.1538461538462</v>
      </c>
      <c r="AH45" s="23"/>
      <c r="AI45" s="220">
        <f t="shared" si="149"/>
        <v>2277.1538461538462</v>
      </c>
      <c r="AJ45" s="221"/>
      <c r="AK45" s="210"/>
      <c r="AL45" s="65">
        <v>0</v>
      </c>
      <c r="AM45" s="23"/>
      <c r="AN45" s="72">
        <v>2277.1538461538462</v>
      </c>
      <c r="AO45" s="23"/>
      <c r="AP45" s="220">
        <f t="shared" si="150"/>
        <v>2277.1538461538462</v>
      </c>
      <c r="AQ45" s="221"/>
      <c r="AR45" s="210"/>
      <c r="AS45" s="65">
        <v>1229</v>
      </c>
      <c r="AT45" s="23"/>
      <c r="AU45" s="64">
        <v>2277.1538461538462</v>
      </c>
      <c r="AV45" s="23"/>
      <c r="AW45" s="220">
        <f t="shared" si="151"/>
        <v>1048.1538461538462</v>
      </c>
      <c r="AX45" s="221"/>
      <c r="AY45" s="210"/>
      <c r="AZ45" s="208">
        <f t="shared" si="152"/>
        <v>1229</v>
      </c>
      <c r="BA45" s="23"/>
      <c r="BB45" s="218">
        <f t="shared" si="169"/>
        <v>6831.461538461539</v>
      </c>
      <c r="BC45" s="23"/>
      <c r="BD45" s="220">
        <f t="shared" si="153"/>
        <v>5602.461538461539</v>
      </c>
      <c r="BE45" s="212"/>
      <c r="BF45" s="210"/>
      <c r="BG45" s="65">
        <v>0</v>
      </c>
      <c r="BH45" s="23"/>
      <c r="BI45" s="65">
        <v>0</v>
      </c>
      <c r="BJ45" s="23"/>
      <c r="BK45" s="220">
        <f t="shared" si="154"/>
        <v>0</v>
      </c>
      <c r="BL45" s="212"/>
      <c r="BM45" s="210"/>
      <c r="BN45" s="65">
        <v>0</v>
      </c>
      <c r="BO45" s="52"/>
      <c r="BP45" s="65">
        <v>0</v>
      </c>
      <c r="BQ45" s="52"/>
      <c r="BR45" s="222">
        <f t="shared" si="155"/>
        <v>0</v>
      </c>
      <c r="BS45" s="216"/>
      <c r="BT45" s="210"/>
      <c r="BU45" s="65"/>
      <c r="BV45" s="52"/>
      <c r="BW45" s="65">
        <v>0</v>
      </c>
      <c r="BX45" s="52"/>
      <c r="BY45" s="222">
        <f t="shared" si="156"/>
        <v>0</v>
      </c>
      <c r="BZ45" s="216"/>
      <c r="CA45" s="210"/>
      <c r="CB45" s="65">
        <v>2289</v>
      </c>
      <c r="CC45" s="52"/>
      <c r="CD45" s="65">
        <v>2289</v>
      </c>
      <c r="CE45" s="52"/>
      <c r="CF45" s="222">
        <f t="shared" si="157"/>
        <v>0</v>
      </c>
      <c r="CG45" s="216"/>
      <c r="CH45" s="210"/>
      <c r="CI45" s="208">
        <f t="shared" si="170"/>
        <v>2289</v>
      </c>
      <c r="CJ45" s="52"/>
      <c r="CK45" s="208">
        <f t="shared" si="171"/>
        <v>2289</v>
      </c>
      <c r="CL45" s="52"/>
      <c r="CM45" s="222">
        <f t="shared" si="158"/>
        <v>0</v>
      </c>
      <c r="CN45" s="216"/>
      <c r="CO45" s="210"/>
      <c r="CP45" s="65">
        <v>4294.16</v>
      </c>
      <c r="CQ45" s="51"/>
      <c r="CR45" s="65">
        <v>2289</v>
      </c>
      <c r="CS45" s="51"/>
      <c r="CT45" s="222">
        <f t="shared" si="159"/>
        <v>2005.1599999999999</v>
      </c>
      <c r="CU45" s="223"/>
      <c r="CV45" s="210"/>
      <c r="CW45" s="65">
        <v>2289</v>
      </c>
      <c r="CX45" s="52"/>
      <c r="CY45" s="65">
        <v>2289</v>
      </c>
      <c r="CZ45" s="52"/>
      <c r="DA45" s="222">
        <f t="shared" si="160"/>
        <v>0</v>
      </c>
      <c r="DB45" s="216"/>
      <c r="DC45" s="210"/>
      <c r="DD45" s="65">
        <v>2289</v>
      </c>
      <c r="DE45" s="52"/>
      <c r="DF45" s="65">
        <v>2289</v>
      </c>
      <c r="DG45" s="52"/>
      <c r="DH45" s="222">
        <f t="shared" si="161"/>
        <v>0</v>
      </c>
      <c r="DI45" s="216"/>
      <c r="DJ45" s="210"/>
      <c r="DK45" s="65">
        <v>3636.83</v>
      </c>
      <c r="DL45" s="52"/>
      <c r="DM45" s="65">
        <v>2289</v>
      </c>
      <c r="DN45" s="52"/>
      <c r="DO45" s="222">
        <f t="shared" si="162"/>
        <v>1347.83</v>
      </c>
      <c r="DP45" s="216"/>
      <c r="DQ45" s="210"/>
      <c r="DR45" s="208">
        <f t="shared" si="163"/>
        <v>12508.99</v>
      </c>
      <c r="DS45" s="52"/>
      <c r="DT45" s="208">
        <f t="shared" si="164"/>
        <v>9156</v>
      </c>
      <c r="DU45" s="52"/>
      <c r="DV45" s="222">
        <f t="shared" si="165"/>
        <v>3352.99</v>
      </c>
      <c r="DW45" s="216"/>
      <c r="DX45" s="210"/>
      <c r="DY45" s="208">
        <f t="shared" si="166"/>
        <v>17126.989999999998</v>
      </c>
      <c r="DZ45" s="52"/>
      <c r="EA45" s="208">
        <f t="shared" si="172"/>
        <v>25107.923076923078</v>
      </c>
      <c r="EB45" s="33"/>
      <c r="EC45" s="212">
        <f t="shared" si="167"/>
        <v>7980.9330769230801</v>
      </c>
      <c r="ED45" s="212"/>
      <c r="EE45" s="210"/>
      <c r="EF45" s="210"/>
      <c r="EG45" s="210"/>
      <c r="EH45" s="210"/>
    </row>
    <row r="46" spans="1:138">
      <c r="A46" s="10" t="s">
        <v>58</v>
      </c>
      <c r="B46" s="10"/>
      <c r="C46" s="65"/>
      <c r="D46" s="33"/>
      <c r="E46" s="72">
        <v>1425.6615384615386</v>
      </c>
      <c r="F46" s="33"/>
      <c r="G46" s="212">
        <f t="shared" si="144"/>
        <v>1425.6615384615386</v>
      </c>
      <c r="H46" s="212"/>
      <c r="I46" s="210"/>
      <c r="J46" s="22">
        <v>1069.5</v>
      </c>
      <c r="K46" s="33"/>
      <c r="L46" s="72">
        <v>1425.6615384615386</v>
      </c>
      <c r="M46" s="33"/>
      <c r="N46" s="212">
        <f t="shared" si="145"/>
        <v>356.16153846153861</v>
      </c>
      <c r="O46" s="212"/>
      <c r="P46" s="210"/>
      <c r="Q46" s="65">
        <f>-1402.97+1069.5-52.9-10.8</f>
        <v>-397.17</v>
      </c>
      <c r="R46" s="23"/>
      <c r="S46" s="72">
        <v>1425.6615384615386</v>
      </c>
      <c r="T46" s="33"/>
      <c r="U46" s="212">
        <f t="shared" si="146"/>
        <v>1822.8315384615387</v>
      </c>
      <c r="V46" s="212"/>
      <c r="W46" s="210"/>
      <c r="X46" s="208">
        <f t="shared" si="168"/>
        <v>672.32999999999993</v>
      </c>
      <c r="Y46" s="33"/>
      <c r="Z46" s="218">
        <f t="shared" si="147"/>
        <v>4276.9846153846156</v>
      </c>
      <c r="AA46" s="23"/>
      <c r="AB46" s="212"/>
      <c r="AC46" s="212"/>
      <c r="AD46" s="210"/>
      <c r="AE46" s="65">
        <v>2987.3</v>
      </c>
      <c r="AF46" s="23"/>
      <c r="AG46" s="72">
        <v>1425.6615384615386</v>
      </c>
      <c r="AH46" s="23"/>
      <c r="AI46" s="220">
        <f t="shared" si="149"/>
        <v>-1561.6384615384616</v>
      </c>
      <c r="AJ46" s="221"/>
      <c r="AK46" s="210"/>
      <c r="AL46" s="65">
        <v>946.74</v>
      </c>
      <c r="AM46" s="23"/>
      <c r="AN46" s="72">
        <v>1425.6615384615386</v>
      </c>
      <c r="AO46" s="23"/>
      <c r="AP46" s="220">
        <f t="shared" si="150"/>
        <v>478.9215384615386</v>
      </c>
      <c r="AQ46" s="221"/>
      <c r="AR46" s="210"/>
      <c r="AS46" s="65">
        <v>537.72</v>
      </c>
      <c r="AT46" s="23"/>
      <c r="AU46" s="64">
        <v>1425.6615384615386</v>
      </c>
      <c r="AV46" s="23"/>
      <c r="AW46" s="220">
        <f t="shared" si="151"/>
        <v>887.94153846153858</v>
      </c>
      <c r="AX46" s="221"/>
      <c r="AY46" s="210"/>
      <c r="AZ46" s="208">
        <f t="shared" si="152"/>
        <v>4471.76</v>
      </c>
      <c r="BA46" s="23"/>
      <c r="BB46" s="218">
        <f t="shared" si="169"/>
        <v>4276.9846153846156</v>
      </c>
      <c r="BC46" s="23"/>
      <c r="BD46" s="220">
        <f t="shared" si="153"/>
        <v>-194.77538461538461</v>
      </c>
      <c r="BE46" s="212"/>
      <c r="BF46" s="210"/>
      <c r="BG46" s="65">
        <v>257.54000000000002</v>
      </c>
      <c r="BH46" s="23"/>
      <c r="BI46" s="65">
        <v>1150</v>
      </c>
      <c r="BJ46" s="23"/>
      <c r="BK46" s="220">
        <f t="shared" si="154"/>
        <v>892.46</v>
      </c>
      <c r="BL46" s="212"/>
      <c r="BM46" s="210"/>
      <c r="BN46" s="65">
        <v>611.72</v>
      </c>
      <c r="BO46" s="52"/>
      <c r="BP46" s="65">
        <v>1150</v>
      </c>
      <c r="BQ46" s="52"/>
      <c r="BR46" s="222">
        <f t="shared" si="155"/>
        <v>-538.28</v>
      </c>
      <c r="BS46" s="216"/>
      <c r="BT46" s="210"/>
      <c r="BU46" s="65">
        <v>-129.87</v>
      </c>
      <c r="BV46" s="52"/>
      <c r="BW46" s="65">
        <v>575</v>
      </c>
      <c r="BX46" s="52"/>
      <c r="BY46" s="222">
        <f t="shared" si="156"/>
        <v>-704.87</v>
      </c>
      <c r="BZ46" s="216"/>
      <c r="CA46" s="210"/>
      <c r="CB46" s="65">
        <v>609.76</v>
      </c>
      <c r="CC46" s="52"/>
      <c r="CD46" s="65">
        <v>575</v>
      </c>
      <c r="CE46" s="52"/>
      <c r="CF46" s="222">
        <f t="shared" si="157"/>
        <v>34.759999999999991</v>
      </c>
      <c r="CG46" s="216"/>
      <c r="CH46" s="210"/>
      <c r="CI46" s="208">
        <f t="shared" si="170"/>
        <v>1349.15</v>
      </c>
      <c r="CJ46" s="52"/>
      <c r="CK46" s="208">
        <f t="shared" si="171"/>
        <v>3450</v>
      </c>
      <c r="CL46" s="52"/>
      <c r="CM46" s="222">
        <f t="shared" si="158"/>
        <v>-2100.85</v>
      </c>
      <c r="CN46" s="216"/>
      <c r="CO46" s="210"/>
      <c r="CP46" s="65">
        <v>251.27</v>
      </c>
      <c r="CQ46" s="51"/>
      <c r="CR46" s="65">
        <v>1150</v>
      </c>
      <c r="CS46" s="51"/>
      <c r="CT46" s="222">
        <f t="shared" si="159"/>
        <v>-898.73</v>
      </c>
      <c r="CU46" s="223"/>
      <c r="CV46" s="210"/>
      <c r="CW46" s="65">
        <v>131.66999999999999</v>
      </c>
      <c r="CX46" s="52"/>
      <c r="CY46" s="65">
        <v>1150</v>
      </c>
      <c r="CZ46" s="52"/>
      <c r="DA46" s="222">
        <f t="shared" si="160"/>
        <v>-1018.33</v>
      </c>
      <c r="DB46" s="216"/>
      <c r="DC46" s="210"/>
      <c r="DD46" s="65">
        <v>2588.4899999999998</v>
      </c>
      <c r="DE46" s="52"/>
      <c r="DF46" s="65">
        <v>1150</v>
      </c>
      <c r="DG46" s="52"/>
      <c r="DH46" s="222">
        <f t="shared" si="161"/>
        <v>1438.4899999999998</v>
      </c>
      <c r="DI46" s="216"/>
      <c r="DJ46" s="210"/>
      <c r="DK46" s="65">
        <v>-964.11</v>
      </c>
      <c r="DL46" s="52"/>
      <c r="DM46" s="65">
        <v>1150</v>
      </c>
      <c r="DN46" s="52"/>
      <c r="DO46" s="222">
        <f t="shared" si="162"/>
        <v>-2114.11</v>
      </c>
      <c r="DP46" s="216"/>
      <c r="DQ46" s="210"/>
      <c r="DR46" s="208">
        <f t="shared" si="163"/>
        <v>2007.3199999999997</v>
      </c>
      <c r="DS46" s="52"/>
      <c r="DT46" s="208">
        <f t="shared" si="164"/>
        <v>4600</v>
      </c>
      <c r="DU46" s="52"/>
      <c r="DV46" s="222">
        <f t="shared" si="165"/>
        <v>-2592.6800000000003</v>
      </c>
      <c r="DW46" s="216"/>
      <c r="DX46" s="210"/>
      <c r="DY46" s="208">
        <f t="shared" si="166"/>
        <v>8500.56</v>
      </c>
      <c r="DZ46" s="52"/>
      <c r="EA46" s="208">
        <f t="shared" si="172"/>
        <v>16603.969230769231</v>
      </c>
      <c r="EB46" s="33"/>
      <c r="EC46" s="212"/>
      <c r="ED46" s="212"/>
      <c r="EE46" s="210"/>
      <c r="EF46" s="210"/>
      <c r="EG46" s="210"/>
      <c r="EH46" s="224"/>
    </row>
    <row r="47" spans="1:138" hidden="1">
      <c r="A47" s="10" t="s">
        <v>59</v>
      </c>
      <c r="B47" s="10"/>
      <c r="C47" s="65"/>
      <c r="D47" s="33"/>
      <c r="E47" s="72"/>
      <c r="F47" s="33"/>
      <c r="G47" s="212"/>
      <c r="H47" s="212"/>
      <c r="I47" s="210"/>
      <c r="J47" s="22"/>
      <c r="K47" s="33"/>
      <c r="L47" s="72"/>
      <c r="M47" s="33"/>
      <c r="N47" s="212"/>
      <c r="O47" s="212"/>
      <c r="P47" s="210"/>
      <c r="Q47" s="65"/>
      <c r="R47" s="23"/>
      <c r="S47" s="72"/>
      <c r="T47" s="33"/>
      <c r="U47" s="212"/>
      <c r="V47" s="212"/>
      <c r="W47" s="210"/>
      <c r="X47" s="208">
        <f t="shared" si="168"/>
        <v>0</v>
      </c>
      <c r="Y47" s="33"/>
      <c r="Z47" s="218">
        <f t="shared" si="147"/>
        <v>0</v>
      </c>
      <c r="AA47" s="23"/>
      <c r="AB47" s="212"/>
      <c r="AC47" s="212"/>
      <c r="AD47" s="210"/>
      <c r="AE47" s="65">
        <v>273.95999999999998</v>
      </c>
      <c r="AF47" s="23"/>
      <c r="AG47" s="72">
        <v>0</v>
      </c>
      <c r="AH47" s="23"/>
      <c r="AI47" s="220">
        <f t="shared" si="149"/>
        <v>-273.95999999999998</v>
      </c>
      <c r="AJ47" s="221"/>
      <c r="AK47" s="210"/>
      <c r="AL47" s="65">
        <v>0</v>
      </c>
      <c r="AM47" s="23"/>
      <c r="AN47" s="72"/>
      <c r="AO47" s="23"/>
      <c r="AP47" s="220"/>
      <c r="AQ47" s="221"/>
      <c r="AR47" s="210"/>
      <c r="AS47" s="65">
        <v>0</v>
      </c>
      <c r="AT47" s="23"/>
      <c r="AU47" s="64"/>
      <c r="AV47" s="23"/>
      <c r="AW47" s="220"/>
      <c r="AX47" s="221"/>
      <c r="AY47" s="210"/>
      <c r="AZ47" s="208">
        <f t="shared" si="152"/>
        <v>273.95999999999998</v>
      </c>
      <c r="BA47" s="23"/>
      <c r="BB47" s="218">
        <f t="shared" si="169"/>
        <v>0</v>
      </c>
      <c r="BC47" s="23"/>
      <c r="BD47" s="220">
        <f t="shared" si="153"/>
        <v>-273.95999999999998</v>
      </c>
      <c r="BE47" s="212"/>
      <c r="BF47" s="210"/>
      <c r="BG47" s="65">
        <v>0</v>
      </c>
      <c r="BH47" s="23"/>
      <c r="BI47" s="65">
        <v>0</v>
      </c>
      <c r="BJ47" s="23"/>
      <c r="BK47" s="220">
        <f t="shared" si="154"/>
        <v>0</v>
      </c>
      <c r="BL47" s="212"/>
      <c r="BM47" s="210"/>
      <c r="BN47" s="65">
        <v>0</v>
      </c>
      <c r="BO47" s="52"/>
      <c r="BP47" s="65"/>
      <c r="BQ47" s="52"/>
      <c r="BR47" s="222">
        <f t="shared" si="155"/>
        <v>0</v>
      </c>
      <c r="BS47" s="216"/>
      <c r="BT47" s="210"/>
      <c r="BU47" s="65">
        <v>0</v>
      </c>
      <c r="BV47" s="52"/>
      <c r="BW47" s="65">
        <v>0</v>
      </c>
      <c r="BX47" s="52"/>
      <c r="BY47" s="222">
        <f t="shared" si="156"/>
        <v>0</v>
      </c>
      <c r="BZ47" s="216"/>
      <c r="CA47" s="210"/>
      <c r="CB47" s="65">
        <v>0</v>
      </c>
      <c r="CC47" s="52"/>
      <c r="CD47" s="65">
        <v>0</v>
      </c>
      <c r="CE47" s="52"/>
      <c r="CF47" s="222">
        <f t="shared" si="157"/>
        <v>0</v>
      </c>
      <c r="CG47" s="216"/>
      <c r="CH47" s="210"/>
      <c r="CI47" s="208">
        <f t="shared" si="170"/>
        <v>0</v>
      </c>
      <c r="CJ47" s="52"/>
      <c r="CK47" s="208">
        <f t="shared" si="171"/>
        <v>0</v>
      </c>
      <c r="CL47" s="52"/>
      <c r="CM47" s="222">
        <f t="shared" si="158"/>
        <v>0</v>
      </c>
      <c r="CN47" s="216"/>
      <c r="CO47" s="210"/>
      <c r="CP47" s="65">
        <v>0</v>
      </c>
      <c r="CQ47" s="51"/>
      <c r="CR47" s="65">
        <v>0</v>
      </c>
      <c r="CS47" s="51"/>
      <c r="CT47" s="222">
        <f t="shared" si="159"/>
        <v>0</v>
      </c>
      <c r="CU47" s="223"/>
      <c r="CV47" s="210"/>
      <c r="CW47" s="65">
        <v>0</v>
      </c>
      <c r="CX47" s="52"/>
      <c r="CY47" s="65">
        <v>0</v>
      </c>
      <c r="CZ47" s="52"/>
      <c r="DA47" s="222">
        <f t="shared" si="160"/>
        <v>0</v>
      </c>
      <c r="DB47" s="216"/>
      <c r="DC47" s="210"/>
      <c r="DD47" s="65">
        <v>0</v>
      </c>
      <c r="DE47" s="52"/>
      <c r="DF47" s="65">
        <v>0</v>
      </c>
      <c r="DG47" s="52"/>
      <c r="DH47" s="222">
        <f t="shared" si="161"/>
        <v>0</v>
      </c>
      <c r="DI47" s="216"/>
      <c r="DJ47" s="210"/>
      <c r="DK47" s="65"/>
      <c r="DL47" s="52"/>
      <c r="DM47" s="65">
        <v>0</v>
      </c>
      <c r="DN47" s="52"/>
      <c r="DO47" s="222">
        <f t="shared" si="162"/>
        <v>0</v>
      </c>
      <c r="DP47" s="216"/>
      <c r="DQ47" s="210"/>
      <c r="DR47" s="208">
        <f t="shared" si="163"/>
        <v>0</v>
      </c>
      <c r="DS47" s="52"/>
      <c r="DT47" s="208">
        <f t="shared" si="164"/>
        <v>0</v>
      </c>
      <c r="DU47" s="52"/>
      <c r="DV47" s="222">
        <f t="shared" si="165"/>
        <v>0</v>
      </c>
      <c r="DW47" s="216"/>
      <c r="DX47" s="210"/>
      <c r="DY47" s="208">
        <f t="shared" si="166"/>
        <v>273.95999999999998</v>
      </c>
      <c r="DZ47" s="52"/>
      <c r="EA47" s="208">
        <f t="shared" si="172"/>
        <v>0</v>
      </c>
      <c r="EB47" s="33"/>
      <c r="EC47" s="212"/>
      <c r="ED47" s="212"/>
      <c r="EE47" s="210"/>
      <c r="EF47" s="210"/>
      <c r="EG47" s="210"/>
      <c r="EH47" s="224"/>
    </row>
    <row r="48" spans="1:138">
      <c r="A48" s="10" t="s">
        <v>60</v>
      </c>
      <c r="B48" s="10"/>
      <c r="C48" s="65"/>
      <c r="D48" s="33"/>
      <c r="E48" s="72">
        <v>595.65384615384619</v>
      </c>
      <c r="F48" s="33"/>
      <c r="G48" s="212">
        <f t="shared" si="144"/>
        <v>595.65384615384619</v>
      </c>
      <c r="H48" s="212"/>
      <c r="I48" s="210"/>
      <c r="J48" s="22">
        <v>0</v>
      </c>
      <c r="K48" s="33"/>
      <c r="L48" s="72">
        <v>595.65384615384619</v>
      </c>
      <c r="M48" s="33"/>
      <c r="N48" s="212">
        <f t="shared" si="145"/>
        <v>595.65384615384619</v>
      </c>
      <c r="O48" s="212"/>
      <c r="P48" s="210"/>
      <c r="Q48" s="65">
        <v>0</v>
      </c>
      <c r="R48" s="23"/>
      <c r="S48" s="72">
        <v>595.65384615384619</v>
      </c>
      <c r="T48" s="33"/>
      <c r="U48" s="212">
        <f t="shared" si="146"/>
        <v>595.65384615384619</v>
      </c>
      <c r="V48" s="212"/>
      <c r="W48" s="210"/>
      <c r="X48" s="208">
        <f t="shared" si="168"/>
        <v>0</v>
      </c>
      <c r="Y48" s="33"/>
      <c r="Z48" s="218">
        <f t="shared" si="147"/>
        <v>1786.9615384615386</v>
      </c>
      <c r="AA48" s="23"/>
      <c r="AB48" s="212">
        <f t="shared" si="148"/>
        <v>1786.9615384615386</v>
      </c>
      <c r="AC48" s="212"/>
      <c r="AD48" s="210"/>
      <c r="AE48" s="65">
        <v>0</v>
      </c>
      <c r="AF48" s="23"/>
      <c r="AG48" s="72">
        <v>595.65384615384619</v>
      </c>
      <c r="AH48" s="23"/>
      <c r="AI48" s="220">
        <f t="shared" si="149"/>
        <v>595.65384615384619</v>
      </c>
      <c r="AJ48" s="221"/>
      <c r="AK48" s="210"/>
      <c r="AL48" s="65">
        <v>0</v>
      </c>
      <c r="AM48" s="23"/>
      <c r="AN48" s="72">
        <v>595.65384615384619</v>
      </c>
      <c r="AO48" s="23"/>
      <c r="AP48" s="220">
        <f t="shared" si="150"/>
        <v>595.65384615384619</v>
      </c>
      <c r="AQ48" s="221"/>
      <c r="AR48" s="210"/>
      <c r="AS48" s="65">
        <v>0</v>
      </c>
      <c r="AT48" s="23"/>
      <c r="AU48" s="64">
        <v>595.65384615384619</v>
      </c>
      <c r="AV48" s="23"/>
      <c r="AW48" s="220">
        <f t="shared" si="151"/>
        <v>595.65384615384619</v>
      </c>
      <c r="AX48" s="221"/>
      <c r="AY48" s="210"/>
      <c r="AZ48" s="208">
        <f t="shared" si="152"/>
        <v>0</v>
      </c>
      <c r="BA48" s="23"/>
      <c r="BB48" s="218">
        <f t="shared" si="169"/>
        <v>1786.9615384615386</v>
      </c>
      <c r="BC48" s="23"/>
      <c r="BD48" s="220">
        <f t="shared" si="153"/>
        <v>1786.9615384615386</v>
      </c>
      <c r="BE48" s="212"/>
      <c r="BF48" s="210"/>
      <c r="BG48" s="65">
        <v>0</v>
      </c>
      <c r="BH48" s="23"/>
      <c r="BI48" s="65">
        <v>56</v>
      </c>
      <c r="BJ48" s="23"/>
      <c r="BK48" s="220">
        <f t="shared" si="154"/>
        <v>56</v>
      </c>
      <c r="BL48" s="212"/>
      <c r="BM48" s="210"/>
      <c r="BN48" s="65">
        <v>0</v>
      </c>
      <c r="BO48" s="52"/>
      <c r="BP48" s="65">
        <v>478</v>
      </c>
      <c r="BQ48" s="52"/>
      <c r="BR48" s="222">
        <f t="shared" si="155"/>
        <v>-478</v>
      </c>
      <c r="BS48" s="216"/>
      <c r="BT48" s="210"/>
      <c r="BU48" s="65">
        <v>0</v>
      </c>
      <c r="BV48" s="52"/>
      <c r="BW48" s="65">
        <v>399</v>
      </c>
      <c r="BX48" s="52"/>
      <c r="BY48" s="222">
        <f t="shared" si="156"/>
        <v>-399</v>
      </c>
      <c r="BZ48" s="216"/>
      <c r="CA48" s="210"/>
      <c r="CB48" s="65">
        <v>0</v>
      </c>
      <c r="CC48" s="52"/>
      <c r="CD48" s="65">
        <v>638</v>
      </c>
      <c r="CE48" s="52"/>
      <c r="CF48" s="222">
        <f t="shared" si="157"/>
        <v>-638</v>
      </c>
      <c r="CG48" s="216"/>
      <c r="CH48" s="210"/>
      <c r="CI48" s="208">
        <f t="shared" si="170"/>
        <v>0</v>
      </c>
      <c r="CJ48" s="52"/>
      <c r="CK48" s="208">
        <f t="shared" si="171"/>
        <v>1571</v>
      </c>
      <c r="CL48" s="52"/>
      <c r="CM48" s="222">
        <f t="shared" si="158"/>
        <v>-1571</v>
      </c>
      <c r="CN48" s="216"/>
      <c r="CO48" s="210"/>
      <c r="CP48" s="65">
        <v>0</v>
      </c>
      <c r="CQ48" s="51"/>
      <c r="CR48" s="65">
        <v>1123</v>
      </c>
      <c r="CS48" s="51"/>
      <c r="CT48" s="222">
        <f t="shared" si="159"/>
        <v>-1123</v>
      </c>
      <c r="CU48" s="223"/>
      <c r="CV48" s="210"/>
      <c r="CW48" s="65">
        <v>153.51</v>
      </c>
      <c r="CX48" s="52"/>
      <c r="CY48" s="65">
        <v>1277</v>
      </c>
      <c r="CZ48" s="52"/>
      <c r="DA48" s="222">
        <f t="shared" si="160"/>
        <v>-1123.49</v>
      </c>
      <c r="DB48" s="216"/>
      <c r="DC48" s="210"/>
      <c r="DD48" s="65">
        <v>263.08999999999997</v>
      </c>
      <c r="DE48" s="52"/>
      <c r="DF48" s="65">
        <v>1277</v>
      </c>
      <c r="DG48" s="52"/>
      <c r="DH48" s="222">
        <f t="shared" si="161"/>
        <v>-1013.9100000000001</v>
      </c>
      <c r="DI48" s="216"/>
      <c r="DJ48" s="210"/>
      <c r="DK48" s="65">
        <v>107.88</v>
      </c>
      <c r="DL48" s="52"/>
      <c r="DM48" s="65">
        <v>1043</v>
      </c>
      <c r="DN48" s="52"/>
      <c r="DO48" s="222">
        <f t="shared" si="162"/>
        <v>-935.12</v>
      </c>
      <c r="DP48" s="216"/>
      <c r="DQ48" s="210"/>
      <c r="DR48" s="208">
        <f t="shared" si="163"/>
        <v>524.48</v>
      </c>
      <c r="DS48" s="52"/>
      <c r="DT48" s="208">
        <f t="shared" si="164"/>
        <v>4720</v>
      </c>
      <c r="DU48" s="52"/>
      <c r="DV48" s="222">
        <f t="shared" si="165"/>
        <v>-4195.5200000000004</v>
      </c>
      <c r="DW48" s="216"/>
      <c r="DX48" s="210"/>
      <c r="DY48" s="208">
        <f t="shared" si="166"/>
        <v>524.48</v>
      </c>
      <c r="DZ48" s="52"/>
      <c r="EA48" s="208">
        <f t="shared" si="172"/>
        <v>9864.923076923078</v>
      </c>
      <c r="EB48" s="33"/>
      <c r="EC48" s="212">
        <f t="shared" si="167"/>
        <v>9340.4430769230785</v>
      </c>
      <c r="ED48" s="212"/>
      <c r="EE48" s="210"/>
      <c r="EF48" s="210"/>
      <c r="EG48" s="210"/>
      <c r="EH48" s="210"/>
    </row>
    <row r="49" spans="1:138">
      <c r="A49" s="10" t="s">
        <v>61</v>
      </c>
      <c r="B49" s="10"/>
      <c r="C49" s="65"/>
      <c r="D49" s="33"/>
      <c r="E49" s="74">
        <v>1526.3076923076924</v>
      </c>
      <c r="F49" s="33"/>
      <c r="G49" s="212">
        <f t="shared" si="144"/>
        <v>1526.3076923076924</v>
      </c>
      <c r="H49" s="212"/>
      <c r="I49" s="210"/>
      <c r="J49" s="22">
        <f>1144.5-175</f>
        <v>969.5</v>
      </c>
      <c r="K49" s="33"/>
      <c r="L49" s="74">
        <v>1526.3076923076924</v>
      </c>
      <c r="M49" s="33"/>
      <c r="N49" s="212">
        <f t="shared" si="145"/>
        <v>556.80769230769238</v>
      </c>
      <c r="O49" s="212"/>
      <c r="P49" s="210"/>
      <c r="Q49" s="65">
        <v>1144.5</v>
      </c>
      <c r="R49" s="23"/>
      <c r="S49" s="74">
        <v>1526.3076923076924</v>
      </c>
      <c r="T49" s="33"/>
      <c r="U49" s="212">
        <f t="shared" si="146"/>
        <v>381.80769230769238</v>
      </c>
      <c r="V49" s="212"/>
      <c r="W49" s="210"/>
      <c r="X49" s="208">
        <f t="shared" si="168"/>
        <v>2114</v>
      </c>
      <c r="Y49" s="33"/>
      <c r="Z49" s="218">
        <f t="shared" si="147"/>
        <v>4578.9230769230771</v>
      </c>
      <c r="AA49" s="23"/>
      <c r="AB49" s="212">
        <f t="shared" si="148"/>
        <v>2464.9230769230771</v>
      </c>
      <c r="AC49" s="212"/>
      <c r="AD49" s="210"/>
      <c r="AE49" s="65">
        <v>0</v>
      </c>
      <c r="AF49" s="23"/>
      <c r="AG49" s="74">
        <v>1526.3076923076924</v>
      </c>
      <c r="AH49" s="23"/>
      <c r="AI49" s="220">
        <f t="shared" si="149"/>
        <v>1526.3076923076924</v>
      </c>
      <c r="AJ49" s="221"/>
      <c r="AK49" s="210"/>
      <c r="AL49" s="65">
        <v>0</v>
      </c>
      <c r="AM49" s="23"/>
      <c r="AN49" s="74">
        <v>1526.3076923076924</v>
      </c>
      <c r="AO49" s="23"/>
      <c r="AP49" s="220">
        <f t="shared" si="150"/>
        <v>1526.3076923076924</v>
      </c>
      <c r="AQ49" s="221"/>
      <c r="AR49" s="210"/>
      <c r="AS49" s="65">
        <v>0</v>
      </c>
      <c r="AT49" s="23"/>
      <c r="AU49" s="64">
        <v>1526.3076923076924</v>
      </c>
      <c r="AV49" s="23"/>
      <c r="AW49" s="220">
        <f t="shared" si="151"/>
        <v>1526.3076923076924</v>
      </c>
      <c r="AX49" s="221"/>
      <c r="AY49" s="210"/>
      <c r="AZ49" s="208">
        <f t="shared" si="152"/>
        <v>0</v>
      </c>
      <c r="BA49" s="23"/>
      <c r="BB49" s="218">
        <f t="shared" si="169"/>
        <v>4578.9230769230771</v>
      </c>
      <c r="BC49" s="23"/>
      <c r="BD49" s="220">
        <f t="shared" si="153"/>
        <v>4578.9230769230771</v>
      </c>
      <c r="BE49" s="212"/>
      <c r="BF49" s="210"/>
      <c r="BG49" s="65">
        <v>0</v>
      </c>
      <c r="BH49" s="23"/>
      <c r="BI49" s="65">
        <v>0</v>
      </c>
      <c r="BJ49" s="23"/>
      <c r="BK49" s="220">
        <f t="shared" si="154"/>
        <v>0</v>
      </c>
      <c r="BL49" s="212"/>
      <c r="BM49" s="210"/>
      <c r="BN49" s="65">
        <v>560</v>
      </c>
      <c r="BO49" s="52"/>
      <c r="BP49" s="65">
        <v>0</v>
      </c>
      <c r="BQ49" s="52"/>
      <c r="BR49" s="222">
        <f t="shared" si="155"/>
        <v>560</v>
      </c>
      <c r="BS49" s="216"/>
      <c r="BT49" s="210"/>
      <c r="BU49" s="65">
        <v>180.04</v>
      </c>
      <c r="BV49" s="52"/>
      <c r="BW49" s="65">
        <v>0</v>
      </c>
      <c r="BX49" s="52"/>
      <c r="BY49" s="222">
        <f t="shared" si="156"/>
        <v>180.04</v>
      </c>
      <c r="BZ49" s="216"/>
      <c r="CA49" s="210"/>
      <c r="CB49" s="65">
        <v>0</v>
      </c>
      <c r="CC49" s="52"/>
      <c r="CD49" s="65">
        <v>763</v>
      </c>
      <c r="CE49" s="52"/>
      <c r="CF49" s="222">
        <f t="shared" si="157"/>
        <v>-763</v>
      </c>
      <c r="CG49" s="216"/>
      <c r="CH49" s="210"/>
      <c r="CI49" s="208">
        <f t="shared" si="170"/>
        <v>740.04</v>
      </c>
      <c r="CJ49" s="52"/>
      <c r="CK49" s="208">
        <f t="shared" si="171"/>
        <v>763</v>
      </c>
      <c r="CL49" s="52"/>
      <c r="CM49" s="222">
        <f t="shared" si="158"/>
        <v>-22.960000000000036</v>
      </c>
      <c r="CN49" s="216"/>
      <c r="CO49" s="210"/>
      <c r="CP49" s="65">
        <v>1755</v>
      </c>
      <c r="CQ49" s="51"/>
      <c r="CR49" s="65">
        <v>1526</v>
      </c>
      <c r="CS49" s="51"/>
      <c r="CT49" s="222">
        <f t="shared" si="159"/>
        <v>229</v>
      </c>
      <c r="CU49" s="223"/>
      <c r="CV49" s="210"/>
      <c r="CW49" s="65">
        <v>1296.5</v>
      </c>
      <c r="CX49" s="52"/>
      <c r="CY49" s="65">
        <v>1526</v>
      </c>
      <c r="CZ49" s="52"/>
      <c r="DA49" s="222">
        <f t="shared" si="160"/>
        <v>-229.5</v>
      </c>
      <c r="DB49" s="216"/>
      <c r="DC49" s="210"/>
      <c r="DD49" s="65">
        <v>1130</v>
      </c>
      <c r="DE49" s="52"/>
      <c r="DF49" s="65">
        <v>1526</v>
      </c>
      <c r="DG49" s="52"/>
      <c r="DH49" s="222">
        <f t="shared" si="161"/>
        <v>-396</v>
      </c>
      <c r="DI49" s="216"/>
      <c r="DJ49" s="210"/>
      <c r="DK49" s="65">
        <v>1176</v>
      </c>
      <c r="DL49" s="52"/>
      <c r="DM49" s="65">
        <v>1526.3076923076924</v>
      </c>
      <c r="DN49" s="52"/>
      <c r="DO49" s="222">
        <f t="shared" si="162"/>
        <v>-350.30769230769238</v>
      </c>
      <c r="DP49" s="216"/>
      <c r="DQ49" s="210"/>
      <c r="DR49" s="208">
        <f t="shared" si="163"/>
        <v>5357.5</v>
      </c>
      <c r="DS49" s="52"/>
      <c r="DT49" s="208">
        <f t="shared" si="164"/>
        <v>6104.3076923076924</v>
      </c>
      <c r="DU49" s="52"/>
      <c r="DV49" s="222">
        <f t="shared" si="165"/>
        <v>-746.80769230769238</v>
      </c>
      <c r="DW49" s="216"/>
      <c r="DX49" s="210"/>
      <c r="DY49" s="208">
        <f t="shared" si="166"/>
        <v>8211.5400000000009</v>
      </c>
      <c r="DZ49" s="52"/>
      <c r="EA49" s="208">
        <f t="shared" si="172"/>
        <v>16025.153846153848</v>
      </c>
      <c r="EB49" s="33"/>
      <c r="EC49" s="212">
        <f t="shared" si="167"/>
        <v>7813.6138461538467</v>
      </c>
      <c r="ED49" s="212"/>
      <c r="EE49" s="210"/>
      <c r="EF49" s="210"/>
      <c r="EG49" s="210"/>
      <c r="EH49" s="224"/>
    </row>
    <row r="50" spans="1:138">
      <c r="A50" s="10" t="s">
        <v>62</v>
      </c>
      <c r="B50" s="10"/>
      <c r="C50" s="65"/>
      <c r="D50" s="33"/>
      <c r="E50" s="72">
        <v>1750</v>
      </c>
      <c r="F50" s="33"/>
      <c r="G50" s="212">
        <f t="shared" si="144"/>
        <v>1750</v>
      </c>
      <c r="H50" s="212"/>
      <c r="I50" s="210"/>
      <c r="J50" s="22">
        <v>1312.5</v>
      </c>
      <c r="K50" s="33"/>
      <c r="L50" s="72">
        <v>1750</v>
      </c>
      <c r="M50" s="33"/>
      <c r="N50" s="212">
        <f t="shared" si="145"/>
        <v>437.5</v>
      </c>
      <c r="O50" s="212"/>
      <c r="P50" s="210"/>
      <c r="Q50" s="65">
        <v>1312.5</v>
      </c>
      <c r="R50" s="23"/>
      <c r="S50" s="72">
        <v>1750</v>
      </c>
      <c r="T50" s="33"/>
      <c r="U50" s="212">
        <f t="shared" si="146"/>
        <v>437.5</v>
      </c>
      <c r="V50" s="212"/>
      <c r="W50" s="210"/>
      <c r="X50" s="208">
        <f t="shared" si="168"/>
        <v>2625</v>
      </c>
      <c r="Y50" s="33"/>
      <c r="Z50" s="218">
        <f t="shared" si="147"/>
        <v>5250</v>
      </c>
      <c r="AA50" s="23"/>
      <c r="AB50" s="212">
        <f t="shared" si="148"/>
        <v>2625</v>
      </c>
      <c r="AC50" s="212"/>
      <c r="AD50" s="210"/>
      <c r="AE50" s="65">
        <v>0</v>
      </c>
      <c r="AF50" s="23"/>
      <c r="AG50" s="72">
        <v>1750</v>
      </c>
      <c r="AH50" s="23"/>
      <c r="AI50" s="220">
        <f t="shared" ref="AI50:AI52" si="186">AG50-AE50</f>
        <v>1750</v>
      </c>
      <c r="AJ50" s="221"/>
      <c r="AK50" s="210"/>
      <c r="AL50" s="65">
        <v>0</v>
      </c>
      <c r="AM50" s="23"/>
      <c r="AN50" s="72">
        <v>1750</v>
      </c>
      <c r="AO50" s="23"/>
      <c r="AP50" s="220">
        <f t="shared" ref="AP50:AP58" si="187">AN50-AL50</f>
        <v>1750</v>
      </c>
      <c r="AQ50" s="221"/>
      <c r="AR50" s="210"/>
      <c r="AS50" s="65">
        <v>0</v>
      </c>
      <c r="AT50" s="23"/>
      <c r="AU50" s="64">
        <v>1750</v>
      </c>
      <c r="AV50" s="23"/>
      <c r="AW50" s="220">
        <f t="shared" ref="AW50:AW58" si="188">AU50-AS50</f>
        <v>1750</v>
      </c>
      <c r="AX50" s="221"/>
      <c r="AY50" s="210"/>
      <c r="AZ50" s="208">
        <f t="shared" si="152"/>
        <v>0</v>
      </c>
      <c r="BA50" s="23"/>
      <c r="BB50" s="218">
        <f t="shared" si="169"/>
        <v>5250</v>
      </c>
      <c r="BC50" s="23"/>
      <c r="BD50" s="220">
        <f t="shared" si="153"/>
        <v>5250</v>
      </c>
      <c r="BE50" s="212"/>
      <c r="BF50" s="210"/>
      <c r="BG50" s="65">
        <v>0</v>
      </c>
      <c r="BH50" s="23"/>
      <c r="BI50" s="65">
        <v>0</v>
      </c>
      <c r="BJ50" s="23"/>
      <c r="BK50" s="220">
        <f t="shared" ref="BK50:BK58" si="189">BI50-BG50</f>
        <v>0</v>
      </c>
      <c r="BL50" s="212"/>
      <c r="BM50" s="210"/>
      <c r="BN50" s="65">
        <v>0</v>
      </c>
      <c r="BO50" s="52"/>
      <c r="BP50" s="65">
        <v>500</v>
      </c>
      <c r="BQ50" s="52"/>
      <c r="BR50" s="222">
        <f t="shared" si="155"/>
        <v>-500</v>
      </c>
      <c r="BS50" s="216"/>
      <c r="BT50" s="210"/>
      <c r="BU50" s="65">
        <v>0</v>
      </c>
      <c r="BV50" s="52"/>
      <c r="BW50" s="65">
        <v>500</v>
      </c>
      <c r="BX50" s="52"/>
      <c r="BY50" s="222">
        <f t="shared" si="156"/>
        <v>-500</v>
      </c>
      <c r="BZ50" s="216"/>
      <c r="CA50" s="210"/>
      <c r="CB50" s="65">
        <v>505</v>
      </c>
      <c r="CC50" s="52"/>
      <c r="CD50" s="65">
        <v>875</v>
      </c>
      <c r="CE50" s="52"/>
      <c r="CF50" s="222">
        <f t="shared" si="157"/>
        <v>-370</v>
      </c>
      <c r="CG50" s="216"/>
      <c r="CH50" s="210"/>
      <c r="CI50" s="208">
        <f t="shared" si="170"/>
        <v>505</v>
      </c>
      <c r="CJ50" s="52"/>
      <c r="CK50" s="208">
        <f t="shared" si="171"/>
        <v>1875</v>
      </c>
      <c r="CL50" s="52"/>
      <c r="CM50" s="222">
        <f t="shared" si="158"/>
        <v>-1370</v>
      </c>
      <c r="CN50" s="216"/>
      <c r="CO50" s="210"/>
      <c r="CP50" s="65">
        <v>1749.5</v>
      </c>
      <c r="CQ50" s="51"/>
      <c r="CR50" s="65">
        <v>1750</v>
      </c>
      <c r="CS50" s="51"/>
      <c r="CT50" s="222">
        <f t="shared" si="159"/>
        <v>-0.5</v>
      </c>
      <c r="CU50" s="223"/>
      <c r="CV50" s="210"/>
      <c r="CW50" s="65">
        <v>2238.5</v>
      </c>
      <c r="CX50" s="52"/>
      <c r="CY50" s="65">
        <v>1750</v>
      </c>
      <c r="CZ50" s="52"/>
      <c r="DA50" s="222">
        <f t="shared" si="160"/>
        <v>488.5</v>
      </c>
      <c r="DB50" s="216"/>
      <c r="DC50" s="210"/>
      <c r="DD50" s="65">
        <v>2400.5</v>
      </c>
      <c r="DE50" s="52"/>
      <c r="DF50" s="65">
        <v>1750</v>
      </c>
      <c r="DG50" s="52"/>
      <c r="DH50" s="222">
        <f t="shared" si="161"/>
        <v>650.5</v>
      </c>
      <c r="DI50" s="216"/>
      <c r="DJ50" s="210"/>
      <c r="DK50" s="65">
        <v>2216</v>
      </c>
      <c r="DL50" s="52"/>
      <c r="DM50" s="65">
        <v>1750</v>
      </c>
      <c r="DN50" s="52"/>
      <c r="DO50" s="222">
        <f t="shared" si="162"/>
        <v>466</v>
      </c>
      <c r="DP50" s="216"/>
      <c r="DQ50" s="210"/>
      <c r="DR50" s="208">
        <f t="shared" si="163"/>
        <v>8604.5</v>
      </c>
      <c r="DS50" s="52"/>
      <c r="DT50" s="208">
        <f t="shared" si="164"/>
        <v>7000</v>
      </c>
      <c r="DU50" s="52"/>
      <c r="DV50" s="222">
        <f t="shared" si="165"/>
        <v>1604.5</v>
      </c>
      <c r="DW50" s="216"/>
      <c r="DX50" s="210"/>
      <c r="DY50" s="208">
        <f t="shared" si="166"/>
        <v>11734.5</v>
      </c>
      <c r="DZ50" s="52"/>
      <c r="EA50" s="208">
        <f t="shared" si="172"/>
        <v>19375</v>
      </c>
      <c r="EB50" s="33"/>
      <c r="EC50" s="212">
        <f t="shared" si="167"/>
        <v>7640.5</v>
      </c>
      <c r="ED50" s="212"/>
      <c r="EE50" s="210"/>
      <c r="EF50" s="210"/>
      <c r="EG50" s="210"/>
      <c r="EH50" s="210"/>
    </row>
    <row r="51" spans="1:138">
      <c r="A51" s="10" t="s">
        <v>63</v>
      </c>
      <c r="B51" s="10"/>
      <c r="C51" s="65"/>
      <c r="D51" s="33"/>
      <c r="E51" s="72">
        <v>0</v>
      </c>
      <c r="F51" s="33"/>
      <c r="G51" s="212">
        <f t="shared" si="144"/>
        <v>0</v>
      </c>
      <c r="H51" s="212"/>
      <c r="I51" s="210"/>
      <c r="J51" s="22">
        <v>0</v>
      </c>
      <c r="K51" s="33"/>
      <c r="L51" s="72">
        <v>0</v>
      </c>
      <c r="M51" s="33"/>
      <c r="N51" s="212">
        <f t="shared" si="145"/>
        <v>0</v>
      </c>
      <c r="O51" s="212"/>
      <c r="P51" s="210"/>
      <c r="Q51" s="65">
        <v>0</v>
      </c>
      <c r="R51" s="23"/>
      <c r="S51" s="72"/>
      <c r="T51" s="33"/>
      <c r="U51" s="212">
        <f t="shared" si="146"/>
        <v>0</v>
      </c>
      <c r="V51" s="212"/>
      <c r="W51" s="210"/>
      <c r="X51" s="208">
        <f t="shared" si="168"/>
        <v>0</v>
      </c>
      <c r="Y51" s="33"/>
      <c r="Z51" s="218">
        <f t="shared" si="147"/>
        <v>0</v>
      </c>
      <c r="AA51" s="23"/>
      <c r="AB51" s="212">
        <f t="shared" si="148"/>
        <v>0</v>
      </c>
      <c r="AC51" s="212"/>
      <c r="AD51" s="210"/>
      <c r="AE51" s="65">
        <v>0</v>
      </c>
      <c r="AF51" s="23"/>
      <c r="AG51" s="72"/>
      <c r="AH51" s="23"/>
      <c r="AI51" s="220">
        <f t="shared" si="186"/>
        <v>0</v>
      </c>
      <c r="AJ51" s="221"/>
      <c r="AK51" s="210"/>
      <c r="AL51" s="65">
        <v>0</v>
      </c>
      <c r="AM51" s="23"/>
      <c r="AN51" s="72"/>
      <c r="AO51" s="23"/>
      <c r="AP51" s="220">
        <f t="shared" si="187"/>
        <v>0</v>
      </c>
      <c r="AQ51" s="221"/>
      <c r="AR51" s="210"/>
      <c r="AS51" s="65">
        <v>0</v>
      </c>
      <c r="AT51" s="23"/>
      <c r="AU51" s="64"/>
      <c r="AV51" s="23"/>
      <c r="AW51" s="220">
        <f t="shared" si="188"/>
        <v>0</v>
      </c>
      <c r="AX51" s="221"/>
      <c r="AY51" s="210"/>
      <c r="AZ51" s="208">
        <f t="shared" si="152"/>
        <v>0</v>
      </c>
      <c r="BA51" s="23"/>
      <c r="BB51" s="218">
        <f t="shared" si="169"/>
        <v>0</v>
      </c>
      <c r="BC51" s="23"/>
      <c r="BD51" s="220">
        <f t="shared" si="153"/>
        <v>0</v>
      </c>
      <c r="BE51" s="212"/>
      <c r="BF51" s="210"/>
      <c r="BG51" s="65">
        <v>0</v>
      </c>
      <c r="BH51" s="23"/>
      <c r="BI51" s="65">
        <v>0</v>
      </c>
      <c r="BJ51" s="23"/>
      <c r="BK51" s="220">
        <f t="shared" si="189"/>
        <v>0</v>
      </c>
      <c r="BL51" s="212"/>
      <c r="BM51" s="210"/>
      <c r="BN51" s="65">
        <v>0</v>
      </c>
      <c r="BO51" s="52"/>
      <c r="BP51" s="65">
        <v>0</v>
      </c>
      <c r="BQ51" s="52"/>
      <c r="BR51" s="222">
        <f t="shared" si="155"/>
        <v>0</v>
      </c>
      <c r="BS51" s="216"/>
      <c r="BT51" s="210"/>
      <c r="BU51" s="65">
        <v>223.49</v>
      </c>
      <c r="BV51" s="52"/>
      <c r="BW51" s="65">
        <v>0</v>
      </c>
      <c r="BX51" s="52"/>
      <c r="BY51" s="222">
        <f t="shared" si="156"/>
        <v>223.49</v>
      </c>
      <c r="BZ51" s="216"/>
      <c r="CA51" s="210"/>
      <c r="CB51" s="65">
        <v>942.75</v>
      </c>
      <c r="CC51" s="52"/>
      <c r="CD51" s="65">
        <v>0</v>
      </c>
      <c r="CE51" s="52"/>
      <c r="CF51" s="222">
        <f t="shared" si="157"/>
        <v>942.75</v>
      </c>
      <c r="CG51" s="216"/>
      <c r="CH51" s="210"/>
      <c r="CI51" s="208">
        <f t="shared" si="170"/>
        <v>1166.24</v>
      </c>
      <c r="CJ51" s="52"/>
      <c r="CK51" s="208">
        <f t="shared" si="171"/>
        <v>0</v>
      </c>
      <c r="CL51" s="52"/>
      <c r="CM51" s="222">
        <f t="shared" si="158"/>
        <v>1166.24</v>
      </c>
      <c r="CN51" s="216"/>
      <c r="CO51" s="210"/>
      <c r="CP51" s="65">
        <v>3618.7</v>
      </c>
      <c r="CQ51" s="51"/>
      <c r="CR51" s="65">
        <v>0</v>
      </c>
      <c r="CS51" s="51"/>
      <c r="CT51" s="222">
        <f t="shared" si="159"/>
        <v>3618.7</v>
      </c>
      <c r="CU51" s="223"/>
      <c r="CV51" s="210"/>
      <c r="CW51" s="65">
        <v>4232.5</v>
      </c>
      <c r="CX51" s="52"/>
      <c r="CY51" s="65">
        <v>0</v>
      </c>
      <c r="CZ51" s="52"/>
      <c r="DA51" s="222">
        <f t="shared" si="160"/>
        <v>4232.5</v>
      </c>
      <c r="DB51" s="216"/>
      <c r="DC51" s="210"/>
      <c r="DD51" s="65">
        <v>2853</v>
      </c>
      <c r="DE51" s="52"/>
      <c r="DF51" s="65">
        <v>0</v>
      </c>
      <c r="DG51" s="52"/>
      <c r="DH51" s="222">
        <f t="shared" si="161"/>
        <v>2853</v>
      </c>
      <c r="DI51" s="216"/>
      <c r="DJ51" s="210"/>
      <c r="DK51" s="65">
        <v>1889</v>
      </c>
      <c r="DL51" s="52"/>
      <c r="DM51" s="65">
        <v>0</v>
      </c>
      <c r="DN51" s="52"/>
      <c r="DO51" s="222">
        <f t="shared" si="162"/>
        <v>1889</v>
      </c>
      <c r="DP51" s="216"/>
      <c r="DQ51" s="210"/>
      <c r="DR51" s="208">
        <f t="shared" si="163"/>
        <v>12593.2</v>
      </c>
      <c r="DS51" s="52"/>
      <c r="DT51" s="208">
        <f t="shared" si="164"/>
        <v>0</v>
      </c>
      <c r="DU51" s="52"/>
      <c r="DV51" s="222">
        <f t="shared" si="165"/>
        <v>12593.2</v>
      </c>
      <c r="DW51" s="216"/>
      <c r="DX51" s="210"/>
      <c r="DY51" s="208">
        <f t="shared" si="166"/>
        <v>13759.44</v>
      </c>
      <c r="DZ51" s="52"/>
      <c r="EA51" s="208">
        <f t="shared" si="172"/>
        <v>0</v>
      </c>
      <c r="EB51" s="33"/>
      <c r="EC51" s="212">
        <f t="shared" si="167"/>
        <v>-13759.44</v>
      </c>
      <c r="ED51" s="212"/>
      <c r="EE51" s="210"/>
      <c r="EF51" s="210"/>
      <c r="EG51" s="210"/>
      <c r="EH51" s="210"/>
    </row>
    <row r="52" spans="1:138">
      <c r="A52" s="10" t="s">
        <v>64</v>
      </c>
      <c r="B52" s="10"/>
      <c r="C52" s="65"/>
      <c r="D52" s="33"/>
      <c r="E52" s="72">
        <v>1400</v>
      </c>
      <c r="F52" s="33"/>
      <c r="G52" s="212">
        <f t="shared" si="144"/>
        <v>1400</v>
      </c>
      <c r="H52" s="212"/>
      <c r="I52" s="210"/>
      <c r="J52" s="22">
        <v>0</v>
      </c>
      <c r="K52" s="33"/>
      <c r="L52" s="60">
        <v>1400</v>
      </c>
      <c r="M52" s="33"/>
      <c r="N52" s="212">
        <f t="shared" si="145"/>
        <v>1400</v>
      </c>
      <c r="O52" s="212"/>
      <c r="P52" s="210"/>
      <c r="Q52" s="65">
        <v>170.25</v>
      </c>
      <c r="R52" s="23"/>
      <c r="S52" s="60">
        <v>1400</v>
      </c>
      <c r="T52" s="33"/>
      <c r="U52" s="212">
        <f t="shared" si="146"/>
        <v>1229.75</v>
      </c>
      <c r="V52" s="212"/>
      <c r="W52" s="210"/>
      <c r="X52" s="208">
        <f t="shared" si="168"/>
        <v>170.25</v>
      </c>
      <c r="Y52" s="33"/>
      <c r="Z52" s="218">
        <f t="shared" si="147"/>
        <v>4200</v>
      </c>
      <c r="AA52" s="23"/>
      <c r="AB52" s="212">
        <f t="shared" si="148"/>
        <v>4029.75</v>
      </c>
      <c r="AC52" s="212"/>
      <c r="AD52" s="210"/>
      <c r="AE52" s="65">
        <v>0</v>
      </c>
      <c r="AF52" s="23"/>
      <c r="AG52" s="60">
        <v>1400</v>
      </c>
      <c r="AH52" s="23"/>
      <c r="AI52" s="220">
        <f t="shared" si="186"/>
        <v>1400</v>
      </c>
      <c r="AJ52" s="221"/>
      <c r="AK52" s="210"/>
      <c r="AL52" s="65">
        <v>0</v>
      </c>
      <c r="AM52" s="23"/>
      <c r="AN52" s="60">
        <v>1400</v>
      </c>
      <c r="AO52" s="23"/>
      <c r="AP52" s="220">
        <f t="shared" si="187"/>
        <v>1400</v>
      </c>
      <c r="AQ52" s="221"/>
      <c r="AR52" s="210"/>
      <c r="AS52" s="65">
        <v>0</v>
      </c>
      <c r="AT52" s="23"/>
      <c r="AU52" s="64">
        <v>1400</v>
      </c>
      <c r="AV52" s="23"/>
      <c r="AW52" s="220">
        <f t="shared" si="188"/>
        <v>1400</v>
      </c>
      <c r="AX52" s="221"/>
      <c r="AY52" s="210"/>
      <c r="AZ52" s="208">
        <f t="shared" si="152"/>
        <v>0</v>
      </c>
      <c r="BA52" s="23"/>
      <c r="BB52" s="218">
        <f t="shared" si="169"/>
        <v>4200</v>
      </c>
      <c r="BC52" s="23"/>
      <c r="BD52" s="220"/>
      <c r="BE52" s="212"/>
      <c r="BF52" s="210"/>
      <c r="BG52" s="65">
        <v>0</v>
      </c>
      <c r="BH52" s="23"/>
      <c r="BI52" s="65">
        <v>0</v>
      </c>
      <c r="BJ52" s="23"/>
      <c r="BK52" s="220">
        <f t="shared" si="189"/>
        <v>0</v>
      </c>
      <c r="BL52" s="212"/>
      <c r="BM52" s="210"/>
      <c r="BN52" s="65">
        <v>0</v>
      </c>
      <c r="BO52" s="52"/>
      <c r="BP52" s="65">
        <v>0</v>
      </c>
      <c r="BQ52" s="52"/>
      <c r="BR52" s="222">
        <f t="shared" si="155"/>
        <v>0</v>
      </c>
      <c r="BS52" s="216"/>
      <c r="BT52" s="210"/>
      <c r="BU52" s="65">
        <v>0</v>
      </c>
      <c r="BV52" s="52"/>
      <c r="BW52" s="65">
        <v>0</v>
      </c>
      <c r="BX52" s="52"/>
      <c r="BY52" s="222">
        <f t="shared" si="156"/>
        <v>0</v>
      </c>
      <c r="BZ52" s="216"/>
      <c r="CA52" s="210"/>
      <c r="CB52" s="65">
        <v>114.5</v>
      </c>
      <c r="CC52" s="52"/>
      <c r="CD52" s="65">
        <v>700</v>
      </c>
      <c r="CE52" s="52"/>
      <c r="CF52" s="222">
        <f t="shared" si="157"/>
        <v>-585.5</v>
      </c>
      <c r="CG52" s="216"/>
      <c r="CH52" s="210"/>
      <c r="CI52" s="208">
        <f t="shared" si="170"/>
        <v>114.5</v>
      </c>
      <c r="CJ52" s="52"/>
      <c r="CK52" s="208">
        <f t="shared" si="171"/>
        <v>700</v>
      </c>
      <c r="CL52" s="52"/>
      <c r="CM52" s="222">
        <f t="shared" si="158"/>
        <v>-585.5</v>
      </c>
      <c r="CN52" s="216"/>
      <c r="CO52" s="210"/>
      <c r="CP52" s="65">
        <v>939.5</v>
      </c>
      <c r="CQ52" s="51"/>
      <c r="CR52" s="65">
        <v>1400</v>
      </c>
      <c r="CS52" s="51"/>
      <c r="CT52" s="222">
        <f t="shared" si="159"/>
        <v>-460.5</v>
      </c>
      <c r="CU52" s="223"/>
      <c r="CV52" s="210"/>
      <c r="CW52" s="65">
        <v>247.5</v>
      </c>
      <c r="CX52" s="52"/>
      <c r="CY52" s="65">
        <v>1400</v>
      </c>
      <c r="CZ52" s="52"/>
      <c r="DA52" s="222">
        <f t="shared" si="160"/>
        <v>-1152.5</v>
      </c>
      <c r="DB52" s="216"/>
      <c r="DC52" s="210"/>
      <c r="DD52" s="65">
        <v>479.5</v>
      </c>
      <c r="DE52" s="52"/>
      <c r="DF52" s="65">
        <v>1400</v>
      </c>
      <c r="DG52" s="52"/>
      <c r="DH52" s="222">
        <f t="shared" si="161"/>
        <v>-920.5</v>
      </c>
      <c r="DI52" s="216"/>
      <c r="DJ52" s="210"/>
      <c r="DK52" s="65">
        <v>121</v>
      </c>
      <c r="DL52" s="52"/>
      <c r="DM52" s="65">
        <v>1400</v>
      </c>
      <c r="DN52" s="52"/>
      <c r="DO52" s="222">
        <f t="shared" si="162"/>
        <v>-1279</v>
      </c>
      <c r="DP52" s="216"/>
      <c r="DQ52" s="210"/>
      <c r="DR52" s="208">
        <f t="shared" si="163"/>
        <v>1787.5</v>
      </c>
      <c r="DS52" s="52"/>
      <c r="DT52" s="208">
        <f t="shared" si="164"/>
        <v>5600</v>
      </c>
      <c r="DU52" s="52"/>
      <c r="DV52" s="222">
        <f t="shared" si="165"/>
        <v>-3812.5</v>
      </c>
      <c r="DW52" s="216"/>
      <c r="DX52" s="210"/>
      <c r="DY52" s="208">
        <f t="shared" si="166"/>
        <v>2072.25</v>
      </c>
      <c r="DZ52" s="52"/>
      <c r="EA52" s="208">
        <f t="shared" si="172"/>
        <v>14700</v>
      </c>
      <c r="EB52" s="33"/>
      <c r="EC52" s="212">
        <f t="shared" si="167"/>
        <v>12627.75</v>
      </c>
      <c r="ED52" s="212"/>
      <c r="EE52" s="210"/>
      <c r="EF52" s="210"/>
      <c r="EG52" s="210"/>
      <c r="EH52" s="210"/>
    </row>
    <row r="53" spans="1:138">
      <c r="A53" s="10" t="s">
        <v>65</v>
      </c>
      <c r="B53" s="10"/>
      <c r="C53" s="65"/>
      <c r="D53" s="33"/>
      <c r="E53" s="72">
        <v>0</v>
      </c>
      <c r="F53" s="33"/>
      <c r="G53" s="212">
        <f t="shared" si="144"/>
        <v>0</v>
      </c>
      <c r="H53" s="212"/>
      <c r="I53" s="210"/>
      <c r="J53" s="22">
        <v>0</v>
      </c>
      <c r="K53" s="33"/>
      <c r="L53" s="72">
        <v>0</v>
      </c>
      <c r="M53" s="33"/>
      <c r="N53" s="212">
        <f t="shared" si="145"/>
        <v>0</v>
      </c>
      <c r="O53" s="212"/>
      <c r="P53" s="210"/>
      <c r="Q53" s="65">
        <v>0</v>
      </c>
      <c r="R53" s="23"/>
      <c r="S53" s="72">
        <v>0</v>
      </c>
      <c r="T53" s="33"/>
      <c r="U53" s="212">
        <f t="shared" si="146"/>
        <v>0</v>
      </c>
      <c r="V53" s="212"/>
      <c r="W53" s="210"/>
      <c r="X53" s="208">
        <f t="shared" si="168"/>
        <v>0</v>
      </c>
      <c r="Y53" s="33"/>
      <c r="Z53" s="218">
        <f t="shared" si="147"/>
        <v>0</v>
      </c>
      <c r="AA53" s="23"/>
      <c r="AB53" s="212">
        <f t="shared" si="148"/>
        <v>0</v>
      </c>
      <c r="AC53" s="212"/>
      <c r="AD53" s="210"/>
      <c r="AE53" s="65">
        <v>0</v>
      </c>
      <c r="AF53" s="23"/>
      <c r="AG53" s="72">
        <v>0</v>
      </c>
      <c r="AH53" s="23"/>
      <c r="AI53" s="220">
        <f>AG53-AE53</f>
        <v>0</v>
      </c>
      <c r="AJ53" s="221"/>
      <c r="AK53" s="210"/>
      <c r="AL53" s="65">
        <v>0</v>
      </c>
      <c r="AM53" s="23"/>
      <c r="AN53" s="72">
        <v>0</v>
      </c>
      <c r="AO53" s="23"/>
      <c r="AP53" s="220">
        <f t="shared" si="187"/>
        <v>0</v>
      </c>
      <c r="AQ53" s="221"/>
      <c r="AR53" s="210"/>
      <c r="AS53" s="65">
        <v>0</v>
      </c>
      <c r="AT53" s="23"/>
      <c r="AU53" s="64">
        <v>0</v>
      </c>
      <c r="AV53" s="23"/>
      <c r="AW53" s="220">
        <f t="shared" si="188"/>
        <v>0</v>
      </c>
      <c r="AX53" s="221"/>
      <c r="AY53" s="210"/>
      <c r="AZ53" s="208">
        <f t="shared" si="152"/>
        <v>0</v>
      </c>
      <c r="BA53" s="23"/>
      <c r="BB53" s="218">
        <f t="shared" si="169"/>
        <v>0</v>
      </c>
      <c r="BC53" s="23"/>
      <c r="BD53" s="220">
        <f t="shared" si="153"/>
        <v>0</v>
      </c>
      <c r="BE53" s="212"/>
      <c r="BF53" s="210"/>
      <c r="BG53" s="65">
        <v>0</v>
      </c>
      <c r="BH53" s="23"/>
      <c r="BI53" s="65">
        <v>0</v>
      </c>
      <c r="BJ53" s="23"/>
      <c r="BK53" s="220">
        <f t="shared" si="189"/>
        <v>0</v>
      </c>
      <c r="BL53" s="212"/>
      <c r="BM53" s="210"/>
      <c r="BN53" s="65">
        <v>0</v>
      </c>
      <c r="BO53" s="52"/>
      <c r="BP53" s="65">
        <v>0</v>
      </c>
      <c r="BQ53" s="52"/>
      <c r="BR53" s="222">
        <f t="shared" si="155"/>
        <v>0</v>
      </c>
      <c r="BS53" s="216"/>
      <c r="BT53" s="210"/>
      <c r="BU53" s="65">
        <v>0</v>
      </c>
      <c r="BV53" s="52"/>
      <c r="BW53" s="65">
        <v>0</v>
      </c>
      <c r="BX53" s="52"/>
      <c r="BY53" s="222">
        <f t="shared" si="156"/>
        <v>0</v>
      </c>
      <c r="BZ53" s="216"/>
      <c r="CA53" s="210"/>
      <c r="CB53" s="65">
        <v>0</v>
      </c>
      <c r="CC53" s="52"/>
      <c r="CD53" s="65">
        <v>0</v>
      </c>
      <c r="CE53" s="52"/>
      <c r="CF53" s="222">
        <f t="shared" si="157"/>
        <v>0</v>
      </c>
      <c r="CG53" s="216"/>
      <c r="CH53" s="210"/>
      <c r="CI53" s="208">
        <f t="shared" si="170"/>
        <v>0</v>
      </c>
      <c r="CJ53" s="52"/>
      <c r="CK53" s="208">
        <f t="shared" si="171"/>
        <v>0</v>
      </c>
      <c r="CL53" s="52"/>
      <c r="CM53" s="222">
        <f t="shared" si="158"/>
        <v>0</v>
      </c>
      <c r="CN53" s="216"/>
      <c r="CO53" s="210"/>
      <c r="CP53" s="65">
        <v>0</v>
      </c>
      <c r="CQ53" s="51"/>
      <c r="CR53" s="65">
        <v>0</v>
      </c>
      <c r="CS53" s="51"/>
      <c r="CT53" s="222">
        <f t="shared" si="159"/>
        <v>0</v>
      </c>
      <c r="CU53" s="223"/>
      <c r="CV53" s="210"/>
      <c r="CW53" s="65">
        <v>0</v>
      </c>
      <c r="CX53" s="52"/>
      <c r="CY53" s="65">
        <v>0</v>
      </c>
      <c r="CZ53" s="52"/>
      <c r="DA53" s="222">
        <f t="shared" si="160"/>
        <v>0</v>
      </c>
      <c r="DB53" s="216"/>
      <c r="DC53" s="210"/>
      <c r="DD53" s="65">
        <v>0</v>
      </c>
      <c r="DE53" s="52"/>
      <c r="DF53" s="65">
        <v>0</v>
      </c>
      <c r="DG53" s="52"/>
      <c r="DH53" s="222">
        <f t="shared" si="161"/>
        <v>0</v>
      </c>
      <c r="DI53" s="216"/>
      <c r="DJ53" s="210"/>
      <c r="DK53" s="65">
        <v>0</v>
      </c>
      <c r="DL53" s="52"/>
      <c r="DM53" s="65">
        <v>0</v>
      </c>
      <c r="DN53" s="52"/>
      <c r="DO53" s="222">
        <f t="shared" si="162"/>
        <v>0</v>
      </c>
      <c r="DP53" s="216"/>
      <c r="DQ53" s="210"/>
      <c r="DR53" s="208">
        <f t="shared" si="163"/>
        <v>0</v>
      </c>
      <c r="DS53" s="52"/>
      <c r="DT53" s="208">
        <f t="shared" si="164"/>
        <v>0</v>
      </c>
      <c r="DU53" s="52"/>
      <c r="DV53" s="222">
        <f t="shared" si="165"/>
        <v>0</v>
      </c>
      <c r="DW53" s="216"/>
      <c r="DX53" s="210"/>
      <c r="DY53" s="208">
        <f t="shared" si="166"/>
        <v>0</v>
      </c>
      <c r="DZ53" s="52"/>
      <c r="EA53" s="208">
        <f t="shared" si="172"/>
        <v>0</v>
      </c>
      <c r="EB53" s="33"/>
      <c r="EC53" s="212">
        <f t="shared" si="167"/>
        <v>0</v>
      </c>
      <c r="ED53" s="212"/>
      <c r="EE53" s="210"/>
      <c r="EF53" s="210"/>
      <c r="EG53" s="210"/>
      <c r="EH53" s="210"/>
    </row>
    <row r="54" spans="1:138">
      <c r="A54" s="10" t="s">
        <v>66</v>
      </c>
      <c r="B54" s="10"/>
      <c r="C54" s="65"/>
      <c r="D54" s="33"/>
      <c r="E54" s="72">
        <v>906.53846153846155</v>
      </c>
      <c r="F54" s="33"/>
      <c r="G54" s="212">
        <f t="shared" si="144"/>
        <v>906.53846153846155</v>
      </c>
      <c r="H54" s="212"/>
      <c r="I54" s="210"/>
      <c r="J54" s="22">
        <v>0</v>
      </c>
      <c r="K54" s="33"/>
      <c r="L54" s="72">
        <v>906.53846153846155</v>
      </c>
      <c r="M54" s="33"/>
      <c r="N54" s="212">
        <f t="shared" si="145"/>
        <v>906.53846153846155</v>
      </c>
      <c r="O54" s="212"/>
      <c r="P54" s="210"/>
      <c r="Q54" s="65">
        <v>784.44</v>
      </c>
      <c r="R54" s="23"/>
      <c r="S54" s="72">
        <v>906.53846153846155</v>
      </c>
      <c r="T54" s="33"/>
      <c r="U54" s="212">
        <f t="shared" si="146"/>
        <v>122.09846153846149</v>
      </c>
      <c r="V54" s="212"/>
      <c r="W54" s="210"/>
      <c r="X54" s="208">
        <f t="shared" si="168"/>
        <v>784.44</v>
      </c>
      <c r="Y54" s="33"/>
      <c r="Z54" s="218">
        <f t="shared" si="147"/>
        <v>2719.6153846153848</v>
      </c>
      <c r="AA54" s="23"/>
      <c r="AB54" s="212"/>
      <c r="AC54" s="212"/>
      <c r="AD54" s="210"/>
      <c r="AE54" s="65">
        <v>0</v>
      </c>
      <c r="AF54" s="23"/>
      <c r="AG54" s="72">
        <v>906.53846153846155</v>
      </c>
      <c r="AH54" s="23"/>
      <c r="AI54" s="220">
        <f>AG54-AE54</f>
        <v>906.53846153846155</v>
      </c>
      <c r="AJ54" s="221"/>
      <c r="AK54" s="210"/>
      <c r="AL54" s="65">
        <v>0</v>
      </c>
      <c r="AM54" s="23"/>
      <c r="AN54" s="72">
        <v>906.53846153846155</v>
      </c>
      <c r="AO54" s="23"/>
      <c r="AP54" s="220">
        <f t="shared" si="187"/>
        <v>906.53846153846155</v>
      </c>
      <c r="AQ54" s="221"/>
      <c r="AR54" s="210"/>
      <c r="AS54" s="65">
        <v>0</v>
      </c>
      <c r="AT54" s="23"/>
      <c r="AU54" s="64">
        <v>906.53846153846155</v>
      </c>
      <c r="AV54" s="23"/>
      <c r="AW54" s="220">
        <f t="shared" si="188"/>
        <v>906.53846153846155</v>
      </c>
      <c r="AX54" s="221"/>
      <c r="AY54" s="210"/>
      <c r="AZ54" s="208">
        <f t="shared" si="152"/>
        <v>0</v>
      </c>
      <c r="BA54" s="23"/>
      <c r="BB54" s="218">
        <f t="shared" si="169"/>
        <v>2719.6153846153848</v>
      </c>
      <c r="BC54" s="23"/>
      <c r="BD54" s="220"/>
      <c r="BE54" s="212"/>
      <c r="BF54" s="210"/>
      <c r="BG54" s="65">
        <v>0</v>
      </c>
      <c r="BH54" s="23"/>
      <c r="BI54" s="65">
        <v>0</v>
      </c>
      <c r="BJ54" s="23"/>
      <c r="BK54" s="220">
        <f t="shared" si="189"/>
        <v>0</v>
      </c>
      <c r="BL54" s="212"/>
      <c r="BM54" s="210"/>
      <c r="BN54" s="65">
        <v>0</v>
      </c>
      <c r="BO54" s="52"/>
      <c r="BP54" s="65">
        <v>0</v>
      </c>
      <c r="BQ54" s="52"/>
      <c r="BR54" s="222">
        <f t="shared" si="155"/>
        <v>0</v>
      </c>
      <c r="BS54" s="216"/>
      <c r="BT54" s="210"/>
      <c r="BU54" s="65">
        <v>0</v>
      </c>
      <c r="BV54" s="52"/>
      <c r="BW54" s="65">
        <v>0</v>
      </c>
      <c r="BX54" s="52"/>
      <c r="BY54" s="222">
        <f t="shared" si="156"/>
        <v>0</v>
      </c>
      <c r="BZ54" s="216"/>
      <c r="CA54" s="210"/>
      <c r="CB54" s="65">
        <v>0</v>
      </c>
      <c r="CC54" s="52"/>
      <c r="CD54" s="65">
        <v>0</v>
      </c>
      <c r="CE54" s="52"/>
      <c r="CF54" s="222">
        <f t="shared" si="157"/>
        <v>0</v>
      </c>
      <c r="CG54" s="216"/>
      <c r="CH54" s="210"/>
      <c r="CI54" s="208">
        <f t="shared" si="170"/>
        <v>0</v>
      </c>
      <c r="CJ54" s="52"/>
      <c r="CK54" s="208">
        <f t="shared" si="171"/>
        <v>0</v>
      </c>
      <c r="CL54" s="52"/>
      <c r="CM54" s="222">
        <f t="shared" si="158"/>
        <v>0</v>
      </c>
      <c r="CN54" s="216"/>
      <c r="CO54" s="210"/>
      <c r="CP54" s="65">
        <v>0</v>
      </c>
      <c r="CQ54" s="51"/>
      <c r="CR54" s="65">
        <v>0</v>
      </c>
      <c r="CS54" s="51"/>
      <c r="CT54" s="222">
        <f t="shared" si="159"/>
        <v>0</v>
      </c>
      <c r="CU54" s="223"/>
      <c r="CV54" s="210"/>
      <c r="CW54" s="65">
        <v>0</v>
      </c>
      <c r="CX54" s="52"/>
      <c r="CY54" s="65">
        <v>0</v>
      </c>
      <c r="CZ54" s="52"/>
      <c r="DA54" s="222">
        <f t="shared" si="160"/>
        <v>0</v>
      </c>
      <c r="DB54" s="216"/>
      <c r="DC54" s="210"/>
      <c r="DD54" s="65">
        <v>0</v>
      </c>
      <c r="DE54" s="52"/>
      <c r="DF54" s="65">
        <v>0</v>
      </c>
      <c r="DG54" s="52"/>
      <c r="DH54" s="222">
        <f t="shared" si="161"/>
        <v>0</v>
      </c>
      <c r="DI54" s="216"/>
      <c r="DJ54" s="210"/>
      <c r="DK54" s="65">
        <v>0</v>
      </c>
      <c r="DL54" s="52"/>
      <c r="DM54" s="65">
        <v>0</v>
      </c>
      <c r="DN54" s="52"/>
      <c r="DO54" s="222">
        <f t="shared" si="162"/>
        <v>0</v>
      </c>
      <c r="DP54" s="216"/>
      <c r="DQ54" s="210"/>
      <c r="DR54" s="208">
        <f t="shared" si="163"/>
        <v>0</v>
      </c>
      <c r="DS54" s="52"/>
      <c r="DT54" s="208">
        <f t="shared" si="164"/>
        <v>0</v>
      </c>
      <c r="DU54" s="52"/>
      <c r="DV54" s="222">
        <f t="shared" si="165"/>
        <v>0</v>
      </c>
      <c r="DW54" s="216"/>
      <c r="DX54" s="210"/>
      <c r="DY54" s="208">
        <f t="shared" si="166"/>
        <v>784.44</v>
      </c>
      <c r="DZ54" s="52"/>
      <c r="EA54" s="208">
        <f t="shared" si="172"/>
        <v>5439.2307692307695</v>
      </c>
      <c r="EB54" s="33"/>
      <c r="EC54" s="212"/>
      <c r="ED54" s="212"/>
      <c r="EE54" s="210"/>
      <c r="EF54" s="210"/>
      <c r="EG54" s="210"/>
      <c r="EH54" s="210"/>
    </row>
    <row r="55" spans="1:138">
      <c r="A55" s="10" t="s">
        <v>67</v>
      </c>
      <c r="B55" s="10"/>
      <c r="C55" s="65"/>
      <c r="D55" s="33"/>
      <c r="E55" s="72">
        <v>250</v>
      </c>
      <c r="F55" s="33"/>
      <c r="G55" s="212">
        <f t="shared" ref="G55" si="190">E55-C55</f>
        <v>250</v>
      </c>
      <c r="H55" s="212"/>
      <c r="I55" s="210"/>
      <c r="J55" s="22">
        <v>225</v>
      </c>
      <c r="K55" s="33"/>
      <c r="L55" s="72">
        <v>250</v>
      </c>
      <c r="M55" s="33"/>
      <c r="N55" s="212">
        <f t="shared" ref="N55" si="191">L55-J55</f>
        <v>25</v>
      </c>
      <c r="O55" s="212"/>
      <c r="P55" s="210"/>
      <c r="Q55" s="65">
        <v>906</v>
      </c>
      <c r="R55" s="23"/>
      <c r="S55" s="72">
        <v>250</v>
      </c>
      <c r="T55" s="33"/>
      <c r="U55" s="212">
        <f t="shared" ref="U55" si="192">S55-Q55</f>
        <v>-656</v>
      </c>
      <c r="V55" s="212"/>
      <c r="W55" s="210"/>
      <c r="X55" s="208">
        <f t="shared" si="168"/>
        <v>1131</v>
      </c>
      <c r="Y55" s="33"/>
      <c r="Z55" s="218">
        <f t="shared" ref="Z55" si="193">E55+L55+S55</f>
        <v>750</v>
      </c>
      <c r="AA55" s="23"/>
      <c r="AB55" s="212"/>
      <c r="AC55" s="212"/>
      <c r="AD55" s="210"/>
      <c r="AE55" s="65">
        <v>940</v>
      </c>
      <c r="AF55" s="23"/>
      <c r="AG55" s="72">
        <v>250</v>
      </c>
      <c r="AH55" s="23"/>
      <c r="AI55" s="220">
        <f>AG55-AE55</f>
        <v>-690</v>
      </c>
      <c r="AJ55" s="221"/>
      <c r="AK55" s="210"/>
      <c r="AL55" s="65">
        <v>900</v>
      </c>
      <c r="AM55" s="23"/>
      <c r="AN55" s="72">
        <v>250</v>
      </c>
      <c r="AO55" s="23"/>
      <c r="AP55" s="220">
        <f t="shared" ref="AP55" si="194">AN55-AL55</f>
        <v>-650</v>
      </c>
      <c r="AQ55" s="221"/>
      <c r="AR55" s="210"/>
      <c r="AS55" s="65">
        <v>1020</v>
      </c>
      <c r="AT55" s="23"/>
      <c r="AU55" s="64">
        <v>250</v>
      </c>
      <c r="AV55" s="23"/>
      <c r="AW55" s="220">
        <f t="shared" ref="AW55" si="195">AU55-AS55</f>
        <v>-770</v>
      </c>
      <c r="AX55" s="221"/>
      <c r="AY55" s="210"/>
      <c r="AZ55" s="208">
        <f t="shared" ref="AZ55" si="196">AE55+AL55+AS55</f>
        <v>2860</v>
      </c>
      <c r="BA55" s="23"/>
      <c r="BB55" s="218">
        <f t="shared" ref="BB55" si="197">AG55+AN55+AU55</f>
        <v>750</v>
      </c>
      <c r="BC55" s="23"/>
      <c r="BD55" s="220"/>
      <c r="BE55" s="212"/>
      <c r="BF55" s="210"/>
      <c r="BG55" s="65">
        <v>1075</v>
      </c>
      <c r="BH55" s="23"/>
      <c r="BI55" s="65">
        <v>900</v>
      </c>
      <c r="BJ55" s="23"/>
      <c r="BK55" s="220">
        <f t="shared" ref="BK55" si="198">BI55-BG55</f>
        <v>-175</v>
      </c>
      <c r="BL55" s="212"/>
      <c r="BM55" s="210"/>
      <c r="BN55" s="65">
        <v>-365</v>
      </c>
      <c r="BO55" s="52"/>
      <c r="BP55" s="65">
        <v>900</v>
      </c>
      <c r="BQ55" s="52"/>
      <c r="BR55" s="222">
        <f t="shared" si="155"/>
        <v>-1265</v>
      </c>
      <c r="BS55" s="216"/>
      <c r="BT55" s="210"/>
      <c r="BU55" s="65">
        <v>483.32</v>
      </c>
      <c r="BV55" s="52"/>
      <c r="BW55" s="65">
        <v>675</v>
      </c>
      <c r="BX55" s="52"/>
      <c r="BY55" s="222">
        <f t="shared" si="156"/>
        <v>-191.68</v>
      </c>
      <c r="BZ55" s="216"/>
      <c r="CA55" s="210"/>
      <c r="CB55" s="65">
        <v>1401</v>
      </c>
      <c r="CC55" s="52"/>
      <c r="CD55" s="65">
        <v>675</v>
      </c>
      <c r="CE55" s="52"/>
      <c r="CF55" s="222">
        <f t="shared" si="157"/>
        <v>726</v>
      </c>
      <c r="CG55" s="216"/>
      <c r="CH55" s="210"/>
      <c r="CI55" s="208">
        <f t="shared" si="170"/>
        <v>2594.3199999999997</v>
      </c>
      <c r="CJ55" s="52"/>
      <c r="CK55" s="208">
        <f t="shared" si="171"/>
        <v>3150</v>
      </c>
      <c r="CL55" s="52"/>
      <c r="CM55" s="222">
        <f t="shared" si="158"/>
        <v>-555.68000000000029</v>
      </c>
      <c r="CN55" s="216"/>
      <c r="CO55" s="210"/>
      <c r="CP55" s="65">
        <v>2048.66</v>
      </c>
      <c r="CQ55" s="51"/>
      <c r="CR55" s="65">
        <v>1350</v>
      </c>
      <c r="CS55" s="51"/>
      <c r="CT55" s="222">
        <f t="shared" si="159"/>
        <v>698.65999999999985</v>
      </c>
      <c r="CU55" s="223"/>
      <c r="CV55" s="210"/>
      <c r="CW55" s="65">
        <v>1339</v>
      </c>
      <c r="CX55" s="52"/>
      <c r="CY55" s="65">
        <v>1350</v>
      </c>
      <c r="CZ55" s="52"/>
      <c r="DA55" s="222">
        <f t="shared" si="160"/>
        <v>-11</v>
      </c>
      <c r="DB55" s="216"/>
      <c r="DC55" s="210"/>
      <c r="DD55" s="65">
        <v>1365</v>
      </c>
      <c r="DE55" s="52"/>
      <c r="DF55" s="65">
        <v>1350</v>
      </c>
      <c r="DG55" s="52"/>
      <c r="DH55" s="222">
        <f t="shared" si="161"/>
        <v>15</v>
      </c>
      <c r="DI55" s="216"/>
      <c r="DJ55" s="210"/>
      <c r="DK55" s="65">
        <v>900</v>
      </c>
      <c r="DL55" s="52"/>
      <c r="DM55" s="65">
        <v>1350</v>
      </c>
      <c r="DN55" s="52"/>
      <c r="DO55" s="222">
        <f t="shared" si="162"/>
        <v>-450</v>
      </c>
      <c r="DP55" s="216"/>
      <c r="DQ55" s="210"/>
      <c r="DR55" s="208">
        <f t="shared" si="163"/>
        <v>5652.66</v>
      </c>
      <c r="DS55" s="52"/>
      <c r="DT55" s="208">
        <f t="shared" si="164"/>
        <v>5400</v>
      </c>
      <c r="DU55" s="52"/>
      <c r="DV55" s="222">
        <f t="shared" si="165"/>
        <v>252.65999999999985</v>
      </c>
      <c r="DW55" s="216"/>
      <c r="DX55" s="210"/>
      <c r="DY55" s="208">
        <f t="shared" si="166"/>
        <v>12237.98</v>
      </c>
      <c r="DZ55" s="52"/>
      <c r="EA55" s="208">
        <f t="shared" si="172"/>
        <v>10050</v>
      </c>
      <c r="EB55" s="33"/>
      <c r="EC55" s="212"/>
      <c r="ED55" s="212"/>
      <c r="EE55" s="210"/>
      <c r="EF55" s="210"/>
      <c r="EG55" s="210"/>
      <c r="EH55" s="210"/>
    </row>
    <row r="56" spans="1:138" hidden="1">
      <c r="A56" s="10" t="s">
        <v>68</v>
      </c>
      <c r="B56" s="10"/>
      <c r="C56" s="65"/>
      <c r="D56" s="33"/>
      <c r="E56" s="72">
        <v>250</v>
      </c>
      <c r="F56" s="33"/>
      <c r="G56" s="212">
        <f t="shared" si="144"/>
        <v>250</v>
      </c>
      <c r="H56" s="212"/>
      <c r="I56" s="210"/>
      <c r="J56" s="22">
        <v>0</v>
      </c>
      <c r="K56" s="33"/>
      <c r="L56" s="72">
        <v>250</v>
      </c>
      <c r="M56" s="33"/>
      <c r="N56" s="212">
        <f t="shared" si="145"/>
        <v>250</v>
      </c>
      <c r="O56" s="212"/>
      <c r="P56" s="210"/>
      <c r="Q56" s="65">
        <v>0</v>
      </c>
      <c r="R56" s="23"/>
      <c r="S56" s="72">
        <v>250</v>
      </c>
      <c r="T56" s="33"/>
      <c r="U56" s="212">
        <f t="shared" si="146"/>
        <v>250</v>
      </c>
      <c r="V56" s="212"/>
      <c r="W56" s="210"/>
      <c r="X56" s="208">
        <f t="shared" si="168"/>
        <v>0</v>
      </c>
      <c r="Y56" s="33"/>
      <c r="Z56" s="218">
        <v>0</v>
      </c>
      <c r="AA56" s="23"/>
      <c r="AB56" s="212"/>
      <c r="AC56" s="212"/>
      <c r="AD56" s="210"/>
      <c r="AE56" s="65">
        <v>169.59</v>
      </c>
      <c r="AF56" s="23"/>
      <c r="AG56" s="72">
        <v>0</v>
      </c>
      <c r="AH56" s="23"/>
      <c r="AI56" s="220">
        <f>AG56-AE56</f>
        <v>-169.59</v>
      </c>
      <c r="AJ56" s="221"/>
      <c r="AK56" s="210"/>
      <c r="AL56" s="65">
        <v>324.51</v>
      </c>
      <c r="AM56" s="23"/>
      <c r="AN56" s="72">
        <v>250</v>
      </c>
      <c r="AO56" s="23"/>
      <c r="AP56" s="220">
        <f t="shared" si="187"/>
        <v>-74.509999999999991</v>
      </c>
      <c r="AQ56" s="221"/>
      <c r="AR56" s="210"/>
      <c r="AS56" s="65">
        <v>169.59</v>
      </c>
      <c r="AT56" s="23"/>
      <c r="AU56" s="64">
        <v>250</v>
      </c>
      <c r="AV56" s="23"/>
      <c r="AW56" s="220">
        <f t="shared" si="188"/>
        <v>80.41</v>
      </c>
      <c r="AX56" s="221"/>
      <c r="AY56" s="210"/>
      <c r="AZ56" s="208">
        <f t="shared" si="152"/>
        <v>663.69</v>
      </c>
      <c r="BA56" s="23"/>
      <c r="BB56" s="218">
        <f t="shared" si="169"/>
        <v>500</v>
      </c>
      <c r="BC56" s="23"/>
      <c r="BD56" s="220"/>
      <c r="BE56" s="212"/>
      <c r="BF56" s="210"/>
      <c r="BG56" s="65">
        <v>133.43</v>
      </c>
      <c r="BH56" s="23"/>
      <c r="BI56" s="65">
        <v>0</v>
      </c>
      <c r="BJ56" s="23"/>
      <c r="BK56" s="220">
        <f t="shared" si="189"/>
        <v>-133.43</v>
      </c>
      <c r="BL56" s="212"/>
      <c r="BM56" s="210"/>
      <c r="BN56" s="65">
        <v>0</v>
      </c>
      <c r="BO56" s="52"/>
      <c r="BP56" s="65">
        <v>0</v>
      </c>
      <c r="BQ56" s="52"/>
      <c r="BR56" s="222">
        <f t="shared" si="155"/>
        <v>0</v>
      </c>
      <c r="BS56" s="216"/>
      <c r="BT56" s="210"/>
      <c r="BU56" s="65">
        <v>0</v>
      </c>
      <c r="BV56" s="52"/>
      <c r="BW56" s="65">
        <v>0</v>
      </c>
      <c r="BX56" s="52"/>
      <c r="BY56" s="222">
        <f t="shared" si="156"/>
        <v>0</v>
      </c>
      <c r="BZ56" s="216"/>
      <c r="CA56" s="210"/>
      <c r="CB56" s="65">
        <v>0</v>
      </c>
      <c r="CC56" s="52"/>
      <c r="CD56" s="65">
        <v>0</v>
      </c>
      <c r="CE56" s="52"/>
      <c r="CF56" s="222">
        <f t="shared" si="157"/>
        <v>0</v>
      </c>
      <c r="CG56" s="216"/>
      <c r="CH56" s="210"/>
      <c r="CI56" s="208">
        <f t="shared" si="170"/>
        <v>133.43</v>
      </c>
      <c r="CJ56" s="52"/>
      <c r="CK56" s="208">
        <f t="shared" si="171"/>
        <v>0</v>
      </c>
      <c r="CL56" s="52"/>
      <c r="CM56" s="222">
        <f t="shared" si="158"/>
        <v>133.43</v>
      </c>
      <c r="CN56" s="216"/>
      <c r="CO56" s="210"/>
      <c r="CP56" s="65">
        <v>0</v>
      </c>
      <c r="CQ56" s="51"/>
      <c r="CR56" s="65">
        <v>0</v>
      </c>
      <c r="CS56" s="51"/>
      <c r="CT56" s="222">
        <f t="shared" si="159"/>
        <v>0</v>
      </c>
      <c r="CU56" s="223"/>
      <c r="CV56" s="210"/>
      <c r="CW56" s="65">
        <v>0</v>
      </c>
      <c r="CX56" s="52"/>
      <c r="CY56" s="65">
        <v>0</v>
      </c>
      <c r="CZ56" s="52"/>
      <c r="DA56" s="222">
        <f t="shared" si="160"/>
        <v>0</v>
      </c>
      <c r="DB56" s="216"/>
      <c r="DC56" s="210"/>
      <c r="DD56" s="65">
        <v>0</v>
      </c>
      <c r="DE56" s="52"/>
      <c r="DF56" s="65">
        <v>0</v>
      </c>
      <c r="DG56" s="52"/>
      <c r="DH56" s="222">
        <f t="shared" si="161"/>
        <v>0</v>
      </c>
      <c r="DI56" s="216"/>
      <c r="DJ56" s="210"/>
      <c r="DK56" s="65"/>
      <c r="DL56" s="52"/>
      <c r="DM56" s="65">
        <v>0</v>
      </c>
      <c r="DN56" s="52"/>
      <c r="DO56" s="222">
        <f t="shared" si="162"/>
        <v>0</v>
      </c>
      <c r="DP56" s="216"/>
      <c r="DQ56" s="210"/>
      <c r="DR56" s="208">
        <f t="shared" si="163"/>
        <v>0</v>
      </c>
      <c r="DS56" s="52"/>
      <c r="DT56" s="208">
        <f t="shared" si="164"/>
        <v>0</v>
      </c>
      <c r="DU56" s="52"/>
      <c r="DV56" s="222">
        <f t="shared" si="165"/>
        <v>0</v>
      </c>
      <c r="DW56" s="216"/>
      <c r="DX56" s="210"/>
      <c r="DY56" s="208">
        <f t="shared" si="166"/>
        <v>797.12000000000012</v>
      </c>
      <c r="DZ56" s="52"/>
      <c r="EA56" s="208">
        <f t="shared" si="172"/>
        <v>500</v>
      </c>
      <c r="EB56" s="33"/>
      <c r="EC56" s="212"/>
      <c r="ED56" s="212"/>
      <c r="EE56" s="210"/>
      <c r="EF56" s="210"/>
      <c r="EG56" s="210"/>
      <c r="EH56" s="210"/>
    </row>
    <row r="57" spans="1:138">
      <c r="A57" s="10" t="s">
        <v>69</v>
      </c>
      <c r="B57" s="10"/>
      <c r="C57" s="65"/>
      <c r="D57" s="33"/>
      <c r="E57" s="72"/>
      <c r="F57" s="33"/>
      <c r="G57" s="212"/>
      <c r="H57" s="212"/>
      <c r="I57" s="210"/>
      <c r="J57" s="22">
        <v>1705</v>
      </c>
      <c r="K57" s="33"/>
      <c r="L57" s="72"/>
      <c r="M57" s="33"/>
      <c r="N57" s="212"/>
      <c r="O57" s="212"/>
      <c r="P57" s="210"/>
      <c r="Q57" s="65"/>
      <c r="R57" s="23"/>
      <c r="S57" s="72"/>
      <c r="T57" s="33"/>
      <c r="U57" s="212"/>
      <c r="V57" s="212"/>
      <c r="W57" s="210"/>
      <c r="X57" s="208">
        <f t="shared" si="168"/>
        <v>1705</v>
      </c>
      <c r="Y57" s="33"/>
      <c r="Z57" s="218"/>
      <c r="AA57" s="23"/>
      <c r="AB57" s="212"/>
      <c r="AC57" s="212"/>
      <c r="AD57" s="210"/>
      <c r="AE57" s="65"/>
      <c r="AF57" s="23"/>
      <c r="AG57" s="72"/>
      <c r="AH57" s="23"/>
      <c r="AI57" s="220"/>
      <c r="AJ57" s="221"/>
      <c r="AK57" s="210"/>
      <c r="AL57" s="65"/>
      <c r="AM57" s="23"/>
      <c r="AN57" s="72"/>
      <c r="AO57" s="23"/>
      <c r="AP57" s="220"/>
      <c r="AQ57" s="221"/>
      <c r="AR57" s="210"/>
      <c r="AS57" s="65"/>
      <c r="AT57" s="23"/>
      <c r="AU57" s="64"/>
      <c r="AV57" s="23"/>
      <c r="AW57" s="220"/>
      <c r="AX57" s="221"/>
      <c r="AY57" s="210"/>
      <c r="AZ57" s="208"/>
      <c r="BA57" s="23"/>
      <c r="BB57" s="218"/>
      <c r="BC57" s="23"/>
      <c r="BD57" s="220"/>
      <c r="BE57" s="212"/>
      <c r="BF57" s="210"/>
      <c r="BG57" s="65">
        <v>143.30000000000001</v>
      </c>
      <c r="BH57" s="23"/>
      <c r="BI57" s="65">
        <v>0</v>
      </c>
      <c r="BJ57" s="23"/>
      <c r="BK57" s="220">
        <f t="shared" si="189"/>
        <v>-143.30000000000001</v>
      </c>
      <c r="BL57" s="212"/>
      <c r="BM57" s="210"/>
      <c r="BN57" s="65">
        <v>15.95</v>
      </c>
      <c r="BO57" s="52"/>
      <c r="BP57" s="65">
        <v>0</v>
      </c>
      <c r="BQ57" s="52"/>
      <c r="BR57" s="222">
        <f t="shared" si="155"/>
        <v>15.95</v>
      </c>
      <c r="BS57" s="216"/>
      <c r="BT57" s="210"/>
      <c r="BU57" s="65"/>
      <c r="BV57" s="52"/>
      <c r="BW57" s="65">
        <v>0</v>
      </c>
      <c r="BX57" s="52"/>
      <c r="BY57" s="222">
        <f t="shared" si="156"/>
        <v>0</v>
      </c>
      <c r="BZ57" s="216"/>
      <c r="CA57" s="210"/>
      <c r="CB57" s="65">
        <v>0</v>
      </c>
      <c r="CC57" s="52"/>
      <c r="CD57" s="65">
        <v>0</v>
      </c>
      <c r="CE57" s="52"/>
      <c r="CF57" s="222">
        <f t="shared" si="157"/>
        <v>0</v>
      </c>
      <c r="CG57" s="216"/>
      <c r="CH57" s="210"/>
      <c r="CI57" s="208">
        <f t="shared" si="170"/>
        <v>159.25</v>
      </c>
      <c r="CJ57" s="52"/>
      <c r="CK57" s="208">
        <f t="shared" si="171"/>
        <v>0</v>
      </c>
      <c r="CL57" s="52"/>
      <c r="CM57" s="222">
        <f t="shared" si="158"/>
        <v>159.25</v>
      </c>
      <c r="CN57" s="216"/>
      <c r="CO57" s="210"/>
      <c r="CP57" s="65">
        <v>0</v>
      </c>
      <c r="CQ57" s="51"/>
      <c r="CR57" s="65">
        <v>0</v>
      </c>
      <c r="CS57" s="51"/>
      <c r="CT57" s="222">
        <f t="shared" si="159"/>
        <v>0</v>
      </c>
      <c r="CU57" s="223"/>
      <c r="CV57" s="210"/>
      <c r="CW57" s="65">
        <v>0</v>
      </c>
      <c r="CX57" s="52"/>
      <c r="CY57" s="65">
        <v>0</v>
      </c>
      <c r="CZ57" s="52"/>
      <c r="DA57" s="222">
        <f t="shared" si="160"/>
        <v>0</v>
      </c>
      <c r="DB57" s="216"/>
      <c r="DC57" s="210"/>
      <c r="DD57" s="65">
        <v>25.16</v>
      </c>
      <c r="DE57" s="52"/>
      <c r="DF57" s="65">
        <v>0</v>
      </c>
      <c r="DG57" s="52"/>
      <c r="DH57" s="222">
        <f t="shared" si="161"/>
        <v>25.16</v>
      </c>
      <c r="DI57" s="216"/>
      <c r="DJ57" s="210"/>
      <c r="DK57" s="65">
        <v>0</v>
      </c>
      <c r="DL57" s="52"/>
      <c r="DM57" s="65">
        <v>0</v>
      </c>
      <c r="DN57" s="52"/>
      <c r="DO57" s="222">
        <f t="shared" si="162"/>
        <v>0</v>
      </c>
      <c r="DP57" s="216"/>
      <c r="DQ57" s="210"/>
      <c r="DR57" s="208">
        <f t="shared" si="163"/>
        <v>25.16</v>
      </c>
      <c r="DS57" s="52"/>
      <c r="DT57" s="208">
        <f t="shared" si="164"/>
        <v>0</v>
      </c>
      <c r="DU57" s="52"/>
      <c r="DV57" s="222">
        <f t="shared" si="165"/>
        <v>25.16</v>
      </c>
      <c r="DW57" s="216"/>
      <c r="DX57" s="210"/>
      <c r="DY57" s="208">
        <f t="shared" si="166"/>
        <v>1889.41</v>
      </c>
      <c r="DZ57" s="52"/>
      <c r="EA57" s="208">
        <f t="shared" si="172"/>
        <v>0</v>
      </c>
      <c r="EB57" s="33"/>
      <c r="EC57" s="212"/>
      <c r="ED57" s="212"/>
      <c r="EE57" s="210"/>
      <c r="EF57" s="210"/>
      <c r="EG57" s="210"/>
      <c r="EH57" s="210"/>
    </row>
    <row r="58" spans="1:138" ht="17.100000000000001" thickBot="1">
      <c r="A58" s="11" t="s">
        <v>70</v>
      </c>
      <c r="B58" s="9"/>
      <c r="C58" s="69">
        <f>SUM(C39:C56)</f>
        <v>0</v>
      </c>
      <c r="D58" s="32" t="e">
        <f>C58/C12</f>
        <v>#DIV/0!</v>
      </c>
      <c r="E58" s="62">
        <f>SUM(E39:E56)</f>
        <v>22939.851315092303</v>
      </c>
      <c r="F58" s="32">
        <f>E58/E12</f>
        <v>9.0907060659624575E-2</v>
      </c>
      <c r="G58" s="34">
        <f t="shared" si="144"/>
        <v>22939.851315092303</v>
      </c>
      <c r="H58" s="31">
        <f>G58/E58</f>
        <v>1</v>
      </c>
      <c r="I58" s="210"/>
      <c r="J58" s="69">
        <f>SUM(J39:J57)</f>
        <v>16580.949999999997</v>
      </c>
      <c r="K58" s="32">
        <f>J58/J12</f>
        <v>0.11551167416149109</v>
      </c>
      <c r="L58" s="62">
        <f>SUM(L39:L56)</f>
        <v>23811.946852192305</v>
      </c>
      <c r="M58" s="32">
        <f>L58/L12</f>
        <v>9.3660080456880263E-2</v>
      </c>
      <c r="N58" s="34">
        <f t="shared" si="145"/>
        <v>7230.9968521923074</v>
      </c>
      <c r="O58" s="31">
        <f>N58/L58</f>
        <v>0.30367096386856618</v>
      </c>
      <c r="P58" s="210"/>
      <c r="Q58" s="69">
        <f>SUM(Q39:Q56)</f>
        <v>11423.26</v>
      </c>
      <c r="R58" s="32">
        <f>Q58/Q12</f>
        <v>9.4103099985254249E-2</v>
      </c>
      <c r="S58" s="69">
        <f>SUM(S39:S56)</f>
        <v>24147.922925612307</v>
      </c>
      <c r="T58" s="32">
        <f>S58/S12</f>
        <v>8.2469160662118637E-2</v>
      </c>
      <c r="U58" s="34">
        <f t="shared" si="146"/>
        <v>12724.662925612307</v>
      </c>
      <c r="V58" s="31">
        <f>U58/S58</f>
        <v>0.52694647754221513</v>
      </c>
      <c r="W58" s="210"/>
      <c r="X58" s="69">
        <f>SUM(X39:X57)</f>
        <v>28004.210000000003</v>
      </c>
      <c r="Y58" s="32">
        <f>X58/X12</f>
        <v>0.10570243048845301</v>
      </c>
      <c r="Z58" s="24">
        <f>SUM(Z39:Z56)</f>
        <v>70149.721092896943</v>
      </c>
      <c r="AA58" s="32">
        <f>Z58/Z12</f>
        <v>8.7753679404935822E-2</v>
      </c>
      <c r="AB58" s="34">
        <f t="shared" ref="AB58" si="199">Z58-X58</f>
        <v>42145.511092896937</v>
      </c>
      <c r="AC58" s="31">
        <f>AB58/Z58</f>
        <v>0.60079370860341752</v>
      </c>
      <c r="AD58" s="210"/>
      <c r="AE58" s="69">
        <f>SUM(AE39:AE56)</f>
        <v>5921.87</v>
      </c>
      <c r="AF58" s="32" t="e">
        <f>AE58/AE12</f>
        <v>#DIV/0!</v>
      </c>
      <c r="AG58" s="69">
        <f>SUM(AG39:AG56)</f>
        <v>24158.140985492304</v>
      </c>
      <c r="AH58" s="32">
        <f>AG58/AG12</f>
        <v>7.6633836307465605E-2</v>
      </c>
      <c r="AI58" s="34">
        <f t="shared" ref="AI58" si="200">AG58-AE58</f>
        <v>18236.270985492305</v>
      </c>
      <c r="AJ58" s="31">
        <f>AI58/AG58</f>
        <v>0.7548706250387287</v>
      </c>
      <c r="AK58" s="210"/>
      <c r="AL58" s="69">
        <f>SUM(AL39:AL56)</f>
        <v>2938.8500000000004</v>
      </c>
      <c r="AM58" s="32" t="e">
        <f>AL58/AL12</f>
        <v>#DIV/0!</v>
      </c>
      <c r="AN58" s="62">
        <f>SUM(AN39:AN56)</f>
        <v>24794.015177592308</v>
      </c>
      <c r="AO58" s="32">
        <f>AN58/AN12</f>
        <v>7.8346366177092133E-2</v>
      </c>
      <c r="AP58" s="34">
        <f t="shared" si="187"/>
        <v>21855.165177592309</v>
      </c>
      <c r="AQ58" s="31">
        <f>AP58/AN58</f>
        <v>0.88146937964868244</v>
      </c>
      <c r="AR58" s="210"/>
      <c r="AS58" s="69">
        <f>SUM(AS39:AS56)</f>
        <v>5967.12</v>
      </c>
      <c r="AT58" s="32" t="e">
        <f>AS58/AS12</f>
        <v>#DIV/0!</v>
      </c>
      <c r="AU58" s="62">
        <f>SUM(AU39:AU56)</f>
        <v>24941.314558332309</v>
      </c>
      <c r="AV58" s="32">
        <f>AU58/AU12</f>
        <v>7.7167763871106715E-2</v>
      </c>
      <c r="AW58" s="34">
        <f t="shared" si="188"/>
        <v>18974.19455833231</v>
      </c>
      <c r="AX58" s="31">
        <f>AW58/AU58</f>
        <v>0.76075358874752963</v>
      </c>
      <c r="AY58" s="210"/>
      <c r="AZ58" s="69">
        <f>SUM(AZ39:AZ56)</f>
        <v>14827.84</v>
      </c>
      <c r="BA58" s="32" t="e">
        <f>AZ58/AZ12</f>
        <v>#DIV/0!</v>
      </c>
      <c r="BB58" s="24">
        <f>SUM(BB39:BB56)</f>
        <v>73893.470721416947</v>
      </c>
      <c r="BC58" s="32">
        <f>BB58/BB12</f>
        <v>7.738209919731602E-2</v>
      </c>
      <c r="BD58" s="34">
        <f t="shared" ref="BD58" si="201">BB58-AZ58</f>
        <v>59065.63072141695</v>
      </c>
      <c r="BE58" s="31">
        <f>BD58/BB58</f>
        <v>0.79933490936023444</v>
      </c>
      <c r="BF58" s="210"/>
      <c r="BG58" s="69">
        <f>SUM(BG39:BG57)</f>
        <v>2373.98</v>
      </c>
      <c r="BH58" s="32" t="e">
        <f>BG58/BG12</f>
        <v>#DIV/0!</v>
      </c>
      <c r="BI58" s="69">
        <f>SUM(BI39:BI57)</f>
        <v>3334</v>
      </c>
      <c r="BJ58" s="32" t="e">
        <f>BI58/BI12</f>
        <v>#DIV/0!</v>
      </c>
      <c r="BK58" s="34">
        <f t="shared" si="189"/>
        <v>960.02</v>
      </c>
      <c r="BL58" s="31">
        <f>BK58/BI58</f>
        <v>0.28794841031793639</v>
      </c>
      <c r="BM58" s="210"/>
      <c r="BN58" s="69">
        <f>SUM(BN39:BN57)</f>
        <v>3757.9700000000003</v>
      </c>
      <c r="BO58" s="38" t="e">
        <f>BN58/BN12</f>
        <v>#DIV/0!</v>
      </c>
      <c r="BP58" s="69">
        <f>SUM(BP39:BP57)</f>
        <v>7580</v>
      </c>
      <c r="BQ58" s="38" t="e">
        <f>BP58/BP12</f>
        <v>#DIV/0!</v>
      </c>
      <c r="BR58" s="69">
        <f>SUM(BR39:BR57)</f>
        <v>-3822.03</v>
      </c>
      <c r="BS58" s="40">
        <f>BR58/BP58</f>
        <v>-0.50422559366754616</v>
      </c>
      <c r="BT58" s="210"/>
      <c r="BU58" s="69">
        <f>SUM(BU39:BU57)</f>
        <v>4772.74</v>
      </c>
      <c r="BV58" s="38">
        <f>BU58/BU12</f>
        <v>0.55886230840388285</v>
      </c>
      <c r="BW58" s="69">
        <f>SUM(BW39:BW57)</f>
        <v>10465</v>
      </c>
      <c r="BX58" s="38" t="e">
        <f>BW58/BW12</f>
        <v>#DIV/0!</v>
      </c>
      <c r="BY58" s="69">
        <f>SUM(BY39:BY56)</f>
        <v>-5692.26</v>
      </c>
      <c r="BZ58" s="40">
        <f>BY58/BW58</f>
        <v>-0.54393311036789305</v>
      </c>
      <c r="CA58" s="210"/>
      <c r="CB58" s="69">
        <f>SUM(CB39:CB57)</f>
        <v>13268.86</v>
      </c>
      <c r="CC58" s="38">
        <f>CB58/CB12</f>
        <v>0.18250766164766449</v>
      </c>
      <c r="CD58" s="69">
        <f>SUM(CD39:CD57)</f>
        <v>13139</v>
      </c>
      <c r="CE58" s="38">
        <f>CD58/CD12</f>
        <v>0.11061812793614979</v>
      </c>
      <c r="CF58" s="69">
        <f>SUM(CF39:CF56)</f>
        <v>129.86000000000013</v>
      </c>
      <c r="CG58" s="40">
        <f>CF58/CD58</f>
        <v>9.8835527817946675E-3</v>
      </c>
      <c r="CH58" s="210"/>
      <c r="CI58" s="69">
        <f>SUM(CI39:CI57)</f>
        <v>24173.550000000003</v>
      </c>
      <c r="CJ58" s="38">
        <f>CI58/CI12</f>
        <v>0.29754577402421595</v>
      </c>
      <c r="CK58" s="69">
        <f>SUM(CK39:CK57)</f>
        <v>34518</v>
      </c>
      <c r="CL58" s="38">
        <f>CK58/CK12</f>
        <v>0.29060937210594556</v>
      </c>
      <c r="CM58" s="69">
        <f>SUM(CM39:CM57)</f>
        <v>-10344.449999999999</v>
      </c>
      <c r="CN58" s="40">
        <f>CM58/CK58</f>
        <v>-0.29968277420476269</v>
      </c>
      <c r="CO58" s="210"/>
      <c r="CP58" s="69">
        <f>SUM(CP39:CP57)</f>
        <v>31899.710000000003</v>
      </c>
      <c r="CQ58" s="38">
        <f>CP58/CP12</f>
        <v>0.14371779047792052</v>
      </c>
      <c r="CR58" s="69">
        <f>SUM(CR39:CR57)</f>
        <v>23720</v>
      </c>
      <c r="CS58" s="38">
        <f>CR58/CR12</f>
        <v>9.9850140598427312E-2</v>
      </c>
      <c r="CT58" s="69">
        <f>SUM(CT39:CT56)</f>
        <v>8179.71</v>
      </c>
      <c r="CU58" s="40">
        <f>CT58/CR58</f>
        <v>0.3448444350758853</v>
      </c>
      <c r="CV58" s="210"/>
      <c r="CW58" s="69">
        <f>SUM(CW39:CW57)</f>
        <v>27944.239999999998</v>
      </c>
      <c r="CX58" s="38">
        <f>CW58/CW12</f>
        <v>0.1072038619452922</v>
      </c>
      <c r="CY58" s="69">
        <f>SUM(CY39:CY57)</f>
        <v>23874</v>
      </c>
      <c r="CZ58" s="38">
        <f>CY58/CY12</f>
        <v>0.10049840879624172</v>
      </c>
      <c r="DA58" s="69">
        <f>SUM(DA39:DA56)</f>
        <v>4070.2400000000007</v>
      </c>
      <c r="DB58" s="40">
        <f>DA58/CY58</f>
        <v>0.17048839741978725</v>
      </c>
      <c r="DC58" s="210"/>
      <c r="DD58" s="69">
        <f>SUM(DD39:DD57)</f>
        <v>26210.629999999997</v>
      </c>
      <c r="DE58" s="38">
        <f>DD58/DD12</f>
        <v>0.11519816200717929</v>
      </c>
      <c r="DF58" s="69">
        <f>SUM(DF39:DF57)</f>
        <v>24903.923076923078</v>
      </c>
      <c r="DG58" s="38">
        <f>DF58/DF12</f>
        <v>9.1730197601110453E-2</v>
      </c>
      <c r="DH58" s="69">
        <f>SUM(DH39:DH56)</f>
        <v>1281.5469230769222</v>
      </c>
      <c r="DI58" s="40">
        <f>DH58/DF58</f>
        <v>5.1459640279103346E-2</v>
      </c>
      <c r="DJ58" s="210"/>
      <c r="DK58" s="69">
        <f>SUM(DK39:DK57)</f>
        <v>17484.379999999997</v>
      </c>
      <c r="DL58" s="38">
        <f>DK58/DK12</f>
        <v>0.11762627478673973</v>
      </c>
      <c r="DM58" s="69">
        <f>SUM(DM39:DM57)</f>
        <v>24552.307692307691</v>
      </c>
      <c r="DN58" s="38">
        <f>DM58/DM12</f>
        <v>9.043507037915692E-2</v>
      </c>
      <c r="DO58" s="69">
        <f>SUM(DO39:DO57)</f>
        <v>-7067.9276923076923</v>
      </c>
      <c r="DP58" s="40">
        <f>DO58/DM58</f>
        <v>-0.28787223510245002</v>
      </c>
      <c r="DQ58" s="210"/>
      <c r="DR58" s="69">
        <f>SUM(DR39:DR57)</f>
        <v>103538.96000000002</v>
      </c>
      <c r="DS58" s="38">
        <f>DR58/DR12</f>
        <v>0.12056303994246827</v>
      </c>
      <c r="DT58" s="69">
        <f>SUM(DT39:DT57)</f>
        <v>97050.230769230766</v>
      </c>
      <c r="DU58" s="38">
        <f>DT58/DT12</f>
        <v>9.5325412750915703E-2</v>
      </c>
      <c r="DV58" s="69">
        <f>SUM(DV39:DV57)</f>
        <v>6488.7292307692369</v>
      </c>
      <c r="DW58" s="40">
        <f>DV58/DT58</f>
        <v>6.6859493061879993E-2</v>
      </c>
      <c r="DX58" s="210"/>
      <c r="DY58" s="69">
        <f>SUM(DY39:DY57)</f>
        <v>170544.56000000003</v>
      </c>
      <c r="DZ58" s="32">
        <f>DY58/DY12</f>
        <v>0.14153395820003331</v>
      </c>
      <c r="EA58" s="24">
        <f>SUM(EA39:EA57)</f>
        <v>275611.42258354463</v>
      </c>
      <c r="EB58" s="32">
        <f>EA58/EA12</f>
        <v>9.5328273573465516E-2</v>
      </c>
      <c r="EC58" s="34">
        <f t="shared" ref="EC58" si="202">EA58-DY58</f>
        <v>105066.8625835446</v>
      </c>
      <c r="ED58" s="31">
        <f>EC58/EA58</f>
        <v>0.38121374505694239</v>
      </c>
      <c r="EE58" s="224"/>
      <c r="EF58" s="210"/>
      <c r="EG58" s="210"/>
      <c r="EH58" s="210"/>
    </row>
    <row r="59" spans="1:138" ht="17.100000000000001" thickTop="1">
      <c r="A59" s="9"/>
      <c r="B59" s="9"/>
      <c r="C59" s="45"/>
      <c r="D59" s="33"/>
      <c r="E59" s="25"/>
      <c r="F59" s="33"/>
      <c r="G59" s="32"/>
      <c r="H59" s="33"/>
      <c r="I59" s="210"/>
      <c r="J59" s="25"/>
      <c r="K59" s="33"/>
      <c r="L59" s="25"/>
      <c r="M59" s="33"/>
      <c r="N59" s="32"/>
      <c r="O59" s="33"/>
      <c r="P59" s="210"/>
      <c r="Q59" s="45"/>
      <c r="R59" s="23"/>
      <c r="S59" s="25"/>
      <c r="T59" s="33"/>
      <c r="U59" s="32"/>
      <c r="V59" s="33"/>
      <c r="W59" s="210"/>
      <c r="X59" s="45"/>
      <c r="Y59" s="33"/>
      <c r="Z59" s="25"/>
      <c r="AA59" s="23"/>
      <c r="AB59" s="32"/>
      <c r="AC59" s="33"/>
      <c r="AD59" s="210"/>
      <c r="AE59" s="45"/>
      <c r="AF59" s="23"/>
      <c r="AG59" s="25"/>
      <c r="AH59" s="23"/>
      <c r="AI59" s="20"/>
      <c r="AJ59" s="73"/>
      <c r="AK59" s="210"/>
      <c r="AL59" s="45"/>
      <c r="AM59" s="23"/>
      <c r="AN59" s="25"/>
      <c r="AO59" s="23"/>
      <c r="AP59" s="20"/>
      <c r="AQ59" s="73"/>
      <c r="AR59" s="210"/>
      <c r="AS59" s="45"/>
      <c r="AT59" s="23"/>
      <c r="AU59" s="25"/>
      <c r="AV59" s="23"/>
      <c r="AW59" s="20"/>
      <c r="AX59" s="73"/>
      <c r="AY59" s="210"/>
      <c r="AZ59" s="45"/>
      <c r="BA59" s="23"/>
      <c r="BB59" s="25"/>
      <c r="BC59" s="23"/>
      <c r="BD59" s="20"/>
      <c r="BE59" s="33"/>
      <c r="BF59" s="210"/>
      <c r="BG59" s="45"/>
      <c r="BH59" s="23"/>
      <c r="BI59" s="45"/>
      <c r="BJ59" s="23"/>
      <c r="BK59" s="20"/>
      <c r="BL59" s="33"/>
      <c r="BM59" s="210"/>
      <c r="BN59" s="45"/>
      <c r="BO59" s="52"/>
      <c r="BP59" s="45"/>
      <c r="BQ59" s="52"/>
      <c r="BR59" s="44"/>
      <c r="BS59" s="52"/>
      <c r="BT59" s="210"/>
      <c r="BU59" s="45"/>
      <c r="BV59" s="52"/>
      <c r="BW59" s="45"/>
      <c r="BX59" s="52"/>
      <c r="BY59" s="44"/>
      <c r="BZ59" s="81"/>
      <c r="CA59" s="210"/>
      <c r="CB59" s="45"/>
      <c r="CC59" s="52"/>
      <c r="CD59" s="45"/>
      <c r="CE59" s="52"/>
      <c r="CF59" s="44"/>
      <c r="CG59" s="81"/>
      <c r="CH59" s="210"/>
      <c r="CI59" s="45"/>
      <c r="CJ59" s="52"/>
      <c r="CK59" s="45"/>
      <c r="CL59" s="52"/>
      <c r="CM59" s="44"/>
      <c r="CN59" s="81"/>
      <c r="CO59" s="210"/>
      <c r="CP59" s="45"/>
      <c r="CQ59" s="51"/>
      <c r="CR59" s="45"/>
      <c r="CS59" s="51"/>
      <c r="CT59" s="44"/>
      <c r="CU59" s="68"/>
      <c r="CV59" s="210"/>
      <c r="CW59" s="45"/>
      <c r="CX59" s="52"/>
      <c r="CY59" s="45"/>
      <c r="CZ59" s="52"/>
      <c r="DA59" s="44"/>
      <c r="DB59" s="81"/>
      <c r="DC59" s="210"/>
      <c r="DD59" s="45"/>
      <c r="DE59" s="52"/>
      <c r="DF59" s="45"/>
      <c r="DG59" s="52"/>
      <c r="DH59" s="44"/>
      <c r="DI59" s="81"/>
      <c r="DJ59" s="210"/>
      <c r="DK59" s="45"/>
      <c r="DL59" s="52"/>
      <c r="DM59" s="45"/>
      <c r="DN59" s="52"/>
      <c r="DO59" s="44"/>
      <c r="DP59" s="81"/>
      <c r="DQ59" s="210"/>
      <c r="DR59" s="45"/>
      <c r="DS59" s="52"/>
      <c r="DT59" s="45"/>
      <c r="DU59" s="52"/>
      <c r="DV59" s="44"/>
      <c r="DW59" s="81"/>
      <c r="DX59" s="210"/>
      <c r="DY59" s="45"/>
      <c r="DZ59" s="52"/>
      <c r="EA59" s="45"/>
      <c r="EB59" s="33"/>
      <c r="EC59" s="32"/>
      <c r="ED59" s="33"/>
      <c r="EE59" s="210"/>
      <c r="EF59" s="210"/>
      <c r="EG59" s="210"/>
      <c r="EH59" s="210"/>
    </row>
    <row r="60" spans="1:138">
      <c r="A60" s="9" t="s">
        <v>71</v>
      </c>
      <c r="B60" s="9"/>
      <c r="C60" s="65"/>
      <c r="D60" s="33"/>
      <c r="E60" s="22"/>
      <c r="F60" s="33"/>
      <c r="G60" s="30"/>
      <c r="H60" s="30"/>
      <c r="I60" s="210"/>
      <c r="J60" s="22"/>
      <c r="K60" s="33"/>
      <c r="L60" s="22"/>
      <c r="M60" s="33"/>
      <c r="N60" s="30"/>
      <c r="O60" s="30"/>
      <c r="P60" s="210"/>
      <c r="Q60" s="65"/>
      <c r="R60" s="23"/>
      <c r="S60" s="22"/>
      <c r="T60" s="33"/>
      <c r="U60" s="30"/>
      <c r="V60" s="30"/>
      <c r="W60" s="210"/>
      <c r="X60" s="65"/>
      <c r="Y60" s="33"/>
      <c r="Z60" s="22"/>
      <c r="AA60" s="23"/>
      <c r="AB60" s="30"/>
      <c r="AC60" s="30"/>
      <c r="AD60" s="210"/>
      <c r="AE60" s="65"/>
      <c r="AF60" s="23"/>
      <c r="AG60" s="64"/>
      <c r="AH60" s="23"/>
      <c r="AI60" s="49"/>
      <c r="AJ60" s="49"/>
      <c r="AK60" s="210"/>
      <c r="AL60" s="65"/>
      <c r="AM60" s="23"/>
      <c r="AN60" s="22"/>
      <c r="AO60" s="23"/>
      <c r="AP60" s="49"/>
      <c r="AQ60" s="49"/>
      <c r="AR60" s="210"/>
      <c r="AS60" s="65"/>
      <c r="AT60" s="23"/>
      <c r="AU60" s="22"/>
      <c r="AV60" s="23"/>
      <c r="AW60" s="49"/>
      <c r="AX60" s="49"/>
      <c r="AY60" s="210"/>
      <c r="AZ60" s="65"/>
      <c r="BA60" s="23"/>
      <c r="BB60" s="22"/>
      <c r="BC60" s="23"/>
      <c r="BD60" s="49"/>
      <c r="BE60" s="30"/>
      <c r="BF60" s="210"/>
      <c r="BG60" s="65"/>
      <c r="BH60" s="47"/>
      <c r="BI60" s="65"/>
      <c r="BJ60" s="23"/>
      <c r="BK60" s="49"/>
      <c r="BL60" s="30"/>
      <c r="BM60" s="210"/>
      <c r="BN60" s="65"/>
      <c r="BO60" s="52"/>
      <c r="BP60" s="65"/>
      <c r="BQ60" s="52"/>
      <c r="BR60" s="49"/>
      <c r="BS60" s="50"/>
      <c r="BT60" s="210"/>
      <c r="BU60" s="65"/>
      <c r="BV60" s="52"/>
      <c r="BW60" s="65"/>
      <c r="BX60" s="52"/>
      <c r="BY60" s="49"/>
      <c r="BZ60" s="50"/>
      <c r="CA60" s="210"/>
      <c r="CB60" s="65"/>
      <c r="CC60" s="52"/>
      <c r="CD60" s="65"/>
      <c r="CE60" s="52"/>
      <c r="CF60" s="49"/>
      <c r="CG60" s="50"/>
      <c r="CH60" s="210"/>
      <c r="CI60" s="65"/>
      <c r="CJ60" s="52"/>
      <c r="CK60" s="65"/>
      <c r="CL60" s="52"/>
      <c r="CM60" s="49"/>
      <c r="CN60" s="50"/>
      <c r="CO60" s="210"/>
      <c r="CP60" s="65"/>
      <c r="CQ60" s="51"/>
      <c r="CR60" s="65"/>
      <c r="CS60" s="51"/>
      <c r="CT60" s="49"/>
      <c r="CU60" s="49"/>
      <c r="CV60" s="210"/>
      <c r="CW60" s="65"/>
      <c r="CX60" s="52"/>
      <c r="CY60" s="65"/>
      <c r="CZ60" s="52"/>
      <c r="DA60" s="49"/>
      <c r="DB60" s="50"/>
      <c r="DC60" s="210"/>
      <c r="DD60" s="65"/>
      <c r="DE60" s="52"/>
      <c r="DF60" s="65"/>
      <c r="DG60" s="52"/>
      <c r="DH60" s="49"/>
      <c r="DI60" s="50"/>
      <c r="DJ60" s="210"/>
      <c r="DK60" s="65"/>
      <c r="DL60" s="52"/>
      <c r="DM60" s="65"/>
      <c r="DN60" s="52"/>
      <c r="DO60" s="49"/>
      <c r="DP60" s="50"/>
      <c r="DQ60" s="210"/>
      <c r="DR60" s="65"/>
      <c r="DS60" s="52"/>
      <c r="DT60" s="65"/>
      <c r="DU60" s="52"/>
      <c r="DV60" s="49"/>
      <c r="DW60" s="50"/>
      <c r="DX60" s="210"/>
      <c r="DY60" s="65"/>
      <c r="DZ60" s="52"/>
      <c r="EA60" s="65"/>
      <c r="EB60" s="33"/>
      <c r="EC60" s="30"/>
      <c r="ED60" s="30"/>
      <c r="EE60" s="210"/>
      <c r="EF60" s="210"/>
      <c r="EG60" s="210"/>
      <c r="EH60" s="210"/>
    </row>
    <row r="61" spans="1:138">
      <c r="A61" s="10" t="s">
        <v>72</v>
      </c>
      <c r="B61" s="10"/>
      <c r="C61" s="65"/>
      <c r="D61" s="33"/>
      <c r="E61" s="226">
        <v>115.38461538461539</v>
      </c>
      <c r="F61" s="33"/>
      <c r="G61" s="212">
        <f t="shared" ref="G61:G77" si="203">E62-C61</f>
        <v>0</v>
      </c>
      <c r="H61" s="212"/>
      <c r="I61" s="210"/>
      <c r="J61" s="226">
        <v>65.45</v>
      </c>
      <c r="K61" s="33"/>
      <c r="L61" s="226">
        <v>115.38461538461539</v>
      </c>
      <c r="M61" s="33"/>
      <c r="N61" s="212">
        <f>L61-J61</f>
        <v>49.934615384615384</v>
      </c>
      <c r="O61" s="212"/>
      <c r="P61" s="210"/>
      <c r="Q61" s="65">
        <v>0</v>
      </c>
      <c r="R61" s="23"/>
      <c r="S61" s="226">
        <v>115.38461538461539</v>
      </c>
      <c r="T61" s="33"/>
      <c r="U61" s="212">
        <f>S61-Q61</f>
        <v>115.38461538461539</v>
      </c>
      <c r="V61" s="212"/>
      <c r="W61" s="210"/>
      <c r="X61" s="208">
        <f t="shared" ref="X61:X81" si="204">C61+J61+Q61</f>
        <v>65.45</v>
      </c>
      <c r="Y61" s="33"/>
      <c r="Z61" s="218">
        <f>E61+L61+S61</f>
        <v>346.15384615384619</v>
      </c>
      <c r="AA61" s="23"/>
      <c r="AB61" s="212">
        <f>Z61-X61</f>
        <v>280.7038461538462</v>
      </c>
      <c r="AC61" s="212"/>
      <c r="AD61" s="210"/>
      <c r="AE61" s="65">
        <v>0</v>
      </c>
      <c r="AF61" s="23"/>
      <c r="AG61" s="226">
        <v>115.38461538461539</v>
      </c>
      <c r="AH61" s="23"/>
      <c r="AI61" s="220">
        <f>AG61-AE61</f>
        <v>115.38461538461539</v>
      </c>
      <c r="AJ61" s="221"/>
      <c r="AK61" s="210"/>
      <c r="AL61" s="65">
        <v>0</v>
      </c>
      <c r="AM61" s="23"/>
      <c r="AN61" s="226">
        <v>115.38461538461539</v>
      </c>
      <c r="AO61" s="23"/>
      <c r="AP61" s="220">
        <f>AN61-AL61</f>
        <v>115.38461538461539</v>
      </c>
      <c r="AQ61" s="221"/>
      <c r="AR61" s="210"/>
      <c r="AS61" s="65">
        <v>0</v>
      </c>
      <c r="AT61" s="23"/>
      <c r="AU61" s="226">
        <v>115.38461538461539</v>
      </c>
      <c r="AV61" s="23"/>
      <c r="AW61" s="220">
        <f>AU61-AS61</f>
        <v>115.38461538461539</v>
      </c>
      <c r="AX61" s="221"/>
      <c r="AY61" s="210"/>
      <c r="AZ61" s="208">
        <f t="shared" ref="AZ61:AZ77" si="205">AE61+AL61+AS61</f>
        <v>0</v>
      </c>
      <c r="BA61" s="23"/>
      <c r="BB61" s="218">
        <f t="shared" ref="BB61:BB81" si="206">AG61+AN61+AU61</f>
        <v>346.15384615384619</v>
      </c>
      <c r="BC61" s="23"/>
      <c r="BD61" s="220">
        <f>BB61-AZ61</f>
        <v>346.15384615384619</v>
      </c>
      <c r="BE61" s="212"/>
      <c r="BF61" s="210"/>
      <c r="BG61" s="65">
        <v>0</v>
      </c>
      <c r="BH61" s="23"/>
      <c r="BI61" s="65">
        <v>0</v>
      </c>
      <c r="BJ61" s="23"/>
      <c r="BK61" s="220">
        <f>BI61-BG61</f>
        <v>0</v>
      </c>
      <c r="BL61" s="221"/>
      <c r="BM61" s="210"/>
      <c r="BN61" s="65">
        <v>0</v>
      </c>
      <c r="BO61" s="52"/>
      <c r="BP61" s="65">
        <v>0</v>
      </c>
      <c r="BQ61" s="52"/>
      <c r="BR61" s="222">
        <f t="shared" ref="BR61:BR81" si="207">BN61-BP61</f>
        <v>0</v>
      </c>
      <c r="BS61" s="216"/>
      <c r="BT61" s="210"/>
      <c r="BU61" s="65">
        <v>0</v>
      </c>
      <c r="BV61" s="52"/>
      <c r="BW61" s="65">
        <v>0</v>
      </c>
      <c r="BX61" s="52"/>
      <c r="BY61" s="222">
        <f t="shared" ref="BY61:BY81" si="208">BU61-BW61</f>
        <v>0</v>
      </c>
      <c r="BZ61" s="216"/>
      <c r="CA61" s="210"/>
      <c r="CB61" s="65">
        <v>0</v>
      </c>
      <c r="CC61" s="52"/>
      <c r="CD61" s="65">
        <v>115.38461538461539</v>
      </c>
      <c r="CE61" s="52"/>
      <c r="CF61" s="222">
        <f t="shared" ref="CF61:CF81" si="209">CB61-CD61</f>
        <v>-115.38461538461539</v>
      </c>
      <c r="CG61" s="216"/>
      <c r="CH61" s="210"/>
      <c r="CI61" s="208">
        <f t="shared" ref="CI61:CI81" si="210">BG61+BN61+BU61+CB61</f>
        <v>0</v>
      </c>
      <c r="CJ61" s="52"/>
      <c r="CK61" s="208">
        <f>BI61+BP61+BW61+CD61</f>
        <v>115.38461538461539</v>
      </c>
      <c r="CL61" s="52"/>
      <c r="CM61" s="222">
        <f t="shared" ref="CM61:CM81" si="211">CI61-CK61</f>
        <v>-115.38461538461539</v>
      </c>
      <c r="CN61" s="216"/>
      <c r="CO61" s="210"/>
      <c r="CP61" s="65">
        <v>0</v>
      </c>
      <c r="CQ61" s="51"/>
      <c r="CR61" s="226">
        <v>115.38461538461539</v>
      </c>
      <c r="CS61" s="77"/>
      <c r="CT61" s="222">
        <f t="shared" ref="CT61:CT81" si="212">CP61-CR61</f>
        <v>-115.38461538461539</v>
      </c>
      <c r="CU61" s="227"/>
      <c r="CV61" s="210"/>
      <c r="CW61" s="74">
        <v>0</v>
      </c>
      <c r="CX61" s="78"/>
      <c r="CY61" s="226">
        <v>115.38461538461539</v>
      </c>
      <c r="CZ61" s="78"/>
      <c r="DA61" s="222">
        <f t="shared" ref="DA61:DA81" si="213">CW61-CY61</f>
        <v>-115.38461538461539</v>
      </c>
      <c r="DB61" s="228"/>
      <c r="DC61" s="210"/>
      <c r="DD61" s="74">
        <v>0</v>
      </c>
      <c r="DE61" s="78"/>
      <c r="DF61" s="74">
        <v>115.38461538461539</v>
      </c>
      <c r="DG61" s="78"/>
      <c r="DH61" s="222">
        <f t="shared" ref="DH61:DH81" si="214">DD61-DF61</f>
        <v>-115.38461538461539</v>
      </c>
      <c r="DI61" s="228"/>
      <c r="DJ61" s="210"/>
      <c r="DK61" s="74">
        <v>0</v>
      </c>
      <c r="DL61" s="78"/>
      <c r="DM61" s="74">
        <v>115.38461538461539</v>
      </c>
      <c r="DN61" s="78"/>
      <c r="DO61" s="222">
        <f t="shared" ref="DO61:DO81" si="215">DK61-DM61</f>
        <v>-115.38461538461539</v>
      </c>
      <c r="DP61" s="228"/>
      <c r="DQ61" s="210"/>
      <c r="DR61" s="226">
        <f t="shared" ref="DR61:DR81" si="216">CP61+CW61+DD61+DK61</f>
        <v>0</v>
      </c>
      <c r="DS61" s="78"/>
      <c r="DT61" s="226">
        <f t="shared" ref="DT61:DT81" si="217">CR61+CY61+DF61+DM61</f>
        <v>461.53846153846155</v>
      </c>
      <c r="DU61" s="78"/>
      <c r="DV61" s="222">
        <f t="shared" ref="DV61:DV81" si="218">DR61-DT61</f>
        <v>-461.53846153846155</v>
      </c>
      <c r="DW61" s="228"/>
      <c r="DX61" s="210"/>
      <c r="DY61" s="226">
        <f t="shared" ref="DY61:DY81" si="219">X61+AZ61+CI61+DR61</f>
        <v>65.45</v>
      </c>
      <c r="DZ61" s="78"/>
      <c r="EA61" s="226">
        <f>Z61+BB61+CK61+DT61</f>
        <v>1269.2307692307693</v>
      </c>
      <c r="EB61" s="33"/>
      <c r="EC61" s="212">
        <f>EA61-DY61</f>
        <v>1203.7807692307692</v>
      </c>
      <c r="ED61" s="212"/>
      <c r="EE61" s="210"/>
      <c r="EF61" s="210"/>
      <c r="EG61" s="210"/>
      <c r="EH61" s="210"/>
    </row>
    <row r="62" spans="1:138">
      <c r="A62" s="10" t="s">
        <v>73</v>
      </c>
      <c r="B62" s="10"/>
      <c r="C62" s="65"/>
      <c r="D62" s="33"/>
      <c r="E62" s="72">
        <v>0</v>
      </c>
      <c r="F62" s="33"/>
      <c r="G62" s="212">
        <f t="shared" ref="G62" si="220">E62-C62</f>
        <v>0</v>
      </c>
      <c r="H62" s="212"/>
      <c r="I62" s="210"/>
      <c r="J62" s="22">
        <v>595.11</v>
      </c>
      <c r="K62" s="33"/>
      <c r="L62" s="72">
        <v>0</v>
      </c>
      <c r="M62" s="33"/>
      <c r="N62" s="212">
        <f>L62-J62</f>
        <v>-595.11</v>
      </c>
      <c r="O62" s="212"/>
      <c r="P62" s="210"/>
      <c r="Q62" s="65">
        <v>-265.48</v>
      </c>
      <c r="R62" s="23"/>
      <c r="S62" s="49"/>
      <c r="T62" s="33"/>
      <c r="U62" s="212">
        <f>S62-Q62</f>
        <v>265.48</v>
      </c>
      <c r="V62" s="212"/>
      <c r="W62" s="210"/>
      <c r="X62" s="208">
        <f t="shared" si="204"/>
        <v>329.63</v>
      </c>
      <c r="Y62" s="33"/>
      <c r="Z62" s="218">
        <f t="shared" ref="Z62:Z81" si="221">E62+L62+S62</f>
        <v>0</v>
      </c>
      <c r="AA62" s="23"/>
      <c r="AB62" s="212">
        <f>Z62-X62</f>
        <v>-329.63</v>
      </c>
      <c r="AC62" s="212"/>
      <c r="AD62" s="210"/>
      <c r="AE62" s="65">
        <f>635.3-530</f>
        <v>105.29999999999995</v>
      </c>
      <c r="AF62" s="23"/>
      <c r="AG62" s="49"/>
      <c r="AH62" s="23"/>
      <c r="AI62" s="220">
        <f>AG62-AE62</f>
        <v>-105.29999999999995</v>
      </c>
      <c r="AJ62" s="221"/>
      <c r="AK62" s="210"/>
      <c r="AL62" s="65">
        <v>1425</v>
      </c>
      <c r="AM62" s="23"/>
      <c r="AN62" s="49"/>
      <c r="AO62" s="23"/>
      <c r="AP62" s="220">
        <f>AN62-AL62</f>
        <v>-1425</v>
      </c>
      <c r="AQ62" s="221"/>
      <c r="AR62" s="210"/>
      <c r="AS62" s="65">
        <v>-63.5</v>
      </c>
      <c r="AT62" s="23"/>
      <c r="AU62" s="49"/>
      <c r="AV62" s="23"/>
      <c r="AW62" s="220">
        <f>AU62-AS62</f>
        <v>63.5</v>
      </c>
      <c r="AX62" s="221"/>
      <c r="AY62" s="210"/>
      <c r="AZ62" s="208">
        <f t="shared" si="205"/>
        <v>1466.8</v>
      </c>
      <c r="BA62" s="23"/>
      <c r="BB62" s="218">
        <f t="shared" si="206"/>
        <v>0</v>
      </c>
      <c r="BC62" s="23"/>
      <c r="BD62" s="220">
        <f>BB62-AZ62</f>
        <v>-1466.8</v>
      </c>
      <c r="BE62" s="212"/>
      <c r="BF62" s="210"/>
      <c r="BG62" s="65">
        <v>-84.8</v>
      </c>
      <c r="BH62" s="23"/>
      <c r="BI62" s="65">
        <v>0</v>
      </c>
      <c r="BJ62" s="23"/>
      <c r="BK62" s="220">
        <f>BI62-BG62</f>
        <v>84.8</v>
      </c>
      <c r="BL62" s="221"/>
      <c r="BM62" s="210"/>
      <c r="BN62" s="65">
        <v>0</v>
      </c>
      <c r="BO62" s="52"/>
      <c r="BP62" s="65">
        <v>0</v>
      </c>
      <c r="BQ62" s="52"/>
      <c r="BR62" s="222">
        <f t="shared" si="207"/>
        <v>0</v>
      </c>
      <c r="BS62" s="216"/>
      <c r="BT62" s="210"/>
      <c r="BU62" s="65">
        <v>0</v>
      </c>
      <c r="BV62" s="52"/>
      <c r="BW62" s="65">
        <v>0</v>
      </c>
      <c r="BX62" s="52"/>
      <c r="BY62" s="222">
        <f t="shared" si="208"/>
        <v>0</v>
      </c>
      <c r="BZ62" s="216"/>
      <c r="CA62" s="210"/>
      <c r="CB62" s="65">
        <v>-331.33</v>
      </c>
      <c r="CC62" s="52"/>
      <c r="CD62" s="65">
        <v>0</v>
      </c>
      <c r="CE62" s="52"/>
      <c r="CF62" s="222">
        <f t="shared" si="209"/>
        <v>-331.33</v>
      </c>
      <c r="CG62" s="216"/>
      <c r="CH62" s="210"/>
      <c r="CI62" s="208">
        <f t="shared" si="210"/>
        <v>-416.13</v>
      </c>
      <c r="CJ62" s="52"/>
      <c r="CK62" s="208">
        <f t="shared" ref="CK62:CK81" si="222">BI62+BP62+BW62+CD62</f>
        <v>0</v>
      </c>
      <c r="CL62" s="52"/>
      <c r="CM62" s="222">
        <f t="shared" si="211"/>
        <v>-416.13</v>
      </c>
      <c r="CN62" s="216"/>
      <c r="CO62" s="210"/>
      <c r="CP62" s="65">
        <v>-850.87</v>
      </c>
      <c r="CQ62" s="51"/>
      <c r="CR62" s="226">
        <v>0</v>
      </c>
      <c r="CS62" s="77"/>
      <c r="CT62" s="222">
        <f t="shared" si="212"/>
        <v>-850.87</v>
      </c>
      <c r="CU62" s="227"/>
      <c r="CV62" s="210"/>
      <c r="CW62" s="74">
        <v>-454.64</v>
      </c>
      <c r="CX62" s="78"/>
      <c r="CY62" s="226">
        <v>0</v>
      </c>
      <c r="CZ62" s="78"/>
      <c r="DA62" s="222">
        <f t="shared" si="213"/>
        <v>-454.64</v>
      </c>
      <c r="DB62" s="228"/>
      <c r="DC62" s="210"/>
      <c r="DD62" s="74">
        <v>-280.47000000000003</v>
      </c>
      <c r="DE62" s="78"/>
      <c r="DF62" s="74">
        <v>0</v>
      </c>
      <c r="DG62" s="78"/>
      <c r="DH62" s="222">
        <f t="shared" si="214"/>
        <v>-280.47000000000003</v>
      </c>
      <c r="DI62" s="228"/>
      <c r="DJ62" s="210"/>
      <c r="DK62" s="74">
        <v>-90</v>
      </c>
      <c r="DL62" s="78"/>
      <c r="DM62" s="74">
        <v>0</v>
      </c>
      <c r="DN62" s="78"/>
      <c r="DO62" s="222">
        <f t="shared" si="215"/>
        <v>-90</v>
      </c>
      <c r="DP62" s="228"/>
      <c r="DQ62" s="210"/>
      <c r="DR62" s="226">
        <f t="shared" si="216"/>
        <v>-1675.98</v>
      </c>
      <c r="DS62" s="78"/>
      <c r="DT62" s="226">
        <f t="shared" si="217"/>
        <v>0</v>
      </c>
      <c r="DU62" s="78"/>
      <c r="DV62" s="222">
        <f t="shared" si="218"/>
        <v>-1675.98</v>
      </c>
      <c r="DW62" s="228"/>
      <c r="DX62" s="210"/>
      <c r="DY62" s="226">
        <f t="shared" si="219"/>
        <v>-295.68000000000029</v>
      </c>
      <c r="DZ62" s="78"/>
      <c r="EA62" s="226">
        <f t="shared" ref="EA62:EA81" si="223">Z62+BB62+CK62+DT62</f>
        <v>0</v>
      </c>
      <c r="EB62" s="33"/>
      <c r="EC62" s="212">
        <f>EA62-DY62</f>
        <v>295.68000000000029</v>
      </c>
      <c r="ED62" s="212"/>
      <c r="EE62" s="210"/>
      <c r="EF62" s="210"/>
      <c r="EG62" s="210"/>
      <c r="EH62" s="210"/>
    </row>
    <row r="63" spans="1:138">
      <c r="A63" s="10" t="s">
        <v>74</v>
      </c>
      <c r="B63" s="10"/>
      <c r="C63" s="65"/>
      <c r="D63" s="33"/>
      <c r="E63" s="74">
        <v>1256.3076923076924</v>
      </c>
      <c r="F63" s="33"/>
      <c r="G63" s="212">
        <f t="shared" si="203"/>
        <v>883.20028999999988</v>
      </c>
      <c r="H63" s="212"/>
      <c r="I63" s="210"/>
      <c r="J63" s="22">
        <v>942</v>
      </c>
      <c r="K63" s="33"/>
      <c r="L63" s="74">
        <v>1256.3076923076924</v>
      </c>
      <c r="M63" s="33"/>
      <c r="N63" s="212">
        <f t="shared" ref="N63:N79" si="224">L63-J63</f>
        <v>314.30769230769238</v>
      </c>
      <c r="O63" s="212"/>
      <c r="P63" s="210"/>
      <c r="Q63" s="65">
        <v>1371.3</v>
      </c>
      <c r="R63" s="23"/>
      <c r="S63" s="74">
        <v>1256.3076923076924</v>
      </c>
      <c r="T63" s="33"/>
      <c r="U63" s="212">
        <f t="shared" ref="U63:U78" si="225">S63-Q63</f>
        <v>-114.99230769230758</v>
      </c>
      <c r="V63" s="212"/>
      <c r="W63" s="210"/>
      <c r="X63" s="208">
        <f t="shared" si="204"/>
        <v>2313.3000000000002</v>
      </c>
      <c r="Y63" s="33"/>
      <c r="Z63" s="218">
        <f t="shared" si="221"/>
        <v>3768.9230769230771</v>
      </c>
      <c r="AA63" s="23"/>
      <c r="AB63" s="212">
        <f t="shared" ref="AB63:AB77" si="226">Z63-X63</f>
        <v>1455.623076923077</v>
      </c>
      <c r="AC63" s="212"/>
      <c r="AD63" s="210"/>
      <c r="AE63" s="65">
        <v>0</v>
      </c>
      <c r="AF63" s="23"/>
      <c r="AG63" s="74">
        <v>1256.3076923076924</v>
      </c>
      <c r="AH63" s="23"/>
      <c r="AI63" s="220">
        <f t="shared" ref="AI63:AI81" si="227">AG63-AE63</f>
        <v>1256.3076923076924</v>
      </c>
      <c r="AJ63" s="221"/>
      <c r="AK63" s="210"/>
      <c r="AL63" s="65">
        <v>-1884</v>
      </c>
      <c r="AM63" s="23"/>
      <c r="AN63" s="74">
        <v>1256.3076923076924</v>
      </c>
      <c r="AO63" s="23"/>
      <c r="AP63" s="220">
        <f t="shared" ref="AP63:AP77" si="228">AN63-AL63</f>
        <v>3140.3076923076924</v>
      </c>
      <c r="AQ63" s="221"/>
      <c r="AR63" s="210"/>
      <c r="AS63" s="65">
        <v>0</v>
      </c>
      <c r="AT63" s="23"/>
      <c r="AU63" s="74">
        <v>1256.3076923076924</v>
      </c>
      <c r="AV63" s="23"/>
      <c r="AW63" s="220">
        <f t="shared" ref="AW63:AW77" si="229">AU63-AS63</f>
        <v>1256.3076923076924</v>
      </c>
      <c r="AX63" s="221"/>
      <c r="AY63" s="210"/>
      <c r="AZ63" s="208">
        <f t="shared" si="205"/>
        <v>-1884</v>
      </c>
      <c r="BA63" s="23"/>
      <c r="BB63" s="218">
        <f t="shared" si="206"/>
        <v>3768.9230769230771</v>
      </c>
      <c r="BC63" s="23"/>
      <c r="BD63" s="220">
        <f t="shared" ref="BD63:BD77" si="230">BB63-AZ63</f>
        <v>5652.9230769230771</v>
      </c>
      <c r="BE63" s="212"/>
      <c r="BF63" s="210"/>
      <c r="BG63" s="65">
        <v>410.47</v>
      </c>
      <c r="BH63" s="23"/>
      <c r="BI63" s="65">
        <v>1361</v>
      </c>
      <c r="BJ63" s="23"/>
      <c r="BK63" s="220">
        <f t="shared" ref="BK63:BK81" si="231">BI63-BG63</f>
        <v>950.53</v>
      </c>
      <c r="BL63" s="221"/>
      <c r="BM63" s="210"/>
      <c r="BN63" s="65">
        <v>385.54</v>
      </c>
      <c r="BO63" s="52"/>
      <c r="BP63" s="65">
        <v>1361</v>
      </c>
      <c r="BQ63" s="52"/>
      <c r="BR63" s="222">
        <f t="shared" si="207"/>
        <v>-975.46</v>
      </c>
      <c r="BS63" s="216"/>
      <c r="BT63" s="210"/>
      <c r="BU63" s="65">
        <v>2078.13</v>
      </c>
      <c r="BV63" s="52"/>
      <c r="BW63" s="65">
        <v>681</v>
      </c>
      <c r="BX63" s="52"/>
      <c r="BY63" s="222">
        <f t="shared" si="208"/>
        <v>1397.13</v>
      </c>
      <c r="BZ63" s="216"/>
      <c r="CA63" s="210"/>
      <c r="CB63" s="65">
        <v>456.46</v>
      </c>
      <c r="CC63" s="52"/>
      <c r="CD63" s="65">
        <v>681</v>
      </c>
      <c r="CE63" s="52"/>
      <c r="CF63" s="222">
        <f t="shared" si="209"/>
        <v>-224.54000000000002</v>
      </c>
      <c r="CG63" s="216"/>
      <c r="CH63" s="210"/>
      <c r="CI63" s="208">
        <f t="shared" si="210"/>
        <v>3330.6000000000004</v>
      </c>
      <c r="CJ63" s="52"/>
      <c r="CK63" s="208">
        <f t="shared" si="222"/>
        <v>4084</v>
      </c>
      <c r="CL63" s="52"/>
      <c r="CM63" s="222">
        <f t="shared" si="211"/>
        <v>-753.39999999999964</v>
      </c>
      <c r="CN63" s="216"/>
      <c r="CO63" s="210"/>
      <c r="CP63" s="65">
        <v>1776.91</v>
      </c>
      <c r="CQ63" s="51"/>
      <c r="CR63" s="74">
        <v>1361</v>
      </c>
      <c r="CS63" s="77"/>
      <c r="CT63" s="222">
        <f t="shared" si="212"/>
        <v>415.91000000000008</v>
      </c>
      <c r="CU63" s="227"/>
      <c r="CV63" s="210"/>
      <c r="CW63" s="74">
        <v>1454.01</v>
      </c>
      <c r="CX63" s="78"/>
      <c r="CY63" s="74">
        <v>1361</v>
      </c>
      <c r="CZ63" s="78"/>
      <c r="DA63" s="222">
        <f t="shared" si="213"/>
        <v>93.009999999999991</v>
      </c>
      <c r="DB63" s="228"/>
      <c r="DC63" s="210"/>
      <c r="DD63" s="74">
        <v>1261.81</v>
      </c>
      <c r="DE63" s="78"/>
      <c r="DF63" s="74">
        <v>1361</v>
      </c>
      <c r="DG63" s="78"/>
      <c r="DH63" s="222">
        <f t="shared" si="214"/>
        <v>-99.190000000000055</v>
      </c>
      <c r="DI63" s="228"/>
      <c r="DJ63" s="210"/>
      <c r="DK63" s="74">
        <v>1623.87</v>
      </c>
      <c r="DL63" s="78"/>
      <c r="DM63" s="74">
        <v>1361</v>
      </c>
      <c r="DN63" s="78"/>
      <c r="DO63" s="222">
        <f t="shared" si="215"/>
        <v>262.86999999999989</v>
      </c>
      <c r="DP63" s="228"/>
      <c r="DQ63" s="210"/>
      <c r="DR63" s="226">
        <f t="shared" si="216"/>
        <v>6116.5999999999995</v>
      </c>
      <c r="DS63" s="78"/>
      <c r="DT63" s="226">
        <f t="shared" si="217"/>
        <v>5444</v>
      </c>
      <c r="DU63" s="78"/>
      <c r="DV63" s="222">
        <f t="shared" si="218"/>
        <v>672.59999999999945</v>
      </c>
      <c r="DW63" s="228"/>
      <c r="DX63" s="210"/>
      <c r="DY63" s="226">
        <f t="shared" si="219"/>
        <v>9876.5</v>
      </c>
      <c r="DZ63" s="78"/>
      <c r="EA63" s="226">
        <f t="shared" si="223"/>
        <v>17065.846153846156</v>
      </c>
      <c r="EB63" s="33"/>
      <c r="EC63" s="212">
        <f t="shared" ref="EC63:EC77" si="232">EA63-DY63</f>
        <v>7189.3461538461561</v>
      </c>
      <c r="ED63" s="212"/>
      <c r="EE63" s="210"/>
      <c r="EF63" s="210"/>
      <c r="EG63" s="210"/>
      <c r="EH63" s="210"/>
    </row>
    <row r="64" spans="1:138">
      <c r="A64" s="10" t="s">
        <v>75</v>
      </c>
      <c r="B64" s="10"/>
      <c r="C64" s="65"/>
      <c r="D64" s="33"/>
      <c r="E64" s="72">
        <v>883.20028999999988</v>
      </c>
      <c r="F64" s="33"/>
      <c r="G64" s="212">
        <f t="shared" si="203"/>
        <v>0</v>
      </c>
      <c r="H64" s="212"/>
      <c r="I64" s="210"/>
      <c r="J64" s="226">
        <v>975.74</v>
      </c>
      <c r="K64" s="33"/>
      <c r="L64" s="60">
        <v>889.83282500000018</v>
      </c>
      <c r="M64" s="33"/>
      <c r="N64" s="212">
        <f t="shared" si="224"/>
        <v>-85.907174999999825</v>
      </c>
      <c r="O64" s="212"/>
      <c r="P64" s="210"/>
      <c r="Q64" s="65">
        <f>153.59+379.5</f>
        <v>533.09</v>
      </c>
      <c r="R64" s="23"/>
      <c r="S64" s="60">
        <v>1024.8404320000002</v>
      </c>
      <c r="T64" s="33"/>
      <c r="U64" s="212">
        <f t="shared" si="225"/>
        <v>491.75043200000016</v>
      </c>
      <c r="V64" s="212"/>
      <c r="W64" s="210"/>
      <c r="X64" s="208">
        <f t="shared" si="204"/>
        <v>1508.83</v>
      </c>
      <c r="Y64" s="33"/>
      <c r="Z64" s="218">
        <f t="shared" si="221"/>
        <v>2797.8735470000001</v>
      </c>
      <c r="AA64" s="23"/>
      <c r="AB64" s="212">
        <f t="shared" si="226"/>
        <v>1289.0435470000002</v>
      </c>
      <c r="AC64" s="212"/>
      <c r="AD64" s="210"/>
      <c r="AE64" s="65">
        <v>0</v>
      </c>
      <c r="AF64" s="23"/>
      <c r="AG64" s="60">
        <v>1103.34413</v>
      </c>
      <c r="AH64" s="23"/>
      <c r="AI64" s="220">
        <f t="shared" si="227"/>
        <v>1103.34413</v>
      </c>
      <c r="AJ64" s="221"/>
      <c r="AK64" s="210"/>
      <c r="AL64" s="65">
        <v>0</v>
      </c>
      <c r="AM64" s="23"/>
      <c r="AN64" s="60">
        <v>1107.633415</v>
      </c>
      <c r="AO64" s="23"/>
      <c r="AP64" s="220">
        <f t="shared" si="228"/>
        <v>1107.633415</v>
      </c>
      <c r="AQ64" s="221"/>
      <c r="AR64" s="210"/>
      <c r="AS64" s="65">
        <v>0</v>
      </c>
      <c r="AT64" s="23"/>
      <c r="AU64" s="72">
        <v>1131.231444</v>
      </c>
      <c r="AV64" s="23"/>
      <c r="AW64" s="220">
        <f t="shared" si="229"/>
        <v>1131.231444</v>
      </c>
      <c r="AX64" s="221"/>
      <c r="AY64" s="210"/>
      <c r="AZ64" s="208">
        <f t="shared" si="205"/>
        <v>0</v>
      </c>
      <c r="BA64" s="23"/>
      <c r="BB64" s="218">
        <f t="shared" si="206"/>
        <v>3342.2089889999997</v>
      </c>
      <c r="BC64" s="23"/>
      <c r="BD64" s="220">
        <f t="shared" si="230"/>
        <v>3342.2089889999997</v>
      </c>
      <c r="BE64" s="212"/>
      <c r="BF64" s="210"/>
      <c r="BG64" s="65">
        <v>0</v>
      </c>
      <c r="BH64" s="23"/>
      <c r="BI64" s="65">
        <v>0</v>
      </c>
      <c r="BJ64" s="23"/>
      <c r="BK64" s="220">
        <f t="shared" si="231"/>
        <v>0</v>
      </c>
      <c r="BL64" s="221"/>
      <c r="BM64" s="210"/>
      <c r="BN64" s="65">
        <f>260.31+44.2</f>
        <v>304.51</v>
      </c>
      <c r="BO64" s="52"/>
      <c r="BP64" s="65">
        <v>300</v>
      </c>
      <c r="BQ64" s="52"/>
      <c r="BR64" s="222">
        <f t="shared" si="207"/>
        <v>4.5099999999999909</v>
      </c>
      <c r="BS64" s="216"/>
      <c r="BT64" s="210"/>
      <c r="BU64" s="65">
        <v>555.87</v>
      </c>
      <c r="BV64" s="52"/>
      <c r="BW64" s="65">
        <v>300</v>
      </c>
      <c r="BX64" s="52"/>
      <c r="BY64" s="222">
        <f t="shared" si="208"/>
        <v>255.87</v>
      </c>
      <c r="BZ64" s="216"/>
      <c r="CA64" s="210"/>
      <c r="CB64" s="65">
        <v>490.34</v>
      </c>
      <c r="CC64" s="52"/>
      <c r="CD64" s="65">
        <v>306</v>
      </c>
      <c r="CE64" s="52"/>
      <c r="CF64" s="222">
        <f t="shared" si="209"/>
        <v>184.33999999999997</v>
      </c>
      <c r="CG64" s="216"/>
      <c r="CH64" s="210"/>
      <c r="CI64" s="208">
        <f t="shared" si="210"/>
        <v>1350.72</v>
      </c>
      <c r="CJ64" s="52"/>
      <c r="CK64" s="208">
        <f t="shared" si="222"/>
        <v>906</v>
      </c>
      <c r="CL64" s="52"/>
      <c r="CM64" s="222">
        <f t="shared" si="211"/>
        <v>444.72</v>
      </c>
      <c r="CN64" s="216"/>
      <c r="CO64" s="210"/>
      <c r="CP64" s="65">
        <f>531.6+107.5</f>
        <v>639.1</v>
      </c>
      <c r="CQ64" s="51"/>
      <c r="CR64" s="72">
        <v>306</v>
      </c>
      <c r="CS64" s="77"/>
      <c r="CT64" s="222">
        <f t="shared" si="212"/>
        <v>333.1</v>
      </c>
      <c r="CU64" s="227"/>
      <c r="CV64" s="210"/>
      <c r="CW64" s="74">
        <v>754.62</v>
      </c>
      <c r="CX64" s="78"/>
      <c r="CY64" s="72">
        <v>306</v>
      </c>
      <c r="CZ64" s="78"/>
      <c r="DA64" s="222">
        <f t="shared" si="213"/>
        <v>448.62</v>
      </c>
      <c r="DB64" s="228"/>
      <c r="DC64" s="210"/>
      <c r="DD64" s="74">
        <v>2297.12</v>
      </c>
      <c r="DE64" s="78"/>
      <c r="DF64" s="74">
        <v>306</v>
      </c>
      <c r="DG64" s="78"/>
      <c r="DH64" s="222">
        <f t="shared" si="214"/>
        <v>1991.12</v>
      </c>
      <c r="DI64" s="228"/>
      <c r="DJ64" s="210"/>
      <c r="DK64" s="74">
        <v>132.72999999999999</v>
      </c>
      <c r="DL64" s="78"/>
      <c r="DM64" s="74">
        <v>306</v>
      </c>
      <c r="DN64" s="78"/>
      <c r="DO64" s="222">
        <f t="shared" si="215"/>
        <v>-173.27</v>
      </c>
      <c r="DP64" s="228"/>
      <c r="DQ64" s="210"/>
      <c r="DR64" s="226">
        <f t="shared" si="216"/>
        <v>3823.57</v>
      </c>
      <c r="DS64" s="78"/>
      <c r="DT64" s="226">
        <f t="shared" si="217"/>
        <v>1224</v>
      </c>
      <c r="DU64" s="78"/>
      <c r="DV64" s="222">
        <f t="shared" si="218"/>
        <v>2599.5700000000002</v>
      </c>
      <c r="DW64" s="228"/>
      <c r="DX64" s="210"/>
      <c r="DY64" s="226">
        <f t="shared" si="219"/>
        <v>6683.1200000000008</v>
      </c>
      <c r="DZ64" s="78"/>
      <c r="EA64" s="226">
        <f t="shared" si="223"/>
        <v>8270.0825359999999</v>
      </c>
      <c r="EB64" s="33"/>
      <c r="EC64" s="212">
        <f t="shared" si="232"/>
        <v>1586.9625359999991</v>
      </c>
      <c r="ED64" s="212"/>
      <c r="EE64" s="210"/>
      <c r="EF64" s="210"/>
      <c r="EG64" s="210"/>
      <c r="EH64" s="210"/>
    </row>
    <row r="65" spans="1:141">
      <c r="A65" s="10" t="s">
        <v>76</v>
      </c>
      <c r="B65" s="10"/>
      <c r="C65" s="65"/>
      <c r="D65" s="33"/>
      <c r="E65" s="72">
        <v>0</v>
      </c>
      <c r="F65" s="33"/>
      <c r="G65" s="212">
        <f t="shared" ref="G65" si="233">E65-C65</f>
        <v>0</v>
      </c>
      <c r="H65" s="212"/>
      <c r="I65" s="210"/>
      <c r="J65" s="22">
        <v>0</v>
      </c>
      <c r="K65" s="33"/>
      <c r="L65" s="72">
        <v>0</v>
      </c>
      <c r="M65" s="33"/>
      <c r="N65" s="212">
        <f t="shared" si="224"/>
        <v>0</v>
      </c>
      <c r="O65" s="212"/>
      <c r="P65" s="210"/>
      <c r="Q65" s="65">
        <v>2197.2600000000002</v>
      </c>
      <c r="R65" s="23"/>
      <c r="S65" s="72"/>
      <c r="T65" s="33"/>
      <c r="U65" s="212">
        <f t="shared" si="225"/>
        <v>-2197.2600000000002</v>
      </c>
      <c r="V65" s="212"/>
      <c r="W65" s="210"/>
      <c r="X65" s="208">
        <f t="shared" si="204"/>
        <v>2197.2600000000002</v>
      </c>
      <c r="Y65" s="33"/>
      <c r="Z65" s="218">
        <f t="shared" si="221"/>
        <v>0</v>
      </c>
      <c r="AA65" s="23"/>
      <c r="AB65" s="212">
        <f t="shared" si="226"/>
        <v>-2197.2600000000002</v>
      </c>
      <c r="AC65" s="212"/>
      <c r="AD65" s="210"/>
      <c r="AE65" s="65">
        <v>0</v>
      </c>
      <c r="AF65" s="23"/>
      <c r="AG65" s="72"/>
      <c r="AH65" s="23"/>
      <c r="AI65" s="220">
        <f t="shared" si="227"/>
        <v>0</v>
      </c>
      <c r="AJ65" s="221"/>
      <c r="AK65" s="210"/>
      <c r="AL65" s="65">
        <v>0</v>
      </c>
      <c r="AM65" s="23"/>
      <c r="AN65" s="72"/>
      <c r="AO65" s="23"/>
      <c r="AP65" s="220">
        <f t="shared" si="228"/>
        <v>0</v>
      </c>
      <c r="AQ65" s="221"/>
      <c r="AR65" s="210"/>
      <c r="AS65" s="65">
        <v>0</v>
      </c>
      <c r="AT65" s="23"/>
      <c r="AU65" s="72"/>
      <c r="AV65" s="23"/>
      <c r="AW65" s="220">
        <f t="shared" si="229"/>
        <v>0</v>
      </c>
      <c r="AX65" s="221"/>
      <c r="AY65" s="210"/>
      <c r="AZ65" s="208">
        <f t="shared" si="205"/>
        <v>0</v>
      </c>
      <c r="BA65" s="23"/>
      <c r="BB65" s="218">
        <f t="shared" si="206"/>
        <v>0</v>
      </c>
      <c r="BC65" s="23"/>
      <c r="BD65" s="220">
        <f t="shared" si="230"/>
        <v>0</v>
      </c>
      <c r="BE65" s="212"/>
      <c r="BF65" s="210"/>
      <c r="BG65" s="65">
        <v>0</v>
      </c>
      <c r="BH65" s="23"/>
      <c r="BI65" s="65">
        <v>0</v>
      </c>
      <c r="BJ65" s="23"/>
      <c r="BK65" s="220">
        <f t="shared" si="231"/>
        <v>0</v>
      </c>
      <c r="BL65" s="221"/>
      <c r="BM65" s="210"/>
      <c r="BN65" s="65">
        <v>444.93</v>
      </c>
      <c r="BO65" s="52"/>
      <c r="BP65" s="65">
        <v>300</v>
      </c>
      <c r="BQ65" s="52"/>
      <c r="BR65" s="222">
        <f t="shared" si="207"/>
        <v>144.93</v>
      </c>
      <c r="BS65" s="216"/>
      <c r="BT65" s="210"/>
      <c r="BU65" s="65">
        <v>966.57</v>
      </c>
      <c r="BV65" s="52"/>
      <c r="BW65" s="65">
        <v>300</v>
      </c>
      <c r="BX65" s="52"/>
      <c r="BY65" s="222">
        <f t="shared" si="208"/>
        <v>666.57</v>
      </c>
      <c r="BZ65" s="216"/>
      <c r="CA65" s="210"/>
      <c r="CB65" s="65">
        <v>56.32</v>
      </c>
      <c r="CC65" s="52"/>
      <c r="CD65" s="65">
        <v>621</v>
      </c>
      <c r="CE65" s="52"/>
      <c r="CF65" s="222">
        <f t="shared" si="209"/>
        <v>-564.67999999999995</v>
      </c>
      <c r="CG65" s="216"/>
      <c r="CH65" s="210"/>
      <c r="CI65" s="208">
        <f t="shared" si="210"/>
        <v>1467.82</v>
      </c>
      <c r="CJ65" s="52"/>
      <c r="CK65" s="208">
        <f t="shared" si="222"/>
        <v>1221</v>
      </c>
      <c r="CL65" s="52"/>
      <c r="CM65" s="222">
        <f t="shared" si="211"/>
        <v>246.81999999999994</v>
      </c>
      <c r="CN65" s="216"/>
      <c r="CO65" s="210"/>
      <c r="CP65" s="65">
        <v>913.87</v>
      </c>
      <c r="CQ65" s="51"/>
      <c r="CR65" s="72">
        <v>621</v>
      </c>
      <c r="CS65" s="77"/>
      <c r="CT65" s="222">
        <f t="shared" si="212"/>
        <v>292.87</v>
      </c>
      <c r="CU65" s="227"/>
      <c r="CV65" s="210"/>
      <c r="CW65" s="74">
        <v>-1226.9000000000001</v>
      </c>
      <c r="CX65" s="78"/>
      <c r="CY65" s="72">
        <v>621</v>
      </c>
      <c r="CZ65" s="78"/>
      <c r="DA65" s="222">
        <f t="shared" si="213"/>
        <v>-1847.9</v>
      </c>
      <c r="DB65" s="228"/>
      <c r="DC65" s="210"/>
      <c r="DD65" s="74">
        <v>1092.46</v>
      </c>
      <c r="DE65" s="78"/>
      <c r="DF65" s="74">
        <v>621</v>
      </c>
      <c r="DG65" s="78"/>
      <c r="DH65" s="222">
        <f t="shared" si="214"/>
        <v>471.46000000000004</v>
      </c>
      <c r="DI65" s="228"/>
      <c r="DJ65" s="210"/>
      <c r="DK65" s="74">
        <v>2467.92</v>
      </c>
      <c r="DL65" s="78"/>
      <c r="DM65" s="74">
        <v>621</v>
      </c>
      <c r="DN65" s="78"/>
      <c r="DO65" s="222">
        <f t="shared" si="215"/>
        <v>1846.92</v>
      </c>
      <c r="DP65" s="228"/>
      <c r="DQ65" s="210"/>
      <c r="DR65" s="226">
        <f t="shared" si="216"/>
        <v>3247.35</v>
      </c>
      <c r="DS65" s="78"/>
      <c r="DT65" s="226">
        <f t="shared" si="217"/>
        <v>2484</v>
      </c>
      <c r="DU65" s="78"/>
      <c r="DV65" s="222">
        <f t="shared" si="218"/>
        <v>763.34999999999991</v>
      </c>
      <c r="DW65" s="228"/>
      <c r="DX65" s="210"/>
      <c r="DY65" s="226">
        <f>X65+AZ65+CI65+DR65</f>
        <v>6912.43</v>
      </c>
      <c r="DZ65" s="78"/>
      <c r="EA65" s="226">
        <f t="shared" si="223"/>
        <v>3705</v>
      </c>
      <c r="EB65" s="33"/>
      <c r="EC65" s="212">
        <f t="shared" si="232"/>
        <v>-3207.4300000000003</v>
      </c>
      <c r="ED65" s="212"/>
      <c r="EE65" s="210"/>
      <c r="EF65" s="210"/>
      <c r="EG65" s="210"/>
      <c r="EH65" s="210"/>
      <c r="EI65" s="210"/>
      <c r="EJ65" s="210"/>
      <c r="EK65" s="210"/>
    </row>
    <row r="66" spans="1:141">
      <c r="A66" s="10" t="s">
        <v>77</v>
      </c>
      <c r="B66" s="10"/>
      <c r="C66" s="65"/>
      <c r="D66" s="33"/>
      <c r="E66" s="72">
        <v>615.38461538461536</v>
      </c>
      <c r="F66" s="33"/>
      <c r="G66" s="212" t="e">
        <f>#REF!-C66</f>
        <v>#REF!</v>
      </c>
      <c r="H66" s="212"/>
      <c r="I66" s="210"/>
      <c r="J66" s="22">
        <v>0</v>
      </c>
      <c r="K66" s="33"/>
      <c r="L66" s="72">
        <v>615.38461538461536</v>
      </c>
      <c r="M66" s="33"/>
      <c r="N66" s="212">
        <f t="shared" si="224"/>
        <v>615.38461538461536</v>
      </c>
      <c r="O66" s="212"/>
      <c r="P66" s="210"/>
      <c r="Q66" s="65">
        <v>0</v>
      </c>
      <c r="R66" s="23"/>
      <c r="S66" s="72">
        <v>615.38461538461536</v>
      </c>
      <c r="T66" s="33"/>
      <c r="U66" s="212">
        <f t="shared" si="225"/>
        <v>615.38461538461536</v>
      </c>
      <c r="V66" s="212"/>
      <c r="W66" s="210"/>
      <c r="X66" s="208">
        <f t="shared" si="204"/>
        <v>0</v>
      </c>
      <c r="Y66" s="33"/>
      <c r="Z66" s="218">
        <f t="shared" si="221"/>
        <v>1846.1538461538462</v>
      </c>
      <c r="AA66" s="23"/>
      <c r="AB66" s="212">
        <f t="shared" si="226"/>
        <v>1846.1538461538462</v>
      </c>
      <c r="AC66" s="212"/>
      <c r="AD66" s="210"/>
      <c r="AE66" s="65">
        <v>0</v>
      </c>
      <c r="AF66" s="23"/>
      <c r="AG66" s="72">
        <v>615.38461538461536</v>
      </c>
      <c r="AH66" s="23"/>
      <c r="AI66" s="220">
        <f t="shared" si="227"/>
        <v>615.38461538461536</v>
      </c>
      <c r="AJ66" s="221"/>
      <c r="AK66" s="210"/>
      <c r="AL66" s="65">
        <v>0</v>
      </c>
      <c r="AM66" s="23"/>
      <c r="AN66" s="72">
        <v>615.38461538461536</v>
      </c>
      <c r="AO66" s="23"/>
      <c r="AP66" s="220">
        <f t="shared" si="228"/>
        <v>615.38461538461536</v>
      </c>
      <c r="AQ66" s="221"/>
      <c r="AR66" s="210"/>
      <c r="AS66" s="65">
        <v>0</v>
      </c>
      <c r="AT66" s="23"/>
      <c r="AU66" s="72">
        <v>615.38461538461536</v>
      </c>
      <c r="AV66" s="23"/>
      <c r="AW66" s="220">
        <f t="shared" si="229"/>
        <v>615.38461538461536</v>
      </c>
      <c r="AX66" s="221"/>
      <c r="AY66" s="210"/>
      <c r="AZ66" s="208">
        <f t="shared" si="205"/>
        <v>0</v>
      </c>
      <c r="BA66" s="23"/>
      <c r="BB66" s="218">
        <f t="shared" si="206"/>
        <v>1846.1538461538462</v>
      </c>
      <c r="BC66" s="23"/>
      <c r="BD66" s="220">
        <f t="shared" si="230"/>
        <v>1846.1538461538462</v>
      </c>
      <c r="BE66" s="212"/>
      <c r="BF66" s="210"/>
      <c r="BG66" s="65">
        <v>0</v>
      </c>
      <c r="BH66" s="23"/>
      <c r="BI66" s="65">
        <v>0</v>
      </c>
      <c r="BJ66" s="23"/>
      <c r="BK66" s="220">
        <f t="shared" si="231"/>
        <v>0</v>
      </c>
      <c r="BL66" s="221"/>
      <c r="BM66" s="210"/>
      <c r="BN66" s="65">
        <v>223.46</v>
      </c>
      <c r="BO66" s="52"/>
      <c r="BP66" s="65">
        <v>1000</v>
      </c>
      <c r="BQ66" s="52"/>
      <c r="BR66" s="222">
        <f t="shared" si="207"/>
        <v>-776.54</v>
      </c>
      <c r="BS66" s="216"/>
      <c r="BT66" s="210"/>
      <c r="BU66" s="65">
        <v>0</v>
      </c>
      <c r="BV66" s="52"/>
      <c r="BW66" s="65">
        <v>1000</v>
      </c>
      <c r="BX66" s="52"/>
      <c r="BY66" s="222">
        <f t="shared" si="208"/>
        <v>-1000</v>
      </c>
      <c r="BZ66" s="216"/>
      <c r="CA66" s="210"/>
      <c r="CB66" s="65">
        <v>0</v>
      </c>
      <c r="CC66" s="52"/>
      <c r="CD66" s="65">
        <v>0</v>
      </c>
      <c r="CE66" s="52"/>
      <c r="CF66" s="222">
        <f t="shared" si="209"/>
        <v>0</v>
      </c>
      <c r="CG66" s="216"/>
      <c r="CH66" s="210"/>
      <c r="CI66" s="208">
        <f t="shared" si="210"/>
        <v>223.46</v>
      </c>
      <c r="CJ66" s="52"/>
      <c r="CK66" s="208">
        <f t="shared" si="222"/>
        <v>2000</v>
      </c>
      <c r="CL66" s="52"/>
      <c r="CM66" s="222">
        <f t="shared" si="211"/>
        <v>-1776.54</v>
      </c>
      <c r="CN66" s="216"/>
      <c r="CO66" s="210"/>
      <c r="CP66" s="65">
        <v>2506.19</v>
      </c>
      <c r="CQ66" s="51"/>
      <c r="CR66" s="72">
        <v>500</v>
      </c>
      <c r="CS66" s="77"/>
      <c r="CT66" s="222">
        <f t="shared" si="212"/>
        <v>2006.19</v>
      </c>
      <c r="CU66" s="227"/>
      <c r="CV66" s="210"/>
      <c r="CW66" s="74">
        <v>334.38</v>
      </c>
      <c r="CX66" s="78"/>
      <c r="CY66" s="72">
        <v>500</v>
      </c>
      <c r="CZ66" s="78"/>
      <c r="DA66" s="222">
        <f t="shared" si="213"/>
        <v>-165.62</v>
      </c>
      <c r="DB66" s="228"/>
      <c r="DC66" s="210"/>
      <c r="DD66" s="74">
        <v>-535.74</v>
      </c>
      <c r="DE66" s="78"/>
      <c r="DF66" s="74">
        <v>500</v>
      </c>
      <c r="DG66" s="78"/>
      <c r="DH66" s="222">
        <f t="shared" si="214"/>
        <v>-1035.74</v>
      </c>
      <c r="DI66" s="228"/>
      <c r="DJ66" s="210"/>
      <c r="DK66" s="74">
        <v>98.52</v>
      </c>
      <c r="DL66" s="78"/>
      <c r="DM66" s="74">
        <v>2000</v>
      </c>
      <c r="DN66" s="78"/>
      <c r="DO66" s="222">
        <f t="shared" si="215"/>
        <v>-1901.48</v>
      </c>
      <c r="DP66" s="228"/>
      <c r="DQ66" s="210"/>
      <c r="DR66" s="226">
        <f t="shared" si="216"/>
        <v>2403.35</v>
      </c>
      <c r="DS66" s="78"/>
      <c r="DT66" s="226">
        <f t="shared" si="217"/>
        <v>3500</v>
      </c>
      <c r="DU66" s="78"/>
      <c r="DV66" s="222">
        <f t="shared" si="218"/>
        <v>-1096.6500000000001</v>
      </c>
      <c r="DW66" s="228"/>
      <c r="DX66" s="210"/>
      <c r="DY66" s="226">
        <f t="shared" si="219"/>
        <v>2626.81</v>
      </c>
      <c r="DZ66" s="78"/>
      <c r="EA66" s="226">
        <f t="shared" si="223"/>
        <v>9192.3076923076915</v>
      </c>
      <c r="EB66" s="33"/>
      <c r="EC66" s="212">
        <f t="shared" si="232"/>
        <v>6565.497692307692</v>
      </c>
      <c r="ED66" s="212"/>
      <c r="EE66" s="210"/>
      <c r="EF66" s="210"/>
      <c r="EG66" s="210"/>
      <c r="EH66" s="210"/>
      <c r="EI66" s="210"/>
      <c r="EJ66" s="210"/>
      <c r="EK66" s="210"/>
    </row>
    <row r="67" spans="1:141">
      <c r="A67" s="10" t="s">
        <v>78</v>
      </c>
      <c r="B67" s="10"/>
      <c r="C67" s="65"/>
      <c r="D67" s="33"/>
      <c r="E67" s="72">
        <v>470.61538461538464</v>
      </c>
      <c r="F67" s="33"/>
      <c r="G67" s="212">
        <f t="shared" si="203"/>
        <v>0</v>
      </c>
      <c r="H67" s="212"/>
      <c r="I67" s="210"/>
      <c r="J67" s="22">
        <v>0</v>
      </c>
      <c r="K67" s="33"/>
      <c r="L67" s="72">
        <v>470.61538461538464</v>
      </c>
      <c r="M67" s="33"/>
      <c r="N67" s="212">
        <f t="shared" si="224"/>
        <v>470.61538461538464</v>
      </c>
      <c r="O67" s="212"/>
      <c r="P67" s="210"/>
      <c r="Q67" s="65">
        <v>0</v>
      </c>
      <c r="R67" s="23"/>
      <c r="S67" s="72">
        <v>470.61538461538464</v>
      </c>
      <c r="T67" s="33"/>
      <c r="U67" s="212">
        <f t="shared" si="225"/>
        <v>470.61538461538464</v>
      </c>
      <c r="V67" s="212"/>
      <c r="W67" s="210"/>
      <c r="X67" s="208">
        <f t="shared" si="204"/>
        <v>0</v>
      </c>
      <c r="Y67" s="33"/>
      <c r="Z67" s="218">
        <f t="shared" si="221"/>
        <v>1411.8461538461538</v>
      </c>
      <c r="AA67" s="23"/>
      <c r="AB67" s="212">
        <f t="shared" si="226"/>
        <v>1411.8461538461538</v>
      </c>
      <c r="AC67" s="212"/>
      <c r="AD67" s="210"/>
      <c r="AE67" s="65">
        <v>0</v>
      </c>
      <c r="AF67" s="23"/>
      <c r="AG67" s="72">
        <v>470.61538461538464</v>
      </c>
      <c r="AH67" s="23"/>
      <c r="AI67" s="220">
        <f t="shared" si="227"/>
        <v>470.61538461538464</v>
      </c>
      <c r="AJ67" s="221"/>
      <c r="AK67" s="210"/>
      <c r="AL67" s="65">
        <v>0</v>
      </c>
      <c r="AM67" s="23"/>
      <c r="AN67" s="72">
        <v>470.61538461538464</v>
      </c>
      <c r="AO67" s="23"/>
      <c r="AP67" s="220">
        <f t="shared" si="228"/>
        <v>470.61538461538464</v>
      </c>
      <c r="AQ67" s="221"/>
      <c r="AR67" s="210"/>
      <c r="AS67" s="65">
        <v>0</v>
      </c>
      <c r="AT67" s="23"/>
      <c r="AU67" s="72">
        <v>470.61538461538464</v>
      </c>
      <c r="AV67" s="23"/>
      <c r="AW67" s="220">
        <f t="shared" si="229"/>
        <v>470.61538461538464</v>
      </c>
      <c r="AX67" s="221"/>
      <c r="AY67" s="210"/>
      <c r="AZ67" s="208">
        <f t="shared" si="205"/>
        <v>0</v>
      </c>
      <c r="BA67" s="23"/>
      <c r="BB67" s="218">
        <f t="shared" si="206"/>
        <v>1411.8461538461538</v>
      </c>
      <c r="BC67" s="23"/>
      <c r="BD67" s="220">
        <f t="shared" si="230"/>
        <v>1411.8461538461538</v>
      </c>
      <c r="BE67" s="212"/>
      <c r="BF67" s="210"/>
      <c r="BG67" s="65">
        <v>0</v>
      </c>
      <c r="BH67" s="23"/>
      <c r="BI67" s="65">
        <v>0</v>
      </c>
      <c r="BJ67" s="23"/>
      <c r="BK67" s="220">
        <f t="shared" si="231"/>
        <v>0</v>
      </c>
      <c r="BL67" s="221"/>
      <c r="BM67" s="210"/>
      <c r="BN67" s="65">
        <v>1355.85</v>
      </c>
      <c r="BO67" s="52"/>
      <c r="BP67" s="65">
        <v>8500</v>
      </c>
      <c r="BQ67" s="52"/>
      <c r="BR67" s="222">
        <f t="shared" si="207"/>
        <v>-7144.15</v>
      </c>
      <c r="BS67" s="216"/>
      <c r="BT67" s="210"/>
      <c r="BU67" s="65">
        <v>0</v>
      </c>
      <c r="BV67" s="52"/>
      <c r="BW67" s="65">
        <v>8500</v>
      </c>
      <c r="BX67" s="52"/>
      <c r="BY67" s="222">
        <f t="shared" si="208"/>
        <v>-8500</v>
      </c>
      <c r="BZ67" s="216"/>
      <c r="CA67" s="210"/>
      <c r="CB67" s="65">
        <v>0</v>
      </c>
      <c r="CC67" s="52"/>
      <c r="CD67" s="65">
        <v>0</v>
      </c>
      <c r="CE67" s="52"/>
      <c r="CF67" s="222">
        <f t="shared" si="209"/>
        <v>0</v>
      </c>
      <c r="CG67" s="216"/>
      <c r="CH67" s="210"/>
      <c r="CI67" s="208">
        <f t="shared" si="210"/>
        <v>1355.85</v>
      </c>
      <c r="CJ67" s="52"/>
      <c r="CK67" s="208">
        <f t="shared" si="222"/>
        <v>17000</v>
      </c>
      <c r="CL67" s="52"/>
      <c r="CM67" s="222">
        <f t="shared" si="211"/>
        <v>-15644.15</v>
      </c>
      <c r="CN67" s="216"/>
      <c r="CO67" s="210"/>
      <c r="CP67" s="65">
        <v>0</v>
      </c>
      <c r="CQ67" s="51"/>
      <c r="CR67" s="72">
        <v>0</v>
      </c>
      <c r="CS67" s="77"/>
      <c r="CT67" s="222">
        <f t="shared" si="212"/>
        <v>0</v>
      </c>
      <c r="CU67" s="227"/>
      <c r="CV67" s="210"/>
      <c r="CW67" s="74">
        <v>0</v>
      </c>
      <c r="CX67" s="78"/>
      <c r="CY67" s="72">
        <v>475</v>
      </c>
      <c r="CZ67" s="78"/>
      <c r="DA67" s="222">
        <f t="shared" si="213"/>
        <v>-475</v>
      </c>
      <c r="DB67" s="228"/>
      <c r="DC67" s="210"/>
      <c r="DD67" s="74">
        <v>0</v>
      </c>
      <c r="DE67" s="78"/>
      <c r="DF67" s="74">
        <v>543</v>
      </c>
      <c r="DG67" s="78"/>
      <c r="DH67" s="222">
        <f t="shared" si="214"/>
        <v>-543</v>
      </c>
      <c r="DI67" s="228"/>
      <c r="DJ67" s="210"/>
      <c r="DK67" s="74">
        <v>0</v>
      </c>
      <c r="DL67" s="78"/>
      <c r="DM67" s="74">
        <v>543</v>
      </c>
      <c r="DN67" s="78"/>
      <c r="DO67" s="222">
        <f t="shared" si="215"/>
        <v>-543</v>
      </c>
      <c r="DP67" s="228"/>
      <c r="DQ67" s="210"/>
      <c r="DR67" s="226">
        <f t="shared" si="216"/>
        <v>0</v>
      </c>
      <c r="DS67" s="78"/>
      <c r="DT67" s="226">
        <f t="shared" si="217"/>
        <v>1561</v>
      </c>
      <c r="DU67" s="78"/>
      <c r="DV67" s="222">
        <f t="shared" si="218"/>
        <v>-1561</v>
      </c>
      <c r="DW67" s="228"/>
      <c r="DX67" s="210"/>
      <c r="DY67" s="226">
        <f t="shared" si="219"/>
        <v>1355.85</v>
      </c>
      <c r="DZ67" s="78"/>
      <c r="EA67" s="226">
        <f t="shared" si="223"/>
        <v>21384.692307692309</v>
      </c>
      <c r="EB67" s="33"/>
      <c r="EC67" s="212">
        <f t="shared" si="232"/>
        <v>20028.84230769231</v>
      </c>
      <c r="ED67" s="212"/>
      <c r="EE67" s="210"/>
      <c r="EF67" s="210"/>
      <c r="EG67" s="210"/>
      <c r="EH67" s="210"/>
      <c r="EI67" s="210"/>
      <c r="EJ67" s="210"/>
      <c r="EK67" s="210"/>
    </row>
    <row r="68" spans="1:141">
      <c r="A68" s="10" t="s">
        <v>79</v>
      </c>
      <c r="B68" s="10"/>
      <c r="C68" s="65"/>
      <c r="D68" s="33"/>
      <c r="E68" s="72">
        <v>0</v>
      </c>
      <c r="F68" s="33"/>
      <c r="G68" s="212">
        <f t="shared" si="203"/>
        <v>0</v>
      </c>
      <c r="H68" s="212"/>
      <c r="I68" s="210"/>
      <c r="J68" s="22">
        <v>10.69</v>
      </c>
      <c r="K68" s="33"/>
      <c r="L68" s="72">
        <v>0</v>
      </c>
      <c r="M68" s="33"/>
      <c r="N68" s="212">
        <f t="shared" si="224"/>
        <v>-10.69</v>
      </c>
      <c r="O68" s="212"/>
      <c r="P68" s="210"/>
      <c r="Q68" s="65">
        <v>913.69</v>
      </c>
      <c r="R68" s="23"/>
      <c r="S68" s="72">
        <v>0</v>
      </c>
      <c r="T68" s="33"/>
      <c r="U68" s="212">
        <f t="shared" si="225"/>
        <v>-913.69</v>
      </c>
      <c r="V68" s="212"/>
      <c r="W68" s="210"/>
      <c r="X68" s="208">
        <f t="shared" si="204"/>
        <v>924.38000000000011</v>
      </c>
      <c r="Y68" s="33"/>
      <c r="Z68" s="218">
        <f t="shared" si="221"/>
        <v>0</v>
      </c>
      <c r="AA68" s="23"/>
      <c r="AB68" s="212">
        <f t="shared" si="226"/>
        <v>-924.38000000000011</v>
      </c>
      <c r="AC68" s="212"/>
      <c r="AD68" s="210"/>
      <c r="AE68" s="65">
        <v>0</v>
      </c>
      <c r="AF68" s="23"/>
      <c r="AG68" s="72">
        <v>0</v>
      </c>
      <c r="AH68" s="23"/>
      <c r="AI68" s="220">
        <f t="shared" si="227"/>
        <v>0</v>
      </c>
      <c r="AJ68" s="221"/>
      <c r="AK68" s="210"/>
      <c r="AL68" s="65">
        <v>0</v>
      </c>
      <c r="AM68" s="23"/>
      <c r="AN68" s="72">
        <v>0</v>
      </c>
      <c r="AO68" s="23"/>
      <c r="AP68" s="220">
        <f t="shared" si="228"/>
        <v>0</v>
      </c>
      <c r="AQ68" s="221"/>
      <c r="AR68" s="210"/>
      <c r="AS68" s="65">
        <v>0</v>
      </c>
      <c r="AT68" s="23"/>
      <c r="AU68" s="72">
        <v>0</v>
      </c>
      <c r="AV68" s="23"/>
      <c r="AW68" s="220">
        <f t="shared" si="229"/>
        <v>0</v>
      </c>
      <c r="AX68" s="221"/>
      <c r="AY68" s="210"/>
      <c r="AZ68" s="208">
        <f t="shared" si="205"/>
        <v>0</v>
      </c>
      <c r="BA68" s="23"/>
      <c r="BB68" s="218">
        <f t="shared" si="206"/>
        <v>0</v>
      </c>
      <c r="BC68" s="23"/>
      <c r="BD68" s="220"/>
      <c r="BE68" s="212"/>
      <c r="BF68" s="210"/>
      <c r="BG68" s="65">
        <v>0</v>
      </c>
      <c r="BH68" s="23"/>
      <c r="BI68" s="65">
        <v>0</v>
      </c>
      <c r="BJ68" s="23"/>
      <c r="BK68" s="220">
        <f t="shared" si="231"/>
        <v>0</v>
      </c>
      <c r="BL68" s="221"/>
      <c r="BM68" s="210"/>
      <c r="BN68" s="65">
        <v>0</v>
      </c>
      <c r="BO68" s="52"/>
      <c r="BP68" s="65">
        <v>0</v>
      </c>
      <c r="BQ68" s="52"/>
      <c r="BR68" s="222">
        <f t="shared" si="207"/>
        <v>0</v>
      </c>
      <c r="BS68" s="216"/>
      <c r="BT68" s="210"/>
      <c r="BU68" s="65">
        <v>12167.54</v>
      </c>
      <c r="BV68" s="52"/>
      <c r="BW68" s="65">
        <v>0</v>
      </c>
      <c r="BX68" s="52"/>
      <c r="BY68" s="222">
        <f t="shared" si="208"/>
        <v>12167.54</v>
      </c>
      <c r="BZ68" s="216"/>
      <c r="CA68" s="210"/>
      <c r="CB68" s="65">
        <v>423.58</v>
      </c>
      <c r="CC68" s="52"/>
      <c r="CD68" s="65">
        <v>0</v>
      </c>
      <c r="CE68" s="52"/>
      <c r="CF68" s="222">
        <f t="shared" si="209"/>
        <v>423.58</v>
      </c>
      <c r="CG68" s="216"/>
      <c r="CH68" s="210"/>
      <c r="CI68" s="208">
        <f t="shared" si="210"/>
        <v>12591.12</v>
      </c>
      <c r="CJ68" s="52"/>
      <c r="CK68" s="208">
        <f t="shared" si="222"/>
        <v>0</v>
      </c>
      <c r="CL68" s="52"/>
      <c r="CM68" s="222">
        <f t="shared" si="211"/>
        <v>12591.12</v>
      </c>
      <c r="CN68" s="216"/>
      <c r="CO68" s="210"/>
      <c r="CP68" s="65">
        <v>1707.41</v>
      </c>
      <c r="CQ68" s="51"/>
      <c r="CR68" s="72">
        <v>0</v>
      </c>
      <c r="CS68" s="77"/>
      <c r="CT68" s="222">
        <f t="shared" si="212"/>
        <v>1707.41</v>
      </c>
      <c r="CU68" s="227"/>
      <c r="CV68" s="210"/>
      <c r="CW68" s="74">
        <v>596.66</v>
      </c>
      <c r="CX68" s="78"/>
      <c r="CY68" s="72">
        <v>713</v>
      </c>
      <c r="CZ68" s="78"/>
      <c r="DA68" s="222">
        <f t="shared" si="213"/>
        <v>-116.34000000000003</v>
      </c>
      <c r="DB68" s="228"/>
      <c r="DC68" s="210"/>
      <c r="DD68" s="74">
        <v>10.69</v>
      </c>
      <c r="DE68" s="78"/>
      <c r="DF68" s="74">
        <v>814</v>
      </c>
      <c r="DG68" s="78"/>
      <c r="DH68" s="222">
        <f t="shared" si="214"/>
        <v>-803.31</v>
      </c>
      <c r="DI68" s="228"/>
      <c r="DJ68" s="210"/>
      <c r="DK68" s="74">
        <v>266.38</v>
      </c>
      <c r="DL68" s="78"/>
      <c r="DM68" s="74">
        <v>814</v>
      </c>
      <c r="DN68" s="78"/>
      <c r="DO68" s="222">
        <f t="shared" si="215"/>
        <v>-547.62</v>
      </c>
      <c r="DP68" s="228"/>
      <c r="DQ68" s="210"/>
      <c r="DR68" s="226">
        <f t="shared" si="216"/>
        <v>2581.1400000000003</v>
      </c>
      <c r="DS68" s="78"/>
      <c r="DT68" s="226">
        <f t="shared" si="217"/>
        <v>2341</v>
      </c>
      <c r="DU68" s="78"/>
      <c r="DV68" s="222">
        <f t="shared" si="218"/>
        <v>240.14000000000033</v>
      </c>
      <c r="DW68" s="228"/>
      <c r="DX68" s="210"/>
      <c r="DY68" s="226">
        <f t="shared" si="219"/>
        <v>16096.64</v>
      </c>
      <c r="DZ68" s="78"/>
      <c r="EA68" s="226">
        <f t="shared" si="223"/>
        <v>2341</v>
      </c>
      <c r="EB68" s="33"/>
      <c r="EC68" s="212">
        <f t="shared" si="232"/>
        <v>-13755.64</v>
      </c>
      <c r="ED68" s="212"/>
      <c r="EE68" s="210"/>
      <c r="EF68" s="210"/>
      <c r="EG68" s="210"/>
      <c r="EH68" s="210"/>
      <c r="EI68" s="210"/>
      <c r="EJ68" s="210"/>
      <c r="EK68" s="210"/>
    </row>
    <row r="69" spans="1:141">
      <c r="A69" s="10" t="s">
        <v>80</v>
      </c>
      <c r="B69" s="10"/>
      <c r="C69" s="65"/>
      <c r="D69" s="33"/>
      <c r="E69" s="72">
        <v>0</v>
      </c>
      <c r="F69" s="33"/>
      <c r="G69" s="212">
        <f t="shared" si="203"/>
        <v>630.85735</v>
      </c>
      <c r="H69" s="212"/>
      <c r="I69" s="210"/>
      <c r="J69" s="22">
        <v>0</v>
      </c>
      <c r="K69" s="33"/>
      <c r="L69" s="72">
        <v>0</v>
      </c>
      <c r="M69" s="33"/>
      <c r="N69" s="212">
        <f t="shared" si="224"/>
        <v>0</v>
      </c>
      <c r="O69" s="212"/>
      <c r="P69" s="210"/>
      <c r="Q69" s="65">
        <v>0</v>
      </c>
      <c r="R69" s="23"/>
      <c r="S69" s="72">
        <v>0</v>
      </c>
      <c r="T69" s="33"/>
      <c r="U69" s="212">
        <f t="shared" si="225"/>
        <v>0</v>
      </c>
      <c r="V69" s="212"/>
      <c r="W69" s="210"/>
      <c r="X69" s="208">
        <f t="shared" si="204"/>
        <v>0</v>
      </c>
      <c r="Y69" s="33"/>
      <c r="Z69" s="218">
        <f t="shared" si="221"/>
        <v>0</v>
      </c>
      <c r="AA69" s="23"/>
      <c r="AB69" s="212">
        <f t="shared" si="226"/>
        <v>0</v>
      </c>
      <c r="AC69" s="212"/>
      <c r="AD69" s="210"/>
      <c r="AE69" s="65">
        <v>0</v>
      </c>
      <c r="AF69" s="23"/>
      <c r="AG69" s="72">
        <v>0</v>
      </c>
      <c r="AH69" s="23"/>
      <c r="AI69" s="220">
        <f t="shared" si="227"/>
        <v>0</v>
      </c>
      <c r="AJ69" s="221"/>
      <c r="AK69" s="210"/>
      <c r="AL69" s="65">
        <v>0</v>
      </c>
      <c r="AM69" s="23"/>
      <c r="AN69" s="72">
        <v>0</v>
      </c>
      <c r="AO69" s="23"/>
      <c r="AP69" s="220">
        <f t="shared" si="228"/>
        <v>0</v>
      </c>
      <c r="AQ69" s="221"/>
      <c r="AR69" s="210"/>
      <c r="AS69" s="65">
        <v>0</v>
      </c>
      <c r="AT69" s="23"/>
      <c r="AU69" s="72">
        <v>0</v>
      </c>
      <c r="AV69" s="23"/>
      <c r="AW69" s="220">
        <f t="shared" si="229"/>
        <v>0</v>
      </c>
      <c r="AX69" s="221"/>
      <c r="AY69" s="210"/>
      <c r="AZ69" s="208">
        <f t="shared" si="205"/>
        <v>0</v>
      </c>
      <c r="BA69" s="23"/>
      <c r="BB69" s="218">
        <f t="shared" si="206"/>
        <v>0</v>
      </c>
      <c r="BC69" s="23"/>
      <c r="BD69" s="220">
        <f t="shared" si="230"/>
        <v>0</v>
      </c>
      <c r="BE69" s="212"/>
      <c r="BF69" s="210"/>
      <c r="BG69" s="65">
        <v>0</v>
      </c>
      <c r="BH69" s="23"/>
      <c r="BI69" s="65">
        <v>0</v>
      </c>
      <c r="BJ69" s="23"/>
      <c r="BK69" s="220">
        <f t="shared" si="231"/>
        <v>0</v>
      </c>
      <c r="BL69" s="221"/>
      <c r="BM69" s="210"/>
      <c r="BN69" s="65">
        <v>0</v>
      </c>
      <c r="BO69" s="52"/>
      <c r="BP69" s="65">
        <v>0</v>
      </c>
      <c r="BQ69" s="52"/>
      <c r="BR69" s="222">
        <f t="shared" si="207"/>
        <v>0</v>
      </c>
      <c r="BS69" s="216"/>
      <c r="BT69" s="210"/>
      <c r="BU69" s="65">
        <v>0</v>
      </c>
      <c r="BV69" s="52"/>
      <c r="BW69" s="65">
        <v>0</v>
      </c>
      <c r="BX69" s="52"/>
      <c r="BY69" s="222">
        <f t="shared" si="208"/>
        <v>0</v>
      </c>
      <c r="BZ69" s="216"/>
      <c r="CA69" s="210"/>
      <c r="CB69" s="65">
        <v>0</v>
      </c>
      <c r="CC69" s="52"/>
      <c r="CD69" s="65">
        <v>0</v>
      </c>
      <c r="CE69" s="52"/>
      <c r="CF69" s="222">
        <f t="shared" si="209"/>
        <v>0</v>
      </c>
      <c r="CG69" s="216"/>
      <c r="CH69" s="210"/>
      <c r="CI69" s="208">
        <f t="shared" si="210"/>
        <v>0</v>
      </c>
      <c r="CJ69" s="52"/>
      <c r="CK69" s="208">
        <f t="shared" si="222"/>
        <v>0</v>
      </c>
      <c r="CL69" s="52"/>
      <c r="CM69" s="222">
        <f t="shared" si="211"/>
        <v>0</v>
      </c>
      <c r="CN69" s="216"/>
      <c r="CO69" s="210"/>
      <c r="CP69" s="65">
        <v>0</v>
      </c>
      <c r="CQ69" s="51"/>
      <c r="CR69" s="72">
        <v>0</v>
      </c>
      <c r="CS69" s="77"/>
      <c r="CT69" s="222">
        <f t="shared" si="212"/>
        <v>0</v>
      </c>
      <c r="CU69" s="227"/>
      <c r="CV69" s="210"/>
      <c r="CW69" s="74">
        <v>0</v>
      </c>
      <c r="CX69" s="78"/>
      <c r="CY69" s="72">
        <v>0</v>
      </c>
      <c r="CZ69" s="78"/>
      <c r="DA69" s="222">
        <f t="shared" si="213"/>
        <v>0</v>
      </c>
      <c r="DB69" s="228"/>
      <c r="DC69" s="210"/>
      <c r="DD69" s="74">
        <v>0</v>
      </c>
      <c r="DE69" s="78"/>
      <c r="DF69" s="74">
        <v>0</v>
      </c>
      <c r="DG69" s="78"/>
      <c r="DH69" s="222">
        <f t="shared" si="214"/>
        <v>0</v>
      </c>
      <c r="DI69" s="228"/>
      <c r="DJ69" s="210"/>
      <c r="DK69" s="74">
        <v>0</v>
      </c>
      <c r="DL69" s="78"/>
      <c r="DM69" s="74">
        <v>0</v>
      </c>
      <c r="DN69" s="78"/>
      <c r="DO69" s="222">
        <f t="shared" si="215"/>
        <v>0</v>
      </c>
      <c r="DP69" s="228"/>
      <c r="DQ69" s="210"/>
      <c r="DR69" s="226">
        <f t="shared" si="216"/>
        <v>0</v>
      </c>
      <c r="DS69" s="78"/>
      <c r="DT69" s="226">
        <f t="shared" si="217"/>
        <v>0</v>
      </c>
      <c r="DU69" s="78"/>
      <c r="DV69" s="222">
        <f t="shared" si="218"/>
        <v>0</v>
      </c>
      <c r="DW69" s="228"/>
      <c r="DX69" s="210"/>
      <c r="DY69" s="226">
        <f t="shared" si="219"/>
        <v>0</v>
      </c>
      <c r="DZ69" s="78"/>
      <c r="EA69" s="226">
        <f t="shared" si="223"/>
        <v>0</v>
      </c>
      <c r="EB69" s="33"/>
      <c r="EC69" s="212">
        <f t="shared" si="232"/>
        <v>0</v>
      </c>
      <c r="ED69" s="212"/>
      <c r="EE69" s="210"/>
      <c r="EF69" s="210"/>
      <c r="EG69" s="210"/>
      <c r="EH69" s="210"/>
      <c r="EI69" s="210"/>
      <c r="EJ69" s="210"/>
      <c r="EK69" s="210"/>
    </row>
    <row r="70" spans="1:141">
      <c r="A70" s="61" t="s">
        <v>81</v>
      </c>
      <c r="B70" s="10"/>
      <c r="C70" s="65"/>
      <c r="D70" s="33"/>
      <c r="E70" s="72">
        <v>630.85735</v>
      </c>
      <c r="F70" s="33"/>
      <c r="G70" s="212">
        <f t="shared" si="203"/>
        <v>1249.3139228660086</v>
      </c>
      <c r="H70" s="212"/>
      <c r="I70" s="210"/>
      <c r="J70" s="226">
        <v>994.68</v>
      </c>
      <c r="K70" s="33"/>
      <c r="L70" s="72">
        <v>635.59487500000012</v>
      </c>
      <c r="M70" s="33"/>
      <c r="N70" s="212">
        <f t="shared" si="224"/>
        <v>-359.08512499999983</v>
      </c>
      <c r="O70" s="212"/>
      <c r="P70" s="210"/>
      <c r="Q70" s="65">
        <v>0</v>
      </c>
      <c r="R70" s="23"/>
      <c r="S70" s="72">
        <v>732.02888000000007</v>
      </c>
      <c r="T70" s="33"/>
      <c r="U70" s="212">
        <f t="shared" si="225"/>
        <v>732.02888000000007</v>
      </c>
      <c r="V70" s="212"/>
      <c r="W70" s="210"/>
      <c r="X70" s="208">
        <f t="shared" si="204"/>
        <v>994.68</v>
      </c>
      <c r="Y70" s="33"/>
      <c r="Z70" s="218">
        <f t="shared" si="221"/>
        <v>1998.4811050000001</v>
      </c>
      <c r="AA70" s="23"/>
      <c r="AB70" s="212">
        <f t="shared" si="226"/>
        <v>1003.8011050000001</v>
      </c>
      <c r="AC70" s="212"/>
      <c r="AD70" s="210"/>
      <c r="AE70" s="65">
        <v>0</v>
      </c>
      <c r="AF70" s="23"/>
      <c r="AG70" s="72">
        <v>788.10294999999996</v>
      </c>
      <c r="AH70" s="23"/>
      <c r="AI70" s="220">
        <f t="shared" si="227"/>
        <v>788.10294999999996</v>
      </c>
      <c r="AJ70" s="221"/>
      <c r="AK70" s="210"/>
      <c r="AL70" s="65">
        <v>0</v>
      </c>
      <c r="AM70" s="23"/>
      <c r="AN70" s="72">
        <v>791.16672500000004</v>
      </c>
      <c r="AO70" s="23"/>
      <c r="AP70" s="220">
        <f t="shared" si="228"/>
        <v>791.16672500000004</v>
      </c>
      <c r="AQ70" s="221"/>
      <c r="AR70" s="210"/>
      <c r="AS70" s="65">
        <v>0</v>
      </c>
      <c r="AT70" s="23"/>
      <c r="AU70" s="72">
        <v>808.02246000000002</v>
      </c>
      <c r="AV70" s="23"/>
      <c r="AW70" s="220">
        <f t="shared" si="229"/>
        <v>808.02246000000002</v>
      </c>
      <c r="AX70" s="221"/>
      <c r="AY70" s="210"/>
      <c r="AZ70" s="208">
        <f t="shared" si="205"/>
        <v>0</v>
      </c>
      <c r="BA70" s="23"/>
      <c r="BB70" s="218">
        <f t="shared" si="206"/>
        <v>2387.2921350000001</v>
      </c>
      <c r="BC70" s="23"/>
      <c r="BD70" s="220">
        <f t="shared" si="230"/>
        <v>2387.2921350000001</v>
      </c>
      <c r="BE70" s="212"/>
      <c r="BF70" s="210"/>
      <c r="BG70" s="65">
        <v>0</v>
      </c>
      <c r="BH70" s="23"/>
      <c r="BI70" s="65">
        <v>0</v>
      </c>
      <c r="BJ70" s="23"/>
      <c r="BK70" s="220">
        <f t="shared" si="231"/>
        <v>0</v>
      </c>
      <c r="BL70" s="221"/>
      <c r="BM70" s="210"/>
      <c r="BN70" s="65">
        <f>564.86+8.2</f>
        <v>573.06000000000006</v>
      </c>
      <c r="BO70" s="52"/>
      <c r="BP70" s="65">
        <v>1250</v>
      </c>
      <c r="BQ70" s="52"/>
      <c r="BR70" s="222">
        <f t="shared" si="207"/>
        <v>-676.93999999999994</v>
      </c>
      <c r="BS70" s="216"/>
      <c r="BT70" s="210"/>
      <c r="BU70" s="65">
        <f>559.71</f>
        <v>559.71</v>
      </c>
      <c r="BV70" s="52"/>
      <c r="BW70" s="65">
        <v>0</v>
      </c>
      <c r="BX70" s="52"/>
      <c r="BY70" s="222">
        <f t="shared" si="208"/>
        <v>559.71</v>
      </c>
      <c r="BZ70" s="216"/>
      <c r="CA70" s="210"/>
      <c r="CB70" s="65">
        <v>747.84</v>
      </c>
      <c r="CC70" s="52"/>
      <c r="CD70" s="65">
        <v>1069</v>
      </c>
      <c r="CE70" s="52"/>
      <c r="CF70" s="222">
        <f t="shared" si="209"/>
        <v>-321.15999999999997</v>
      </c>
      <c r="CG70" s="216"/>
      <c r="CH70" s="210"/>
      <c r="CI70" s="208">
        <f t="shared" si="210"/>
        <v>1880.6100000000001</v>
      </c>
      <c r="CJ70" s="52"/>
      <c r="CK70" s="208">
        <f t="shared" si="222"/>
        <v>2319</v>
      </c>
      <c r="CL70" s="52"/>
      <c r="CM70" s="222">
        <f t="shared" si="211"/>
        <v>-438.38999999999987</v>
      </c>
      <c r="CN70" s="216"/>
      <c r="CO70" s="210"/>
      <c r="CP70" s="65">
        <f>621.62+2348.13</f>
        <v>2969.75</v>
      </c>
      <c r="CQ70" s="51"/>
      <c r="CR70" s="72">
        <v>2138</v>
      </c>
      <c r="CS70" s="77"/>
      <c r="CT70" s="222">
        <f t="shared" si="212"/>
        <v>831.75</v>
      </c>
      <c r="CU70" s="227"/>
      <c r="CV70" s="210"/>
      <c r="CW70" s="74">
        <f>410.59+150.58-272.99+331.5</f>
        <v>619.67999999999995</v>
      </c>
      <c r="CX70" s="78"/>
      <c r="CY70" s="72">
        <v>2138</v>
      </c>
      <c r="CZ70" s="78"/>
      <c r="DA70" s="222">
        <f t="shared" si="213"/>
        <v>-1518.3200000000002</v>
      </c>
      <c r="DB70" s="228"/>
      <c r="DC70" s="210"/>
      <c r="DD70" s="74">
        <f>87.71+1537.74+2414.55</f>
        <v>4040</v>
      </c>
      <c r="DE70" s="78"/>
      <c r="DF70" s="74">
        <v>2443</v>
      </c>
      <c r="DG70" s="78"/>
      <c r="DH70" s="222">
        <f t="shared" si="214"/>
        <v>1597</v>
      </c>
      <c r="DI70" s="228"/>
      <c r="DJ70" s="210"/>
      <c r="DK70" s="74">
        <v>1657.22</v>
      </c>
      <c r="DL70" s="78"/>
      <c r="DM70" s="74">
        <v>2443</v>
      </c>
      <c r="DN70" s="78"/>
      <c r="DO70" s="222">
        <f t="shared" si="215"/>
        <v>-785.78</v>
      </c>
      <c r="DP70" s="228"/>
      <c r="DQ70" s="210"/>
      <c r="DR70" s="226">
        <f t="shared" si="216"/>
        <v>9286.65</v>
      </c>
      <c r="DS70" s="78"/>
      <c r="DT70" s="226">
        <f t="shared" si="217"/>
        <v>9162</v>
      </c>
      <c r="DU70" s="78"/>
      <c r="DV70" s="222">
        <f t="shared" si="218"/>
        <v>124.64999999999964</v>
      </c>
      <c r="DW70" s="228"/>
      <c r="DX70" s="210"/>
      <c r="DY70" s="226">
        <f t="shared" si="219"/>
        <v>12161.939999999999</v>
      </c>
      <c r="DZ70" s="78"/>
      <c r="EA70" s="226">
        <f t="shared" si="223"/>
        <v>15866.77324</v>
      </c>
      <c r="EB70" s="33"/>
      <c r="EC70" s="212">
        <f t="shared" si="232"/>
        <v>3704.8332400000018</v>
      </c>
      <c r="ED70" s="212"/>
      <c r="EE70" s="210"/>
      <c r="EF70" s="210"/>
      <c r="EG70" s="210"/>
      <c r="EH70" s="210"/>
      <c r="EI70" s="210"/>
      <c r="EJ70" s="210"/>
      <c r="EK70" s="210"/>
    </row>
    <row r="71" spans="1:141">
      <c r="A71" s="61" t="s">
        <v>82</v>
      </c>
      <c r="B71" s="10"/>
      <c r="C71" s="65"/>
      <c r="D71" s="33"/>
      <c r="E71" s="72">
        <v>1249.3139228660086</v>
      </c>
      <c r="F71" s="33"/>
      <c r="G71" s="212">
        <f t="shared" si="203"/>
        <v>330.76923076923077</v>
      </c>
      <c r="H71" s="212"/>
      <c r="I71" s="210"/>
      <c r="J71" s="226">
        <v>2902.54</v>
      </c>
      <c r="K71" s="33"/>
      <c r="L71" s="72">
        <v>1249.3139228660086</v>
      </c>
      <c r="M71" s="33"/>
      <c r="N71" s="212">
        <f t="shared" si="224"/>
        <v>-1653.2260771339913</v>
      </c>
      <c r="O71" s="212"/>
      <c r="P71" s="210"/>
      <c r="Q71" s="65">
        <v>3224.96</v>
      </c>
      <c r="R71" s="23"/>
      <c r="S71" s="72">
        <v>1249.3139228660086</v>
      </c>
      <c r="T71" s="33"/>
      <c r="U71" s="212">
        <f t="shared" si="225"/>
        <v>-1975.6460771339914</v>
      </c>
      <c r="V71" s="212"/>
      <c r="W71" s="210"/>
      <c r="X71" s="208">
        <f t="shared" si="204"/>
        <v>6127.5</v>
      </c>
      <c r="Y71" s="33"/>
      <c r="Z71" s="218">
        <f t="shared" si="221"/>
        <v>3747.9417685980261</v>
      </c>
      <c r="AA71" s="23"/>
      <c r="AB71" s="212">
        <f t="shared" si="226"/>
        <v>-2379.5582314019739</v>
      </c>
      <c r="AC71" s="212"/>
      <c r="AD71" s="210"/>
      <c r="AE71" s="65">
        <v>0</v>
      </c>
      <c r="AF71" s="23"/>
      <c r="AG71" s="72">
        <v>1249.3139228660086</v>
      </c>
      <c r="AH71" s="23"/>
      <c r="AI71" s="220">
        <f t="shared" si="227"/>
        <v>1249.3139228660086</v>
      </c>
      <c r="AJ71" s="221"/>
      <c r="AK71" s="210"/>
      <c r="AL71" s="65">
        <v>1031.68</v>
      </c>
      <c r="AM71" s="23"/>
      <c r="AN71" s="72">
        <v>1249.3139228660086</v>
      </c>
      <c r="AO71" s="23"/>
      <c r="AP71" s="220">
        <f t="shared" si="228"/>
        <v>217.63392286600856</v>
      </c>
      <c r="AQ71" s="221"/>
      <c r="AR71" s="210"/>
      <c r="AS71" s="65">
        <v>0</v>
      </c>
      <c r="AT71" s="23"/>
      <c r="AU71" s="72">
        <v>1249.3139228660086</v>
      </c>
      <c r="AV71" s="23"/>
      <c r="AW71" s="220">
        <f t="shared" si="229"/>
        <v>1249.3139228660086</v>
      </c>
      <c r="AX71" s="221"/>
      <c r="AY71" s="210"/>
      <c r="AZ71" s="208">
        <f t="shared" si="205"/>
        <v>1031.68</v>
      </c>
      <c r="BA71" s="23"/>
      <c r="BB71" s="218">
        <f t="shared" si="206"/>
        <v>3747.9417685980261</v>
      </c>
      <c r="BC71" s="23"/>
      <c r="BD71" s="220">
        <f t="shared" si="230"/>
        <v>2716.2617685980258</v>
      </c>
      <c r="BE71" s="212"/>
      <c r="BF71" s="210"/>
      <c r="BG71" s="65">
        <v>31.77</v>
      </c>
      <c r="BH71" s="23"/>
      <c r="BI71" s="65">
        <v>0</v>
      </c>
      <c r="BJ71" s="23"/>
      <c r="BK71" s="220">
        <f t="shared" si="231"/>
        <v>-31.77</v>
      </c>
      <c r="BL71" s="221"/>
      <c r="BM71" s="210"/>
      <c r="BN71" s="65">
        <v>2324.67</v>
      </c>
      <c r="BO71" s="52"/>
      <c r="BP71" s="65">
        <v>0</v>
      </c>
      <c r="BQ71" s="52"/>
      <c r="BR71" s="222">
        <f t="shared" si="207"/>
        <v>2324.67</v>
      </c>
      <c r="BS71" s="216"/>
      <c r="BT71" s="210"/>
      <c r="BU71" s="65">
        <f>2309.46+2730.56</f>
        <v>5040.0200000000004</v>
      </c>
      <c r="BV71" s="52"/>
      <c r="BW71" s="65">
        <v>1250</v>
      </c>
      <c r="BX71" s="52"/>
      <c r="BY71" s="222">
        <f t="shared" si="208"/>
        <v>3790.0200000000004</v>
      </c>
      <c r="BZ71" s="216"/>
      <c r="CA71" s="210"/>
      <c r="CB71" s="65">
        <v>1420.13</v>
      </c>
      <c r="CC71" s="52"/>
      <c r="CD71" s="65">
        <v>0</v>
      </c>
      <c r="CE71" s="52"/>
      <c r="CF71" s="222">
        <f t="shared" si="209"/>
        <v>1420.13</v>
      </c>
      <c r="CG71" s="216"/>
      <c r="CH71" s="210"/>
      <c r="CI71" s="208">
        <f t="shared" si="210"/>
        <v>8816.59</v>
      </c>
      <c r="CJ71" s="52"/>
      <c r="CK71" s="208">
        <f t="shared" si="222"/>
        <v>1250</v>
      </c>
      <c r="CL71" s="52"/>
      <c r="CM71" s="222">
        <f t="shared" si="211"/>
        <v>7566.59</v>
      </c>
      <c r="CN71" s="216"/>
      <c r="CO71" s="210"/>
      <c r="CP71" s="65">
        <v>3891.24</v>
      </c>
      <c r="CQ71" s="51"/>
      <c r="CR71" s="72">
        <v>0</v>
      </c>
      <c r="CS71" s="77"/>
      <c r="CT71" s="222">
        <f t="shared" si="212"/>
        <v>3891.24</v>
      </c>
      <c r="CU71" s="227"/>
      <c r="CV71" s="210"/>
      <c r="CW71" s="74">
        <v>888.4</v>
      </c>
      <c r="CX71" s="78"/>
      <c r="CY71" s="72">
        <v>0</v>
      </c>
      <c r="CZ71" s="78"/>
      <c r="DA71" s="222">
        <f t="shared" si="213"/>
        <v>888.4</v>
      </c>
      <c r="DB71" s="228"/>
      <c r="DC71" s="210"/>
      <c r="DD71" s="74">
        <v>198.89</v>
      </c>
      <c r="DE71" s="78"/>
      <c r="DF71" s="74">
        <v>0</v>
      </c>
      <c r="DG71" s="78"/>
      <c r="DH71" s="222">
        <f t="shared" si="214"/>
        <v>198.89</v>
      </c>
      <c r="DI71" s="228"/>
      <c r="DJ71" s="210"/>
      <c r="DK71" s="74">
        <v>366.28</v>
      </c>
      <c r="DL71" s="78"/>
      <c r="DM71" s="74">
        <v>0</v>
      </c>
      <c r="DN71" s="78"/>
      <c r="DO71" s="222">
        <f t="shared" si="215"/>
        <v>366.28</v>
      </c>
      <c r="DP71" s="228"/>
      <c r="DQ71" s="210"/>
      <c r="DR71" s="226">
        <f t="shared" si="216"/>
        <v>5344.8099999999995</v>
      </c>
      <c r="DS71" s="78"/>
      <c r="DT71" s="226">
        <f t="shared" si="217"/>
        <v>0</v>
      </c>
      <c r="DU71" s="78"/>
      <c r="DV71" s="222">
        <f t="shared" si="218"/>
        <v>5344.8099999999995</v>
      </c>
      <c r="DW71" s="228"/>
      <c r="DX71" s="210"/>
      <c r="DY71" s="226">
        <f t="shared" si="219"/>
        <v>21320.58</v>
      </c>
      <c r="DZ71" s="78"/>
      <c r="EA71" s="226">
        <f t="shared" si="223"/>
        <v>8745.8835371960522</v>
      </c>
      <c r="EB71" s="33"/>
      <c r="EC71" s="212">
        <f t="shared" si="232"/>
        <v>-12574.69646280395</v>
      </c>
      <c r="ED71" s="212"/>
      <c r="EE71" s="210"/>
      <c r="EF71" s="210"/>
      <c r="EG71" s="210"/>
      <c r="EH71" s="210"/>
      <c r="EI71" s="210"/>
      <c r="EJ71" s="210"/>
      <c r="EK71" s="224"/>
    </row>
    <row r="72" spans="1:141">
      <c r="A72" s="10" t="s">
        <v>83</v>
      </c>
      <c r="B72" s="10"/>
      <c r="C72" s="65"/>
      <c r="D72" s="33"/>
      <c r="E72" s="72">
        <v>330.76923076923077</v>
      </c>
      <c r="F72" s="33"/>
      <c r="G72" s="212">
        <f>E75-C72</f>
        <v>2769.8899359093575</v>
      </c>
      <c r="H72" s="212"/>
      <c r="I72" s="210"/>
      <c r="J72" s="22">
        <v>300</v>
      </c>
      <c r="K72" s="33"/>
      <c r="L72" s="72">
        <v>330.76923076923077</v>
      </c>
      <c r="M72" s="33"/>
      <c r="N72" s="212">
        <f t="shared" si="224"/>
        <v>30.769230769230774</v>
      </c>
      <c r="O72" s="212"/>
      <c r="P72" s="210"/>
      <c r="Q72" s="65">
        <v>85</v>
      </c>
      <c r="R72" s="23"/>
      <c r="S72" s="72">
        <v>330.76923076923077</v>
      </c>
      <c r="T72" s="33"/>
      <c r="U72" s="212">
        <f t="shared" si="225"/>
        <v>245.76923076923077</v>
      </c>
      <c r="V72" s="212"/>
      <c r="W72" s="210"/>
      <c r="X72" s="208">
        <f t="shared" si="204"/>
        <v>385</v>
      </c>
      <c r="Y72" s="33"/>
      <c r="Z72" s="218">
        <f t="shared" si="221"/>
        <v>992.30769230769238</v>
      </c>
      <c r="AA72" s="23"/>
      <c r="AB72" s="212">
        <f t="shared" si="226"/>
        <v>607.30769230769238</v>
      </c>
      <c r="AC72" s="212"/>
      <c r="AD72" s="210"/>
      <c r="AE72" s="65">
        <v>0</v>
      </c>
      <c r="AF72" s="23"/>
      <c r="AG72" s="72">
        <v>330.76923076923077</v>
      </c>
      <c r="AH72" s="23"/>
      <c r="AI72" s="220">
        <f t="shared" si="227"/>
        <v>330.76923076923077</v>
      </c>
      <c r="AJ72" s="221"/>
      <c r="AK72" s="210"/>
      <c r="AL72" s="65">
        <v>-85</v>
      </c>
      <c r="AM72" s="23"/>
      <c r="AN72" s="72">
        <v>330.76923076923077</v>
      </c>
      <c r="AO72" s="23"/>
      <c r="AP72" s="220">
        <f t="shared" si="228"/>
        <v>415.76923076923077</v>
      </c>
      <c r="AQ72" s="221"/>
      <c r="AR72" s="210"/>
      <c r="AS72" s="65">
        <v>0</v>
      </c>
      <c r="AT72" s="23"/>
      <c r="AU72" s="72">
        <v>330.76923076923077</v>
      </c>
      <c r="AV72" s="23"/>
      <c r="AW72" s="220">
        <f t="shared" si="229"/>
        <v>330.76923076923077</v>
      </c>
      <c r="AX72" s="221"/>
      <c r="AY72" s="210"/>
      <c r="AZ72" s="208">
        <f t="shared" si="205"/>
        <v>-85</v>
      </c>
      <c r="BA72" s="23"/>
      <c r="BB72" s="218">
        <f t="shared" si="206"/>
        <v>992.30769230769238</v>
      </c>
      <c r="BC72" s="23"/>
      <c r="BD72" s="220">
        <f t="shared" si="230"/>
        <v>1077.3076923076924</v>
      </c>
      <c r="BE72" s="212"/>
      <c r="BF72" s="210"/>
      <c r="BG72" s="65">
        <v>726.46</v>
      </c>
      <c r="BH72" s="23"/>
      <c r="BI72" s="65">
        <v>0</v>
      </c>
      <c r="BJ72" s="23"/>
      <c r="BK72" s="220">
        <f t="shared" si="231"/>
        <v>-726.46</v>
      </c>
      <c r="BL72" s="221"/>
      <c r="BM72" s="210"/>
      <c r="BN72" s="65">
        <v>1099.5999999999999</v>
      </c>
      <c r="BO72" s="52"/>
      <c r="BP72" s="65">
        <v>4000</v>
      </c>
      <c r="BQ72" s="52"/>
      <c r="BR72" s="222">
        <f t="shared" si="207"/>
        <v>-2900.4</v>
      </c>
      <c r="BS72" s="216"/>
      <c r="BT72" s="210"/>
      <c r="BU72" s="208">
        <v>1017.68</v>
      </c>
      <c r="BV72" s="52"/>
      <c r="BW72" s="65">
        <v>1000</v>
      </c>
      <c r="BX72" s="52"/>
      <c r="BY72" s="222">
        <f t="shared" si="208"/>
        <v>17.67999999999995</v>
      </c>
      <c r="BZ72" s="216"/>
      <c r="CA72" s="210"/>
      <c r="CB72" s="65">
        <v>0</v>
      </c>
      <c r="CC72" s="52"/>
      <c r="CD72" s="65">
        <v>330.76923076923077</v>
      </c>
      <c r="CE72" s="52"/>
      <c r="CF72" s="222">
        <f t="shared" si="209"/>
        <v>-330.76923076923077</v>
      </c>
      <c r="CG72" s="216"/>
      <c r="CH72" s="210"/>
      <c r="CI72" s="208">
        <f t="shared" si="210"/>
        <v>2843.74</v>
      </c>
      <c r="CJ72" s="52"/>
      <c r="CK72" s="208">
        <f t="shared" si="222"/>
        <v>5330.7692307692305</v>
      </c>
      <c r="CL72" s="52"/>
      <c r="CM72" s="222">
        <f t="shared" si="211"/>
        <v>-2487.0292307692307</v>
      </c>
      <c r="CN72" s="216"/>
      <c r="CO72" s="210"/>
      <c r="CP72" s="65">
        <v>62.54</v>
      </c>
      <c r="CQ72" s="51"/>
      <c r="CR72" s="72">
        <v>331</v>
      </c>
      <c r="CS72" s="77"/>
      <c r="CT72" s="222">
        <f t="shared" si="212"/>
        <v>-268.45999999999998</v>
      </c>
      <c r="CU72" s="227"/>
      <c r="CV72" s="210"/>
      <c r="CW72" s="74">
        <v>127.92</v>
      </c>
      <c r="CX72" s="78"/>
      <c r="CY72" s="72">
        <v>331</v>
      </c>
      <c r="CZ72" s="78"/>
      <c r="DA72" s="222">
        <f t="shared" si="213"/>
        <v>-203.07999999999998</v>
      </c>
      <c r="DB72" s="228"/>
      <c r="DC72" s="210"/>
      <c r="DD72" s="74">
        <v>26.2</v>
      </c>
      <c r="DE72" s="78"/>
      <c r="DF72" s="74">
        <v>331</v>
      </c>
      <c r="DG72" s="78"/>
      <c r="DH72" s="222">
        <f t="shared" si="214"/>
        <v>-304.8</v>
      </c>
      <c r="DI72" s="228"/>
      <c r="DJ72" s="210"/>
      <c r="DK72" s="74">
        <v>0</v>
      </c>
      <c r="DL72" s="78"/>
      <c r="DM72" s="74">
        <v>330.76923076923077</v>
      </c>
      <c r="DN72" s="78"/>
      <c r="DO72" s="222">
        <f t="shared" si="215"/>
        <v>-330.76923076923077</v>
      </c>
      <c r="DP72" s="228"/>
      <c r="DQ72" s="210"/>
      <c r="DR72" s="226">
        <f t="shared" si="216"/>
        <v>216.66</v>
      </c>
      <c r="DS72" s="78"/>
      <c r="DT72" s="226">
        <f t="shared" si="217"/>
        <v>1323.7692307692307</v>
      </c>
      <c r="DU72" s="78"/>
      <c r="DV72" s="222">
        <f t="shared" si="218"/>
        <v>-1107.1092307692306</v>
      </c>
      <c r="DW72" s="228"/>
      <c r="DX72" s="210"/>
      <c r="DY72" s="226">
        <f t="shared" si="219"/>
        <v>3360.3999999999996</v>
      </c>
      <c r="DZ72" s="78"/>
      <c r="EA72" s="226">
        <f t="shared" si="223"/>
        <v>8639.1538461538457</v>
      </c>
      <c r="EB72" s="33"/>
      <c r="EC72" s="212">
        <f t="shared" si="232"/>
        <v>5278.7538461538461</v>
      </c>
      <c r="ED72" s="212"/>
      <c r="EE72" s="210"/>
      <c r="EF72" s="210"/>
      <c r="EG72" s="210"/>
      <c r="EH72" s="210"/>
      <c r="EI72" s="210"/>
      <c r="EJ72" s="210"/>
      <c r="EK72" s="210"/>
    </row>
    <row r="73" spans="1:141">
      <c r="A73" s="10" t="s">
        <v>84</v>
      </c>
      <c r="B73" s="10"/>
      <c r="C73" s="65"/>
      <c r="D73" s="33"/>
      <c r="E73" s="72"/>
      <c r="F73" s="33"/>
      <c r="G73" s="212"/>
      <c r="H73" s="212"/>
      <c r="I73" s="210"/>
      <c r="J73" s="22"/>
      <c r="K73" s="33"/>
      <c r="L73" s="72"/>
      <c r="M73" s="33"/>
      <c r="N73" s="212"/>
      <c r="O73" s="212"/>
      <c r="P73" s="210"/>
      <c r="Q73" s="65"/>
      <c r="R73" s="23"/>
      <c r="S73" s="72"/>
      <c r="T73" s="33"/>
      <c r="U73" s="212"/>
      <c r="V73" s="212"/>
      <c r="W73" s="210"/>
      <c r="X73" s="208">
        <f t="shared" si="204"/>
        <v>0</v>
      </c>
      <c r="Y73" s="33"/>
      <c r="Z73" s="218"/>
      <c r="AA73" s="23"/>
      <c r="AB73" s="212"/>
      <c r="AC73" s="212"/>
      <c r="AD73" s="210"/>
      <c r="AE73" s="65"/>
      <c r="AF73" s="23"/>
      <c r="AG73" s="72"/>
      <c r="AH73" s="23"/>
      <c r="AI73" s="220"/>
      <c r="AJ73" s="221"/>
      <c r="AK73" s="210"/>
      <c r="AL73" s="65"/>
      <c r="AM73" s="23"/>
      <c r="AN73" s="72"/>
      <c r="AO73" s="23"/>
      <c r="AP73" s="220"/>
      <c r="AQ73" s="221"/>
      <c r="AR73" s="210"/>
      <c r="AS73" s="65"/>
      <c r="AT73" s="23"/>
      <c r="AU73" s="72"/>
      <c r="AV73" s="23"/>
      <c r="AW73" s="220"/>
      <c r="AX73" s="221"/>
      <c r="AY73" s="210"/>
      <c r="AZ73" s="208"/>
      <c r="BA73" s="23"/>
      <c r="BB73" s="218"/>
      <c r="BC73" s="23"/>
      <c r="BD73" s="220"/>
      <c r="BE73" s="212"/>
      <c r="BF73" s="210"/>
      <c r="BG73" s="65"/>
      <c r="BH73" s="23"/>
      <c r="BI73" s="65"/>
      <c r="BJ73" s="23"/>
      <c r="BK73" s="220"/>
      <c r="BL73" s="221"/>
      <c r="BM73" s="210"/>
      <c r="BN73" s="65"/>
      <c r="BO73" s="52"/>
      <c r="BP73" s="65"/>
      <c r="BQ73" s="52"/>
      <c r="BR73" s="222"/>
      <c r="BS73" s="216"/>
      <c r="BT73" s="210"/>
      <c r="BU73" s="208">
        <v>4729.26</v>
      </c>
      <c r="BV73" s="52"/>
      <c r="BW73" s="65"/>
      <c r="BX73" s="52"/>
      <c r="BY73" s="222"/>
      <c r="BZ73" s="216"/>
      <c r="CA73" s="210"/>
      <c r="CB73" s="65">
        <v>0</v>
      </c>
      <c r="CC73" s="52"/>
      <c r="CD73" s="65"/>
      <c r="CE73" s="52"/>
      <c r="CF73" s="222"/>
      <c r="CG73" s="216"/>
      <c r="CH73" s="210"/>
      <c r="CI73" s="208">
        <f t="shared" si="210"/>
        <v>4729.26</v>
      </c>
      <c r="CJ73" s="52"/>
      <c r="CK73" s="208"/>
      <c r="CL73" s="52"/>
      <c r="CM73" s="222"/>
      <c r="CN73" s="216"/>
      <c r="CO73" s="210"/>
      <c r="CP73" s="65">
        <v>0</v>
      </c>
      <c r="CQ73" s="51"/>
      <c r="CR73" s="72"/>
      <c r="CS73" s="77"/>
      <c r="CT73" s="222"/>
      <c r="CU73" s="227"/>
      <c r="CV73" s="210"/>
      <c r="CW73" s="74">
        <v>0</v>
      </c>
      <c r="CX73" s="78"/>
      <c r="CY73" s="72"/>
      <c r="CZ73" s="78"/>
      <c r="DA73" s="222"/>
      <c r="DB73" s="228"/>
      <c r="DC73" s="210"/>
      <c r="DD73" s="74">
        <v>0</v>
      </c>
      <c r="DE73" s="78"/>
      <c r="DF73" s="74"/>
      <c r="DG73" s="78"/>
      <c r="DH73" s="222"/>
      <c r="DI73" s="228"/>
      <c r="DJ73" s="210"/>
      <c r="DK73" s="74">
        <v>0</v>
      </c>
      <c r="DL73" s="78"/>
      <c r="DM73" s="74"/>
      <c r="DN73" s="78"/>
      <c r="DO73" s="222"/>
      <c r="DP73" s="228"/>
      <c r="DQ73" s="210"/>
      <c r="DR73" s="226">
        <f t="shared" si="216"/>
        <v>0</v>
      </c>
      <c r="DS73" s="78"/>
      <c r="DT73" s="226"/>
      <c r="DU73" s="78"/>
      <c r="DV73" s="222"/>
      <c r="DW73" s="228"/>
      <c r="DX73" s="210"/>
      <c r="DY73" s="226">
        <f t="shared" si="219"/>
        <v>4729.26</v>
      </c>
      <c r="DZ73" s="78"/>
      <c r="EA73" s="226"/>
      <c r="EB73" s="33"/>
      <c r="EC73" s="212"/>
      <c r="ED73" s="212"/>
      <c r="EE73" s="210"/>
      <c r="EF73" s="210"/>
      <c r="EG73" s="210"/>
      <c r="EH73" s="210"/>
      <c r="EI73" s="210"/>
      <c r="EJ73" s="210"/>
      <c r="EK73" s="210"/>
    </row>
    <row r="74" spans="1:141">
      <c r="A74" s="10" t="s">
        <v>85</v>
      </c>
      <c r="B74" s="10"/>
      <c r="C74" s="65"/>
      <c r="D74" s="33"/>
      <c r="E74" s="72"/>
      <c r="F74" s="33"/>
      <c r="G74" s="212"/>
      <c r="H74" s="212"/>
      <c r="I74" s="210"/>
      <c r="J74" s="22"/>
      <c r="K74" s="33"/>
      <c r="L74" s="72"/>
      <c r="M74" s="33"/>
      <c r="N74" s="212"/>
      <c r="O74" s="212"/>
      <c r="P74" s="210"/>
      <c r="Q74" s="65"/>
      <c r="R74" s="23"/>
      <c r="S74" s="72"/>
      <c r="T74" s="33"/>
      <c r="U74" s="212"/>
      <c r="V74" s="212"/>
      <c r="W74" s="210"/>
      <c r="X74" s="208">
        <f t="shared" si="204"/>
        <v>0</v>
      </c>
      <c r="Y74" s="33"/>
      <c r="Z74" s="218"/>
      <c r="AA74" s="23"/>
      <c r="AB74" s="212"/>
      <c r="AC74" s="212"/>
      <c r="AD74" s="210"/>
      <c r="AE74" s="65"/>
      <c r="AF74" s="23"/>
      <c r="AG74" s="72"/>
      <c r="AH74" s="23"/>
      <c r="AI74" s="220"/>
      <c r="AJ74" s="221"/>
      <c r="AK74" s="210"/>
      <c r="AL74" s="65"/>
      <c r="AM74" s="23"/>
      <c r="AN74" s="72"/>
      <c r="AO74" s="23"/>
      <c r="AP74" s="220"/>
      <c r="AQ74" s="221"/>
      <c r="AR74" s="210"/>
      <c r="AS74" s="65"/>
      <c r="AT74" s="23"/>
      <c r="AU74" s="72"/>
      <c r="AV74" s="23"/>
      <c r="AW74" s="220"/>
      <c r="AX74" s="221"/>
      <c r="AY74" s="210"/>
      <c r="AZ74" s="208"/>
      <c r="BA74" s="23"/>
      <c r="BB74" s="218"/>
      <c r="BC74" s="23"/>
      <c r="BD74" s="220"/>
      <c r="BE74" s="212"/>
      <c r="BF74" s="210"/>
      <c r="BG74" s="65"/>
      <c r="BH74" s="23"/>
      <c r="BI74" s="65"/>
      <c r="BJ74" s="23"/>
      <c r="BK74" s="220"/>
      <c r="BL74" s="221"/>
      <c r="BM74" s="210"/>
      <c r="BN74" s="65"/>
      <c r="BO74" s="52"/>
      <c r="BP74" s="65"/>
      <c r="BQ74" s="52"/>
      <c r="BR74" s="222"/>
      <c r="BS74" s="216"/>
      <c r="BT74" s="210"/>
      <c r="BU74" s="208">
        <v>7155.38</v>
      </c>
      <c r="BV74" s="52"/>
      <c r="BW74" s="65"/>
      <c r="BX74" s="52"/>
      <c r="BY74" s="222"/>
      <c r="BZ74" s="216"/>
      <c r="CA74" s="210"/>
      <c r="CB74" s="65">
        <v>0</v>
      </c>
      <c r="CC74" s="52"/>
      <c r="CD74" s="65"/>
      <c r="CE74" s="52"/>
      <c r="CF74" s="222"/>
      <c r="CG74" s="216"/>
      <c r="CH74" s="210"/>
      <c r="CI74" s="208">
        <f t="shared" si="210"/>
        <v>7155.38</v>
      </c>
      <c r="CJ74" s="52"/>
      <c r="CK74" s="208"/>
      <c r="CL74" s="52"/>
      <c r="CM74" s="222"/>
      <c r="CN74" s="216"/>
      <c r="CO74" s="210"/>
      <c r="CP74" s="65">
        <v>0</v>
      </c>
      <c r="CQ74" s="51"/>
      <c r="CR74" s="72"/>
      <c r="CS74" s="77"/>
      <c r="CT74" s="222"/>
      <c r="CU74" s="227"/>
      <c r="CV74" s="210"/>
      <c r="CW74" s="74">
        <v>226.84</v>
      </c>
      <c r="CX74" s="78"/>
      <c r="CY74" s="72"/>
      <c r="CZ74" s="78"/>
      <c r="DA74" s="222"/>
      <c r="DB74" s="228"/>
      <c r="DC74" s="210"/>
      <c r="DD74" s="74">
        <v>0</v>
      </c>
      <c r="DE74" s="78"/>
      <c r="DF74" s="74"/>
      <c r="DG74" s="78"/>
      <c r="DH74" s="222"/>
      <c r="DI74" s="228"/>
      <c r="DJ74" s="210"/>
      <c r="DK74" s="74">
        <v>-381.76</v>
      </c>
      <c r="DL74" s="78"/>
      <c r="DM74" s="74"/>
      <c r="DN74" s="78"/>
      <c r="DO74" s="222"/>
      <c r="DP74" s="228"/>
      <c r="DQ74" s="210"/>
      <c r="DR74" s="226">
        <f t="shared" si="216"/>
        <v>-154.91999999999999</v>
      </c>
      <c r="DS74" s="78"/>
      <c r="DT74" s="226"/>
      <c r="DU74" s="78"/>
      <c r="DV74" s="222"/>
      <c r="DW74" s="228"/>
      <c r="DX74" s="210"/>
      <c r="DY74" s="226">
        <f t="shared" si="219"/>
        <v>7000.46</v>
      </c>
      <c r="DZ74" s="78"/>
      <c r="EA74" s="226"/>
      <c r="EB74" s="33"/>
      <c r="EC74" s="212"/>
      <c r="ED74" s="212"/>
      <c r="EE74" s="210"/>
      <c r="EF74" s="210"/>
      <c r="EG74" s="210"/>
      <c r="EH74" s="210"/>
      <c r="EI74" s="210"/>
      <c r="EJ74" s="210"/>
      <c r="EK74" s="210"/>
    </row>
    <row r="75" spans="1:141">
      <c r="A75" s="10" t="s">
        <v>86</v>
      </c>
      <c r="B75" s="10"/>
      <c r="C75" s="65"/>
      <c r="D75" s="33"/>
      <c r="E75" s="74">
        <v>2769.8899359093575</v>
      </c>
      <c r="F75" s="33"/>
      <c r="G75" s="212">
        <f t="shared" si="203"/>
        <v>446.8503020979021</v>
      </c>
      <c r="H75" s="212"/>
      <c r="I75" s="210"/>
      <c r="J75" s="226">
        <v>2148.62</v>
      </c>
      <c r="K75" s="33"/>
      <c r="L75" s="74">
        <v>2790.6908710472608</v>
      </c>
      <c r="M75" s="33"/>
      <c r="N75" s="212">
        <f t="shared" si="224"/>
        <v>642.07087104726088</v>
      </c>
      <c r="O75" s="212"/>
      <c r="P75" s="210"/>
      <c r="Q75" s="65">
        <v>2143.2399999999998</v>
      </c>
      <c r="R75" s="23"/>
      <c r="S75" s="74">
        <v>3214.1012980303699</v>
      </c>
      <c r="T75" s="33"/>
      <c r="U75" s="212">
        <f t="shared" si="225"/>
        <v>1070.8612980303701</v>
      </c>
      <c r="V75" s="212"/>
      <c r="W75" s="210"/>
      <c r="X75" s="208">
        <f t="shared" si="204"/>
        <v>4291.8599999999997</v>
      </c>
      <c r="Y75" s="33"/>
      <c r="Z75" s="218">
        <f t="shared" si="221"/>
        <v>8774.6821049869886</v>
      </c>
      <c r="AA75" s="23"/>
      <c r="AB75" s="212">
        <f t="shared" si="226"/>
        <v>4482.822104986989</v>
      </c>
      <c r="AC75" s="212"/>
      <c r="AD75" s="210"/>
      <c r="AE75" s="65">
        <v>0</v>
      </c>
      <c r="AF75" s="23"/>
      <c r="AG75" s="74">
        <v>3460.3043456107407</v>
      </c>
      <c r="AH75" s="23"/>
      <c r="AI75" s="220">
        <f t="shared" si="227"/>
        <v>3460.3043456107407</v>
      </c>
      <c r="AJ75" s="221"/>
      <c r="AK75" s="210"/>
      <c r="AL75" s="65">
        <v>0</v>
      </c>
      <c r="AM75" s="23"/>
      <c r="AN75" s="74">
        <v>3473.7563875634746</v>
      </c>
      <c r="AO75" s="23"/>
      <c r="AP75" s="220">
        <f t="shared" si="228"/>
        <v>3473.7563875634746</v>
      </c>
      <c r="AQ75" s="221"/>
      <c r="AR75" s="210"/>
      <c r="AS75" s="65">
        <v>0</v>
      </c>
      <c r="AT75" s="23"/>
      <c r="AU75" s="74">
        <v>3547.7644509376355</v>
      </c>
      <c r="AV75" s="23"/>
      <c r="AW75" s="220">
        <f t="shared" si="229"/>
        <v>3547.7644509376355</v>
      </c>
      <c r="AX75" s="221"/>
      <c r="AY75" s="210"/>
      <c r="AZ75" s="208">
        <f t="shared" si="205"/>
        <v>0</v>
      </c>
      <c r="BA75" s="23"/>
      <c r="BB75" s="218">
        <f t="shared" si="206"/>
        <v>10481.825184111851</v>
      </c>
      <c r="BC75" s="23"/>
      <c r="BD75" s="220">
        <f t="shared" si="230"/>
        <v>10481.825184111851</v>
      </c>
      <c r="BE75" s="212"/>
      <c r="BF75" s="210"/>
      <c r="BG75" s="65">
        <v>42.7</v>
      </c>
      <c r="BH75" s="23"/>
      <c r="BI75" s="65">
        <v>0</v>
      </c>
      <c r="BJ75" s="23"/>
      <c r="BK75" s="220">
        <f t="shared" si="231"/>
        <v>-42.7</v>
      </c>
      <c r="BL75" s="221"/>
      <c r="BM75" s="210"/>
      <c r="BN75" s="65">
        <v>99.44</v>
      </c>
      <c r="BO75" s="52"/>
      <c r="BP75" s="65">
        <v>700</v>
      </c>
      <c r="BQ75" s="52"/>
      <c r="BR75" s="222">
        <f t="shared" si="207"/>
        <v>-600.55999999999995</v>
      </c>
      <c r="BS75" s="216"/>
      <c r="BT75" s="210"/>
      <c r="BU75" s="65">
        <v>322.44</v>
      </c>
      <c r="BV75" s="52"/>
      <c r="BW75" s="65">
        <v>700</v>
      </c>
      <c r="BX75" s="52"/>
      <c r="BY75" s="222">
        <f t="shared" si="208"/>
        <v>-377.56</v>
      </c>
      <c r="BZ75" s="216"/>
      <c r="CA75" s="210"/>
      <c r="CB75" s="65">
        <v>533.87</v>
      </c>
      <c r="CC75" s="52"/>
      <c r="CD75" s="65">
        <v>1304</v>
      </c>
      <c r="CE75" s="52"/>
      <c r="CF75" s="222">
        <f t="shared" si="209"/>
        <v>-770.13</v>
      </c>
      <c r="CG75" s="216"/>
      <c r="CH75" s="210"/>
      <c r="CI75" s="208">
        <f t="shared" si="210"/>
        <v>998.45</v>
      </c>
      <c r="CJ75" s="52"/>
      <c r="CK75" s="208">
        <f t="shared" si="222"/>
        <v>2704</v>
      </c>
      <c r="CL75" s="52"/>
      <c r="CM75" s="222">
        <f t="shared" si="211"/>
        <v>-1705.55</v>
      </c>
      <c r="CN75" s="216"/>
      <c r="CO75" s="210"/>
      <c r="CP75" s="65">
        <v>1735.73</v>
      </c>
      <c r="CQ75" s="51"/>
      <c r="CR75" s="74">
        <v>2608</v>
      </c>
      <c r="CS75" s="77"/>
      <c r="CT75" s="222">
        <f t="shared" si="212"/>
        <v>-872.27</v>
      </c>
      <c r="CU75" s="227"/>
      <c r="CV75" s="210"/>
      <c r="CW75" s="74">
        <v>1611.1</v>
      </c>
      <c r="CX75" s="78"/>
      <c r="CY75" s="74">
        <v>2608</v>
      </c>
      <c r="CZ75" s="78"/>
      <c r="DA75" s="222">
        <f t="shared" si="213"/>
        <v>-996.90000000000009</v>
      </c>
      <c r="DB75" s="228"/>
      <c r="DC75" s="210"/>
      <c r="DD75" s="74">
        <v>1805.41</v>
      </c>
      <c r="DE75" s="78"/>
      <c r="DF75" s="74">
        <v>2980</v>
      </c>
      <c r="DG75" s="78"/>
      <c r="DH75" s="222">
        <f t="shared" si="214"/>
        <v>-1174.5899999999999</v>
      </c>
      <c r="DI75" s="228"/>
      <c r="DJ75" s="210"/>
      <c r="DK75" s="74">
        <v>2493.4899999999998</v>
      </c>
      <c r="DL75" s="78"/>
      <c r="DM75" s="74">
        <v>2980</v>
      </c>
      <c r="DN75" s="78"/>
      <c r="DO75" s="222">
        <f t="shared" si="215"/>
        <v>-486.51000000000022</v>
      </c>
      <c r="DP75" s="228"/>
      <c r="DQ75" s="210"/>
      <c r="DR75" s="226">
        <f t="shared" si="216"/>
        <v>7645.73</v>
      </c>
      <c r="DS75" s="78"/>
      <c r="DT75" s="226">
        <f t="shared" si="217"/>
        <v>11176</v>
      </c>
      <c r="DU75" s="78"/>
      <c r="DV75" s="222">
        <f t="shared" si="218"/>
        <v>-3530.2700000000004</v>
      </c>
      <c r="DW75" s="228"/>
      <c r="DX75" s="210"/>
      <c r="DY75" s="226">
        <f t="shared" si="219"/>
        <v>12936.039999999999</v>
      </c>
      <c r="DZ75" s="78"/>
      <c r="EA75" s="226">
        <f t="shared" si="223"/>
        <v>33136.507289098838</v>
      </c>
      <c r="EB75" s="33"/>
      <c r="EC75" s="212">
        <f t="shared" si="232"/>
        <v>20200.467289098837</v>
      </c>
      <c r="ED75" s="212"/>
      <c r="EE75" s="210"/>
      <c r="EF75" s="210"/>
      <c r="EG75" s="210"/>
      <c r="EH75" s="210"/>
      <c r="EI75" s="210"/>
      <c r="EJ75" s="210"/>
      <c r="EK75" s="210"/>
    </row>
    <row r="76" spans="1:141">
      <c r="A76" s="10" t="s">
        <v>87</v>
      </c>
      <c r="B76" s="10"/>
      <c r="C76" s="65"/>
      <c r="D76" s="33"/>
      <c r="E76" s="72">
        <v>446.8503020979021</v>
      </c>
      <c r="F76" s="33"/>
      <c r="G76" s="212">
        <f t="shared" si="203"/>
        <v>1687.1777214029896</v>
      </c>
      <c r="H76" s="212"/>
      <c r="I76" s="210"/>
      <c r="J76" s="22">
        <v>213.36</v>
      </c>
      <c r="K76" s="33"/>
      <c r="L76" s="72">
        <v>446.8503020979021</v>
      </c>
      <c r="M76" s="33"/>
      <c r="N76" s="212">
        <f t="shared" si="224"/>
        <v>233.49030209790209</v>
      </c>
      <c r="O76" s="212"/>
      <c r="P76" s="210"/>
      <c r="Q76" s="65">
        <v>567.64</v>
      </c>
      <c r="R76" s="23"/>
      <c r="S76" s="72">
        <v>446.8503020979021</v>
      </c>
      <c r="T76" s="33"/>
      <c r="U76" s="212">
        <f t="shared" si="225"/>
        <v>-120.78969790209788</v>
      </c>
      <c r="V76" s="212"/>
      <c r="W76" s="210"/>
      <c r="X76" s="208">
        <f t="shared" si="204"/>
        <v>781</v>
      </c>
      <c r="Y76" s="33"/>
      <c r="Z76" s="218">
        <f t="shared" si="221"/>
        <v>1340.5509062937062</v>
      </c>
      <c r="AA76" s="23"/>
      <c r="AB76" s="212">
        <f t="shared" si="226"/>
        <v>559.55090629370625</v>
      </c>
      <c r="AC76" s="212"/>
      <c r="AD76" s="210"/>
      <c r="AE76" s="65">
        <v>0</v>
      </c>
      <c r="AF76" s="23"/>
      <c r="AG76" s="72">
        <v>446.8503020979021</v>
      </c>
      <c r="AH76" s="23"/>
      <c r="AI76" s="220">
        <f t="shared" si="227"/>
        <v>446.8503020979021</v>
      </c>
      <c r="AJ76" s="221"/>
      <c r="AK76" s="210"/>
      <c r="AL76" s="65">
        <v>0</v>
      </c>
      <c r="AM76" s="23"/>
      <c r="AN76" s="72">
        <v>446.8503020979021</v>
      </c>
      <c r="AO76" s="23"/>
      <c r="AP76" s="220">
        <f t="shared" si="228"/>
        <v>446.8503020979021</v>
      </c>
      <c r="AQ76" s="221"/>
      <c r="AR76" s="210"/>
      <c r="AS76" s="65">
        <v>0</v>
      </c>
      <c r="AT76" s="23"/>
      <c r="AU76" s="72">
        <v>446.8503020979021</v>
      </c>
      <c r="AV76" s="23"/>
      <c r="AW76" s="220">
        <f t="shared" si="229"/>
        <v>446.8503020979021</v>
      </c>
      <c r="AX76" s="221"/>
      <c r="AY76" s="210"/>
      <c r="AZ76" s="208">
        <f t="shared" si="205"/>
        <v>0</v>
      </c>
      <c r="BA76" s="23"/>
      <c r="BB76" s="218">
        <f t="shared" si="206"/>
        <v>1340.5509062937062</v>
      </c>
      <c r="BC76" s="23"/>
      <c r="BD76" s="220">
        <f t="shared" si="230"/>
        <v>1340.5509062937062</v>
      </c>
      <c r="BE76" s="212"/>
      <c r="BF76" s="210"/>
      <c r="BG76" s="65">
        <v>0</v>
      </c>
      <c r="BH76" s="23"/>
      <c r="BI76" s="65">
        <v>0</v>
      </c>
      <c r="BJ76" s="23"/>
      <c r="BK76" s="220">
        <f t="shared" si="231"/>
        <v>0</v>
      </c>
      <c r="BL76" s="221"/>
      <c r="BM76" s="210"/>
      <c r="BN76" s="65">
        <v>0</v>
      </c>
      <c r="BO76" s="52"/>
      <c r="BP76" s="65">
        <v>0</v>
      </c>
      <c r="BQ76" s="52"/>
      <c r="BR76" s="222">
        <f t="shared" si="207"/>
        <v>0</v>
      </c>
      <c r="BS76" s="216"/>
      <c r="BT76" s="210"/>
      <c r="BU76" s="65">
        <v>0</v>
      </c>
      <c r="BV76" s="52"/>
      <c r="BW76" s="65">
        <v>2500</v>
      </c>
      <c r="BX76" s="52"/>
      <c r="BY76" s="222">
        <f t="shared" si="208"/>
        <v>-2500</v>
      </c>
      <c r="BZ76" s="216"/>
      <c r="CA76" s="210"/>
      <c r="CB76" s="65">
        <v>0</v>
      </c>
      <c r="CC76" s="52"/>
      <c r="CD76" s="65">
        <v>119</v>
      </c>
      <c r="CE76" s="52"/>
      <c r="CF76" s="222">
        <f t="shared" si="209"/>
        <v>-119</v>
      </c>
      <c r="CG76" s="216"/>
      <c r="CH76" s="210"/>
      <c r="CI76" s="208">
        <f t="shared" si="210"/>
        <v>0</v>
      </c>
      <c r="CJ76" s="52"/>
      <c r="CK76" s="208">
        <f t="shared" si="222"/>
        <v>2619</v>
      </c>
      <c r="CL76" s="52"/>
      <c r="CM76" s="222">
        <f t="shared" si="211"/>
        <v>-2619</v>
      </c>
      <c r="CN76" s="216"/>
      <c r="CO76" s="210"/>
      <c r="CP76" s="65">
        <v>0</v>
      </c>
      <c r="CQ76" s="51"/>
      <c r="CR76" s="72">
        <v>238</v>
      </c>
      <c r="CS76" s="77"/>
      <c r="CT76" s="222">
        <f t="shared" si="212"/>
        <v>-238</v>
      </c>
      <c r="CU76" s="227"/>
      <c r="CV76" s="210"/>
      <c r="CW76" s="74">
        <v>0</v>
      </c>
      <c r="CX76" s="78"/>
      <c r="CY76" s="72">
        <v>238</v>
      </c>
      <c r="CZ76" s="78"/>
      <c r="DA76" s="222">
        <f t="shared" si="213"/>
        <v>-238</v>
      </c>
      <c r="DB76" s="228"/>
      <c r="DC76" s="210"/>
      <c r="DD76" s="74">
        <v>0</v>
      </c>
      <c r="DE76" s="78"/>
      <c r="DF76" s="74">
        <v>271</v>
      </c>
      <c r="DG76" s="78"/>
      <c r="DH76" s="222">
        <f t="shared" si="214"/>
        <v>-271</v>
      </c>
      <c r="DI76" s="228"/>
      <c r="DJ76" s="210"/>
      <c r="DK76" s="74">
        <v>0</v>
      </c>
      <c r="DL76" s="78"/>
      <c r="DM76" s="74">
        <v>271</v>
      </c>
      <c r="DN76" s="78"/>
      <c r="DO76" s="222">
        <f t="shared" si="215"/>
        <v>-271</v>
      </c>
      <c r="DP76" s="228"/>
      <c r="DQ76" s="210"/>
      <c r="DR76" s="226">
        <f t="shared" si="216"/>
        <v>0</v>
      </c>
      <c r="DS76" s="78"/>
      <c r="DT76" s="226">
        <f t="shared" si="217"/>
        <v>1018</v>
      </c>
      <c r="DU76" s="78"/>
      <c r="DV76" s="222">
        <f t="shared" si="218"/>
        <v>-1018</v>
      </c>
      <c r="DW76" s="228"/>
      <c r="DX76" s="210"/>
      <c r="DY76" s="226">
        <f t="shared" si="219"/>
        <v>781</v>
      </c>
      <c r="DZ76" s="78"/>
      <c r="EA76" s="226">
        <f t="shared" si="223"/>
        <v>6318.1018125874125</v>
      </c>
      <c r="EB76" s="33"/>
      <c r="EC76" s="212">
        <f t="shared" si="232"/>
        <v>5537.1018125874125</v>
      </c>
      <c r="ED76" s="212"/>
      <c r="EE76" s="210"/>
      <c r="EF76" s="210"/>
      <c r="EG76" s="210"/>
      <c r="EH76" s="210"/>
      <c r="EI76" s="210"/>
      <c r="EJ76" s="210"/>
      <c r="EK76" s="210"/>
    </row>
    <row r="77" spans="1:141">
      <c r="A77" s="10" t="s">
        <v>88</v>
      </c>
      <c r="B77" s="10"/>
      <c r="C77" s="65"/>
      <c r="D77" s="33"/>
      <c r="E77" s="72">
        <v>1687.1777214029896</v>
      </c>
      <c r="F77" s="33"/>
      <c r="G77" s="212">
        <f t="shared" si="203"/>
        <v>230.76923076923077</v>
      </c>
      <c r="H77" s="212"/>
      <c r="I77" s="210"/>
      <c r="J77" s="226">
        <v>1071.8800000000001</v>
      </c>
      <c r="K77" s="33"/>
      <c r="L77" s="72">
        <v>1699.8478545711139</v>
      </c>
      <c r="M77" s="33"/>
      <c r="N77" s="212">
        <f t="shared" si="224"/>
        <v>627.96785457111378</v>
      </c>
      <c r="O77" s="212"/>
      <c r="P77" s="210"/>
      <c r="Q77" s="65">
        <v>1664.56</v>
      </c>
      <c r="R77" s="23"/>
      <c r="S77" s="72">
        <v>1957.7529179292003</v>
      </c>
      <c r="T77" s="33"/>
      <c r="U77" s="212">
        <f t="shared" si="225"/>
        <v>293.19291792920035</v>
      </c>
      <c r="V77" s="212"/>
      <c r="W77" s="210"/>
      <c r="X77" s="208">
        <f t="shared" si="204"/>
        <v>2736.44</v>
      </c>
      <c r="Y77" s="33"/>
      <c r="Z77" s="218">
        <f t="shared" si="221"/>
        <v>5344.7784939033036</v>
      </c>
      <c r="AA77" s="23"/>
      <c r="AB77" s="212">
        <f t="shared" si="226"/>
        <v>2608.3384939033035</v>
      </c>
      <c r="AC77" s="212"/>
      <c r="AD77" s="210"/>
      <c r="AE77" s="65">
        <v>0</v>
      </c>
      <c r="AF77" s="23"/>
      <c r="AG77" s="72">
        <v>2107.7185506548735</v>
      </c>
      <c r="AH77" s="23"/>
      <c r="AI77" s="220">
        <f t="shared" si="227"/>
        <v>2107.7185506548735</v>
      </c>
      <c r="AJ77" s="221"/>
      <c r="AK77" s="210"/>
      <c r="AL77" s="65">
        <v>0</v>
      </c>
      <c r="AM77" s="23"/>
      <c r="AN77" s="72">
        <v>2115.9123727976948</v>
      </c>
      <c r="AO77" s="23"/>
      <c r="AP77" s="220">
        <f t="shared" si="228"/>
        <v>2115.9123727976948</v>
      </c>
      <c r="AQ77" s="221"/>
      <c r="AR77" s="210"/>
      <c r="AS77" s="65">
        <v>0</v>
      </c>
      <c r="AT77" s="23"/>
      <c r="AU77" s="68">
        <v>2160.9916931382959</v>
      </c>
      <c r="AV77" s="23"/>
      <c r="AW77" s="220">
        <f t="shared" si="229"/>
        <v>2160.9916931382959</v>
      </c>
      <c r="AX77" s="221"/>
      <c r="AY77" s="210"/>
      <c r="AZ77" s="208">
        <f t="shared" si="205"/>
        <v>0</v>
      </c>
      <c r="BA77" s="23"/>
      <c r="BB77" s="218">
        <f t="shared" si="206"/>
        <v>6384.6226165908647</v>
      </c>
      <c r="BC77" s="23"/>
      <c r="BD77" s="220">
        <f t="shared" si="230"/>
        <v>6384.6226165908647</v>
      </c>
      <c r="BE77" s="212"/>
      <c r="BF77" s="210"/>
      <c r="BG77" s="65">
        <v>0</v>
      </c>
      <c r="BH77" s="23"/>
      <c r="BI77" s="65">
        <v>0</v>
      </c>
      <c r="BJ77" s="23"/>
      <c r="BK77" s="220">
        <f t="shared" si="231"/>
        <v>0</v>
      </c>
      <c r="BL77" s="221"/>
      <c r="BM77" s="210"/>
      <c r="BN77" s="65">
        <v>524.22</v>
      </c>
      <c r="BO77" s="52"/>
      <c r="BP77" s="65">
        <v>1250</v>
      </c>
      <c r="BQ77" s="52"/>
      <c r="BR77" s="222">
        <f t="shared" si="207"/>
        <v>-725.78</v>
      </c>
      <c r="BS77" s="216"/>
      <c r="BT77" s="210"/>
      <c r="BU77" s="65">
        <v>2164.2399999999998</v>
      </c>
      <c r="BV77" s="52"/>
      <c r="BW77" s="65">
        <v>2500</v>
      </c>
      <c r="BX77" s="52"/>
      <c r="BY77" s="222">
        <f t="shared" si="208"/>
        <v>-335.76000000000022</v>
      </c>
      <c r="BZ77" s="216"/>
      <c r="CA77" s="210"/>
      <c r="CB77" s="65">
        <v>1685.63</v>
      </c>
      <c r="CC77" s="52"/>
      <c r="CD77" s="65">
        <v>1188</v>
      </c>
      <c r="CE77" s="52"/>
      <c r="CF77" s="222">
        <f t="shared" si="209"/>
        <v>497.63000000000011</v>
      </c>
      <c r="CG77" s="216"/>
      <c r="CH77" s="210"/>
      <c r="CI77" s="208">
        <f t="shared" si="210"/>
        <v>4374.09</v>
      </c>
      <c r="CJ77" s="52"/>
      <c r="CK77" s="208">
        <f t="shared" si="222"/>
        <v>4938</v>
      </c>
      <c r="CL77" s="52"/>
      <c r="CM77" s="222">
        <f t="shared" si="211"/>
        <v>-563.90999999999985</v>
      </c>
      <c r="CN77" s="216"/>
      <c r="CO77" s="210"/>
      <c r="CP77" s="65">
        <v>5123.1400000000003</v>
      </c>
      <c r="CQ77" s="51"/>
      <c r="CR77" s="72">
        <v>2376</v>
      </c>
      <c r="CS77" s="77"/>
      <c r="CT77" s="222">
        <f t="shared" si="212"/>
        <v>2747.1400000000003</v>
      </c>
      <c r="CU77" s="227"/>
      <c r="CV77" s="210"/>
      <c r="CW77" s="74">
        <v>3784.42</v>
      </c>
      <c r="CX77" s="78"/>
      <c r="CY77" s="72">
        <v>2376</v>
      </c>
      <c r="CZ77" s="78"/>
      <c r="DA77" s="222">
        <f t="shared" si="213"/>
        <v>1408.42</v>
      </c>
      <c r="DB77" s="228"/>
      <c r="DC77" s="210"/>
      <c r="DD77" s="74">
        <v>3192.71</v>
      </c>
      <c r="DE77" s="78"/>
      <c r="DF77" s="74">
        <v>2715</v>
      </c>
      <c r="DG77" s="78"/>
      <c r="DH77" s="222">
        <f t="shared" si="214"/>
        <v>477.71000000000004</v>
      </c>
      <c r="DI77" s="228"/>
      <c r="DJ77" s="210"/>
      <c r="DK77" s="74">
        <v>3782.86</v>
      </c>
      <c r="DL77" s="78"/>
      <c r="DM77" s="74">
        <v>2715</v>
      </c>
      <c r="DN77" s="78"/>
      <c r="DO77" s="222">
        <f t="shared" si="215"/>
        <v>1067.8600000000001</v>
      </c>
      <c r="DP77" s="228"/>
      <c r="DQ77" s="210"/>
      <c r="DR77" s="226">
        <f t="shared" si="216"/>
        <v>15883.130000000001</v>
      </c>
      <c r="DS77" s="78"/>
      <c r="DT77" s="226">
        <f t="shared" si="217"/>
        <v>10182</v>
      </c>
      <c r="DU77" s="78"/>
      <c r="DV77" s="222">
        <f t="shared" si="218"/>
        <v>5701.130000000001</v>
      </c>
      <c r="DW77" s="228"/>
      <c r="DX77" s="210"/>
      <c r="DY77" s="226">
        <f t="shared" si="219"/>
        <v>22993.660000000003</v>
      </c>
      <c r="DZ77" s="78"/>
      <c r="EA77" s="226">
        <f t="shared" si="223"/>
        <v>26849.401110494167</v>
      </c>
      <c r="EB77" s="33"/>
      <c r="EC77" s="212">
        <f t="shared" si="232"/>
        <v>3855.7411104941639</v>
      </c>
      <c r="ED77" s="212"/>
      <c r="EE77" s="210"/>
      <c r="EF77" s="210"/>
      <c r="EG77" s="210"/>
      <c r="EH77" s="210"/>
      <c r="EI77" s="210"/>
      <c r="EJ77" s="210"/>
      <c r="EK77" s="210"/>
    </row>
    <row r="78" spans="1:141">
      <c r="A78" s="10" t="s">
        <v>89</v>
      </c>
      <c r="B78" s="10"/>
      <c r="C78" s="65"/>
      <c r="D78" s="33"/>
      <c r="E78" s="72">
        <v>230.76923076923077</v>
      </c>
      <c r="F78" s="33"/>
      <c r="G78" s="212"/>
      <c r="H78" s="212"/>
      <c r="I78" s="210"/>
      <c r="J78" s="22">
        <v>174</v>
      </c>
      <c r="K78" s="33"/>
      <c r="L78" s="72">
        <v>230.76923076923077</v>
      </c>
      <c r="M78" s="33"/>
      <c r="N78" s="212">
        <f t="shared" si="224"/>
        <v>56.769230769230774</v>
      </c>
      <c r="O78" s="212"/>
      <c r="P78" s="210"/>
      <c r="Q78" s="65">
        <f>174+250+650</f>
        <v>1074</v>
      </c>
      <c r="R78" s="23"/>
      <c r="S78" s="72">
        <v>230.76923076923077</v>
      </c>
      <c r="T78" s="33"/>
      <c r="U78" s="212">
        <f t="shared" si="225"/>
        <v>-843.23076923076928</v>
      </c>
      <c r="V78" s="212"/>
      <c r="W78" s="210"/>
      <c r="X78" s="208">
        <f t="shared" si="204"/>
        <v>1248</v>
      </c>
      <c r="Y78" s="33"/>
      <c r="Z78" s="218">
        <f t="shared" si="221"/>
        <v>692.30769230769238</v>
      </c>
      <c r="AA78" s="23"/>
      <c r="AB78" s="212"/>
      <c r="AC78" s="212"/>
      <c r="AD78" s="210"/>
      <c r="AE78" s="65">
        <v>-250</v>
      </c>
      <c r="AF78" s="23"/>
      <c r="AG78" s="72">
        <v>230.76923076923077</v>
      </c>
      <c r="AH78" s="23"/>
      <c r="AI78" s="220">
        <f t="shared" si="227"/>
        <v>480.76923076923077</v>
      </c>
      <c r="AJ78" s="221"/>
      <c r="AK78" s="210"/>
      <c r="AL78" s="65">
        <v>-305.63</v>
      </c>
      <c r="AM78" s="23"/>
      <c r="AN78" s="72">
        <v>230.76923076923077</v>
      </c>
      <c r="AO78" s="23"/>
      <c r="AP78" s="220"/>
      <c r="AQ78" s="221"/>
      <c r="AR78" s="210"/>
      <c r="AS78" s="65">
        <v>0</v>
      </c>
      <c r="AT78" s="23"/>
      <c r="AU78" s="68">
        <v>230.76923076923077</v>
      </c>
      <c r="AV78" s="23"/>
      <c r="AW78" s="220"/>
      <c r="AX78" s="221"/>
      <c r="AY78" s="210"/>
      <c r="AZ78" s="208">
        <f t="shared" ref="AZ78:AZ81" si="234">AE78+AL78+AS78</f>
        <v>-555.63</v>
      </c>
      <c r="BA78" s="23"/>
      <c r="BB78" s="218">
        <f t="shared" si="206"/>
        <v>692.30769230769238</v>
      </c>
      <c r="BC78" s="23"/>
      <c r="BD78" s="220"/>
      <c r="BE78" s="212"/>
      <c r="BF78" s="210"/>
      <c r="BG78" s="65">
        <v>0</v>
      </c>
      <c r="BH78" s="23"/>
      <c r="BI78" s="65">
        <v>0</v>
      </c>
      <c r="BJ78" s="23"/>
      <c r="BK78" s="220">
        <f t="shared" si="231"/>
        <v>0</v>
      </c>
      <c r="BL78" s="221"/>
      <c r="BM78" s="210"/>
      <c r="BN78" s="65">
        <v>120</v>
      </c>
      <c r="BO78" s="52"/>
      <c r="BP78" s="65">
        <v>0</v>
      </c>
      <c r="BQ78" s="52"/>
      <c r="BR78" s="222">
        <f t="shared" si="207"/>
        <v>120</v>
      </c>
      <c r="BS78" s="216"/>
      <c r="BT78" s="210"/>
      <c r="BU78" s="65">
        <v>0</v>
      </c>
      <c r="BV78" s="52"/>
      <c r="BW78" s="65">
        <v>0</v>
      </c>
      <c r="BX78" s="52"/>
      <c r="BY78" s="222">
        <f t="shared" si="208"/>
        <v>0</v>
      </c>
      <c r="BZ78" s="216"/>
      <c r="CA78" s="210"/>
      <c r="CB78" s="65">
        <v>0</v>
      </c>
      <c r="CC78" s="52"/>
      <c r="CD78" s="65">
        <v>230.76923076923077</v>
      </c>
      <c r="CE78" s="52"/>
      <c r="CF78" s="222">
        <f t="shared" si="209"/>
        <v>-230.76923076923077</v>
      </c>
      <c r="CG78" s="216"/>
      <c r="CH78" s="210"/>
      <c r="CI78" s="208">
        <f t="shared" si="210"/>
        <v>120</v>
      </c>
      <c r="CJ78" s="52"/>
      <c r="CK78" s="208">
        <f t="shared" si="222"/>
        <v>230.76923076923077</v>
      </c>
      <c r="CL78" s="52"/>
      <c r="CM78" s="222">
        <f t="shared" si="211"/>
        <v>-110.76923076923077</v>
      </c>
      <c r="CN78" s="216"/>
      <c r="CO78" s="210"/>
      <c r="CP78" s="65">
        <v>200</v>
      </c>
      <c r="CQ78" s="51"/>
      <c r="CR78" s="72">
        <v>231</v>
      </c>
      <c r="CS78" s="77"/>
      <c r="CT78" s="222">
        <f t="shared" si="212"/>
        <v>-31</v>
      </c>
      <c r="CU78" s="227"/>
      <c r="CV78" s="210"/>
      <c r="CW78" s="74">
        <v>0</v>
      </c>
      <c r="CX78" s="78"/>
      <c r="CY78" s="72">
        <v>231</v>
      </c>
      <c r="CZ78" s="78"/>
      <c r="DA78" s="222">
        <f t="shared" si="213"/>
        <v>-231</v>
      </c>
      <c r="DB78" s="228"/>
      <c r="DC78" s="210"/>
      <c r="DD78" s="74">
        <v>0</v>
      </c>
      <c r="DE78" s="78"/>
      <c r="DF78" s="74">
        <v>230.76923076923077</v>
      </c>
      <c r="DG78" s="78"/>
      <c r="DH78" s="222">
        <f t="shared" si="214"/>
        <v>-230.76923076923077</v>
      </c>
      <c r="DI78" s="228"/>
      <c r="DJ78" s="210"/>
      <c r="DK78" s="74">
        <v>0</v>
      </c>
      <c r="DL78" s="78"/>
      <c r="DM78" s="74">
        <v>230.76923076923077</v>
      </c>
      <c r="DN78" s="78"/>
      <c r="DO78" s="222">
        <f t="shared" si="215"/>
        <v>-230.76923076923077</v>
      </c>
      <c r="DP78" s="228"/>
      <c r="DQ78" s="210"/>
      <c r="DR78" s="226">
        <f t="shared" si="216"/>
        <v>200</v>
      </c>
      <c r="DS78" s="78"/>
      <c r="DT78" s="226">
        <f t="shared" si="217"/>
        <v>923.53846153846143</v>
      </c>
      <c r="DU78" s="78"/>
      <c r="DV78" s="222">
        <f t="shared" si="218"/>
        <v>-723.53846153846143</v>
      </c>
      <c r="DW78" s="228"/>
      <c r="DX78" s="210"/>
      <c r="DY78" s="226">
        <f t="shared" si="219"/>
        <v>1012.37</v>
      </c>
      <c r="DZ78" s="78"/>
      <c r="EA78" s="226">
        <f t="shared" si="223"/>
        <v>2538.9230769230771</v>
      </c>
      <c r="EB78" s="33"/>
      <c r="EC78" s="212"/>
      <c r="ED78" s="212"/>
      <c r="EE78" s="210"/>
      <c r="EF78" s="210"/>
      <c r="EG78" s="210"/>
      <c r="EH78" s="210"/>
      <c r="EI78" s="210"/>
      <c r="EJ78" s="210"/>
      <c r="EK78" s="210"/>
    </row>
    <row r="79" spans="1:141">
      <c r="A79" s="10" t="s">
        <v>90</v>
      </c>
      <c r="B79" s="10"/>
      <c r="C79" s="65"/>
      <c r="D79" s="33"/>
      <c r="E79" s="72">
        <v>357.99140979020984</v>
      </c>
      <c r="F79" s="33"/>
      <c r="G79" s="212"/>
      <c r="H79" s="212"/>
      <c r="I79" s="210"/>
      <c r="J79" s="22">
        <v>0</v>
      </c>
      <c r="K79" s="33"/>
      <c r="L79" s="72">
        <v>357.99140979020984</v>
      </c>
      <c r="M79" s="33"/>
      <c r="N79" s="212">
        <f t="shared" si="224"/>
        <v>357.99140979020984</v>
      </c>
      <c r="O79" s="212"/>
      <c r="P79" s="210"/>
      <c r="Q79" s="65">
        <v>1640.5</v>
      </c>
      <c r="R79" s="23"/>
      <c r="S79" s="72">
        <v>357.99140979020984</v>
      </c>
      <c r="T79" s="33"/>
      <c r="U79" s="212"/>
      <c r="V79" s="212"/>
      <c r="W79" s="210"/>
      <c r="X79" s="208">
        <f t="shared" si="204"/>
        <v>1640.5</v>
      </c>
      <c r="Y79" s="33"/>
      <c r="Z79" s="218">
        <f t="shared" si="221"/>
        <v>1073.9742293706295</v>
      </c>
      <c r="AA79" s="23"/>
      <c r="AB79" s="212"/>
      <c r="AC79" s="212"/>
      <c r="AD79" s="210"/>
      <c r="AE79" s="65">
        <v>0</v>
      </c>
      <c r="AF79" s="23"/>
      <c r="AG79" s="72">
        <v>357.99140979020984</v>
      </c>
      <c r="AH79" s="23"/>
      <c r="AI79" s="220">
        <f t="shared" si="227"/>
        <v>357.99140979020984</v>
      </c>
      <c r="AJ79" s="221"/>
      <c r="AK79" s="210"/>
      <c r="AL79" s="65">
        <v>-1037.3399999999999</v>
      </c>
      <c r="AM79" s="23"/>
      <c r="AN79" s="72">
        <v>357.99140979020984</v>
      </c>
      <c r="AO79" s="23"/>
      <c r="AP79" s="220"/>
      <c r="AQ79" s="221"/>
      <c r="AR79" s="210"/>
      <c r="AS79" s="65">
        <v>0</v>
      </c>
      <c r="AT79" s="23"/>
      <c r="AU79" s="68">
        <v>357.99140979020984</v>
      </c>
      <c r="AV79" s="23"/>
      <c r="AW79" s="220"/>
      <c r="AX79" s="221"/>
      <c r="AY79" s="210"/>
      <c r="AZ79" s="208">
        <f t="shared" si="234"/>
        <v>-1037.3399999999999</v>
      </c>
      <c r="BA79" s="23"/>
      <c r="BB79" s="218">
        <f t="shared" si="206"/>
        <v>1073.9742293706295</v>
      </c>
      <c r="BC79" s="23"/>
      <c r="BD79" s="220"/>
      <c r="BE79" s="212"/>
      <c r="BF79" s="210"/>
      <c r="BG79" s="65">
        <v>1961</v>
      </c>
      <c r="BH79" s="23"/>
      <c r="BI79" s="65">
        <v>364</v>
      </c>
      <c r="BJ79" s="23"/>
      <c r="BK79" s="220">
        <f t="shared" si="231"/>
        <v>-1597</v>
      </c>
      <c r="BL79" s="221"/>
      <c r="BM79" s="210"/>
      <c r="BN79" s="65">
        <v>0</v>
      </c>
      <c r="BO79" s="52"/>
      <c r="BP79" s="65">
        <v>364</v>
      </c>
      <c r="BQ79" s="52"/>
      <c r="BR79" s="222">
        <f t="shared" si="207"/>
        <v>-364</v>
      </c>
      <c r="BS79" s="216"/>
      <c r="BT79" s="210"/>
      <c r="BU79" s="65">
        <v>63.74</v>
      </c>
      <c r="BV79" s="52"/>
      <c r="BW79" s="65">
        <v>364</v>
      </c>
      <c r="BX79" s="52"/>
      <c r="BY79" s="222">
        <f t="shared" si="208"/>
        <v>-300.26</v>
      </c>
      <c r="BZ79" s="216"/>
      <c r="CA79" s="210"/>
      <c r="CB79" s="65">
        <v>281.7</v>
      </c>
      <c r="CC79" s="52"/>
      <c r="CD79" s="65">
        <v>365</v>
      </c>
      <c r="CE79" s="52"/>
      <c r="CF79" s="222">
        <f t="shared" si="209"/>
        <v>-83.300000000000011</v>
      </c>
      <c r="CG79" s="216"/>
      <c r="CH79" s="210"/>
      <c r="CI79" s="208">
        <f t="shared" si="210"/>
        <v>2306.44</v>
      </c>
      <c r="CJ79" s="52"/>
      <c r="CK79" s="208">
        <f t="shared" si="222"/>
        <v>1457</v>
      </c>
      <c r="CL79" s="52"/>
      <c r="CM79" s="222">
        <f t="shared" si="211"/>
        <v>849.44</v>
      </c>
      <c r="CN79" s="216"/>
      <c r="CO79" s="210"/>
      <c r="CP79" s="65">
        <v>99.5</v>
      </c>
      <c r="CQ79" s="51"/>
      <c r="CR79" s="72">
        <v>365</v>
      </c>
      <c r="CS79" s="77"/>
      <c r="CT79" s="222">
        <f t="shared" si="212"/>
        <v>-265.5</v>
      </c>
      <c r="CU79" s="227"/>
      <c r="CV79" s="210"/>
      <c r="CW79" s="74">
        <v>180.2</v>
      </c>
      <c r="CX79" s="78"/>
      <c r="CY79" s="72">
        <v>365</v>
      </c>
      <c r="CZ79" s="78"/>
      <c r="DA79" s="222">
        <f t="shared" si="213"/>
        <v>-184.8</v>
      </c>
      <c r="DB79" s="228"/>
      <c r="DC79" s="210"/>
      <c r="DD79" s="74">
        <v>-360.4</v>
      </c>
      <c r="DE79" s="78"/>
      <c r="DF79" s="74">
        <v>365</v>
      </c>
      <c r="DG79" s="78"/>
      <c r="DH79" s="222">
        <f t="shared" si="214"/>
        <v>-725.4</v>
      </c>
      <c r="DI79" s="228"/>
      <c r="DJ79" s="210"/>
      <c r="DK79" s="74">
        <v>0</v>
      </c>
      <c r="DL79" s="78"/>
      <c r="DM79" s="74">
        <v>365</v>
      </c>
      <c r="DN79" s="78"/>
      <c r="DO79" s="222">
        <f t="shared" si="215"/>
        <v>-365</v>
      </c>
      <c r="DP79" s="228"/>
      <c r="DQ79" s="210"/>
      <c r="DR79" s="226">
        <f t="shared" si="216"/>
        <v>-80.699999999999989</v>
      </c>
      <c r="DS79" s="78"/>
      <c r="DT79" s="226">
        <f t="shared" si="217"/>
        <v>1460</v>
      </c>
      <c r="DU79" s="78"/>
      <c r="DV79" s="222">
        <f t="shared" si="218"/>
        <v>-1540.7</v>
      </c>
      <c r="DW79" s="228"/>
      <c r="DX79" s="210"/>
      <c r="DY79" s="226">
        <f t="shared" si="219"/>
        <v>2828.9000000000005</v>
      </c>
      <c r="DZ79" s="78"/>
      <c r="EA79" s="226">
        <f t="shared" si="223"/>
        <v>5064.9484587412589</v>
      </c>
      <c r="EB79" s="33"/>
      <c r="EC79" s="212"/>
      <c r="ED79" s="212"/>
      <c r="EE79" s="210"/>
      <c r="EF79" s="210"/>
      <c r="EG79" s="210"/>
      <c r="EH79" s="210"/>
      <c r="EI79" s="210"/>
      <c r="EJ79" s="210"/>
      <c r="EK79" s="210"/>
    </row>
    <row r="80" spans="1:141">
      <c r="A80" s="10" t="s">
        <v>91</v>
      </c>
      <c r="B80" s="10"/>
      <c r="C80" s="65"/>
      <c r="D80" s="33"/>
      <c r="E80" s="68">
        <v>0</v>
      </c>
      <c r="F80" s="33"/>
      <c r="G80" s="212"/>
      <c r="H80" s="212"/>
      <c r="I80" s="210"/>
      <c r="J80" s="226">
        <v>1.86</v>
      </c>
      <c r="K80" s="33"/>
      <c r="L80" s="72">
        <v>0</v>
      </c>
      <c r="M80" s="33"/>
      <c r="N80" s="212"/>
      <c r="O80" s="212"/>
      <c r="P80" s="210"/>
      <c r="Q80" s="65">
        <f>61.9+354.05</f>
        <v>415.95</v>
      </c>
      <c r="R80" s="23"/>
      <c r="S80" s="72">
        <v>0</v>
      </c>
      <c r="T80" s="33"/>
      <c r="U80" s="212"/>
      <c r="V80" s="212"/>
      <c r="W80" s="210"/>
      <c r="X80" s="208">
        <f t="shared" si="204"/>
        <v>417.81</v>
      </c>
      <c r="Y80" s="33"/>
      <c r="Z80" s="218">
        <f t="shared" si="221"/>
        <v>0</v>
      </c>
      <c r="AA80" s="23"/>
      <c r="AB80" s="212"/>
      <c r="AC80" s="212"/>
      <c r="AD80" s="210"/>
      <c r="AE80" s="65">
        <v>0</v>
      </c>
      <c r="AF80" s="23"/>
      <c r="AG80" s="72">
        <v>0</v>
      </c>
      <c r="AH80" s="23"/>
      <c r="AI80" s="220">
        <f t="shared" si="227"/>
        <v>0</v>
      </c>
      <c r="AJ80" s="221"/>
      <c r="AK80" s="210"/>
      <c r="AL80" s="65">
        <v>0</v>
      </c>
      <c r="AM80" s="23"/>
      <c r="AN80" s="72">
        <v>0</v>
      </c>
      <c r="AO80" s="23"/>
      <c r="AP80" s="220"/>
      <c r="AQ80" s="221"/>
      <c r="AR80" s="210"/>
      <c r="AS80" s="65">
        <v>0</v>
      </c>
      <c r="AT80" s="23"/>
      <c r="AU80" s="68">
        <v>0</v>
      </c>
      <c r="AV80" s="23"/>
      <c r="AW80" s="220"/>
      <c r="AX80" s="221"/>
      <c r="AY80" s="210"/>
      <c r="AZ80" s="208">
        <f t="shared" si="234"/>
        <v>0</v>
      </c>
      <c r="BA80" s="23"/>
      <c r="BB80" s="218">
        <f t="shared" si="206"/>
        <v>0</v>
      </c>
      <c r="BC80" s="23"/>
      <c r="BD80" s="220"/>
      <c r="BE80" s="212"/>
      <c r="BF80" s="210"/>
      <c r="BG80" s="65">
        <v>0</v>
      </c>
      <c r="BH80" s="23"/>
      <c r="BI80" s="65">
        <v>0</v>
      </c>
      <c r="BJ80" s="23"/>
      <c r="BK80" s="220">
        <f t="shared" si="231"/>
        <v>0</v>
      </c>
      <c r="BL80" s="221"/>
      <c r="BM80" s="210"/>
      <c r="BN80" s="65">
        <v>0</v>
      </c>
      <c r="BO80" s="52"/>
      <c r="BP80" s="65">
        <v>0</v>
      </c>
      <c r="BQ80" s="52"/>
      <c r="BR80" s="222">
        <f t="shared" si="207"/>
        <v>0</v>
      </c>
      <c r="BS80" s="216"/>
      <c r="BT80" s="210"/>
      <c r="BU80" s="65">
        <v>117.25</v>
      </c>
      <c r="BV80" s="52"/>
      <c r="BW80" s="65">
        <v>0</v>
      </c>
      <c r="BX80" s="52"/>
      <c r="BY80" s="222">
        <f t="shared" si="208"/>
        <v>117.25</v>
      </c>
      <c r="BZ80" s="216"/>
      <c r="CA80" s="210"/>
      <c r="CB80" s="65">
        <v>7</v>
      </c>
      <c r="CC80" s="52"/>
      <c r="CD80" s="65">
        <v>0</v>
      </c>
      <c r="CE80" s="52"/>
      <c r="CF80" s="222">
        <f t="shared" si="209"/>
        <v>7</v>
      </c>
      <c r="CG80" s="216"/>
      <c r="CH80" s="210"/>
      <c r="CI80" s="208">
        <f t="shared" si="210"/>
        <v>124.25</v>
      </c>
      <c r="CJ80" s="52"/>
      <c r="CK80" s="208">
        <f t="shared" si="222"/>
        <v>0</v>
      </c>
      <c r="CL80" s="52"/>
      <c r="CM80" s="222">
        <f t="shared" si="211"/>
        <v>124.25</v>
      </c>
      <c r="CN80" s="216"/>
      <c r="CO80" s="210"/>
      <c r="CP80" s="65">
        <v>57</v>
      </c>
      <c r="CQ80" s="51"/>
      <c r="CR80" s="72">
        <v>0</v>
      </c>
      <c r="CS80" s="77"/>
      <c r="CT80" s="222">
        <f t="shared" si="212"/>
        <v>57</v>
      </c>
      <c r="CU80" s="227"/>
      <c r="CV80" s="210"/>
      <c r="CW80" s="74">
        <v>65.5</v>
      </c>
      <c r="CX80" s="78"/>
      <c r="CY80" s="72">
        <v>0</v>
      </c>
      <c r="CZ80" s="78"/>
      <c r="DA80" s="222">
        <f t="shared" si="213"/>
        <v>65.5</v>
      </c>
      <c r="DB80" s="228"/>
      <c r="DC80" s="210"/>
      <c r="DD80" s="74">
        <v>144</v>
      </c>
      <c r="DE80" s="78"/>
      <c r="DF80" s="74">
        <v>0</v>
      </c>
      <c r="DG80" s="78"/>
      <c r="DH80" s="222">
        <f t="shared" si="214"/>
        <v>144</v>
      </c>
      <c r="DI80" s="228"/>
      <c r="DJ80" s="210"/>
      <c r="DK80" s="74">
        <f>200.47-135.76</f>
        <v>64.710000000000008</v>
      </c>
      <c r="DL80" s="78"/>
      <c r="DM80" s="74">
        <v>0</v>
      </c>
      <c r="DN80" s="78"/>
      <c r="DO80" s="222">
        <f t="shared" si="215"/>
        <v>64.710000000000008</v>
      </c>
      <c r="DP80" s="228"/>
      <c r="DQ80" s="210"/>
      <c r="DR80" s="226">
        <f t="shared" si="216"/>
        <v>331.21000000000004</v>
      </c>
      <c r="DS80" s="78"/>
      <c r="DT80" s="226">
        <f t="shared" si="217"/>
        <v>0</v>
      </c>
      <c r="DU80" s="78"/>
      <c r="DV80" s="222">
        <f t="shared" si="218"/>
        <v>331.21000000000004</v>
      </c>
      <c r="DW80" s="228"/>
      <c r="DX80" s="210"/>
      <c r="DY80" s="226">
        <f t="shared" si="219"/>
        <v>873.27</v>
      </c>
      <c r="DZ80" s="78"/>
      <c r="EA80" s="226">
        <f t="shared" si="223"/>
        <v>0</v>
      </c>
      <c r="EB80" s="33"/>
      <c r="EC80" s="212"/>
      <c r="ED80" s="212"/>
      <c r="EE80" s="210"/>
      <c r="EF80" s="210"/>
      <c r="EG80" s="210"/>
      <c r="EH80" s="210"/>
      <c r="EI80" s="210"/>
      <c r="EJ80" s="210"/>
      <c r="EK80" s="210"/>
    </row>
    <row r="81" spans="1:134">
      <c r="A81" s="10" t="s">
        <v>92</v>
      </c>
      <c r="B81" s="10"/>
      <c r="C81" s="65"/>
      <c r="D81" s="33"/>
      <c r="E81" s="68">
        <v>174.26044195804195</v>
      </c>
      <c r="F81" s="33"/>
      <c r="G81" s="212"/>
      <c r="H81" s="212"/>
      <c r="I81" s="210"/>
      <c r="J81" s="22">
        <v>0</v>
      </c>
      <c r="K81" s="33"/>
      <c r="L81" s="72">
        <v>174.26044195804195</v>
      </c>
      <c r="M81" s="33"/>
      <c r="N81" s="212"/>
      <c r="O81" s="212"/>
      <c r="P81" s="210"/>
      <c r="Q81" s="65">
        <v>1117.8900000000001</v>
      </c>
      <c r="R81" s="23"/>
      <c r="S81" s="72">
        <v>174.26044195804195</v>
      </c>
      <c r="T81" s="33"/>
      <c r="U81" s="212"/>
      <c r="V81" s="212"/>
      <c r="W81" s="210"/>
      <c r="X81" s="208">
        <f t="shared" si="204"/>
        <v>1117.8900000000001</v>
      </c>
      <c r="Y81" s="33"/>
      <c r="Z81" s="218">
        <f t="shared" si="221"/>
        <v>522.78132587412586</v>
      </c>
      <c r="AA81" s="23"/>
      <c r="AB81" s="212"/>
      <c r="AC81" s="212"/>
      <c r="AD81" s="210"/>
      <c r="AE81" s="65">
        <v>0</v>
      </c>
      <c r="AF81" s="23"/>
      <c r="AG81" s="72">
        <v>174.26044195804195</v>
      </c>
      <c r="AH81" s="23"/>
      <c r="AI81" s="220">
        <f t="shared" si="227"/>
        <v>174.26044195804195</v>
      </c>
      <c r="AJ81" s="221"/>
      <c r="AK81" s="210"/>
      <c r="AL81" s="65">
        <v>0</v>
      </c>
      <c r="AM81" s="23"/>
      <c r="AN81" s="72">
        <v>174.26044195804195</v>
      </c>
      <c r="AO81" s="23"/>
      <c r="AP81" s="220"/>
      <c r="AQ81" s="221"/>
      <c r="AR81" s="210"/>
      <c r="AS81" s="65">
        <v>0</v>
      </c>
      <c r="AT81" s="23"/>
      <c r="AU81" s="68">
        <v>174.26044195804195</v>
      </c>
      <c r="AV81" s="23"/>
      <c r="AW81" s="220"/>
      <c r="AX81" s="221"/>
      <c r="AY81" s="210"/>
      <c r="AZ81" s="208">
        <f t="shared" si="234"/>
        <v>0</v>
      </c>
      <c r="BA81" s="23"/>
      <c r="BB81" s="218">
        <f t="shared" si="206"/>
        <v>522.78132587412586</v>
      </c>
      <c r="BC81" s="23"/>
      <c r="BD81" s="220"/>
      <c r="BE81" s="212"/>
      <c r="BF81" s="210"/>
      <c r="BG81" s="65">
        <v>135.55000000000001</v>
      </c>
      <c r="BH81" s="23"/>
      <c r="BI81" s="65">
        <v>0</v>
      </c>
      <c r="BJ81" s="23"/>
      <c r="BK81" s="220">
        <f t="shared" si="231"/>
        <v>-135.55000000000001</v>
      </c>
      <c r="BL81" s="221"/>
      <c r="BM81" s="210"/>
      <c r="BN81" s="65">
        <v>2151.08</v>
      </c>
      <c r="BO81" s="52"/>
      <c r="BP81" s="65">
        <v>0</v>
      </c>
      <c r="BQ81" s="52"/>
      <c r="BR81" s="222">
        <f t="shared" si="207"/>
        <v>2151.08</v>
      </c>
      <c r="BS81" s="216"/>
      <c r="BT81" s="210"/>
      <c r="BU81" s="65">
        <v>33.380000000000003</v>
      </c>
      <c r="BV81" s="52"/>
      <c r="BW81" s="65">
        <v>2500</v>
      </c>
      <c r="BX81" s="52"/>
      <c r="BY81" s="222">
        <f t="shared" si="208"/>
        <v>-2466.62</v>
      </c>
      <c r="BZ81" s="216"/>
      <c r="CA81" s="210"/>
      <c r="CB81" s="65">
        <v>0</v>
      </c>
      <c r="CC81" s="52"/>
      <c r="CD81" s="65">
        <v>238</v>
      </c>
      <c r="CE81" s="52"/>
      <c r="CF81" s="222">
        <f t="shared" si="209"/>
        <v>-238</v>
      </c>
      <c r="CG81" s="216"/>
      <c r="CH81" s="210"/>
      <c r="CI81" s="208">
        <f t="shared" si="210"/>
        <v>2320.0100000000002</v>
      </c>
      <c r="CJ81" s="52"/>
      <c r="CK81" s="208">
        <f t="shared" si="222"/>
        <v>2738</v>
      </c>
      <c r="CL81" s="52"/>
      <c r="CM81" s="222">
        <f t="shared" si="211"/>
        <v>-417.98999999999978</v>
      </c>
      <c r="CN81" s="216"/>
      <c r="CO81" s="210"/>
      <c r="CP81" s="65">
        <v>254.4</v>
      </c>
      <c r="CQ81" s="51"/>
      <c r="CR81" s="68">
        <v>475</v>
      </c>
      <c r="CS81" s="51"/>
      <c r="CT81" s="222">
        <f t="shared" si="212"/>
        <v>-220.6</v>
      </c>
      <c r="CU81" s="223"/>
      <c r="CV81" s="210"/>
      <c r="CW81" s="65">
        <v>386.63</v>
      </c>
      <c r="CX81" s="52"/>
      <c r="CY81" s="68">
        <v>475</v>
      </c>
      <c r="CZ81" s="52"/>
      <c r="DA81" s="222">
        <f t="shared" si="213"/>
        <v>-88.37</v>
      </c>
      <c r="DB81" s="216"/>
      <c r="DC81" s="210"/>
      <c r="DD81" s="65">
        <v>845.62</v>
      </c>
      <c r="DE81" s="52"/>
      <c r="DF81" s="65">
        <v>543</v>
      </c>
      <c r="DG81" s="52"/>
      <c r="DH81" s="222">
        <f t="shared" si="214"/>
        <v>302.62</v>
      </c>
      <c r="DI81" s="216"/>
      <c r="DJ81" s="210"/>
      <c r="DK81" s="65">
        <v>0</v>
      </c>
      <c r="DL81" s="52"/>
      <c r="DM81" s="65">
        <v>543</v>
      </c>
      <c r="DN81" s="52"/>
      <c r="DO81" s="222">
        <f t="shared" si="215"/>
        <v>-543</v>
      </c>
      <c r="DP81" s="216"/>
      <c r="DQ81" s="210"/>
      <c r="DR81" s="226">
        <f t="shared" si="216"/>
        <v>1486.65</v>
      </c>
      <c r="DS81" s="52"/>
      <c r="DT81" s="226">
        <f t="shared" si="217"/>
        <v>2036</v>
      </c>
      <c r="DU81" s="52"/>
      <c r="DV81" s="222">
        <f t="shared" si="218"/>
        <v>-549.34999999999991</v>
      </c>
      <c r="DW81" s="216"/>
      <c r="DX81" s="210"/>
      <c r="DY81" s="226">
        <f t="shared" si="219"/>
        <v>4924.5500000000011</v>
      </c>
      <c r="DZ81" s="52"/>
      <c r="EA81" s="226">
        <f t="shared" si="223"/>
        <v>5819.5626517482515</v>
      </c>
      <c r="EB81" s="33"/>
      <c r="EC81" s="212"/>
      <c r="ED81" s="212"/>
    </row>
    <row r="82" spans="1:134" ht="17.100000000000001" thickBot="1">
      <c r="A82" s="11" t="s">
        <v>93</v>
      </c>
      <c r="B82" s="9"/>
      <c r="C82" s="69">
        <f>SUM(C61:C81)</f>
        <v>0</v>
      </c>
      <c r="D82" s="32" t="e">
        <f>C82/C12</f>
        <v>#DIV/0!</v>
      </c>
      <c r="E82" s="69">
        <f>SUM(E61:E81)</f>
        <v>11218.772143255279</v>
      </c>
      <c r="F82" s="32">
        <f>E82/E12</f>
        <v>4.4458248039403667E-2</v>
      </c>
      <c r="G82" s="34">
        <f t="shared" ref="G82" si="235">E82-C82</f>
        <v>11218.772143255279</v>
      </c>
      <c r="H82" s="31">
        <f>G82/E82</f>
        <v>1</v>
      </c>
      <c r="I82" s="210"/>
      <c r="J82" s="69">
        <f>SUM(J61:J81)</f>
        <v>10395.93</v>
      </c>
      <c r="K82" s="32">
        <f>J82/J12</f>
        <v>7.2423551048985152E-2</v>
      </c>
      <c r="L82" s="69">
        <f>SUM(L61:L81)</f>
        <v>11263.613271561306</v>
      </c>
      <c r="M82" s="32">
        <f>L82/L12</f>
        <v>4.4303430198211181E-2</v>
      </c>
      <c r="N82" s="34">
        <f t="shared" ref="N82" si="236">L82-J82</f>
        <v>867.68327156130545</v>
      </c>
      <c r="O82" s="31">
        <f>N82/L82</f>
        <v>7.7034185269131805E-2</v>
      </c>
      <c r="P82" s="210"/>
      <c r="Q82" s="69">
        <f>SUM(Q61:Q81)</f>
        <v>16683.600000000002</v>
      </c>
      <c r="R82" s="32">
        <f>Q82/Q12</f>
        <v>0.13743699074642335</v>
      </c>
      <c r="S82" s="69">
        <f>SUM(S61:S81)</f>
        <v>12176.3703739025</v>
      </c>
      <c r="T82" s="32">
        <f>S82/S12</f>
        <v>4.1584323742467989E-2</v>
      </c>
      <c r="U82" s="34">
        <f t="shared" ref="U82" si="237">S82-Q82</f>
        <v>-4507.2296260975018</v>
      </c>
      <c r="V82" s="31">
        <f>U82/S82</f>
        <v>-0.37016200129373567</v>
      </c>
      <c r="W82" s="210"/>
      <c r="X82" s="69">
        <f>SUM(X61:X81)</f>
        <v>27079.53</v>
      </c>
      <c r="Y82" s="32">
        <f>X82/X12</f>
        <v>0.10221220800318873</v>
      </c>
      <c r="Z82" s="69">
        <f>SUM(Z61:Z81)</f>
        <v>34658.755788719085</v>
      </c>
      <c r="AA82" s="32">
        <f>Z82/Z12</f>
        <v>4.3356314133160261E-2</v>
      </c>
      <c r="AB82" s="34">
        <f t="shared" ref="AB82" si="238">Z82-X82</f>
        <v>7579.2257887190863</v>
      </c>
      <c r="AC82" s="31">
        <f>AB82/Z82</f>
        <v>0.2186814158858528</v>
      </c>
      <c r="AD82" s="210"/>
      <c r="AE82" s="69">
        <f>SUM(AE61:AE81)</f>
        <v>-144.70000000000005</v>
      </c>
      <c r="AF82" s="32" t="e">
        <f>AE82/AE12</f>
        <v>#DIV/0!</v>
      </c>
      <c r="AG82" s="69">
        <f>SUM(AG61:AG81)</f>
        <v>12707.116822208547</v>
      </c>
      <c r="AH82" s="32">
        <f>AG82/AG12</f>
        <v>4.0309190640031689E-2</v>
      </c>
      <c r="AI82" s="34">
        <f t="shared" ref="AI82" si="239">AG82-AE82</f>
        <v>12851.816822208548</v>
      </c>
      <c r="AJ82" s="31">
        <f>AI82/AG82</f>
        <v>1.0113873195646637</v>
      </c>
      <c r="AK82" s="210"/>
      <c r="AL82" s="69">
        <f>SUM(AL61:AL81)</f>
        <v>-855.28999999999985</v>
      </c>
      <c r="AM82" s="32" t="e">
        <f>AL82/AL12</f>
        <v>#DIV/0!</v>
      </c>
      <c r="AN82" s="69">
        <f>SUM(AN61:AN81)</f>
        <v>12736.1157463041</v>
      </c>
      <c r="AO82" s="32">
        <f>AN82/AN12</f>
        <v>4.0244727640384829E-2</v>
      </c>
      <c r="AP82" s="34">
        <f t="shared" ref="AP82" si="240">AN82-AL82</f>
        <v>13591.405746304099</v>
      </c>
      <c r="AQ82" s="31">
        <f>AP82/AN82</f>
        <v>1.0671546974789543</v>
      </c>
      <c r="AR82" s="210"/>
      <c r="AS82" s="69">
        <f>SUM(AS61:AS81)</f>
        <v>-63.5</v>
      </c>
      <c r="AT82" s="32" t="e">
        <f>AS82/AS12</f>
        <v>#DIV/0!</v>
      </c>
      <c r="AU82" s="69">
        <f>SUM(AU61:AU81)</f>
        <v>12895.656894018863</v>
      </c>
      <c r="AV82" s="32">
        <f>AU82/AU12</f>
        <v>3.9898819440052642E-2</v>
      </c>
      <c r="AW82" s="34">
        <f t="shared" ref="AW82" si="241">AU82-AS82</f>
        <v>12959.156894018863</v>
      </c>
      <c r="AX82" s="31">
        <f>AW82/AU82</f>
        <v>1.0049241384538892</v>
      </c>
      <c r="AY82" s="210"/>
      <c r="AZ82" s="69">
        <f>SUM(AZ61:AZ81)</f>
        <v>-1063.4899999999998</v>
      </c>
      <c r="BA82" s="32" t="e">
        <f>AZ82/AZ12</f>
        <v>#DIV/0!</v>
      </c>
      <c r="BB82" s="69">
        <f>SUM(BB61:BB81)</f>
        <v>38338.889462531508</v>
      </c>
      <c r="BC82" s="32">
        <f>BB82/BB12</f>
        <v>4.0148929513533854E-2</v>
      </c>
      <c r="BD82" s="34">
        <f t="shared" ref="BD82" si="242">BB82-AZ82</f>
        <v>39402.379462531506</v>
      </c>
      <c r="BE82" s="31">
        <f>BD82/BB82</f>
        <v>1.0277391968027489</v>
      </c>
      <c r="BF82" s="210"/>
      <c r="BG82" s="69">
        <f>SUM(BG61:BG81)</f>
        <v>3223.1500000000005</v>
      </c>
      <c r="BH82" s="32" t="e">
        <f>BG82/BG12</f>
        <v>#DIV/0!</v>
      </c>
      <c r="BI82" s="69">
        <f>SUM(BI61:BI81)</f>
        <v>1725</v>
      </c>
      <c r="BJ82" s="32" t="e">
        <f>BI82/BI12</f>
        <v>#DIV/0!</v>
      </c>
      <c r="BK82" s="34">
        <f t="shared" ref="BK82" si="243">BI82-BG82</f>
        <v>-1498.1500000000005</v>
      </c>
      <c r="BL82" s="31">
        <f>BK82/BI82</f>
        <v>-0.86849275362318867</v>
      </c>
      <c r="BM82" s="210"/>
      <c r="BN82" s="69">
        <f>SUM(BN61:BN81)</f>
        <v>9606.36</v>
      </c>
      <c r="BO82" s="38" t="e">
        <f>BN82/BN12</f>
        <v>#DIV/0!</v>
      </c>
      <c r="BP82" s="69">
        <f>SUM(BP61:BP81)</f>
        <v>19025</v>
      </c>
      <c r="BQ82" s="38" t="e">
        <f>BP82/BP12</f>
        <v>#DIV/0!</v>
      </c>
      <c r="BR82" s="69">
        <f>SUM(BR61:BR81)</f>
        <v>-9418.64</v>
      </c>
      <c r="BS82" s="40">
        <f>BR82/BP82</f>
        <v>-0.49506649145860704</v>
      </c>
      <c r="BT82" s="210"/>
      <c r="BU82" s="69">
        <f>SUM(BU61:BU81)</f>
        <v>36971.209999999992</v>
      </c>
      <c r="BV82" s="38">
        <f>BU82/BU12</f>
        <v>4.3291308064308369</v>
      </c>
      <c r="BW82" s="69">
        <f>SUM(BW61:BW81)</f>
        <v>21595</v>
      </c>
      <c r="BX82" s="38" t="e">
        <f>BW82/BW12</f>
        <v>#DIV/0!</v>
      </c>
      <c r="BY82" s="69">
        <f>SUM(BY61:BY81)</f>
        <v>3491.5700000000006</v>
      </c>
      <c r="BZ82" s="40">
        <f>BY82/BW82</f>
        <v>0.16168418615420238</v>
      </c>
      <c r="CA82" s="210"/>
      <c r="CB82" s="69">
        <f>SUM(CB61:CB81)</f>
        <v>5771.54</v>
      </c>
      <c r="CC82" s="38">
        <f>CB82/CB12</f>
        <v>7.9385137043119114E-2</v>
      </c>
      <c r="CD82" s="69">
        <f>SUM(CD61:CD81)</f>
        <v>6567.9230769230762</v>
      </c>
      <c r="CE82" s="38">
        <f>CD82/CD12</f>
        <v>5.5295787746241526E-2</v>
      </c>
      <c r="CF82" s="69">
        <f>SUM(CF61:CF81)</f>
        <v>-796.3830769230766</v>
      </c>
      <c r="CG82" s="40">
        <f>CF82/CD82</f>
        <v>-0.12125341110057034</v>
      </c>
      <c r="CH82" s="210"/>
      <c r="CI82" s="69">
        <f>SUM(CI61:CI81)</f>
        <v>55572.26</v>
      </c>
      <c r="CJ82" s="38">
        <f>SUM(CJ62:CJ81)</f>
        <v>0</v>
      </c>
      <c r="CK82" s="69">
        <f>SUM(CK61:CK81)</f>
        <v>48912.923076923078</v>
      </c>
      <c r="CL82" s="38">
        <f>CK82/CK12</f>
        <v>0.41180120120664665</v>
      </c>
      <c r="CM82" s="69">
        <f>SUM(CM61:CM81)</f>
        <v>-5225.3030769230736</v>
      </c>
      <c r="CN82" s="40">
        <f>CM82/CK82</f>
        <v>-0.10682868142444651</v>
      </c>
      <c r="CO82" s="210"/>
      <c r="CP82" s="69">
        <f>SUM(CP61:CP81)</f>
        <v>21085.910000000003</v>
      </c>
      <c r="CQ82" s="38">
        <f>CP82/CP12</f>
        <v>9.499836818003328E-2</v>
      </c>
      <c r="CR82" s="69">
        <f>SUM(CR61:CR81)</f>
        <v>11665.384615384615</v>
      </c>
      <c r="CS82" s="38">
        <f>CR82/CR12</f>
        <v>4.9105830269008638E-2</v>
      </c>
      <c r="CT82" s="69">
        <f>SUM(CT61:CT81)</f>
        <v>9420.5253846153846</v>
      </c>
      <c r="CU82" s="40">
        <f>CT82/CR82</f>
        <v>0.80756234751071543</v>
      </c>
      <c r="CV82" s="210"/>
      <c r="CW82" s="69">
        <f>SUM(CW61:CW81)</f>
        <v>9348.82</v>
      </c>
      <c r="CX82" s="38">
        <f>CW82/CW12</f>
        <v>3.5865337852501504E-2</v>
      </c>
      <c r="CY82" s="69">
        <f>SUM(CY61:CY81)</f>
        <v>12853.384615384615</v>
      </c>
      <c r="CZ82" s="38">
        <f>CY82/CY12</f>
        <v>5.4106756366434083E-2</v>
      </c>
      <c r="DA82" s="69">
        <f>SUM(DA61:DA81)</f>
        <v>-3731.4046153846157</v>
      </c>
      <c r="DB82" s="40">
        <f>DA82/CY82</f>
        <v>-0.29030521742252868</v>
      </c>
      <c r="DC82" s="210"/>
      <c r="DD82" s="69">
        <f>SUM(DD61:DD81)</f>
        <v>13738.300000000003</v>
      </c>
      <c r="DE82" s="38">
        <f>DD82/DD12</f>
        <v>6.0381109080675732E-2</v>
      </c>
      <c r="DF82" s="69">
        <f>SUM(DF61:DF81)</f>
        <v>14139.153846153846</v>
      </c>
      <c r="DG82" s="38">
        <f>DF82/DF12</f>
        <v>5.2079641115741759E-2</v>
      </c>
      <c r="DH82" s="69">
        <f>SUM(DH61:DH81)</f>
        <v>-400.85384615384612</v>
      </c>
      <c r="DI82" s="40">
        <f>DH82/DF82</f>
        <v>-2.835062483338683E-2</v>
      </c>
      <c r="DJ82" s="210"/>
      <c r="DK82" s="69">
        <f>SUM(DK61:DK81)</f>
        <v>12482.220000000001</v>
      </c>
      <c r="DL82" s="38">
        <f>DK82/DK12</f>
        <v>8.3974212392348979E-2</v>
      </c>
      <c r="DM82" s="69">
        <f>SUM(DM61:DM81)</f>
        <v>15638.923076923076</v>
      </c>
      <c r="DN82" s="38">
        <f>DM82/DM12</f>
        <v>5.7603836137931186E-2</v>
      </c>
      <c r="DO82" s="69">
        <f>SUM(DO61:DO81)</f>
        <v>-2774.9430769230776</v>
      </c>
      <c r="DP82" s="40">
        <f>DO82/DM82</f>
        <v>-0.17743824579697604</v>
      </c>
      <c r="DQ82" s="210"/>
      <c r="DR82" s="69">
        <f>SUM(DR61:DR81)</f>
        <v>56655.25</v>
      </c>
      <c r="DS82" s="38">
        <f>DR82/DR12</f>
        <v>6.5970617907505774E-2</v>
      </c>
      <c r="DT82" s="69">
        <f>SUM(DT61:DT81)</f>
        <v>54296.846153846149</v>
      </c>
      <c r="DU82" s="38">
        <f>DT82/DT12</f>
        <v>5.3331859488265472E-2</v>
      </c>
      <c r="DV82" s="69">
        <f>SUM(DV61:DV81)</f>
        <v>2513.3238461538463</v>
      </c>
      <c r="DW82" s="40">
        <f>DV82/DT82</f>
        <v>4.6288578880484633E-2</v>
      </c>
      <c r="DX82" s="210"/>
      <c r="DY82" s="69">
        <f>SUM(DY61:DY81)</f>
        <v>138243.54999999996</v>
      </c>
      <c r="DZ82" s="32">
        <f>DY82/DY12</f>
        <v>0.11472753412436144</v>
      </c>
      <c r="EA82" s="69">
        <f>SUM(EA61:EA81)</f>
        <v>176207.41448201978</v>
      </c>
      <c r="EB82" s="32">
        <f>EA82/EA12</f>
        <v>6.0946489285375174E-2</v>
      </c>
      <c r="EC82" s="34">
        <f t="shared" ref="EC82" si="244">EA82-DY82</f>
        <v>37963.864482019824</v>
      </c>
      <c r="ED82" s="31">
        <f>EC82/EA82</f>
        <v>0.21544986965286672</v>
      </c>
    </row>
    <row r="83" spans="1:134" ht="17.100000000000001" thickTop="1">
      <c r="A83" s="10"/>
      <c r="B83" s="10"/>
      <c r="C83" s="65"/>
      <c r="D83" s="33"/>
      <c r="E83" s="22"/>
      <c r="F83" s="33"/>
      <c r="G83" s="33"/>
      <c r="H83" s="33"/>
      <c r="I83" s="210"/>
      <c r="J83" s="22"/>
      <c r="K83" s="33"/>
      <c r="L83" s="22"/>
      <c r="M83" s="33"/>
      <c r="N83" s="33"/>
      <c r="O83" s="33"/>
      <c r="P83" s="210"/>
      <c r="Q83" s="65"/>
      <c r="R83" s="23"/>
      <c r="S83" s="22"/>
      <c r="T83" s="33"/>
      <c r="U83" s="33"/>
      <c r="V83" s="33"/>
      <c r="W83" s="210"/>
      <c r="X83" s="65"/>
      <c r="Y83" s="33"/>
      <c r="Z83" s="22"/>
      <c r="AA83" s="23"/>
      <c r="AB83" s="33"/>
      <c r="AC83" s="33"/>
      <c r="AD83" s="210"/>
      <c r="AE83" s="65"/>
      <c r="AF83" s="23"/>
      <c r="AG83" s="22"/>
      <c r="AH83" s="23"/>
      <c r="AI83" s="73"/>
      <c r="AJ83" s="73"/>
      <c r="AK83" s="210"/>
      <c r="AL83" s="65"/>
      <c r="AM83" s="23"/>
      <c r="AN83" s="22"/>
      <c r="AO83" s="23"/>
      <c r="AP83" s="73"/>
      <c r="AQ83" s="73"/>
      <c r="AR83" s="210"/>
      <c r="AS83" s="65"/>
      <c r="AT83" s="23"/>
      <c r="AU83" s="22"/>
      <c r="AV83" s="23"/>
      <c r="AW83" s="73"/>
      <c r="AX83" s="73"/>
      <c r="AY83" s="210"/>
      <c r="AZ83" s="65"/>
      <c r="BA83" s="23"/>
      <c r="BB83" s="22"/>
      <c r="BC83" s="23"/>
      <c r="BD83" s="73"/>
      <c r="BE83" s="33"/>
      <c r="BF83" s="210"/>
      <c r="BG83" s="65"/>
      <c r="BH83" s="23"/>
      <c r="BI83" s="65"/>
      <c r="BJ83" s="23"/>
      <c r="BK83" s="73"/>
      <c r="BL83" s="33"/>
      <c r="BM83" s="210"/>
      <c r="BN83" s="65"/>
      <c r="BO83" s="52"/>
      <c r="BP83" s="65"/>
      <c r="BQ83" s="52"/>
      <c r="BR83" s="68"/>
      <c r="BS83" s="52"/>
      <c r="BT83" s="210"/>
      <c r="BU83" s="65"/>
      <c r="BV83" s="52"/>
      <c r="BW83" s="65"/>
      <c r="BX83" s="52"/>
      <c r="BY83" s="68"/>
      <c r="BZ83" s="81"/>
      <c r="CA83" s="210"/>
      <c r="CB83" s="65"/>
      <c r="CC83" s="52"/>
      <c r="CD83" s="65"/>
      <c r="CE83" s="52"/>
      <c r="CF83" s="68"/>
      <c r="CG83" s="81"/>
      <c r="CH83" s="210"/>
      <c r="CI83" s="65"/>
      <c r="CJ83" s="52"/>
      <c r="CK83" s="65"/>
      <c r="CL83" s="52"/>
      <c r="CM83" s="68"/>
      <c r="CN83" s="81"/>
      <c r="CO83" s="210"/>
      <c r="CP83" s="65"/>
      <c r="CQ83" s="51"/>
      <c r="CR83" s="65"/>
      <c r="CS83" s="51"/>
      <c r="CT83" s="68"/>
      <c r="CU83" s="68"/>
      <c r="CV83" s="210"/>
      <c r="CW83" s="65"/>
      <c r="CX83" s="52"/>
      <c r="CY83" s="65"/>
      <c r="CZ83" s="52"/>
      <c r="DA83" s="68"/>
      <c r="DB83" s="81"/>
      <c r="DC83" s="210"/>
      <c r="DD83" s="65"/>
      <c r="DE83" s="52"/>
      <c r="DF83" s="65"/>
      <c r="DG83" s="52"/>
      <c r="DH83" s="68"/>
      <c r="DI83" s="81"/>
      <c r="DJ83" s="210"/>
      <c r="DK83" s="65"/>
      <c r="DL83" s="52"/>
      <c r="DM83" s="65"/>
      <c r="DN83" s="52"/>
      <c r="DO83" s="68"/>
      <c r="DP83" s="81"/>
      <c r="DQ83" s="210"/>
      <c r="DR83" s="65"/>
      <c r="DS83" s="52"/>
      <c r="DT83" s="65"/>
      <c r="DU83" s="52"/>
      <c r="DV83" s="68"/>
      <c r="DW83" s="81"/>
      <c r="DX83" s="210"/>
      <c r="DY83" s="65"/>
      <c r="DZ83" s="52"/>
      <c r="EA83" s="65"/>
      <c r="EB83" s="33"/>
      <c r="EC83" s="33"/>
      <c r="ED83" s="33"/>
    </row>
    <row r="84" spans="1:134">
      <c r="A84" s="9" t="s">
        <v>94</v>
      </c>
      <c r="B84" s="9"/>
      <c r="C84" s="65"/>
      <c r="D84" s="33"/>
      <c r="E84" s="22"/>
      <c r="F84" s="33"/>
      <c r="G84" s="33"/>
      <c r="H84" s="33"/>
      <c r="I84" s="210"/>
      <c r="J84" s="22"/>
      <c r="K84" s="33"/>
      <c r="L84" s="22"/>
      <c r="M84" s="33"/>
      <c r="N84" s="33"/>
      <c r="O84" s="33"/>
      <c r="P84" s="210"/>
      <c r="Q84" s="65"/>
      <c r="R84" s="23"/>
      <c r="S84" s="22"/>
      <c r="T84" s="33"/>
      <c r="U84" s="33"/>
      <c r="V84" s="33"/>
      <c r="W84" s="210"/>
      <c r="X84" s="65"/>
      <c r="Y84" s="33"/>
      <c r="Z84" s="22"/>
      <c r="AA84" s="23"/>
      <c r="AB84" s="33"/>
      <c r="AC84" s="33"/>
      <c r="AD84" s="210"/>
      <c r="AE84" s="65"/>
      <c r="AF84" s="23"/>
      <c r="AG84" s="22"/>
      <c r="AH84" s="23"/>
      <c r="AI84" s="73"/>
      <c r="AJ84" s="73"/>
      <c r="AK84" s="210"/>
      <c r="AL84" s="65"/>
      <c r="AM84" s="23"/>
      <c r="AN84" s="22"/>
      <c r="AO84" s="23"/>
      <c r="AP84" s="73"/>
      <c r="AQ84" s="73"/>
      <c r="AR84" s="210"/>
      <c r="AS84" s="65"/>
      <c r="AT84" s="23"/>
      <c r="AU84" s="22"/>
      <c r="AV84" s="23"/>
      <c r="AW84" s="73"/>
      <c r="AX84" s="73"/>
      <c r="AY84" s="210"/>
      <c r="AZ84" s="65"/>
      <c r="BA84" s="23"/>
      <c r="BB84" s="22"/>
      <c r="BC84" s="23"/>
      <c r="BD84" s="73"/>
      <c r="BE84" s="33"/>
      <c r="BF84" s="210"/>
      <c r="BG84" s="65"/>
      <c r="BH84" s="23"/>
      <c r="BI84" s="65"/>
      <c r="BJ84" s="23"/>
      <c r="BK84" s="73"/>
      <c r="BL84" s="33"/>
      <c r="BM84" s="210"/>
      <c r="BN84" s="65"/>
      <c r="BO84" s="52"/>
      <c r="BP84" s="65"/>
      <c r="BQ84" s="52"/>
      <c r="BR84" s="68"/>
      <c r="BS84" s="52"/>
      <c r="BT84" s="210"/>
      <c r="BU84" s="65"/>
      <c r="BV84" s="52"/>
      <c r="BW84" s="65"/>
      <c r="BX84" s="52"/>
      <c r="BY84" s="68"/>
      <c r="BZ84" s="81"/>
      <c r="CA84" s="210"/>
      <c r="CB84" s="65"/>
      <c r="CC84" s="52"/>
      <c r="CD84" s="65"/>
      <c r="CE84" s="52"/>
      <c r="CF84" s="68"/>
      <c r="CG84" s="81"/>
      <c r="CH84" s="210"/>
      <c r="CI84" s="65"/>
      <c r="CJ84" s="52"/>
      <c r="CK84" s="65"/>
      <c r="CL84" s="52"/>
      <c r="CM84" s="68"/>
      <c r="CN84" s="81"/>
      <c r="CO84" s="210"/>
      <c r="CP84" s="65"/>
      <c r="CQ84" s="51"/>
      <c r="CR84" s="65"/>
      <c r="CS84" s="51"/>
      <c r="CT84" s="68"/>
      <c r="CU84" s="68"/>
      <c r="CV84" s="210"/>
      <c r="CW84" s="65"/>
      <c r="CX84" s="52"/>
      <c r="CY84" s="65"/>
      <c r="CZ84" s="52"/>
      <c r="DA84" s="68"/>
      <c r="DB84" s="81"/>
      <c r="DC84" s="210"/>
      <c r="DD84" s="65"/>
      <c r="DE84" s="52"/>
      <c r="DF84" s="65"/>
      <c r="DG84" s="52"/>
      <c r="DH84" s="68"/>
      <c r="DI84" s="81"/>
      <c r="DJ84" s="210"/>
      <c r="DK84" s="65"/>
      <c r="DL84" s="52"/>
      <c r="DM84" s="65"/>
      <c r="DN84" s="52"/>
      <c r="DO84" s="68"/>
      <c r="DP84" s="81"/>
      <c r="DQ84" s="210"/>
      <c r="DR84" s="65"/>
      <c r="DS84" s="52"/>
      <c r="DT84" s="65"/>
      <c r="DU84" s="52"/>
      <c r="DV84" s="68"/>
      <c r="DW84" s="81"/>
      <c r="DX84" s="210"/>
      <c r="DY84" s="65"/>
      <c r="DZ84" s="52"/>
      <c r="EA84" s="65"/>
      <c r="EB84" s="33"/>
      <c r="EC84" s="33"/>
      <c r="ED84" s="33"/>
    </row>
    <row r="85" spans="1:134">
      <c r="A85" s="57" t="s">
        <v>95</v>
      </c>
      <c r="B85" s="9"/>
      <c r="C85" s="65"/>
      <c r="D85" s="33"/>
      <c r="E85" s="22"/>
      <c r="F85" s="33"/>
      <c r="G85" s="33"/>
      <c r="H85" s="33"/>
      <c r="I85" s="210"/>
      <c r="J85" s="22"/>
      <c r="K85" s="33"/>
      <c r="L85" s="22"/>
      <c r="M85" s="33"/>
      <c r="N85" s="33"/>
      <c r="O85" s="33"/>
      <c r="P85" s="210"/>
      <c r="Q85" s="65"/>
      <c r="R85" s="23"/>
      <c r="S85" s="22"/>
      <c r="T85" s="33"/>
      <c r="U85" s="33"/>
      <c r="V85" s="33"/>
      <c r="W85" s="210"/>
      <c r="X85" s="65"/>
      <c r="Y85" s="33"/>
      <c r="Z85" s="22"/>
      <c r="AA85" s="23"/>
      <c r="AB85" s="33"/>
      <c r="AC85" s="33"/>
      <c r="AD85" s="210"/>
      <c r="AE85" s="65"/>
      <c r="AF85" s="23"/>
      <c r="AG85" s="22"/>
      <c r="AH85" s="23"/>
      <c r="AI85" s="73"/>
      <c r="AJ85" s="73"/>
      <c r="AK85" s="210"/>
      <c r="AL85" s="65"/>
      <c r="AM85" s="23"/>
      <c r="AN85" s="22"/>
      <c r="AO85" s="23"/>
      <c r="AP85" s="73"/>
      <c r="AQ85" s="73"/>
      <c r="AR85" s="210"/>
      <c r="AS85" s="65"/>
      <c r="AT85" s="23"/>
      <c r="AU85" s="22"/>
      <c r="AV85" s="23"/>
      <c r="AW85" s="73"/>
      <c r="AX85" s="73"/>
      <c r="AY85" s="210"/>
      <c r="AZ85" s="65"/>
      <c r="BA85" s="23"/>
      <c r="BB85" s="22"/>
      <c r="BC85" s="23"/>
      <c r="BD85" s="73"/>
      <c r="BE85" s="33"/>
      <c r="BF85" s="210"/>
      <c r="BG85" s="65"/>
      <c r="BH85" s="23"/>
      <c r="BI85" s="65"/>
      <c r="BJ85" s="23"/>
      <c r="BK85" s="73"/>
      <c r="BL85" s="33"/>
      <c r="BM85" s="210"/>
      <c r="BN85" s="65">
        <v>0</v>
      </c>
      <c r="BO85" s="52"/>
      <c r="BP85" s="65">
        <v>0</v>
      </c>
      <c r="BQ85" s="52"/>
      <c r="BR85" s="68"/>
      <c r="BS85" s="52"/>
      <c r="BT85" s="210"/>
      <c r="BU85" s="65">
        <v>3880</v>
      </c>
      <c r="BV85" s="52"/>
      <c r="BW85" s="65">
        <v>2500</v>
      </c>
      <c r="BX85" s="52"/>
      <c r="BY85" s="68"/>
      <c r="BZ85" s="81"/>
      <c r="CA85" s="210"/>
      <c r="CB85" s="65">
        <v>0</v>
      </c>
      <c r="CC85" s="52"/>
      <c r="CD85" s="65">
        <v>0</v>
      </c>
      <c r="CE85" s="52"/>
      <c r="CF85" s="68"/>
      <c r="CG85" s="81"/>
      <c r="CH85" s="210"/>
      <c r="CI85" s="208">
        <f t="shared" ref="CI85:CI93" si="245">BG85+BN85+BU85+CB85</f>
        <v>3880</v>
      </c>
      <c r="CJ85" s="52"/>
      <c r="CK85" s="208">
        <f>BI85+BP85+BW85+CD85</f>
        <v>2500</v>
      </c>
      <c r="CL85" s="52"/>
      <c r="CM85" s="68"/>
      <c r="CN85" s="81"/>
      <c r="CO85" s="210"/>
      <c r="CP85" s="65">
        <v>0</v>
      </c>
      <c r="CQ85" s="51"/>
      <c r="CR85" s="65"/>
      <c r="CS85" s="51"/>
      <c r="CT85" s="68"/>
      <c r="CU85" s="68"/>
      <c r="CV85" s="210"/>
      <c r="CW85" s="65">
        <v>0</v>
      </c>
      <c r="CX85" s="52"/>
      <c r="CY85" s="65"/>
      <c r="CZ85" s="52"/>
      <c r="DA85" s="68"/>
      <c r="DB85" s="81"/>
      <c r="DC85" s="210"/>
      <c r="DD85" s="65">
        <v>0</v>
      </c>
      <c r="DE85" s="52"/>
      <c r="DF85" s="65"/>
      <c r="DG85" s="52"/>
      <c r="DH85" s="68"/>
      <c r="DI85" s="81"/>
      <c r="DJ85" s="210"/>
      <c r="DK85" s="65">
        <v>0</v>
      </c>
      <c r="DL85" s="52"/>
      <c r="DM85" s="65"/>
      <c r="DN85" s="52"/>
      <c r="DO85" s="68"/>
      <c r="DP85" s="81"/>
      <c r="DQ85" s="210"/>
      <c r="DR85" s="65"/>
      <c r="DS85" s="52"/>
      <c r="DT85" s="65"/>
      <c r="DU85" s="52"/>
      <c r="DV85" s="68"/>
      <c r="DW85" s="81"/>
      <c r="DX85" s="210"/>
      <c r="DY85" s="208">
        <f t="shared" ref="DY85:DY93" si="246">X85+AZ85+CI85+DR85</f>
        <v>3880</v>
      </c>
      <c r="DZ85" s="52"/>
      <c r="EA85" s="65"/>
      <c r="EB85" s="33"/>
      <c r="EC85" s="33"/>
      <c r="ED85" s="33"/>
    </row>
    <row r="86" spans="1:134">
      <c r="A86" s="57" t="s">
        <v>96</v>
      </c>
      <c r="B86" s="10"/>
      <c r="C86" s="65"/>
      <c r="D86" s="33"/>
      <c r="E86" s="68">
        <v>1430.7692307692307</v>
      </c>
      <c r="F86" s="33"/>
      <c r="G86" s="212">
        <f t="shared" ref="G86:G94" si="247">E86-C86</f>
        <v>1430.7692307692307</v>
      </c>
      <c r="H86" s="212"/>
      <c r="I86" s="210"/>
      <c r="J86" s="22">
        <v>0</v>
      </c>
      <c r="K86" s="33"/>
      <c r="L86" s="68">
        <v>1430.7692307692307</v>
      </c>
      <c r="M86" s="33"/>
      <c r="N86" s="212">
        <f t="shared" ref="N86:N94" si="248">L86-J86</f>
        <v>1430.7692307692307</v>
      </c>
      <c r="O86" s="212"/>
      <c r="P86" s="210"/>
      <c r="Q86" s="65">
        <v>0</v>
      </c>
      <c r="R86" s="23"/>
      <c r="S86" s="68">
        <v>1430.7692307692307</v>
      </c>
      <c r="T86" s="33"/>
      <c r="U86" s="212">
        <f t="shared" ref="U86:U92" si="249">S86-Q86</f>
        <v>1430.7692307692307</v>
      </c>
      <c r="V86" s="212"/>
      <c r="W86" s="210"/>
      <c r="X86" s="208">
        <f t="shared" ref="X86:X93" si="250">C86+J86+Q86</f>
        <v>0</v>
      </c>
      <c r="Y86" s="33"/>
      <c r="Z86" s="218">
        <f t="shared" ref="Z86:Z93" si="251">E86+L86+S86</f>
        <v>4292.3076923076924</v>
      </c>
      <c r="AA86" s="23"/>
      <c r="AB86" s="212">
        <f>Z86-X86</f>
        <v>4292.3076923076924</v>
      </c>
      <c r="AC86" s="212"/>
      <c r="AD86" s="210"/>
      <c r="AE86" s="65">
        <v>0</v>
      </c>
      <c r="AF86" s="23"/>
      <c r="AG86" s="22">
        <v>1430.7692307692307</v>
      </c>
      <c r="AH86" s="23"/>
      <c r="AI86" s="220">
        <f>AG86-AE86</f>
        <v>1430.7692307692307</v>
      </c>
      <c r="AJ86" s="221"/>
      <c r="AK86" s="210"/>
      <c r="AL86" s="65">
        <v>0</v>
      </c>
      <c r="AM86" s="23"/>
      <c r="AN86" s="22">
        <v>1430.7692307692307</v>
      </c>
      <c r="AO86" s="23"/>
      <c r="AP86" s="220">
        <f>AN86-AL86</f>
        <v>1430.7692307692307</v>
      </c>
      <c r="AQ86" s="221"/>
      <c r="AR86" s="210"/>
      <c r="AS86" s="65">
        <v>0</v>
      </c>
      <c r="AT86" s="23"/>
      <c r="AU86" s="22">
        <v>1430.7692307692307</v>
      </c>
      <c r="AV86" s="23"/>
      <c r="AW86" s="220">
        <f>AU86-AS86</f>
        <v>1430.7692307692307</v>
      </c>
      <c r="AX86" s="221"/>
      <c r="AY86" s="210"/>
      <c r="AZ86" s="208">
        <f t="shared" ref="AZ86:AZ92" si="252">AE86+AL86+AS86</f>
        <v>0</v>
      </c>
      <c r="BA86" s="23"/>
      <c r="BB86" s="218">
        <f>AG86+AN86+AU86</f>
        <v>4292.3076923076924</v>
      </c>
      <c r="BC86" s="23"/>
      <c r="BD86" s="220">
        <f>BB86-AZ86</f>
        <v>4292.3076923076924</v>
      </c>
      <c r="BE86" s="212"/>
      <c r="BF86" s="210"/>
      <c r="BG86" s="65">
        <v>0</v>
      </c>
      <c r="BH86" s="23"/>
      <c r="BI86" s="65">
        <v>0</v>
      </c>
      <c r="BJ86" s="23"/>
      <c r="BK86" s="220">
        <f>BI86-BG86</f>
        <v>0</v>
      </c>
      <c r="BL86" s="212"/>
      <c r="BM86" s="210"/>
      <c r="BN86" s="65">
        <v>0</v>
      </c>
      <c r="BO86" s="52"/>
      <c r="BP86" s="65">
        <v>500</v>
      </c>
      <c r="BQ86" s="52"/>
      <c r="BR86" s="222">
        <f t="shared" ref="BR86:BR93" si="253">BN86-BP86</f>
        <v>-500</v>
      </c>
      <c r="BS86" s="216"/>
      <c r="BT86" s="210"/>
      <c r="BU86" s="65">
        <v>1696.82</v>
      </c>
      <c r="BV86" s="52"/>
      <c r="BW86" s="65">
        <v>875</v>
      </c>
      <c r="BX86" s="52"/>
      <c r="BY86" s="222">
        <f t="shared" ref="BY86:BY93" si="254">BU86-BW86</f>
        <v>821.81999999999994</v>
      </c>
      <c r="BZ86" s="216"/>
      <c r="CA86" s="210"/>
      <c r="CB86" s="65">
        <v>0</v>
      </c>
      <c r="CC86" s="52"/>
      <c r="CD86" s="65">
        <v>875</v>
      </c>
      <c r="CE86" s="52"/>
      <c r="CF86" s="222">
        <f t="shared" ref="CF86:CF93" si="255">CB86-CD86</f>
        <v>-875</v>
      </c>
      <c r="CG86" s="216"/>
      <c r="CH86" s="210"/>
      <c r="CI86" s="208">
        <f t="shared" si="245"/>
        <v>1696.82</v>
      </c>
      <c r="CJ86" s="52"/>
      <c r="CK86" s="208">
        <f t="shared" ref="CK86:CK93" si="256">BI86+BP86+BW86+CD86</f>
        <v>2250</v>
      </c>
      <c r="CL86" s="52"/>
      <c r="CM86" s="222">
        <f t="shared" ref="CM86:CM93" si="257">CI86-CK86</f>
        <v>-553.18000000000006</v>
      </c>
      <c r="CN86" s="216"/>
      <c r="CO86" s="210"/>
      <c r="CP86" s="65">
        <v>450</v>
      </c>
      <c r="CQ86" s="51"/>
      <c r="CR86" s="65">
        <v>1750</v>
      </c>
      <c r="CS86" s="51"/>
      <c r="CT86" s="222">
        <f t="shared" ref="CT86:CT93" si="258">CP86-CR86</f>
        <v>-1300</v>
      </c>
      <c r="CU86" s="223"/>
      <c r="CV86" s="210"/>
      <c r="CW86" s="65">
        <f>421.1</f>
        <v>421.1</v>
      </c>
      <c r="CX86" s="52"/>
      <c r="CY86" s="65">
        <v>1750</v>
      </c>
      <c r="CZ86" s="52"/>
      <c r="DA86" s="222">
        <f t="shared" ref="DA86:DA93" si="259">CW86-CY86</f>
        <v>-1328.9</v>
      </c>
      <c r="DB86" s="216"/>
      <c r="DC86" s="210"/>
      <c r="DD86" s="65">
        <f>581.94</f>
        <v>581.94000000000005</v>
      </c>
      <c r="DE86" s="52"/>
      <c r="DF86" s="65">
        <v>1750</v>
      </c>
      <c r="DG86" s="52"/>
      <c r="DH86" s="222">
        <f t="shared" ref="DH86:DH93" si="260">DD86-DF86</f>
        <v>-1168.06</v>
      </c>
      <c r="DI86" s="216"/>
      <c r="DJ86" s="210"/>
      <c r="DK86" s="65">
        <v>484.5</v>
      </c>
      <c r="DL86" s="52"/>
      <c r="DM86" s="65">
        <v>1750</v>
      </c>
      <c r="DN86" s="52"/>
      <c r="DO86" s="222">
        <f t="shared" ref="DO86:DO93" si="261">DK86-DM86</f>
        <v>-1265.5</v>
      </c>
      <c r="DP86" s="216"/>
      <c r="DQ86" s="210"/>
      <c r="DR86" s="208">
        <f>CP86+CW86+DD86+DK86</f>
        <v>1937.54</v>
      </c>
      <c r="DS86" s="52"/>
      <c r="DT86" s="208">
        <f t="shared" ref="DT86:DT93" si="262">CR86+CY86+DF86+DM86</f>
        <v>7000</v>
      </c>
      <c r="DU86" s="52"/>
      <c r="DV86" s="222">
        <f t="shared" ref="DV86:DV93" si="263">DR86-DT86</f>
        <v>-5062.46</v>
      </c>
      <c r="DW86" s="216"/>
      <c r="DX86" s="210"/>
      <c r="DY86" s="208">
        <f t="shared" si="246"/>
        <v>3634.3599999999997</v>
      </c>
      <c r="DZ86" s="52"/>
      <c r="EA86" s="208">
        <f>Z86+BB86+CK86+DT86</f>
        <v>17834.615384615383</v>
      </c>
      <c r="EB86" s="33"/>
      <c r="EC86" s="212">
        <f>EA86-DY86</f>
        <v>14200.255384615382</v>
      </c>
      <c r="ED86" s="212"/>
    </row>
    <row r="87" spans="1:134">
      <c r="A87" s="10" t="s">
        <v>97</v>
      </c>
      <c r="B87" s="10"/>
      <c r="C87" s="65"/>
      <c r="D87" s="33"/>
      <c r="E87" s="68">
        <v>1384.6153846153845</v>
      </c>
      <c r="F87" s="33"/>
      <c r="G87" s="212">
        <f t="shared" si="247"/>
        <v>1384.6153846153845</v>
      </c>
      <c r="H87" s="212"/>
      <c r="I87" s="210"/>
      <c r="J87" s="22">
        <v>0</v>
      </c>
      <c r="K87" s="33"/>
      <c r="L87" s="68">
        <v>1384.6153846153845</v>
      </c>
      <c r="M87" s="33"/>
      <c r="N87" s="212">
        <f t="shared" si="248"/>
        <v>1384.6153846153845</v>
      </c>
      <c r="O87" s="212"/>
      <c r="P87" s="210"/>
      <c r="Q87" s="65">
        <v>0</v>
      </c>
      <c r="R87" s="23"/>
      <c r="S87" s="68">
        <v>1384.6153846153845</v>
      </c>
      <c r="T87" s="33"/>
      <c r="U87" s="212">
        <f t="shared" si="249"/>
        <v>1384.6153846153845</v>
      </c>
      <c r="V87" s="212"/>
      <c r="W87" s="210"/>
      <c r="X87" s="208">
        <f t="shared" si="250"/>
        <v>0</v>
      </c>
      <c r="Y87" s="33"/>
      <c r="Z87" s="218">
        <f t="shared" si="251"/>
        <v>4153.8461538461534</v>
      </c>
      <c r="AA87" s="23"/>
      <c r="AB87" s="212">
        <f>Z87-X87</f>
        <v>4153.8461538461534</v>
      </c>
      <c r="AC87" s="212"/>
      <c r="AD87" s="210"/>
      <c r="AE87" s="65">
        <v>0</v>
      </c>
      <c r="AF87" s="23"/>
      <c r="AG87" s="22">
        <v>1384.6153846153845</v>
      </c>
      <c r="AH87" s="23"/>
      <c r="AI87" s="220">
        <f t="shared" ref="AI87:AI93" si="264">AG87-AE87</f>
        <v>1384.6153846153845</v>
      </c>
      <c r="AJ87" s="221"/>
      <c r="AK87" s="210"/>
      <c r="AL87" s="65">
        <v>0</v>
      </c>
      <c r="AM87" s="23"/>
      <c r="AN87" s="22">
        <v>1384.6153846153845</v>
      </c>
      <c r="AO87" s="23"/>
      <c r="AP87" s="220">
        <f t="shared" ref="AP87:AP93" si="265">AN87-AL87</f>
        <v>1384.6153846153845</v>
      </c>
      <c r="AQ87" s="221"/>
      <c r="AR87" s="210"/>
      <c r="AS87" s="65">
        <v>0</v>
      </c>
      <c r="AT87" s="23"/>
      <c r="AU87" s="22">
        <v>1384.6153846153845</v>
      </c>
      <c r="AV87" s="23"/>
      <c r="AW87" s="220">
        <f t="shared" ref="AW87:AW92" si="266">AU87-AS87</f>
        <v>1384.6153846153845</v>
      </c>
      <c r="AX87" s="221"/>
      <c r="AY87" s="210"/>
      <c r="AZ87" s="208">
        <f t="shared" si="252"/>
        <v>0</v>
      </c>
      <c r="BA87" s="23"/>
      <c r="BB87" s="218">
        <f t="shared" ref="BB87:BB92" si="267">AG87+AN87+AU87</f>
        <v>4153.8461538461534</v>
      </c>
      <c r="BC87" s="23"/>
      <c r="BD87" s="220">
        <f t="shared" ref="BD87:BD92" si="268">BB87-AZ87</f>
        <v>4153.8461538461534</v>
      </c>
      <c r="BE87" s="212"/>
      <c r="BF87" s="210"/>
      <c r="BG87" s="65">
        <v>0</v>
      </c>
      <c r="BH87" s="23"/>
      <c r="BI87" s="65">
        <v>0</v>
      </c>
      <c r="BJ87" s="23"/>
      <c r="BK87" s="220">
        <f t="shared" ref="BK87:BK93" si="269">BI87-BG87</f>
        <v>0</v>
      </c>
      <c r="BL87" s="212"/>
      <c r="BM87" s="210"/>
      <c r="BN87" s="65">
        <v>0</v>
      </c>
      <c r="BO87" s="52"/>
      <c r="BP87" s="65">
        <v>2500</v>
      </c>
      <c r="BQ87" s="52"/>
      <c r="BR87" s="222">
        <f t="shared" si="253"/>
        <v>-2500</v>
      </c>
      <c r="BS87" s="216"/>
      <c r="BT87" s="210"/>
      <c r="BU87" s="65">
        <v>0</v>
      </c>
      <c r="BV87" s="52"/>
      <c r="BW87" s="65">
        <v>2500</v>
      </c>
      <c r="BX87" s="52"/>
      <c r="BY87" s="222">
        <f t="shared" si="254"/>
        <v>-2500</v>
      </c>
      <c r="BZ87" s="216"/>
      <c r="CA87" s="210"/>
      <c r="CB87" s="65">
        <v>0</v>
      </c>
      <c r="CC87" s="52"/>
      <c r="CD87" s="65">
        <v>1500</v>
      </c>
      <c r="CE87" s="52"/>
      <c r="CF87" s="222">
        <f t="shared" si="255"/>
        <v>-1500</v>
      </c>
      <c r="CG87" s="216"/>
      <c r="CH87" s="210"/>
      <c r="CI87" s="208">
        <f t="shared" si="245"/>
        <v>0</v>
      </c>
      <c r="CJ87" s="52"/>
      <c r="CK87" s="208">
        <f t="shared" si="256"/>
        <v>6500</v>
      </c>
      <c r="CL87" s="52"/>
      <c r="CM87" s="222">
        <f t="shared" si="257"/>
        <v>-6500</v>
      </c>
      <c r="CN87" s="216"/>
      <c r="CO87" s="210"/>
      <c r="CP87" s="65">
        <v>171.5</v>
      </c>
      <c r="CQ87" s="51"/>
      <c r="CR87" s="65">
        <v>1500</v>
      </c>
      <c r="CS87" s="51"/>
      <c r="CT87" s="222">
        <f t="shared" si="258"/>
        <v>-1328.5</v>
      </c>
      <c r="CU87" s="223"/>
      <c r="CV87" s="210"/>
      <c r="CW87" s="65">
        <v>3011</v>
      </c>
      <c r="CX87" s="52"/>
      <c r="CY87" s="65">
        <v>1500</v>
      </c>
      <c r="CZ87" s="52"/>
      <c r="DA87" s="222">
        <f t="shared" si="259"/>
        <v>1511</v>
      </c>
      <c r="DB87" s="216"/>
      <c r="DC87" s="210"/>
      <c r="DD87" s="65">
        <v>0</v>
      </c>
      <c r="DE87" s="52"/>
      <c r="DF87" s="65">
        <v>0</v>
      </c>
      <c r="DG87" s="52"/>
      <c r="DH87" s="222">
        <f t="shared" si="260"/>
        <v>0</v>
      </c>
      <c r="DI87" s="216"/>
      <c r="DJ87" s="210"/>
      <c r="DK87" s="65">
        <v>0</v>
      </c>
      <c r="DL87" s="52"/>
      <c r="DM87" s="65">
        <v>0</v>
      </c>
      <c r="DN87" s="52"/>
      <c r="DO87" s="222">
        <f t="shared" si="261"/>
        <v>0</v>
      </c>
      <c r="DP87" s="216"/>
      <c r="DQ87" s="210"/>
      <c r="DR87" s="208">
        <f t="shared" ref="DR87:DR93" si="270">CP87+CW87+DD87+DK87</f>
        <v>3182.5</v>
      </c>
      <c r="DS87" s="52"/>
      <c r="DT87" s="208">
        <f t="shared" si="262"/>
        <v>3000</v>
      </c>
      <c r="DU87" s="52"/>
      <c r="DV87" s="222">
        <f t="shared" si="263"/>
        <v>182.5</v>
      </c>
      <c r="DW87" s="216"/>
      <c r="DX87" s="210"/>
      <c r="DY87" s="208">
        <f t="shared" si="246"/>
        <v>3182.5</v>
      </c>
      <c r="DZ87" s="52"/>
      <c r="EA87" s="208">
        <f t="shared" ref="EA87:EA93" si="271">Z87+BB87+CK87+DT87</f>
        <v>17807.692307692305</v>
      </c>
      <c r="EB87" s="33"/>
      <c r="EC87" s="212">
        <f>EA87-DY87</f>
        <v>14625.192307692305</v>
      </c>
      <c r="ED87" s="212"/>
    </row>
    <row r="88" spans="1:134">
      <c r="A88" s="10" t="s">
        <v>98</v>
      </c>
      <c r="B88" s="10"/>
      <c r="C88" s="65"/>
      <c r="D88" s="33"/>
      <c r="E88" s="68">
        <v>1718</v>
      </c>
      <c r="F88" s="33"/>
      <c r="G88" s="212">
        <f t="shared" si="247"/>
        <v>1718</v>
      </c>
      <c r="H88" s="212"/>
      <c r="I88" s="210"/>
      <c r="J88" s="22">
        <v>1850</v>
      </c>
      <c r="K88" s="33"/>
      <c r="L88" s="68">
        <v>1718</v>
      </c>
      <c r="M88" s="33"/>
      <c r="N88" s="212">
        <f t="shared" si="248"/>
        <v>-132</v>
      </c>
      <c r="O88" s="212"/>
      <c r="P88" s="210"/>
      <c r="Q88" s="65">
        <v>2255</v>
      </c>
      <c r="R88" s="23"/>
      <c r="S88" s="68">
        <v>1718</v>
      </c>
      <c r="T88" s="33"/>
      <c r="U88" s="212">
        <f t="shared" si="249"/>
        <v>-537</v>
      </c>
      <c r="V88" s="212"/>
      <c r="W88" s="210"/>
      <c r="X88" s="208">
        <f t="shared" si="250"/>
        <v>4105</v>
      </c>
      <c r="Y88" s="33"/>
      <c r="Z88" s="218">
        <f t="shared" si="251"/>
        <v>5154</v>
      </c>
      <c r="AA88" s="23"/>
      <c r="AB88" s="212">
        <f>Z88-X88</f>
        <v>1049</v>
      </c>
      <c r="AC88" s="212"/>
      <c r="AD88" s="210"/>
      <c r="AE88" s="65">
        <v>530</v>
      </c>
      <c r="AF88" s="23"/>
      <c r="AG88" s="22">
        <v>1718</v>
      </c>
      <c r="AH88" s="23"/>
      <c r="AI88" s="220">
        <f t="shared" si="264"/>
        <v>1188</v>
      </c>
      <c r="AJ88" s="221"/>
      <c r="AK88" s="210"/>
      <c r="AL88" s="65">
        <v>0</v>
      </c>
      <c r="AM88" s="23"/>
      <c r="AN88" s="22">
        <v>1718</v>
      </c>
      <c r="AO88" s="23"/>
      <c r="AP88" s="220">
        <f t="shared" si="265"/>
        <v>1718</v>
      </c>
      <c r="AQ88" s="221"/>
      <c r="AR88" s="210"/>
      <c r="AS88" s="65">
        <v>0</v>
      </c>
      <c r="AT88" s="23"/>
      <c r="AU88" s="22">
        <v>1718</v>
      </c>
      <c r="AV88" s="23"/>
      <c r="AW88" s="220">
        <f t="shared" si="266"/>
        <v>1718</v>
      </c>
      <c r="AX88" s="221"/>
      <c r="AY88" s="210"/>
      <c r="AZ88" s="208">
        <f t="shared" si="252"/>
        <v>530</v>
      </c>
      <c r="BA88" s="23"/>
      <c r="BB88" s="218">
        <f t="shared" si="267"/>
        <v>5154</v>
      </c>
      <c r="BC88" s="23"/>
      <c r="BD88" s="220">
        <f t="shared" si="268"/>
        <v>4624</v>
      </c>
      <c r="BE88" s="212"/>
      <c r="BF88" s="210"/>
      <c r="BG88" s="65">
        <v>0</v>
      </c>
      <c r="BH88" s="23"/>
      <c r="BI88" s="65">
        <v>0</v>
      </c>
      <c r="BJ88" s="23"/>
      <c r="BK88" s="220">
        <f t="shared" si="269"/>
        <v>0</v>
      </c>
      <c r="BL88" s="212"/>
      <c r="BM88" s="210"/>
      <c r="BN88" s="65">
        <v>925</v>
      </c>
      <c r="BO88" s="52"/>
      <c r="BP88" s="65">
        <v>1800</v>
      </c>
      <c r="BQ88" s="52"/>
      <c r="BR88" s="222">
        <f t="shared" si="253"/>
        <v>-875</v>
      </c>
      <c r="BS88" s="216"/>
      <c r="BT88" s="210"/>
      <c r="BU88" s="65">
        <f>3612.5/2</f>
        <v>1806.25</v>
      </c>
      <c r="BV88" s="52"/>
      <c r="BW88" s="65">
        <v>900</v>
      </c>
      <c r="BX88" s="52"/>
      <c r="BY88" s="222">
        <f t="shared" si="254"/>
        <v>906.25</v>
      </c>
      <c r="BZ88" s="216"/>
      <c r="CA88" s="210"/>
      <c r="CB88" s="65">
        <f>3612.5/2</f>
        <v>1806.25</v>
      </c>
      <c r="CC88" s="52"/>
      <c r="CD88" s="65">
        <v>900</v>
      </c>
      <c r="CE88" s="52"/>
      <c r="CF88" s="222">
        <f t="shared" si="255"/>
        <v>906.25</v>
      </c>
      <c r="CG88" s="216"/>
      <c r="CH88" s="210"/>
      <c r="CI88" s="208">
        <f t="shared" si="245"/>
        <v>4537.5</v>
      </c>
      <c r="CJ88" s="52"/>
      <c r="CK88" s="208">
        <f t="shared" si="256"/>
        <v>3600</v>
      </c>
      <c r="CL88" s="52"/>
      <c r="CM88" s="222">
        <f t="shared" si="257"/>
        <v>937.5</v>
      </c>
      <c r="CN88" s="216"/>
      <c r="CO88" s="210"/>
      <c r="CP88" s="65">
        <v>3010.14</v>
      </c>
      <c r="CQ88" s="51"/>
      <c r="CR88" s="65">
        <v>1800</v>
      </c>
      <c r="CS88" s="51"/>
      <c r="CT88" s="222">
        <f t="shared" si="258"/>
        <v>1210.1399999999999</v>
      </c>
      <c r="CU88" s="223"/>
      <c r="CV88" s="210"/>
      <c r="CW88" s="65">
        <f>2845-CW90</f>
        <v>2345</v>
      </c>
      <c r="CX88" s="52"/>
      <c r="CY88" s="65">
        <v>1800</v>
      </c>
      <c r="CZ88" s="52"/>
      <c r="DA88" s="222">
        <f t="shared" si="259"/>
        <v>545</v>
      </c>
      <c r="DB88" s="216"/>
      <c r="DC88" s="210"/>
      <c r="DD88" s="65">
        <v>1572.5</v>
      </c>
      <c r="DE88" s="52"/>
      <c r="DF88" s="65">
        <v>1800</v>
      </c>
      <c r="DG88" s="52"/>
      <c r="DH88" s="222">
        <f t="shared" si="260"/>
        <v>-227.5</v>
      </c>
      <c r="DI88" s="216"/>
      <c r="DJ88" s="210"/>
      <c r="DK88" s="65">
        <v>2022.5</v>
      </c>
      <c r="DL88" s="52"/>
      <c r="DM88" s="65">
        <v>1800</v>
      </c>
      <c r="DN88" s="52"/>
      <c r="DO88" s="222">
        <f t="shared" si="261"/>
        <v>222.5</v>
      </c>
      <c r="DP88" s="216"/>
      <c r="DQ88" s="210"/>
      <c r="DR88" s="208">
        <f t="shared" si="270"/>
        <v>8950.14</v>
      </c>
      <c r="DS88" s="52"/>
      <c r="DT88" s="208">
        <f t="shared" si="262"/>
        <v>7200</v>
      </c>
      <c r="DU88" s="52"/>
      <c r="DV88" s="222">
        <f t="shared" si="263"/>
        <v>1750.1399999999994</v>
      </c>
      <c r="DW88" s="216"/>
      <c r="DX88" s="210"/>
      <c r="DY88" s="208">
        <f t="shared" si="246"/>
        <v>18122.64</v>
      </c>
      <c r="DZ88" s="52"/>
      <c r="EA88" s="208">
        <f t="shared" si="271"/>
        <v>21108</v>
      </c>
      <c r="EB88" s="33"/>
      <c r="EC88" s="212">
        <f>EA88-DY88</f>
        <v>2985.3600000000006</v>
      </c>
      <c r="ED88" s="212"/>
    </row>
    <row r="89" spans="1:134">
      <c r="A89" s="10" t="s">
        <v>99</v>
      </c>
      <c r="B89" s="10"/>
      <c r="C89" s="65"/>
      <c r="D89" s="33"/>
      <c r="E89" s="68">
        <v>1121.5384615384614</v>
      </c>
      <c r="F89" s="33"/>
      <c r="G89" s="212">
        <f t="shared" si="247"/>
        <v>1121.5384615384614</v>
      </c>
      <c r="H89" s="212"/>
      <c r="I89" s="210"/>
      <c r="J89" s="22">
        <v>0</v>
      </c>
      <c r="K89" s="33"/>
      <c r="L89" s="68">
        <v>1121.5384615384614</v>
      </c>
      <c r="M89" s="33"/>
      <c r="N89" s="212">
        <f t="shared" si="248"/>
        <v>1121.5384615384614</v>
      </c>
      <c r="O89" s="212"/>
      <c r="P89" s="210"/>
      <c r="Q89" s="65">
        <f>209.88+2070.53</f>
        <v>2280.4100000000003</v>
      </c>
      <c r="R89" s="23"/>
      <c r="S89" s="68">
        <v>1121.5384615384614</v>
      </c>
      <c r="T89" s="33"/>
      <c r="U89" s="212">
        <f t="shared" si="249"/>
        <v>-1158.8715384615389</v>
      </c>
      <c r="V89" s="212"/>
      <c r="W89" s="210"/>
      <c r="X89" s="208">
        <f t="shared" si="250"/>
        <v>2280.4100000000003</v>
      </c>
      <c r="Y89" s="33"/>
      <c r="Z89" s="218">
        <f t="shared" si="251"/>
        <v>3364.6153846153843</v>
      </c>
      <c r="AA89" s="23"/>
      <c r="AB89" s="212">
        <f>Z89-X89</f>
        <v>1084.205384615384</v>
      </c>
      <c r="AC89" s="212"/>
      <c r="AD89" s="210"/>
      <c r="AE89" s="65">
        <v>0</v>
      </c>
      <c r="AF89" s="23"/>
      <c r="AG89" s="22">
        <v>1121.5384615384614</v>
      </c>
      <c r="AH89" s="23"/>
      <c r="AI89" s="220">
        <f t="shared" si="264"/>
        <v>1121.5384615384614</v>
      </c>
      <c r="AJ89" s="221"/>
      <c r="AK89" s="210"/>
      <c r="AL89" s="65">
        <v>0</v>
      </c>
      <c r="AM89" s="23"/>
      <c r="AN89" s="22">
        <v>1121.5384615384614</v>
      </c>
      <c r="AO89" s="23"/>
      <c r="AP89" s="220">
        <f t="shared" si="265"/>
        <v>1121.5384615384614</v>
      </c>
      <c r="AQ89" s="221"/>
      <c r="AR89" s="210"/>
      <c r="AS89" s="65">
        <v>1208.8499999999999</v>
      </c>
      <c r="AT89" s="23"/>
      <c r="AU89" s="22">
        <v>1121.5384615384614</v>
      </c>
      <c r="AV89" s="23"/>
      <c r="AW89" s="220">
        <f t="shared" si="266"/>
        <v>-87.311538461538476</v>
      </c>
      <c r="AX89" s="221"/>
      <c r="AY89" s="210"/>
      <c r="AZ89" s="208">
        <f t="shared" si="252"/>
        <v>1208.8499999999999</v>
      </c>
      <c r="BA89" s="23"/>
      <c r="BB89" s="218">
        <f t="shared" si="267"/>
        <v>3364.6153846153843</v>
      </c>
      <c r="BC89" s="23"/>
      <c r="BD89" s="220">
        <f t="shared" si="268"/>
        <v>2155.7653846153844</v>
      </c>
      <c r="BE89" s="212"/>
      <c r="BF89" s="210"/>
      <c r="BG89" s="65">
        <v>7093.25</v>
      </c>
      <c r="BH89" s="23"/>
      <c r="BI89" s="65">
        <v>0</v>
      </c>
      <c r="BJ89" s="23"/>
      <c r="BK89" s="220">
        <f t="shared" si="269"/>
        <v>-7093.25</v>
      </c>
      <c r="BL89" s="212"/>
      <c r="BM89" s="210"/>
      <c r="BN89" s="65">
        <v>2460.9899999999998</v>
      </c>
      <c r="BO89" s="52"/>
      <c r="BP89" s="65">
        <v>0</v>
      </c>
      <c r="BQ89" s="52"/>
      <c r="BR89" s="222">
        <f t="shared" si="253"/>
        <v>2460.9899999999998</v>
      </c>
      <c r="BS89" s="216"/>
      <c r="BT89" s="210"/>
      <c r="BU89" s="65">
        <v>0</v>
      </c>
      <c r="BV89" s="52"/>
      <c r="BW89" s="65">
        <v>750</v>
      </c>
      <c r="BX89" s="52"/>
      <c r="BY89" s="222">
        <f t="shared" si="254"/>
        <v>-750</v>
      </c>
      <c r="BZ89" s="216"/>
      <c r="CA89" s="210"/>
      <c r="CB89" s="65"/>
      <c r="CC89" s="52"/>
      <c r="CD89" s="65">
        <v>750</v>
      </c>
      <c r="CE89" s="52"/>
      <c r="CF89" s="222">
        <f t="shared" si="255"/>
        <v>-750</v>
      </c>
      <c r="CG89" s="216"/>
      <c r="CH89" s="210"/>
      <c r="CI89" s="208">
        <f t="shared" si="245"/>
        <v>9554.24</v>
      </c>
      <c r="CJ89" s="52"/>
      <c r="CK89" s="208">
        <f t="shared" si="256"/>
        <v>1500</v>
      </c>
      <c r="CL89" s="52"/>
      <c r="CM89" s="222">
        <f t="shared" si="257"/>
        <v>8054.24</v>
      </c>
      <c r="CN89" s="216"/>
      <c r="CO89" s="210"/>
      <c r="CP89" s="65">
        <v>3530.2</v>
      </c>
      <c r="CQ89" s="51"/>
      <c r="CR89" s="65">
        <v>1500</v>
      </c>
      <c r="CS89" s="51"/>
      <c r="CT89" s="222">
        <f t="shared" si="258"/>
        <v>2030.1999999999998</v>
      </c>
      <c r="CU89" s="223"/>
      <c r="CV89" s="210"/>
      <c r="CW89" s="65">
        <v>1942.14</v>
      </c>
      <c r="CX89" s="52"/>
      <c r="CY89" s="65">
        <v>1500</v>
      </c>
      <c r="CZ89" s="52"/>
      <c r="DA89" s="222">
        <f t="shared" si="259"/>
        <v>442.1400000000001</v>
      </c>
      <c r="DB89" s="216"/>
      <c r="DC89" s="210"/>
      <c r="DD89" s="65">
        <v>755.4</v>
      </c>
      <c r="DE89" s="52"/>
      <c r="DF89" s="65">
        <v>1500</v>
      </c>
      <c r="DG89" s="52"/>
      <c r="DH89" s="222">
        <f t="shared" si="260"/>
        <v>-744.6</v>
      </c>
      <c r="DI89" s="216"/>
      <c r="DJ89" s="210"/>
      <c r="DK89" s="65">
        <v>645.89</v>
      </c>
      <c r="DL89" s="52"/>
      <c r="DM89" s="65">
        <v>1500</v>
      </c>
      <c r="DN89" s="52"/>
      <c r="DO89" s="222">
        <f t="shared" si="261"/>
        <v>-854.11</v>
      </c>
      <c r="DP89" s="216"/>
      <c r="DQ89" s="210"/>
      <c r="DR89" s="208">
        <f t="shared" si="270"/>
        <v>6873.63</v>
      </c>
      <c r="DS89" s="52"/>
      <c r="DT89" s="208">
        <f t="shared" si="262"/>
        <v>6000</v>
      </c>
      <c r="DU89" s="52"/>
      <c r="DV89" s="222">
        <f t="shared" si="263"/>
        <v>873.63000000000011</v>
      </c>
      <c r="DW89" s="216"/>
      <c r="DX89" s="210"/>
      <c r="DY89" s="208">
        <f t="shared" si="246"/>
        <v>19917.13</v>
      </c>
      <c r="DZ89" s="52"/>
      <c r="EA89" s="208">
        <f t="shared" si="271"/>
        <v>14229.23076923077</v>
      </c>
      <c r="EB89" s="33"/>
      <c r="EC89" s="212">
        <f>EA89-DY89</f>
        <v>-5687.8992307692315</v>
      </c>
      <c r="ED89" s="212"/>
    </row>
    <row r="90" spans="1:134">
      <c r="A90" s="10" t="s">
        <v>100</v>
      </c>
      <c r="B90" s="10"/>
      <c r="C90" s="65"/>
      <c r="D90" s="33"/>
      <c r="E90" s="68"/>
      <c r="F90" s="33"/>
      <c r="G90" s="212"/>
      <c r="H90" s="212"/>
      <c r="I90" s="210"/>
      <c r="J90" s="22"/>
      <c r="K90" s="33"/>
      <c r="L90" s="68"/>
      <c r="M90" s="33"/>
      <c r="N90" s="212"/>
      <c r="O90" s="212"/>
      <c r="P90" s="210"/>
      <c r="Q90" s="65"/>
      <c r="R90" s="23"/>
      <c r="S90" s="68"/>
      <c r="T90" s="33"/>
      <c r="U90" s="212"/>
      <c r="V90" s="212"/>
      <c r="W90" s="210"/>
      <c r="X90" s="208"/>
      <c r="Y90" s="33"/>
      <c r="Z90" s="218"/>
      <c r="AA90" s="23"/>
      <c r="AB90" s="212"/>
      <c r="AC90" s="212"/>
      <c r="AD90" s="210"/>
      <c r="AE90" s="65"/>
      <c r="AF90" s="23"/>
      <c r="AG90" s="22"/>
      <c r="AH90" s="23"/>
      <c r="AI90" s="220"/>
      <c r="AJ90" s="221"/>
      <c r="AK90" s="210"/>
      <c r="AL90" s="65"/>
      <c r="AM90" s="23"/>
      <c r="AN90" s="22"/>
      <c r="AO90" s="23"/>
      <c r="AP90" s="220"/>
      <c r="AQ90" s="221"/>
      <c r="AR90" s="210"/>
      <c r="AS90" s="65"/>
      <c r="AT90" s="23"/>
      <c r="AU90" s="22"/>
      <c r="AV90" s="23"/>
      <c r="AW90" s="220"/>
      <c r="AX90" s="221"/>
      <c r="AY90" s="210"/>
      <c r="AZ90" s="208"/>
      <c r="BA90" s="23"/>
      <c r="BB90" s="218"/>
      <c r="BC90" s="23"/>
      <c r="BD90" s="220"/>
      <c r="BE90" s="212"/>
      <c r="BF90" s="210"/>
      <c r="BG90" s="65"/>
      <c r="BH90" s="23"/>
      <c r="BI90" s="65"/>
      <c r="BJ90" s="23"/>
      <c r="BK90" s="220"/>
      <c r="BL90" s="212"/>
      <c r="BM90" s="210"/>
      <c r="BN90" s="65"/>
      <c r="BO90" s="52"/>
      <c r="BP90" s="65"/>
      <c r="BQ90" s="52"/>
      <c r="BR90" s="222"/>
      <c r="BS90" s="216"/>
      <c r="BT90" s="210"/>
      <c r="BU90" s="65"/>
      <c r="BV90" s="52"/>
      <c r="BW90" s="65"/>
      <c r="BX90" s="52"/>
      <c r="BY90" s="222"/>
      <c r="BZ90" s="216"/>
      <c r="CA90" s="210"/>
      <c r="CB90" s="65"/>
      <c r="CC90" s="52"/>
      <c r="CD90" s="65"/>
      <c r="CE90" s="52"/>
      <c r="CF90" s="222"/>
      <c r="CG90" s="216"/>
      <c r="CH90" s="210"/>
      <c r="CI90" s="208"/>
      <c r="CJ90" s="52"/>
      <c r="CK90" s="208"/>
      <c r="CL90" s="52"/>
      <c r="CM90" s="222"/>
      <c r="CN90" s="216"/>
      <c r="CO90" s="210"/>
      <c r="CP90" s="65">
        <v>500</v>
      </c>
      <c r="CQ90" s="51"/>
      <c r="CR90" s="65"/>
      <c r="CS90" s="51"/>
      <c r="CT90" s="222"/>
      <c r="CU90" s="223"/>
      <c r="CV90" s="210"/>
      <c r="CW90" s="65">
        <v>500</v>
      </c>
      <c r="CX90" s="52"/>
      <c r="CY90" s="65"/>
      <c r="CZ90" s="52"/>
      <c r="DA90" s="222"/>
      <c r="DB90" s="216"/>
      <c r="DC90" s="210"/>
      <c r="DD90" s="65">
        <v>500</v>
      </c>
      <c r="DE90" s="52"/>
      <c r="DF90" s="65"/>
      <c r="DG90" s="52"/>
      <c r="DH90" s="222"/>
      <c r="DI90" s="216"/>
      <c r="DJ90" s="210"/>
      <c r="DK90" s="65">
        <v>500</v>
      </c>
      <c r="DL90" s="52"/>
      <c r="DM90" s="65"/>
      <c r="DN90" s="52"/>
      <c r="DO90" s="222"/>
      <c r="DP90" s="216"/>
      <c r="DQ90" s="210"/>
      <c r="DR90" s="208">
        <f t="shared" si="270"/>
        <v>2000</v>
      </c>
      <c r="DS90" s="52"/>
      <c r="DT90" s="208"/>
      <c r="DU90" s="52"/>
      <c r="DV90" s="222"/>
      <c r="DW90" s="216"/>
      <c r="DX90" s="210"/>
      <c r="DY90" s="208">
        <f t="shared" si="246"/>
        <v>2000</v>
      </c>
      <c r="DZ90" s="52"/>
      <c r="EA90" s="208"/>
      <c r="EB90" s="33"/>
      <c r="EC90" s="212"/>
      <c r="ED90" s="212"/>
    </row>
    <row r="91" spans="1:134">
      <c r="A91" s="10" t="s">
        <v>101</v>
      </c>
      <c r="B91" s="10"/>
      <c r="C91" s="65"/>
      <c r="D91" s="33"/>
      <c r="E91" s="68">
        <v>221.53846153846155</v>
      </c>
      <c r="F91" s="33"/>
      <c r="G91" s="212">
        <f t="shared" si="247"/>
        <v>221.53846153846155</v>
      </c>
      <c r="H91" s="212"/>
      <c r="I91" s="210"/>
      <c r="J91" s="22">
        <v>506</v>
      </c>
      <c r="K91" s="33"/>
      <c r="L91" s="68">
        <v>221.53846153846155</v>
      </c>
      <c r="M91" s="33"/>
      <c r="N91" s="212">
        <f t="shared" si="248"/>
        <v>-284.46153846153845</v>
      </c>
      <c r="O91" s="212"/>
      <c r="P91" s="210"/>
      <c r="Q91" s="65">
        <f>1793.94</f>
        <v>1793.94</v>
      </c>
      <c r="R91" s="23"/>
      <c r="S91" s="68">
        <v>221.53846153846155</v>
      </c>
      <c r="T91" s="33"/>
      <c r="U91" s="212">
        <f t="shared" si="249"/>
        <v>-1572.4015384615386</v>
      </c>
      <c r="V91" s="212"/>
      <c r="W91" s="210"/>
      <c r="X91" s="208">
        <f t="shared" si="250"/>
        <v>2299.94</v>
      </c>
      <c r="Y91" s="33"/>
      <c r="Z91" s="218">
        <f t="shared" si="251"/>
        <v>664.61538461538464</v>
      </c>
      <c r="AA91" s="23"/>
      <c r="AB91" s="212">
        <f>Z91-X91</f>
        <v>-1635.3246153846153</v>
      </c>
      <c r="AC91" s="212"/>
      <c r="AD91" s="210"/>
      <c r="AE91" s="65">
        <v>1712.6</v>
      </c>
      <c r="AF91" s="23"/>
      <c r="AG91" s="22">
        <v>221.53846153846155</v>
      </c>
      <c r="AH91" s="23"/>
      <c r="AI91" s="220">
        <f t="shared" si="264"/>
        <v>-1491.0615384615385</v>
      </c>
      <c r="AJ91" s="221"/>
      <c r="AK91" s="210"/>
      <c r="AL91" s="65">
        <v>-1434.03</v>
      </c>
      <c r="AM91" s="23"/>
      <c r="AN91" s="22">
        <v>221.53846153846155</v>
      </c>
      <c r="AO91" s="23"/>
      <c r="AP91" s="220">
        <f t="shared" si="265"/>
        <v>1655.5684615384616</v>
      </c>
      <c r="AQ91" s="221"/>
      <c r="AR91" s="210"/>
      <c r="AS91" s="65">
        <v>0</v>
      </c>
      <c r="AT91" s="23"/>
      <c r="AU91" s="22">
        <v>221.53846153846155</v>
      </c>
      <c r="AV91" s="23"/>
      <c r="AW91" s="220">
        <f t="shared" si="266"/>
        <v>221.53846153846155</v>
      </c>
      <c r="AX91" s="221"/>
      <c r="AY91" s="210"/>
      <c r="AZ91" s="208">
        <f t="shared" si="252"/>
        <v>278.56999999999994</v>
      </c>
      <c r="BA91" s="23"/>
      <c r="BB91" s="218">
        <f t="shared" si="267"/>
        <v>664.61538461538464</v>
      </c>
      <c r="BC91" s="23"/>
      <c r="BD91" s="220">
        <f t="shared" si="268"/>
        <v>386.04538461538471</v>
      </c>
      <c r="BE91" s="212"/>
      <c r="BF91" s="210"/>
      <c r="BG91" s="65">
        <v>0</v>
      </c>
      <c r="BH91" s="23"/>
      <c r="BI91" s="65">
        <v>0</v>
      </c>
      <c r="BJ91" s="23"/>
      <c r="BK91" s="220">
        <f t="shared" si="269"/>
        <v>0</v>
      </c>
      <c r="BL91" s="212"/>
      <c r="BM91" s="210"/>
      <c r="BN91" s="65">
        <v>0</v>
      </c>
      <c r="BO91" s="52"/>
      <c r="BP91" s="65">
        <v>0</v>
      </c>
      <c r="BQ91" s="52"/>
      <c r="BR91" s="222">
        <f t="shared" si="253"/>
        <v>0</v>
      </c>
      <c r="BS91" s="216"/>
      <c r="BT91" s="210"/>
      <c r="BU91" s="65">
        <v>0</v>
      </c>
      <c r="BV91" s="52"/>
      <c r="BW91" s="65">
        <v>0</v>
      </c>
      <c r="BX91" s="52"/>
      <c r="BY91" s="222">
        <f t="shared" si="254"/>
        <v>0</v>
      </c>
      <c r="BZ91" s="216"/>
      <c r="CA91" s="210"/>
      <c r="CB91" s="65">
        <v>0</v>
      </c>
      <c r="CC91" s="52"/>
      <c r="CD91" s="65">
        <v>0</v>
      </c>
      <c r="CE91" s="52"/>
      <c r="CF91" s="222">
        <f t="shared" si="255"/>
        <v>0</v>
      </c>
      <c r="CG91" s="216"/>
      <c r="CH91" s="210"/>
      <c r="CI91" s="208">
        <f t="shared" si="245"/>
        <v>0</v>
      </c>
      <c r="CJ91" s="52"/>
      <c r="CK91" s="208">
        <f t="shared" si="256"/>
        <v>0</v>
      </c>
      <c r="CL91" s="52"/>
      <c r="CM91" s="222">
        <f t="shared" si="257"/>
        <v>0</v>
      </c>
      <c r="CN91" s="216"/>
      <c r="CO91" s="210"/>
      <c r="CP91" s="65">
        <v>0</v>
      </c>
      <c r="CQ91" s="51"/>
      <c r="CR91" s="65">
        <v>0</v>
      </c>
      <c r="CS91" s="51"/>
      <c r="CT91" s="222">
        <f t="shared" si="258"/>
        <v>0</v>
      </c>
      <c r="CU91" s="223"/>
      <c r="CV91" s="210"/>
      <c r="CW91" s="65">
        <v>0</v>
      </c>
      <c r="CX91" s="52"/>
      <c r="CY91" s="65">
        <v>0</v>
      </c>
      <c r="CZ91" s="52"/>
      <c r="DA91" s="222">
        <f t="shared" si="259"/>
        <v>0</v>
      </c>
      <c r="DB91" s="216"/>
      <c r="DC91" s="210"/>
      <c r="DD91" s="65">
        <v>0</v>
      </c>
      <c r="DE91" s="52"/>
      <c r="DF91" s="65">
        <v>0</v>
      </c>
      <c r="DG91" s="52"/>
      <c r="DH91" s="222">
        <f t="shared" si="260"/>
        <v>0</v>
      </c>
      <c r="DI91" s="216"/>
      <c r="DJ91" s="210"/>
      <c r="DK91" s="65">
        <v>0</v>
      </c>
      <c r="DL91" s="52"/>
      <c r="DM91" s="65">
        <v>0</v>
      </c>
      <c r="DN91" s="52"/>
      <c r="DO91" s="222">
        <f t="shared" si="261"/>
        <v>0</v>
      </c>
      <c r="DP91" s="216"/>
      <c r="DQ91" s="210"/>
      <c r="DR91" s="208">
        <f t="shared" si="270"/>
        <v>0</v>
      </c>
      <c r="DS91" s="52"/>
      <c r="DT91" s="208">
        <f t="shared" si="262"/>
        <v>0</v>
      </c>
      <c r="DU91" s="52"/>
      <c r="DV91" s="222">
        <f t="shared" si="263"/>
        <v>0</v>
      </c>
      <c r="DW91" s="216"/>
      <c r="DX91" s="210"/>
      <c r="DY91" s="208">
        <f t="shared" si="246"/>
        <v>2578.5100000000002</v>
      </c>
      <c r="DZ91" s="52"/>
      <c r="EA91" s="208">
        <f t="shared" si="271"/>
        <v>1329.2307692307693</v>
      </c>
      <c r="EB91" s="33"/>
      <c r="EC91" s="212">
        <f>EA91-DY91</f>
        <v>-1249.2792307692309</v>
      </c>
      <c r="ED91" s="212"/>
    </row>
    <row r="92" spans="1:134">
      <c r="A92" s="10" t="s">
        <v>102</v>
      </c>
      <c r="B92" s="10"/>
      <c r="C92" s="65"/>
      <c r="D92" s="33"/>
      <c r="E92" s="68">
        <v>230.76923076923077</v>
      </c>
      <c r="F92" s="33"/>
      <c r="G92" s="212">
        <f t="shared" si="247"/>
        <v>230.76923076923077</v>
      </c>
      <c r="H92" s="212"/>
      <c r="I92" s="210"/>
      <c r="J92" s="22">
        <v>0</v>
      </c>
      <c r="K92" s="33"/>
      <c r="L92" s="68">
        <v>230.76923076923077</v>
      </c>
      <c r="M92" s="33"/>
      <c r="N92" s="212">
        <f t="shared" si="248"/>
        <v>230.76923076923077</v>
      </c>
      <c r="O92" s="212"/>
      <c r="P92" s="210"/>
      <c r="Q92" s="65">
        <v>0</v>
      </c>
      <c r="R92" s="23"/>
      <c r="S92" s="68">
        <v>230.76923076923077</v>
      </c>
      <c r="T92" s="33"/>
      <c r="U92" s="212">
        <f t="shared" si="249"/>
        <v>230.76923076923077</v>
      </c>
      <c r="V92" s="212"/>
      <c r="W92" s="210"/>
      <c r="X92" s="208">
        <f t="shared" si="250"/>
        <v>0</v>
      </c>
      <c r="Y92" s="33"/>
      <c r="Z92" s="218">
        <f t="shared" si="251"/>
        <v>692.30769230769238</v>
      </c>
      <c r="AA92" s="23"/>
      <c r="AB92" s="212"/>
      <c r="AC92" s="212"/>
      <c r="AD92" s="210"/>
      <c r="AE92" s="65">
        <v>0</v>
      </c>
      <c r="AF92" s="23"/>
      <c r="AG92" s="22">
        <v>230.76923076923077</v>
      </c>
      <c r="AH92" s="23"/>
      <c r="AI92" s="220">
        <f t="shared" si="264"/>
        <v>230.76923076923077</v>
      </c>
      <c r="AJ92" s="221"/>
      <c r="AK92" s="210"/>
      <c r="AL92" s="65">
        <v>36.04</v>
      </c>
      <c r="AM92" s="23"/>
      <c r="AN92" s="22">
        <v>230.76923076923077</v>
      </c>
      <c r="AO92" s="23"/>
      <c r="AP92" s="220">
        <f t="shared" si="265"/>
        <v>194.72923076923078</v>
      </c>
      <c r="AQ92" s="221"/>
      <c r="AR92" s="210"/>
      <c r="AS92" s="65">
        <v>27.56</v>
      </c>
      <c r="AT92" s="23"/>
      <c r="AU92" s="22">
        <v>230.76923076923077</v>
      </c>
      <c r="AV92" s="23"/>
      <c r="AW92" s="220">
        <f t="shared" si="266"/>
        <v>203.20923076923077</v>
      </c>
      <c r="AX92" s="221"/>
      <c r="AY92" s="210"/>
      <c r="AZ92" s="208">
        <f t="shared" si="252"/>
        <v>63.599999999999994</v>
      </c>
      <c r="BA92" s="23"/>
      <c r="BB92" s="218">
        <f t="shared" si="267"/>
        <v>692.30769230769238</v>
      </c>
      <c r="BC92" s="23"/>
      <c r="BD92" s="220">
        <f t="shared" si="268"/>
        <v>628.70769230769235</v>
      </c>
      <c r="BE92" s="212"/>
      <c r="BF92" s="210"/>
      <c r="BG92" s="65">
        <v>296.17</v>
      </c>
      <c r="BH92" s="23"/>
      <c r="BI92" s="65">
        <v>0</v>
      </c>
      <c r="BJ92" s="23"/>
      <c r="BK92" s="220">
        <f t="shared" si="269"/>
        <v>-296.17</v>
      </c>
      <c r="BL92" s="212"/>
      <c r="BM92" s="210"/>
      <c r="BN92" s="65">
        <v>238.6</v>
      </c>
      <c r="BO92" s="52"/>
      <c r="BP92" s="65">
        <v>1250</v>
      </c>
      <c r="BQ92" s="52"/>
      <c r="BR92" s="222">
        <f t="shared" si="253"/>
        <v>-1011.4</v>
      </c>
      <c r="BS92" s="216"/>
      <c r="BT92" s="210"/>
      <c r="BU92" s="65">
        <v>3306.35</v>
      </c>
      <c r="BV92" s="52"/>
      <c r="BW92" s="65">
        <v>1250</v>
      </c>
      <c r="BX92" s="52"/>
      <c r="BY92" s="222">
        <f t="shared" si="254"/>
        <v>2056.35</v>
      </c>
      <c r="BZ92" s="216"/>
      <c r="CA92" s="210"/>
      <c r="CB92" s="65">
        <v>0</v>
      </c>
      <c r="CC92" s="52"/>
      <c r="CD92" s="65">
        <v>0</v>
      </c>
      <c r="CE92" s="52"/>
      <c r="CF92" s="222">
        <f t="shared" si="255"/>
        <v>0</v>
      </c>
      <c r="CG92" s="216"/>
      <c r="CH92" s="210"/>
      <c r="CI92" s="208">
        <f t="shared" si="245"/>
        <v>3841.12</v>
      </c>
      <c r="CJ92" s="52"/>
      <c r="CK92" s="208">
        <f t="shared" si="256"/>
        <v>2500</v>
      </c>
      <c r="CL92" s="52"/>
      <c r="CM92" s="222">
        <f t="shared" si="257"/>
        <v>1341.12</v>
      </c>
      <c r="CN92" s="216"/>
      <c r="CO92" s="210"/>
      <c r="CP92" s="65">
        <v>27.56</v>
      </c>
      <c r="CQ92" s="51"/>
      <c r="CR92" s="65">
        <v>231</v>
      </c>
      <c r="CS92" s="51"/>
      <c r="CT92" s="222">
        <f t="shared" si="258"/>
        <v>-203.44</v>
      </c>
      <c r="CU92" s="223"/>
      <c r="CV92" s="210"/>
      <c r="CW92" s="65">
        <v>27.56</v>
      </c>
      <c r="CX92" s="52"/>
      <c r="CY92" s="65">
        <v>231</v>
      </c>
      <c r="CZ92" s="52"/>
      <c r="DA92" s="222">
        <f t="shared" si="259"/>
        <v>-203.44</v>
      </c>
      <c r="DB92" s="216"/>
      <c r="DC92" s="210"/>
      <c r="DD92" s="65">
        <v>27.56</v>
      </c>
      <c r="DE92" s="52"/>
      <c r="DF92" s="65">
        <v>230.76923076923077</v>
      </c>
      <c r="DG92" s="52"/>
      <c r="DH92" s="222">
        <f t="shared" si="260"/>
        <v>-203.20923076923077</v>
      </c>
      <c r="DI92" s="216"/>
      <c r="DJ92" s="210"/>
      <c r="DK92" s="65">
        <v>27.56</v>
      </c>
      <c r="DL92" s="52"/>
      <c r="DM92" s="65">
        <v>230.76923076923077</v>
      </c>
      <c r="DN92" s="52"/>
      <c r="DO92" s="222">
        <f t="shared" si="261"/>
        <v>-203.20923076923077</v>
      </c>
      <c r="DP92" s="216"/>
      <c r="DQ92" s="210"/>
      <c r="DR92" s="208">
        <f t="shared" si="270"/>
        <v>110.24</v>
      </c>
      <c r="DS92" s="52"/>
      <c r="DT92" s="208">
        <f t="shared" si="262"/>
        <v>923.53846153846143</v>
      </c>
      <c r="DU92" s="52"/>
      <c r="DV92" s="222">
        <f t="shared" si="263"/>
        <v>-813.29846153846142</v>
      </c>
      <c r="DW92" s="216"/>
      <c r="DX92" s="210"/>
      <c r="DY92" s="208">
        <f t="shared" si="246"/>
        <v>4014.9599999999996</v>
      </c>
      <c r="DZ92" s="52"/>
      <c r="EA92" s="208">
        <f t="shared" si="271"/>
        <v>4808.1538461538457</v>
      </c>
      <c r="EB92" s="33"/>
      <c r="EC92" s="212"/>
      <c r="ED92" s="212"/>
    </row>
    <row r="93" spans="1:134" hidden="1">
      <c r="A93" s="10" t="s">
        <v>103</v>
      </c>
      <c r="B93" s="10"/>
      <c r="C93" s="65"/>
      <c r="D93" s="33"/>
      <c r="E93" s="68">
        <v>115.38461538461539</v>
      </c>
      <c r="F93" s="33"/>
      <c r="G93" s="212"/>
      <c r="H93" s="212"/>
      <c r="I93" s="210"/>
      <c r="J93" s="22">
        <v>0</v>
      </c>
      <c r="K93" s="33"/>
      <c r="L93" s="68">
        <v>115.38461538461539</v>
      </c>
      <c r="M93" s="33"/>
      <c r="N93" s="212">
        <f t="shared" si="248"/>
        <v>115.38461538461539</v>
      </c>
      <c r="O93" s="212"/>
      <c r="P93" s="210"/>
      <c r="Q93" s="65">
        <v>0</v>
      </c>
      <c r="R93" s="23"/>
      <c r="S93" s="68">
        <v>115.38461538461539</v>
      </c>
      <c r="T93" s="33"/>
      <c r="U93" s="212"/>
      <c r="V93" s="212"/>
      <c r="W93" s="210"/>
      <c r="X93" s="208">
        <f t="shared" si="250"/>
        <v>0</v>
      </c>
      <c r="Y93" s="33"/>
      <c r="Z93" s="218">
        <f t="shared" si="251"/>
        <v>346.15384615384619</v>
      </c>
      <c r="AA93" s="23"/>
      <c r="AB93" s="212"/>
      <c r="AC93" s="212"/>
      <c r="AD93" s="210"/>
      <c r="AE93" s="65">
        <v>0</v>
      </c>
      <c r="AF93" s="23"/>
      <c r="AG93" s="22">
        <v>115.38461538461539</v>
      </c>
      <c r="AH93" s="23"/>
      <c r="AI93" s="220">
        <f t="shared" si="264"/>
        <v>115.38461538461539</v>
      </c>
      <c r="AJ93" s="221"/>
      <c r="AK93" s="210"/>
      <c r="AL93" s="65">
        <v>0</v>
      </c>
      <c r="AM93" s="23"/>
      <c r="AN93" s="22">
        <v>115.38461538461539</v>
      </c>
      <c r="AO93" s="23"/>
      <c r="AP93" s="220">
        <f t="shared" si="265"/>
        <v>115.38461538461539</v>
      </c>
      <c r="AQ93" s="221"/>
      <c r="AR93" s="210"/>
      <c r="AS93" s="65">
        <v>0</v>
      </c>
      <c r="AT93" s="23"/>
      <c r="AU93" s="22">
        <v>115.38461538461539</v>
      </c>
      <c r="AV93" s="23"/>
      <c r="AW93" s="220"/>
      <c r="AX93" s="221"/>
      <c r="AY93" s="210"/>
      <c r="AZ93" s="208">
        <f t="shared" ref="AZ93" si="272">AE93+AL93+AS93</f>
        <v>0</v>
      </c>
      <c r="BA93" s="23"/>
      <c r="BB93" s="218">
        <f t="shared" ref="BB93" si="273">AG93+AN93+AU93</f>
        <v>346.15384615384619</v>
      </c>
      <c r="BC93" s="23"/>
      <c r="BD93" s="220"/>
      <c r="BE93" s="212"/>
      <c r="BF93" s="210"/>
      <c r="BG93" s="65">
        <v>0</v>
      </c>
      <c r="BH93" s="23"/>
      <c r="BI93" s="65">
        <v>0</v>
      </c>
      <c r="BJ93" s="23"/>
      <c r="BK93" s="220">
        <f t="shared" si="269"/>
        <v>0</v>
      </c>
      <c r="BL93" s="212"/>
      <c r="BM93" s="210"/>
      <c r="BN93" s="65">
        <v>0</v>
      </c>
      <c r="BO93" s="52"/>
      <c r="BP93" s="65">
        <v>0</v>
      </c>
      <c r="BQ93" s="52"/>
      <c r="BR93" s="222">
        <f t="shared" si="253"/>
        <v>0</v>
      </c>
      <c r="BS93" s="216"/>
      <c r="BT93" s="210"/>
      <c r="BU93" s="65">
        <v>0</v>
      </c>
      <c r="BV93" s="52"/>
      <c r="BW93" s="65">
        <v>0</v>
      </c>
      <c r="BX93" s="52"/>
      <c r="BY93" s="222">
        <f t="shared" si="254"/>
        <v>0</v>
      </c>
      <c r="BZ93" s="216"/>
      <c r="CA93" s="210"/>
      <c r="CB93" s="65">
        <f>1503.74+350</f>
        <v>1853.74</v>
      </c>
      <c r="CC93" s="52"/>
      <c r="CD93" s="65">
        <v>0</v>
      </c>
      <c r="CE93" s="52"/>
      <c r="CF93" s="222">
        <f t="shared" si="255"/>
        <v>1853.74</v>
      </c>
      <c r="CG93" s="216"/>
      <c r="CH93" s="210"/>
      <c r="CI93" s="208">
        <f t="shared" si="245"/>
        <v>1853.74</v>
      </c>
      <c r="CJ93" s="52"/>
      <c r="CK93" s="208">
        <f t="shared" si="256"/>
        <v>0</v>
      </c>
      <c r="CL93" s="52"/>
      <c r="CM93" s="222">
        <f t="shared" si="257"/>
        <v>1853.74</v>
      </c>
      <c r="CN93" s="216"/>
      <c r="CO93" s="210"/>
      <c r="CP93" s="65">
        <f>2770-500</f>
        <v>2270</v>
      </c>
      <c r="CQ93" s="51"/>
      <c r="CR93" s="65">
        <v>115</v>
      </c>
      <c r="CS93" s="51"/>
      <c r="CT93" s="222">
        <f t="shared" si="258"/>
        <v>2155</v>
      </c>
      <c r="CU93" s="223"/>
      <c r="CV93" s="210"/>
      <c r="CW93" s="65">
        <v>0</v>
      </c>
      <c r="CX93" s="52"/>
      <c r="CY93" s="65">
        <v>115</v>
      </c>
      <c r="CZ93" s="52"/>
      <c r="DA93" s="222">
        <f t="shared" si="259"/>
        <v>-115</v>
      </c>
      <c r="DB93" s="216"/>
      <c r="DC93" s="210"/>
      <c r="DD93" s="65">
        <v>0</v>
      </c>
      <c r="DE93" s="52"/>
      <c r="DF93" s="65">
        <v>115.38461538461539</v>
      </c>
      <c r="DG93" s="52"/>
      <c r="DH93" s="222">
        <f t="shared" si="260"/>
        <v>-115.38461538461539</v>
      </c>
      <c r="DI93" s="216"/>
      <c r="DJ93" s="210"/>
      <c r="DK93" s="65"/>
      <c r="DL93" s="52"/>
      <c r="DM93" s="65">
        <v>115.38461538461539</v>
      </c>
      <c r="DN93" s="52"/>
      <c r="DO93" s="222">
        <f t="shared" si="261"/>
        <v>-115.38461538461539</v>
      </c>
      <c r="DP93" s="216"/>
      <c r="DQ93" s="210"/>
      <c r="DR93" s="208">
        <f t="shared" si="270"/>
        <v>2270</v>
      </c>
      <c r="DS93" s="52"/>
      <c r="DT93" s="208">
        <f t="shared" si="262"/>
        <v>460.76923076923072</v>
      </c>
      <c r="DU93" s="52"/>
      <c r="DV93" s="222">
        <f t="shared" si="263"/>
        <v>1809.2307692307693</v>
      </c>
      <c r="DW93" s="216"/>
      <c r="DX93" s="210"/>
      <c r="DY93" s="208">
        <f t="shared" si="246"/>
        <v>4123.74</v>
      </c>
      <c r="DZ93" s="52"/>
      <c r="EA93" s="208">
        <f t="shared" si="271"/>
        <v>1153.0769230769231</v>
      </c>
      <c r="EB93" s="33"/>
      <c r="EC93" s="212"/>
      <c r="ED93" s="212"/>
    </row>
    <row r="94" spans="1:134" ht="17.100000000000001" thickBot="1">
      <c r="A94" s="11" t="s">
        <v>104</v>
      </c>
      <c r="B94" s="9"/>
      <c r="C94" s="69">
        <f>SUM(C86:C92)</f>
        <v>0</v>
      </c>
      <c r="D94" s="32" t="e">
        <f>C94/C12</f>
        <v>#DIV/0!</v>
      </c>
      <c r="E94" s="24">
        <f>SUM(E86:E93)</f>
        <v>6222.6153846153838</v>
      </c>
      <c r="F94" s="32">
        <f>E94/E12</f>
        <v>2.4659256350915353E-2</v>
      </c>
      <c r="G94" s="34">
        <f t="shared" si="247"/>
        <v>6222.6153846153838</v>
      </c>
      <c r="H94" s="31">
        <f>G94/E94</f>
        <v>1</v>
      </c>
      <c r="I94" s="210"/>
      <c r="J94" s="24">
        <f>SUM(J86:J93)</f>
        <v>2356</v>
      </c>
      <c r="K94" s="32">
        <f>J94/J12</f>
        <v>1.6413143054196114E-2</v>
      </c>
      <c r="L94" s="24">
        <f>SUM(L86:L93)</f>
        <v>6222.6153846153838</v>
      </c>
      <c r="M94" s="32">
        <f>L94/L12</f>
        <v>2.4475556794787651E-2</v>
      </c>
      <c r="N94" s="34">
        <f t="shared" si="248"/>
        <v>3866.6153846153838</v>
      </c>
      <c r="O94" s="31">
        <f>N94/L94</f>
        <v>0.62138106658095771</v>
      </c>
      <c r="P94" s="210"/>
      <c r="Q94" s="69">
        <f>SUM(Q86:Q93)</f>
        <v>6329.35</v>
      </c>
      <c r="R94" s="21">
        <f>Q94/Q12</f>
        <v>5.2140234564534906E-2</v>
      </c>
      <c r="S94" s="24">
        <f>SUM(S86:S93)</f>
        <v>6222.6153846153838</v>
      </c>
      <c r="T94" s="32">
        <f>S94/S12</f>
        <v>2.1251263285593947E-2</v>
      </c>
      <c r="U94" s="34">
        <f>S94-Q94</f>
        <v>-106.73461538461652</v>
      </c>
      <c r="V94" s="31">
        <f>U94/S94</f>
        <v>-1.7152693648478441E-2</v>
      </c>
      <c r="W94" s="210"/>
      <c r="X94" s="69">
        <f>SUM(X86:X92)</f>
        <v>8685.35</v>
      </c>
      <c r="Y94" s="32">
        <f>X94/X12</f>
        <v>3.2783021004444877E-2</v>
      </c>
      <c r="Z94" s="24">
        <f>SUM(Z86:Z93)</f>
        <v>18667.846153846152</v>
      </c>
      <c r="AA94" s="21">
        <f>Z94/Z12</f>
        <v>2.3352511756902106E-2</v>
      </c>
      <c r="AB94" s="34">
        <f>Z94-X94</f>
        <v>9982.4961538461521</v>
      </c>
      <c r="AC94" s="31">
        <f>AB94/Z94</f>
        <v>0.53474279097749311</v>
      </c>
      <c r="AD94" s="210"/>
      <c r="AE94" s="69">
        <f>SUM(AE86:AE93)</f>
        <v>2242.6</v>
      </c>
      <c r="AF94" s="21" t="e">
        <f>AE94/AE12</f>
        <v>#DIV/0!</v>
      </c>
      <c r="AG94" s="69">
        <f>SUM(AG86:AG93)</f>
        <v>6222.6153846153838</v>
      </c>
      <c r="AH94" s="21">
        <f>AG94/AG12</f>
        <v>1.9739221203953692E-2</v>
      </c>
      <c r="AI94" s="71">
        <f>AG94-AE94</f>
        <v>3980.0153846153839</v>
      </c>
      <c r="AJ94" s="19">
        <f>AI94/AG94</f>
        <v>0.63960491507404749</v>
      </c>
      <c r="AK94" s="210"/>
      <c r="AL94" s="69">
        <f>SUM(AL86:AL93)</f>
        <v>-1397.99</v>
      </c>
      <c r="AM94" s="21" t="e">
        <f>AL94/AL12</f>
        <v>#DIV/0!</v>
      </c>
      <c r="AN94" s="69">
        <f>SUM(AN86:AN93)</f>
        <v>6222.6153846153838</v>
      </c>
      <c r="AO94" s="21">
        <f>AN94/AN12</f>
        <v>1.9662781522489407E-2</v>
      </c>
      <c r="AP94" s="71">
        <f>AN94-AL94</f>
        <v>7620.6053846153836</v>
      </c>
      <c r="AQ94" s="19">
        <f>AP94/AN94</f>
        <v>1.2246627685613272</v>
      </c>
      <c r="AR94" s="210"/>
      <c r="AS94" s="69">
        <f>SUM(AS86:AS93)</f>
        <v>1236.4099999999999</v>
      </c>
      <c r="AT94" s="21" t="e">
        <f>AS94/AS12</f>
        <v>#DIV/0!</v>
      </c>
      <c r="AU94" s="69">
        <f>SUM(AU86:AU93)</f>
        <v>6222.6153846153838</v>
      </c>
      <c r="AV94" s="21">
        <f>AU94/AU12</f>
        <v>1.9252606495045274E-2</v>
      </c>
      <c r="AW94" s="71">
        <f>AU94-AS94</f>
        <v>4986.205384615384</v>
      </c>
      <c r="AX94" s="19">
        <f>AW94/AU94</f>
        <v>0.80130380497935572</v>
      </c>
      <c r="AY94" s="210"/>
      <c r="AZ94" s="69">
        <f>SUM(AZ86:AZ93)</f>
        <v>2081.02</v>
      </c>
      <c r="BA94" s="21" t="e">
        <f>AZ94/AZ12</f>
        <v>#DIV/0!</v>
      </c>
      <c r="BB94" s="69">
        <f>SUM(BB86:BB93)</f>
        <v>18667.846153846152</v>
      </c>
      <c r="BC94" s="21">
        <f>BB94/BB12</f>
        <v>1.9549184911387216E-2</v>
      </c>
      <c r="BD94" s="71">
        <f>BB94-AZ94</f>
        <v>16586.826153846152</v>
      </c>
      <c r="BE94" s="19">
        <f>BD94/BB94</f>
        <v>0.88852382953824338</v>
      </c>
      <c r="BF94" s="210"/>
      <c r="BG94" s="69">
        <f>SUM(BG86:BG93)</f>
        <v>7389.42</v>
      </c>
      <c r="BH94" s="21" t="e">
        <f>BG94/BG12</f>
        <v>#DIV/0!</v>
      </c>
      <c r="BI94" s="69">
        <f>SUM(BI86:BI93)</f>
        <v>0</v>
      </c>
      <c r="BJ94" s="21" t="e">
        <f>BI94/BI12</f>
        <v>#DIV/0!</v>
      </c>
      <c r="BK94" s="71">
        <f>BI94-BG94</f>
        <v>-7389.42</v>
      </c>
      <c r="BL94" s="19" t="e">
        <f>BK94/BI94</f>
        <v>#DIV/0!</v>
      </c>
      <c r="BM94" s="210"/>
      <c r="BN94" s="69">
        <f>SUM(BN85:BN93)</f>
        <v>3624.5899999999997</v>
      </c>
      <c r="BO94" s="38" t="e">
        <f>BN94/BN12</f>
        <v>#DIV/0!</v>
      </c>
      <c r="BP94" s="69">
        <f>SUM(BP85:BP93)</f>
        <v>6050</v>
      </c>
      <c r="BQ94" s="38" t="e">
        <f>BP94/BP12</f>
        <v>#DIV/0!</v>
      </c>
      <c r="BR94" s="69">
        <f>SUM(BR86:BR93)</f>
        <v>-2425.4100000000003</v>
      </c>
      <c r="BS94" s="40">
        <f>BR94/BP94</f>
        <v>-0.40089421487603311</v>
      </c>
      <c r="BT94" s="210"/>
      <c r="BU94" s="69">
        <f>SUM(BU85:BU93)</f>
        <v>10689.42</v>
      </c>
      <c r="BV94" s="38">
        <f>BU94/BU12</f>
        <v>1.2516738679874941</v>
      </c>
      <c r="BW94" s="69">
        <f>SUM(BW85:BW93)</f>
        <v>8775</v>
      </c>
      <c r="BX94" s="38" t="e">
        <f>BW94/BW12</f>
        <v>#DIV/0!</v>
      </c>
      <c r="BY94" s="69">
        <f>SUM(BY86:BY93)</f>
        <v>534.41999999999985</v>
      </c>
      <c r="BZ94" s="40">
        <f>BY94/BW94</f>
        <v>6.0902564102564082E-2</v>
      </c>
      <c r="CA94" s="210"/>
      <c r="CB94" s="69">
        <f>SUM(CB85:CB93)</f>
        <v>3659.99</v>
      </c>
      <c r="CC94" s="38">
        <f>CB94/CB12</f>
        <v>5.0341643257509346E-2</v>
      </c>
      <c r="CD94" s="69">
        <f>SUM(CD85:CD93)</f>
        <v>4025</v>
      </c>
      <c r="CE94" s="38">
        <f>CD94/CD12</f>
        <v>3.3886746703935072E-2</v>
      </c>
      <c r="CF94" s="69">
        <f>SUM(CF86:CF93)</f>
        <v>-365.01</v>
      </c>
      <c r="CG94" s="40">
        <f>CF94/CD94</f>
        <v>-9.0685714285714286E-2</v>
      </c>
      <c r="CH94" s="210"/>
      <c r="CI94" s="69">
        <f>SUM(CI85:CI93)</f>
        <v>25363.42</v>
      </c>
      <c r="CJ94" s="38">
        <f>CI94/CI12</f>
        <v>0.31219156622843058</v>
      </c>
      <c r="CK94" s="69">
        <f>SUM(CK85:CK93)</f>
        <v>18850</v>
      </c>
      <c r="CL94" s="38">
        <f>CK94/CK12</f>
        <v>0.15869942245196922</v>
      </c>
      <c r="CM94" s="69">
        <f>SUM(CM86:CM93)</f>
        <v>5133.4199999999992</v>
      </c>
      <c r="CN94" s="40">
        <f>CM94/CK94</f>
        <v>0.27232997347480103</v>
      </c>
      <c r="CO94" s="210"/>
      <c r="CP94" s="69">
        <f>SUM(CP85:CP93)</f>
        <v>9959.4000000000015</v>
      </c>
      <c r="CQ94" s="38">
        <f>CP94/CP12</f>
        <v>4.4870093254321175E-2</v>
      </c>
      <c r="CR94" s="69">
        <f>SUM(CR85:CR93)</f>
        <v>6896</v>
      </c>
      <c r="CS94" s="38">
        <f>CR94/CR12</f>
        <v>2.902894475407904E-2</v>
      </c>
      <c r="CT94" s="69">
        <f>SUM(CT86:CT93)</f>
        <v>2563.3999999999996</v>
      </c>
      <c r="CU94" s="40">
        <f>CT94/CR94</f>
        <v>0.37172273781902548</v>
      </c>
      <c r="CV94" s="210"/>
      <c r="CW94" s="69">
        <f>SUM(CW85:CW93)</f>
        <v>8246.8000000000011</v>
      </c>
      <c r="CX94" s="38">
        <f>CW94/CW12</f>
        <v>3.1637604339586116E-2</v>
      </c>
      <c r="CY94" s="69">
        <f>SUM(CY85:CY93)</f>
        <v>6896</v>
      </c>
      <c r="CZ94" s="38">
        <f>CY94/CY12</f>
        <v>2.902894475407904E-2</v>
      </c>
      <c r="DA94" s="69">
        <f>SUM(DA86:DA93)</f>
        <v>850.8</v>
      </c>
      <c r="DB94" s="40">
        <f>DA94/CY94</f>
        <v>0.12337587006960556</v>
      </c>
      <c r="DC94" s="210"/>
      <c r="DD94" s="69">
        <f>SUM(DD85:DD93)</f>
        <v>3437.4</v>
      </c>
      <c r="DE94" s="38">
        <f>DD94/DD12</f>
        <v>1.5107693408494117E-2</v>
      </c>
      <c r="DF94" s="69">
        <f>SUM(DF85:DF93)</f>
        <v>5396.1538461538457</v>
      </c>
      <c r="DG94" s="38">
        <f>DF94/DF12</f>
        <v>1.9875995322695211E-2</v>
      </c>
      <c r="DH94" s="69">
        <f>SUM(DH86:DH93)</f>
        <v>-2458.7538461538461</v>
      </c>
      <c r="DI94" s="40">
        <f>DH94/DF94</f>
        <v>-0.45564932287954385</v>
      </c>
      <c r="DJ94" s="210"/>
      <c r="DK94" s="69">
        <f>SUM(DK85:DK93)</f>
        <v>3680.45</v>
      </c>
      <c r="DL94" s="38">
        <f>DK94/DK12</f>
        <v>2.4760250179809422E-2</v>
      </c>
      <c r="DM94" s="69">
        <f>SUM(DM85:DM93)</f>
        <v>5396.1538461538457</v>
      </c>
      <c r="DN94" s="38">
        <f>DM94/DM12</f>
        <v>1.9875995322695211E-2</v>
      </c>
      <c r="DO94" s="69">
        <f>SUM(DO86:DO93)</f>
        <v>-2215.7038461538459</v>
      </c>
      <c r="DP94" s="40">
        <f>DO94/DM94</f>
        <v>-0.41060798289379902</v>
      </c>
      <c r="DQ94" s="210"/>
      <c r="DR94" s="69">
        <f>SUM(DR85:DR93)</f>
        <v>25324.050000000003</v>
      </c>
      <c r="DS94" s="38">
        <f>DR94/DR12</f>
        <v>2.9487880230350618E-2</v>
      </c>
      <c r="DT94" s="69">
        <f>SUM(DT85:DT93)</f>
        <v>24584.307692307691</v>
      </c>
      <c r="DU94" s="38">
        <f>DT94/DT12</f>
        <v>2.4147384909750665E-2</v>
      </c>
      <c r="DV94" s="69">
        <f>SUM(DV86:DV93)</f>
        <v>-1260.2576923076924</v>
      </c>
      <c r="DW94" s="40">
        <f>DV94/DT94</f>
        <v>-5.1262687893465504E-2</v>
      </c>
      <c r="DX94" s="210"/>
      <c r="DY94" s="69">
        <f>SUM(DY85:DY93)</f>
        <v>61453.840000000004</v>
      </c>
      <c r="DZ94" s="38">
        <f>DY94/DY12</f>
        <v>5.1000191514707562E-2</v>
      </c>
      <c r="EA94" s="69">
        <f>SUM(EA85:EA93)</f>
        <v>78269.999999999985</v>
      </c>
      <c r="EB94" s="38">
        <f>EA94/EA12</f>
        <v>2.7071969306110406E-2</v>
      </c>
      <c r="EC94" s="69">
        <f>SUM(EC86:EC93)</f>
        <v>24873.629230769224</v>
      </c>
      <c r="ED94" s="40">
        <f>EC94/EA94</f>
        <v>0.31779263103065325</v>
      </c>
    </row>
    <row r="95" spans="1:134" ht="17.100000000000001" thickTop="1">
      <c r="A95" s="10"/>
      <c r="B95" s="10"/>
      <c r="C95" s="65"/>
      <c r="D95" s="33"/>
      <c r="E95" s="22"/>
      <c r="F95" s="33"/>
      <c r="G95" s="33"/>
      <c r="H95" s="33"/>
      <c r="I95" s="210"/>
      <c r="J95" s="22"/>
      <c r="K95" s="33"/>
      <c r="L95" s="22"/>
      <c r="M95" s="33"/>
      <c r="N95" s="33"/>
      <c r="O95" s="33"/>
      <c r="P95" s="210"/>
      <c r="Q95" s="65"/>
      <c r="R95" s="23"/>
      <c r="S95" s="22"/>
      <c r="T95" s="33"/>
      <c r="U95" s="33"/>
      <c r="V95" s="33"/>
      <c r="W95" s="210"/>
      <c r="X95" s="65"/>
      <c r="Y95" s="33"/>
      <c r="Z95" s="22"/>
      <c r="AA95" s="23"/>
      <c r="AB95" s="33"/>
      <c r="AC95" s="33"/>
      <c r="AD95" s="210"/>
      <c r="AE95" s="65"/>
      <c r="AF95" s="23"/>
      <c r="AG95" s="22"/>
      <c r="AH95" s="23"/>
      <c r="AI95" s="73"/>
      <c r="AJ95" s="73"/>
      <c r="AK95" s="210"/>
      <c r="AL95" s="65"/>
      <c r="AM95" s="23"/>
      <c r="AN95" s="22"/>
      <c r="AO95" s="23"/>
      <c r="AP95" s="73"/>
      <c r="AQ95" s="73"/>
      <c r="AR95" s="210"/>
      <c r="AS95" s="65"/>
      <c r="AT95" s="23"/>
      <c r="AU95" s="22"/>
      <c r="AV95" s="23"/>
      <c r="AW95" s="73"/>
      <c r="AX95" s="73"/>
      <c r="AY95" s="210"/>
      <c r="AZ95" s="65"/>
      <c r="BA95" s="23"/>
      <c r="BB95" s="22"/>
      <c r="BC95" s="23"/>
      <c r="BD95" s="73"/>
      <c r="BE95" s="33"/>
      <c r="BF95" s="210"/>
      <c r="BG95" s="65"/>
      <c r="BH95" s="23"/>
      <c r="BI95" s="65"/>
      <c r="BJ95" s="23"/>
      <c r="BK95" s="73"/>
      <c r="BL95" s="33"/>
      <c r="BM95" s="210"/>
      <c r="BN95" s="65"/>
      <c r="BO95" s="52"/>
      <c r="BP95" s="65"/>
      <c r="BQ95" s="52"/>
      <c r="BR95" s="68"/>
      <c r="BS95" s="52"/>
      <c r="BT95" s="210"/>
      <c r="BU95" s="65"/>
      <c r="BV95" s="52"/>
      <c r="BW95" s="65"/>
      <c r="BX95" s="52"/>
      <c r="BY95" s="68"/>
      <c r="BZ95" s="81"/>
      <c r="CA95" s="210"/>
      <c r="CB95" s="65"/>
      <c r="CC95" s="52"/>
      <c r="CD95" s="65"/>
      <c r="CE95" s="52"/>
      <c r="CF95" s="68"/>
      <c r="CG95" s="81"/>
      <c r="CH95" s="210"/>
      <c r="CI95" s="65"/>
      <c r="CJ95" s="52"/>
      <c r="CK95" s="65"/>
      <c r="CL95" s="52"/>
      <c r="CM95" s="68"/>
      <c r="CN95" s="81"/>
      <c r="CO95" s="210"/>
      <c r="CP95" s="65"/>
      <c r="CQ95" s="51"/>
      <c r="CR95" s="65"/>
      <c r="CS95" s="51"/>
      <c r="CT95" s="68"/>
      <c r="CU95" s="68"/>
      <c r="CV95" s="210"/>
      <c r="CW95" s="65"/>
      <c r="CX95" s="52"/>
      <c r="CY95" s="65"/>
      <c r="CZ95" s="52"/>
      <c r="DA95" s="68"/>
      <c r="DB95" s="81"/>
      <c r="DC95" s="210"/>
      <c r="DD95" s="65"/>
      <c r="DE95" s="52"/>
      <c r="DF95" s="65"/>
      <c r="DG95" s="52"/>
      <c r="DH95" s="68"/>
      <c r="DI95" s="81"/>
      <c r="DJ95" s="210"/>
      <c r="DK95" s="65"/>
      <c r="DL95" s="52"/>
      <c r="DM95" s="65"/>
      <c r="DN95" s="52"/>
      <c r="DO95" s="68"/>
      <c r="DP95" s="81"/>
      <c r="DQ95" s="210"/>
      <c r="DR95" s="65"/>
      <c r="DS95" s="52"/>
      <c r="DT95" s="65"/>
      <c r="DU95" s="52"/>
      <c r="DV95" s="68"/>
      <c r="DW95" s="81"/>
      <c r="DX95" s="210"/>
      <c r="DY95" s="65"/>
      <c r="DZ95" s="52"/>
      <c r="EA95" s="65"/>
      <c r="EB95" s="33"/>
      <c r="EC95" s="33"/>
      <c r="ED95" s="33"/>
    </row>
    <row r="96" spans="1:134">
      <c r="A96" s="9" t="s">
        <v>105</v>
      </c>
      <c r="B96" s="10"/>
      <c r="C96" s="65"/>
      <c r="D96" s="33"/>
      <c r="E96" s="22"/>
      <c r="F96" s="33"/>
      <c r="G96" s="33"/>
      <c r="H96" s="33"/>
      <c r="I96" s="210"/>
      <c r="J96" s="22"/>
      <c r="K96" s="33"/>
      <c r="L96" s="22"/>
      <c r="M96" s="33"/>
      <c r="N96" s="33"/>
      <c r="O96" s="33"/>
      <c r="P96" s="210"/>
      <c r="Q96" s="65"/>
      <c r="R96" s="23"/>
      <c r="S96" s="22"/>
      <c r="T96" s="33"/>
      <c r="U96" s="33"/>
      <c r="V96" s="33"/>
      <c r="W96" s="210"/>
      <c r="X96" s="65"/>
      <c r="Y96" s="33"/>
      <c r="Z96" s="22"/>
      <c r="AA96" s="23"/>
      <c r="AB96" s="33"/>
      <c r="AC96" s="33"/>
      <c r="AD96" s="210"/>
      <c r="AE96" s="65"/>
      <c r="AF96" s="23"/>
      <c r="AG96" s="64"/>
      <c r="AH96" s="23"/>
      <c r="AI96" s="73"/>
      <c r="AJ96" s="73"/>
      <c r="AK96" s="210"/>
      <c r="AL96" s="65"/>
      <c r="AM96" s="23"/>
      <c r="AN96" s="22"/>
      <c r="AO96" s="23"/>
      <c r="AP96" s="73"/>
      <c r="AQ96" s="73"/>
      <c r="AR96" s="210"/>
      <c r="AS96" s="65"/>
      <c r="AT96" s="23"/>
      <c r="AU96" s="22"/>
      <c r="AV96" s="23"/>
      <c r="AW96" s="73"/>
      <c r="AX96" s="73"/>
      <c r="AY96" s="210"/>
      <c r="AZ96" s="65"/>
      <c r="BA96" s="23"/>
      <c r="BB96" s="22"/>
      <c r="BC96" s="23"/>
      <c r="BD96" s="73"/>
      <c r="BE96" s="33"/>
      <c r="BF96" s="210"/>
      <c r="BG96" s="65"/>
      <c r="BH96" s="23"/>
      <c r="BI96" s="65"/>
      <c r="BJ96" s="23"/>
      <c r="BK96" s="73"/>
      <c r="BL96" s="33"/>
      <c r="BM96" s="210"/>
      <c r="BN96" s="65"/>
      <c r="BO96" s="52"/>
      <c r="BP96" s="65"/>
      <c r="BQ96" s="52"/>
      <c r="BR96" s="68"/>
      <c r="BS96" s="52"/>
      <c r="BT96" s="210"/>
      <c r="BU96" s="65"/>
      <c r="BV96" s="52"/>
      <c r="BW96" s="65"/>
      <c r="BX96" s="52"/>
      <c r="BY96" s="68"/>
      <c r="BZ96" s="81"/>
      <c r="CA96" s="210"/>
      <c r="CB96" s="65"/>
      <c r="CC96" s="52"/>
      <c r="CD96" s="65"/>
      <c r="CE96" s="52"/>
      <c r="CF96" s="68"/>
      <c r="CG96" s="81"/>
      <c r="CH96" s="210"/>
      <c r="CI96" s="65"/>
      <c r="CJ96" s="52"/>
      <c r="CK96" s="65"/>
      <c r="CL96" s="52"/>
      <c r="CM96" s="68"/>
      <c r="CN96" s="81"/>
      <c r="CO96" s="210"/>
      <c r="CP96" s="65"/>
      <c r="CQ96" s="51"/>
      <c r="CR96" s="65"/>
      <c r="CS96" s="51"/>
      <c r="CT96" s="68"/>
      <c r="CU96" s="68"/>
      <c r="CV96" s="210"/>
      <c r="CW96" s="65"/>
      <c r="CX96" s="52"/>
      <c r="CY96" s="65"/>
      <c r="CZ96" s="52"/>
      <c r="DA96" s="68"/>
      <c r="DB96" s="81"/>
      <c r="DC96" s="210"/>
      <c r="DD96" s="65"/>
      <c r="DE96" s="52"/>
      <c r="DF96" s="65"/>
      <c r="DG96" s="52"/>
      <c r="DH96" s="68"/>
      <c r="DI96" s="81"/>
      <c r="DJ96" s="210"/>
      <c r="DK96" s="65"/>
      <c r="DL96" s="52"/>
      <c r="DM96" s="65"/>
      <c r="DN96" s="52"/>
      <c r="DO96" s="68"/>
      <c r="DP96" s="81"/>
      <c r="DQ96" s="210"/>
      <c r="DR96" s="65"/>
      <c r="DS96" s="52"/>
      <c r="DT96" s="65"/>
      <c r="DU96" s="52"/>
      <c r="DV96" s="68"/>
      <c r="DW96" s="81"/>
      <c r="DX96" s="210"/>
      <c r="DY96" s="65"/>
      <c r="DZ96" s="52"/>
      <c r="EA96" s="65"/>
      <c r="EB96" s="33"/>
      <c r="EC96" s="33"/>
      <c r="ED96" s="33"/>
    </row>
    <row r="97" spans="1:139">
      <c r="A97" s="14" t="s">
        <v>106</v>
      </c>
      <c r="B97" s="10"/>
      <c r="C97" s="65"/>
      <c r="D97" s="33"/>
      <c r="E97" s="22">
        <v>0</v>
      </c>
      <c r="F97" s="33"/>
      <c r="G97" s="33"/>
      <c r="H97" s="33"/>
      <c r="I97" s="210"/>
      <c r="J97" s="22">
        <v>0</v>
      </c>
      <c r="K97" s="33"/>
      <c r="L97" s="22">
        <v>0</v>
      </c>
      <c r="M97" s="33"/>
      <c r="N97" s="33"/>
      <c r="O97" s="33"/>
      <c r="P97" s="210"/>
      <c r="Q97" s="65">
        <v>0</v>
      </c>
      <c r="R97" s="23"/>
      <c r="S97" s="22">
        <v>0</v>
      </c>
      <c r="T97" s="33"/>
      <c r="U97" s="33"/>
      <c r="V97" s="33"/>
      <c r="W97" s="210"/>
      <c r="X97" s="208">
        <f t="shared" ref="X97:X103" si="274">C97+J97+Q97</f>
        <v>0</v>
      </c>
      <c r="Y97" s="33"/>
      <c r="Z97" s="218">
        <f t="shared" ref="Z97:Z103" si="275">E97+L97+S97</f>
        <v>0</v>
      </c>
      <c r="AA97" s="23"/>
      <c r="AB97" s="33"/>
      <c r="AC97" s="33"/>
      <c r="AD97" s="210"/>
      <c r="AE97" s="65">
        <v>0</v>
      </c>
      <c r="AF97" s="23"/>
      <c r="AG97" s="72">
        <v>0</v>
      </c>
      <c r="AH97" s="23"/>
      <c r="AI97" s="73"/>
      <c r="AJ97" s="73"/>
      <c r="AK97" s="210"/>
      <c r="AL97" s="65">
        <v>0</v>
      </c>
      <c r="AM97" s="23"/>
      <c r="AN97" s="72">
        <v>0</v>
      </c>
      <c r="AO97" s="23"/>
      <c r="AP97" s="73"/>
      <c r="AQ97" s="73"/>
      <c r="AR97" s="210"/>
      <c r="AS97" s="65">
        <v>0</v>
      </c>
      <c r="AT97" s="23"/>
      <c r="AU97" s="72">
        <v>0</v>
      </c>
      <c r="AV97" s="23"/>
      <c r="AW97" s="73"/>
      <c r="AX97" s="73"/>
      <c r="AY97" s="210"/>
      <c r="AZ97" s="208">
        <f t="shared" ref="AZ97:AZ103" si="276">AE97+AL97+AS97</f>
        <v>0</v>
      </c>
      <c r="BA97" s="23"/>
      <c r="BB97" s="218">
        <f>AG97+AN97+AU97</f>
        <v>0</v>
      </c>
      <c r="BC97" s="23"/>
      <c r="BD97" s="73"/>
      <c r="BE97" s="33"/>
      <c r="BF97" s="210"/>
      <c r="BG97" s="65">
        <v>0</v>
      </c>
      <c r="BH97" s="23"/>
      <c r="BI97" s="72">
        <v>0</v>
      </c>
      <c r="BJ97" s="23"/>
      <c r="BK97" s="73"/>
      <c r="BL97" s="33"/>
      <c r="BM97" s="210"/>
      <c r="BN97" s="65">
        <v>0</v>
      </c>
      <c r="BO97" s="52"/>
      <c r="BP97" s="72">
        <v>0</v>
      </c>
      <c r="BQ97" s="52"/>
      <c r="BR97" s="222">
        <f t="shared" ref="BR97:BR103" si="277">BN97-BP97</f>
        <v>0</v>
      </c>
      <c r="BS97" s="52"/>
      <c r="BT97" s="210"/>
      <c r="BU97" s="65">
        <v>0</v>
      </c>
      <c r="BV97" s="52"/>
      <c r="BW97" s="72">
        <v>0</v>
      </c>
      <c r="BX97" s="52"/>
      <c r="BY97" s="222">
        <f t="shared" ref="BY97:BY103" si="278">BU97-BW97</f>
        <v>0</v>
      </c>
      <c r="BZ97" s="81"/>
      <c r="CA97" s="210"/>
      <c r="CB97" s="65">
        <v>1151.3499999999999</v>
      </c>
      <c r="CC97" s="52"/>
      <c r="CD97" s="72">
        <v>0</v>
      </c>
      <c r="CE97" s="52"/>
      <c r="CF97" s="222">
        <f t="shared" ref="CF97:CF103" si="279">CB97-CD97</f>
        <v>1151.3499999999999</v>
      </c>
      <c r="CG97" s="81"/>
      <c r="CH97" s="210"/>
      <c r="CI97" s="208">
        <f t="shared" ref="CI97:CI103" si="280">BG97+BN97+BU97+CB97</f>
        <v>1151.3499999999999</v>
      </c>
      <c r="CJ97" s="52"/>
      <c r="CK97" s="208">
        <f>BI97+BP97+BW97+CD97</f>
        <v>0</v>
      </c>
      <c r="CL97" s="52"/>
      <c r="CM97" s="222">
        <f t="shared" ref="CM97:CM103" si="281">CI97-CK97</f>
        <v>1151.3499999999999</v>
      </c>
      <c r="CN97" s="81"/>
      <c r="CO97" s="210"/>
      <c r="CP97" s="65">
        <v>1547.03</v>
      </c>
      <c r="CQ97" s="51"/>
      <c r="CR97" s="72">
        <v>0</v>
      </c>
      <c r="CS97" s="51"/>
      <c r="CT97" s="222">
        <f t="shared" ref="CT97:CT103" si="282">CP97-CR97</f>
        <v>1547.03</v>
      </c>
      <c r="CU97" s="68"/>
      <c r="CV97" s="210"/>
      <c r="CW97" s="65">
        <v>5602.77</v>
      </c>
      <c r="CX97" s="52"/>
      <c r="CY97" s="72">
        <v>0</v>
      </c>
      <c r="CZ97" s="52"/>
      <c r="DA97" s="222">
        <f t="shared" ref="DA97:DA103" si="283">CW97-CY97</f>
        <v>5602.77</v>
      </c>
      <c r="DB97" s="81"/>
      <c r="DC97" s="210"/>
      <c r="DD97" s="65">
        <v>2553.1799999999998</v>
      </c>
      <c r="DE97" s="52"/>
      <c r="DF97" s="72">
        <v>0</v>
      </c>
      <c r="DG97" s="52"/>
      <c r="DH97" s="222">
        <f t="shared" ref="DH97:DH103" si="284">DD97-DF97</f>
        <v>2553.1799999999998</v>
      </c>
      <c r="DI97" s="81"/>
      <c r="DJ97" s="210"/>
      <c r="DK97" s="65">
        <v>3028.79</v>
      </c>
      <c r="DL97" s="52"/>
      <c r="DM97" s="72">
        <v>0</v>
      </c>
      <c r="DN97" s="52"/>
      <c r="DO97" s="222">
        <f t="shared" ref="DO97" si="285">DK97-DM97</f>
        <v>3028.79</v>
      </c>
      <c r="DP97" s="81"/>
      <c r="DQ97" s="210"/>
      <c r="DR97" s="208">
        <f>CP97+CW97+DD97+DK97</f>
        <v>12731.77</v>
      </c>
      <c r="DS97" s="52"/>
      <c r="DT97" s="208">
        <f t="shared" ref="DT97:DT103" si="286">CR97+CY97+DF97+DM97</f>
        <v>0</v>
      </c>
      <c r="DU97" s="52"/>
      <c r="DV97" s="222">
        <f t="shared" ref="DV97:DV103" si="287">DR97-DT97</f>
        <v>12731.77</v>
      </c>
      <c r="DW97" s="81"/>
      <c r="DX97" s="210"/>
      <c r="DY97" s="208">
        <f t="shared" ref="DY97:DY103" si="288">X97+AZ97+CI97+DR97</f>
        <v>13883.12</v>
      </c>
      <c r="DZ97" s="52"/>
      <c r="EA97" s="208">
        <f>Z97+BB97+CK97+DT97</f>
        <v>0</v>
      </c>
      <c r="EB97" s="33"/>
      <c r="EC97" s="33"/>
      <c r="ED97" s="33"/>
      <c r="EE97" s="210"/>
      <c r="EF97" s="210"/>
      <c r="EG97" s="210"/>
      <c r="EH97" s="210"/>
      <c r="EI97" s="210"/>
    </row>
    <row r="98" spans="1:139">
      <c r="A98" s="14" t="s">
        <v>107</v>
      </c>
      <c r="B98" s="10"/>
      <c r="C98" s="65"/>
      <c r="D98" s="33"/>
      <c r="E98" s="22">
        <v>0</v>
      </c>
      <c r="F98" s="33"/>
      <c r="G98" s="33"/>
      <c r="H98" s="33"/>
      <c r="I98" s="210"/>
      <c r="J98" s="22">
        <v>0</v>
      </c>
      <c r="K98" s="33"/>
      <c r="L98" s="22">
        <v>0</v>
      </c>
      <c r="M98" s="33"/>
      <c r="N98" s="33"/>
      <c r="O98" s="33"/>
      <c r="P98" s="210"/>
      <c r="Q98" s="65">
        <v>0</v>
      </c>
      <c r="R98" s="23"/>
      <c r="S98" s="22">
        <v>0</v>
      </c>
      <c r="T98" s="33"/>
      <c r="U98" s="33"/>
      <c r="V98" s="33"/>
      <c r="W98" s="210"/>
      <c r="X98" s="208">
        <f t="shared" si="274"/>
        <v>0</v>
      </c>
      <c r="Y98" s="33"/>
      <c r="Z98" s="218">
        <f t="shared" si="275"/>
        <v>0</v>
      </c>
      <c r="AA98" s="23"/>
      <c r="AB98" s="33"/>
      <c r="AC98" s="33"/>
      <c r="AD98" s="210"/>
      <c r="AE98" s="65">
        <v>0</v>
      </c>
      <c r="AF98" s="23"/>
      <c r="AG98" s="72">
        <v>0</v>
      </c>
      <c r="AH98" s="23"/>
      <c r="AI98" s="73"/>
      <c r="AJ98" s="73"/>
      <c r="AK98" s="210"/>
      <c r="AL98" s="65">
        <v>0</v>
      </c>
      <c r="AM98" s="23"/>
      <c r="AN98" s="72">
        <v>0</v>
      </c>
      <c r="AO98" s="23"/>
      <c r="AP98" s="73"/>
      <c r="AQ98" s="73"/>
      <c r="AR98" s="210"/>
      <c r="AS98" s="65">
        <v>0</v>
      </c>
      <c r="AT98" s="23"/>
      <c r="AU98" s="72">
        <v>0</v>
      </c>
      <c r="AV98" s="23"/>
      <c r="AW98" s="73"/>
      <c r="AX98" s="73"/>
      <c r="AY98" s="210"/>
      <c r="AZ98" s="208">
        <f t="shared" si="276"/>
        <v>0</v>
      </c>
      <c r="BA98" s="23"/>
      <c r="BB98" s="218">
        <f t="shared" ref="BB98:BB103" si="289">AG98+AN98+AU98</f>
        <v>0</v>
      </c>
      <c r="BC98" s="23"/>
      <c r="BD98" s="73"/>
      <c r="BE98" s="33"/>
      <c r="BF98" s="210"/>
      <c r="BG98" s="65">
        <v>0</v>
      </c>
      <c r="BH98" s="23"/>
      <c r="BI98" s="72">
        <v>0</v>
      </c>
      <c r="BJ98" s="23"/>
      <c r="BK98" s="73"/>
      <c r="BL98" s="33"/>
      <c r="BM98" s="210"/>
      <c r="BN98" s="65">
        <v>0</v>
      </c>
      <c r="BO98" s="52"/>
      <c r="BP98" s="72">
        <v>0</v>
      </c>
      <c r="BQ98" s="52"/>
      <c r="BR98" s="222">
        <f t="shared" si="277"/>
        <v>0</v>
      </c>
      <c r="BS98" s="52"/>
      <c r="BT98" s="210"/>
      <c r="BU98" s="65">
        <v>0</v>
      </c>
      <c r="BV98" s="52"/>
      <c r="BW98" s="72">
        <v>0</v>
      </c>
      <c r="BX98" s="52"/>
      <c r="BY98" s="222">
        <f t="shared" si="278"/>
        <v>0</v>
      </c>
      <c r="BZ98" s="81"/>
      <c r="CA98" s="210"/>
      <c r="CB98" s="65">
        <v>80.44</v>
      </c>
      <c r="CC98" s="52"/>
      <c r="CD98" s="72">
        <v>0</v>
      </c>
      <c r="CE98" s="52"/>
      <c r="CF98" s="222">
        <f t="shared" si="279"/>
        <v>80.44</v>
      </c>
      <c r="CG98" s="81"/>
      <c r="CH98" s="210"/>
      <c r="CI98" s="208">
        <f t="shared" si="280"/>
        <v>80.44</v>
      </c>
      <c r="CJ98" s="52"/>
      <c r="CK98" s="208">
        <f t="shared" ref="CK98:CK103" si="290">BI98+BP98+BW98+CD98</f>
        <v>0</v>
      </c>
      <c r="CL98" s="52"/>
      <c r="CM98" s="222">
        <f t="shared" si="281"/>
        <v>80.44</v>
      </c>
      <c r="CN98" s="81"/>
      <c r="CO98" s="210"/>
      <c r="CP98" s="65">
        <v>784.35</v>
      </c>
      <c r="CQ98" s="51"/>
      <c r="CR98" s="72">
        <v>0</v>
      </c>
      <c r="CS98" s="51"/>
      <c r="CT98" s="222">
        <f t="shared" si="282"/>
        <v>784.35</v>
      </c>
      <c r="CU98" s="68"/>
      <c r="CV98" s="210"/>
      <c r="CW98" s="65">
        <v>1143.8800000000001</v>
      </c>
      <c r="CX98" s="52"/>
      <c r="CY98" s="72">
        <v>0</v>
      </c>
      <c r="CZ98" s="52"/>
      <c r="DA98" s="222">
        <f t="shared" si="283"/>
        <v>1143.8800000000001</v>
      </c>
      <c r="DB98" s="81"/>
      <c r="DC98" s="210"/>
      <c r="DD98" s="65">
        <v>354.93</v>
      </c>
      <c r="DE98" s="52"/>
      <c r="DF98" s="72">
        <v>0</v>
      </c>
      <c r="DG98" s="52"/>
      <c r="DH98" s="222">
        <f t="shared" si="284"/>
        <v>354.93</v>
      </c>
      <c r="DI98" s="81"/>
      <c r="DJ98" s="210"/>
      <c r="DK98" s="65">
        <v>-211.4</v>
      </c>
      <c r="DL98" s="52"/>
      <c r="DM98" s="72">
        <v>0</v>
      </c>
      <c r="DN98" s="52"/>
      <c r="DO98" s="222">
        <f t="shared" ref="DO98:DO103" si="291">DK98-DM98</f>
        <v>-211.4</v>
      </c>
      <c r="DP98" s="81"/>
      <c r="DQ98" s="210"/>
      <c r="DR98" s="208">
        <f t="shared" ref="DR98:DR103" si="292">CP98+CW98+DD98+DK98</f>
        <v>2071.7599999999998</v>
      </c>
      <c r="DS98" s="52"/>
      <c r="DT98" s="208">
        <f t="shared" si="286"/>
        <v>0</v>
      </c>
      <c r="DU98" s="52"/>
      <c r="DV98" s="222">
        <f t="shared" si="287"/>
        <v>2071.7599999999998</v>
      </c>
      <c r="DW98" s="81"/>
      <c r="DX98" s="210"/>
      <c r="DY98" s="208">
        <f t="shared" si="288"/>
        <v>2152.1999999999998</v>
      </c>
      <c r="DZ98" s="52"/>
      <c r="EA98" s="208">
        <f t="shared" ref="EA98:EA103" si="293">Z98+BB98+CK98+DT98</f>
        <v>0</v>
      </c>
      <c r="EB98" s="33"/>
      <c r="EC98" s="33"/>
      <c r="ED98" s="33"/>
      <c r="EE98" s="210"/>
      <c r="EF98" s="210"/>
      <c r="EG98" s="210"/>
      <c r="EH98" s="210"/>
      <c r="EI98" s="210"/>
    </row>
    <row r="99" spans="1:139">
      <c r="A99" s="14" t="s">
        <v>108</v>
      </c>
      <c r="B99" s="10"/>
      <c r="C99" s="65"/>
      <c r="D99" s="33"/>
      <c r="E99" s="22">
        <v>0</v>
      </c>
      <c r="F99" s="33"/>
      <c r="G99" s="33"/>
      <c r="H99" s="33"/>
      <c r="I99" s="210"/>
      <c r="J99" s="22">
        <v>0</v>
      </c>
      <c r="K99" s="33"/>
      <c r="L99" s="22">
        <v>0</v>
      </c>
      <c r="M99" s="33"/>
      <c r="N99" s="33"/>
      <c r="O99" s="33"/>
      <c r="P99" s="210"/>
      <c r="Q99" s="65">
        <v>0</v>
      </c>
      <c r="R99" s="23"/>
      <c r="S99" s="22">
        <v>0</v>
      </c>
      <c r="T99" s="33"/>
      <c r="U99" s="33"/>
      <c r="V99" s="33"/>
      <c r="W99" s="210"/>
      <c r="X99" s="208">
        <f t="shared" si="274"/>
        <v>0</v>
      </c>
      <c r="Y99" s="33"/>
      <c r="Z99" s="218">
        <f t="shared" si="275"/>
        <v>0</v>
      </c>
      <c r="AA99" s="23"/>
      <c r="AB99" s="33"/>
      <c r="AC99" s="33"/>
      <c r="AD99" s="210"/>
      <c r="AE99" s="65">
        <v>0</v>
      </c>
      <c r="AF99" s="23"/>
      <c r="AG99" s="72">
        <v>0</v>
      </c>
      <c r="AH99" s="23"/>
      <c r="AI99" s="73"/>
      <c r="AJ99" s="73"/>
      <c r="AK99" s="210"/>
      <c r="AL99" s="65">
        <v>0</v>
      </c>
      <c r="AM99" s="23"/>
      <c r="AN99" s="72">
        <v>0</v>
      </c>
      <c r="AO99" s="23"/>
      <c r="AP99" s="73"/>
      <c r="AQ99" s="73"/>
      <c r="AR99" s="210"/>
      <c r="AS99" s="65">
        <v>0</v>
      </c>
      <c r="AT99" s="23"/>
      <c r="AU99" s="72">
        <v>0</v>
      </c>
      <c r="AV99" s="23"/>
      <c r="AW99" s="73"/>
      <c r="AX99" s="73"/>
      <c r="AY99" s="210"/>
      <c r="AZ99" s="208">
        <f t="shared" si="276"/>
        <v>0</v>
      </c>
      <c r="BA99" s="23"/>
      <c r="BB99" s="218">
        <f t="shared" si="289"/>
        <v>0</v>
      </c>
      <c r="BC99" s="23"/>
      <c r="BD99" s="73"/>
      <c r="BE99" s="33"/>
      <c r="BF99" s="210"/>
      <c r="BG99" s="65">
        <v>0</v>
      </c>
      <c r="BH99" s="23"/>
      <c r="BI99" s="72">
        <v>0</v>
      </c>
      <c r="BJ99" s="23"/>
      <c r="BK99" s="73"/>
      <c r="BL99" s="33"/>
      <c r="BM99" s="210"/>
      <c r="BN99" s="65">
        <v>0</v>
      </c>
      <c r="BO99" s="52"/>
      <c r="BP99" s="72">
        <v>0</v>
      </c>
      <c r="BQ99" s="52"/>
      <c r="BR99" s="222">
        <f t="shared" si="277"/>
        <v>0</v>
      </c>
      <c r="BS99" s="52"/>
      <c r="BT99" s="210"/>
      <c r="BU99" s="65">
        <v>0</v>
      </c>
      <c r="BV99" s="52"/>
      <c r="BW99" s="72">
        <v>0</v>
      </c>
      <c r="BX99" s="52"/>
      <c r="BY99" s="222">
        <f t="shared" si="278"/>
        <v>0</v>
      </c>
      <c r="BZ99" s="81"/>
      <c r="CA99" s="210"/>
      <c r="CB99" s="65">
        <v>263.18</v>
      </c>
      <c r="CC99" s="52"/>
      <c r="CD99" s="72">
        <v>0</v>
      </c>
      <c r="CE99" s="52"/>
      <c r="CF99" s="222">
        <f t="shared" si="279"/>
        <v>263.18</v>
      </c>
      <c r="CG99" s="81"/>
      <c r="CH99" s="210"/>
      <c r="CI99" s="208">
        <f t="shared" si="280"/>
        <v>263.18</v>
      </c>
      <c r="CJ99" s="52"/>
      <c r="CK99" s="208">
        <f t="shared" si="290"/>
        <v>0</v>
      </c>
      <c r="CL99" s="52"/>
      <c r="CM99" s="222">
        <f t="shared" si="281"/>
        <v>263.18</v>
      </c>
      <c r="CN99" s="81"/>
      <c r="CO99" s="210"/>
      <c r="CP99" s="65">
        <v>398.37</v>
      </c>
      <c r="CQ99" s="51"/>
      <c r="CR99" s="72">
        <v>0</v>
      </c>
      <c r="CS99" s="51"/>
      <c r="CT99" s="222">
        <f t="shared" si="282"/>
        <v>398.37</v>
      </c>
      <c r="CU99" s="68"/>
      <c r="CV99" s="210"/>
      <c r="CW99" s="65">
        <v>-195.96</v>
      </c>
      <c r="CX99" s="52"/>
      <c r="CY99" s="72">
        <v>0</v>
      </c>
      <c r="CZ99" s="52"/>
      <c r="DA99" s="222">
        <f t="shared" si="283"/>
        <v>-195.96</v>
      </c>
      <c r="DB99" s="81"/>
      <c r="DC99" s="210"/>
      <c r="DD99" s="65">
        <v>5700.96</v>
      </c>
      <c r="DE99" s="52"/>
      <c r="DF99" s="72">
        <v>0</v>
      </c>
      <c r="DG99" s="52"/>
      <c r="DH99" s="222">
        <f t="shared" si="284"/>
        <v>5700.96</v>
      </c>
      <c r="DI99" s="81"/>
      <c r="DJ99" s="210"/>
      <c r="DK99" s="65">
        <v>1714.09</v>
      </c>
      <c r="DL99" s="52"/>
      <c r="DM99" s="72">
        <v>0</v>
      </c>
      <c r="DN99" s="52"/>
      <c r="DO99" s="222">
        <f t="shared" si="291"/>
        <v>1714.09</v>
      </c>
      <c r="DP99" s="81"/>
      <c r="DQ99" s="210"/>
      <c r="DR99" s="208">
        <f t="shared" si="292"/>
        <v>7617.46</v>
      </c>
      <c r="DS99" s="52"/>
      <c r="DT99" s="208">
        <f t="shared" si="286"/>
        <v>0</v>
      </c>
      <c r="DU99" s="52"/>
      <c r="DV99" s="222">
        <f t="shared" si="287"/>
        <v>7617.46</v>
      </c>
      <c r="DW99" s="81"/>
      <c r="DX99" s="210"/>
      <c r="DY99" s="208">
        <f t="shared" si="288"/>
        <v>7880.64</v>
      </c>
      <c r="DZ99" s="52"/>
      <c r="EA99" s="208">
        <f t="shared" si="293"/>
        <v>0</v>
      </c>
      <c r="EB99" s="33"/>
      <c r="EC99" s="33"/>
      <c r="ED99" s="33"/>
      <c r="EE99" s="210"/>
      <c r="EF99" s="210"/>
      <c r="EG99" s="210"/>
      <c r="EH99" s="210"/>
      <c r="EI99" s="210"/>
    </row>
    <row r="100" spans="1:139">
      <c r="A100" s="14" t="s">
        <v>109</v>
      </c>
      <c r="B100" s="10"/>
      <c r="C100" s="65"/>
      <c r="D100" s="33"/>
      <c r="E100" s="22">
        <v>0</v>
      </c>
      <c r="F100" s="33"/>
      <c r="G100" s="33"/>
      <c r="H100" s="33"/>
      <c r="I100" s="210"/>
      <c r="J100" s="22">
        <v>0</v>
      </c>
      <c r="K100" s="33"/>
      <c r="L100" s="22">
        <v>0</v>
      </c>
      <c r="M100" s="33"/>
      <c r="N100" s="33"/>
      <c r="O100" s="33"/>
      <c r="P100" s="210"/>
      <c r="Q100" s="65">
        <v>0</v>
      </c>
      <c r="R100" s="23"/>
      <c r="S100" s="22">
        <v>0</v>
      </c>
      <c r="T100" s="33"/>
      <c r="U100" s="33"/>
      <c r="V100" s="33"/>
      <c r="W100" s="210"/>
      <c r="X100" s="208">
        <f t="shared" si="274"/>
        <v>0</v>
      </c>
      <c r="Y100" s="33"/>
      <c r="Z100" s="218">
        <f t="shared" si="275"/>
        <v>0</v>
      </c>
      <c r="AA100" s="23"/>
      <c r="AB100" s="33"/>
      <c r="AC100" s="33"/>
      <c r="AD100" s="210"/>
      <c r="AE100" s="65">
        <v>0</v>
      </c>
      <c r="AF100" s="23"/>
      <c r="AG100" s="72">
        <v>0</v>
      </c>
      <c r="AH100" s="23"/>
      <c r="AI100" s="73"/>
      <c r="AJ100" s="73"/>
      <c r="AK100" s="210"/>
      <c r="AL100" s="65">
        <v>0</v>
      </c>
      <c r="AM100" s="23"/>
      <c r="AN100" s="72">
        <v>0</v>
      </c>
      <c r="AO100" s="23"/>
      <c r="AP100" s="73"/>
      <c r="AQ100" s="73"/>
      <c r="AR100" s="210"/>
      <c r="AS100" s="65">
        <v>0</v>
      </c>
      <c r="AT100" s="23"/>
      <c r="AU100" s="72">
        <v>0</v>
      </c>
      <c r="AV100" s="23"/>
      <c r="AW100" s="73"/>
      <c r="AX100" s="73"/>
      <c r="AY100" s="210"/>
      <c r="AZ100" s="208">
        <f t="shared" si="276"/>
        <v>0</v>
      </c>
      <c r="BA100" s="23"/>
      <c r="BB100" s="218">
        <f t="shared" si="289"/>
        <v>0</v>
      </c>
      <c r="BC100" s="23"/>
      <c r="BD100" s="73"/>
      <c r="BE100" s="33"/>
      <c r="BF100" s="210"/>
      <c r="BG100" s="65">
        <v>0</v>
      </c>
      <c r="BH100" s="23"/>
      <c r="BI100" s="72">
        <v>0</v>
      </c>
      <c r="BJ100" s="23"/>
      <c r="BK100" s="73"/>
      <c r="BL100" s="33"/>
      <c r="BM100" s="210"/>
      <c r="BN100" s="65">
        <v>0</v>
      </c>
      <c r="BO100" s="52"/>
      <c r="BP100" s="72">
        <v>0</v>
      </c>
      <c r="BQ100" s="52"/>
      <c r="BR100" s="222">
        <f t="shared" si="277"/>
        <v>0</v>
      </c>
      <c r="BS100" s="52"/>
      <c r="BT100" s="210"/>
      <c r="BU100" s="65">
        <v>0</v>
      </c>
      <c r="BV100" s="52"/>
      <c r="BW100" s="72">
        <v>0</v>
      </c>
      <c r="BX100" s="52"/>
      <c r="BY100" s="222">
        <f t="shared" si="278"/>
        <v>0</v>
      </c>
      <c r="BZ100" s="81"/>
      <c r="CA100" s="210"/>
      <c r="CB100" s="65">
        <v>793.16</v>
      </c>
      <c r="CC100" s="52"/>
      <c r="CD100" s="72">
        <v>0</v>
      </c>
      <c r="CE100" s="52"/>
      <c r="CF100" s="222">
        <f t="shared" si="279"/>
        <v>793.16</v>
      </c>
      <c r="CG100" s="81"/>
      <c r="CH100" s="210"/>
      <c r="CI100" s="208">
        <f t="shared" si="280"/>
        <v>793.16</v>
      </c>
      <c r="CJ100" s="52"/>
      <c r="CK100" s="208">
        <f t="shared" si="290"/>
        <v>0</v>
      </c>
      <c r="CL100" s="52"/>
      <c r="CM100" s="222">
        <f t="shared" si="281"/>
        <v>793.16</v>
      </c>
      <c r="CN100" s="81"/>
      <c r="CO100" s="210"/>
      <c r="CP100" s="65">
        <v>1104.6199999999999</v>
      </c>
      <c r="CQ100" s="51"/>
      <c r="CR100" s="72">
        <v>0</v>
      </c>
      <c r="CS100" s="51"/>
      <c r="CT100" s="222">
        <f t="shared" si="282"/>
        <v>1104.6199999999999</v>
      </c>
      <c r="CU100" s="68"/>
      <c r="CV100" s="210"/>
      <c r="CW100" s="65">
        <v>4232.9799999999996</v>
      </c>
      <c r="CX100" s="52"/>
      <c r="CY100" s="72">
        <v>0</v>
      </c>
      <c r="CZ100" s="52"/>
      <c r="DA100" s="222">
        <f t="shared" si="283"/>
        <v>4232.9799999999996</v>
      </c>
      <c r="DB100" s="81"/>
      <c r="DC100" s="210"/>
      <c r="DD100" s="65">
        <v>2652.72</v>
      </c>
      <c r="DE100" s="52"/>
      <c r="DF100" s="72">
        <v>0</v>
      </c>
      <c r="DG100" s="52"/>
      <c r="DH100" s="222">
        <f t="shared" si="284"/>
        <v>2652.72</v>
      </c>
      <c r="DI100" s="81"/>
      <c r="DJ100" s="210"/>
      <c r="DK100" s="65">
        <v>-311.7</v>
      </c>
      <c r="DL100" s="52"/>
      <c r="DM100" s="72">
        <v>0</v>
      </c>
      <c r="DN100" s="52"/>
      <c r="DO100" s="222">
        <f t="shared" si="291"/>
        <v>-311.7</v>
      </c>
      <c r="DP100" s="81"/>
      <c r="DQ100" s="210"/>
      <c r="DR100" s="208">
        <f t="shared" si="292"/>
        <v>7678.62</v>
      </c>
      <c r="DS100" s="52"/>
      <c r="DT100" s="208">
        <f t="shared" si="286"/>
        <v>0</v>
      </c>
      <c r="DU100" s="52"/>
      <c r="DV100" s="222">
        <f t="shared" si="287"/>
        <v>7678.62</v>
      </c>
      <c r="DW100" s="81"/>
      <c r="DX100" s="210"/>
      <c r="DY100" s="208">
        <f t="shared" si="288"/>
        <v>8471.7800000000007</v>
      </c>
      <c r="DZ100" s="52"/>
      <c r="EA100" s="208">
        <f t="shared" si="293"/>
        <v>0</v>
      </c>
      <c r="EB100" s="33"/>
      <c r="EC100" s="33"/>
      <c r="ED100" s="33"/>
      <c r="EE100" s="210"/>
      <c r="EF100" s="210"/>
      <c r="EG100" s="210"/>
      <c r="EH100" s="210"/>
      <c r="EI100" s="210"/>
    </row>
    <row r="101" spans="1:139">
      <c r="A101" s="9" t="s">
        <v>110</v>
      </c>
      <c r="B101" s="10"/>
      <c r="C101" s="65"/>
      <c r="D101" s="33"/>
      <c r="E101" s="22">
        <v>900</v>
      </c>
      <c r="F101" s="33"/>
      <c r="G101" s="33"/>
      <c r="H101" s="33"/>
      <c r="I101" s="210"/>
      <c r="J101" s="22">
        <v>0</v>
      </c>
      <c r="K101" s="33"/>
      <c r="L101" s="22">
        <v>900</v>
      </c>
      <c r="M101" s="33"/>
      <c r="N101" s="33"/>
      <c r="O101" s="33"/>
      <c r="P101" s="210"/>
      <c r="Q101" s="65">
        <f>173.8+29.04+233.87+38.23</f>
        <v>474.94000000000005</v>
      </c>
      <c r="R101" s="23"/>
      <c r="S101" s="22">
        <v>900</v>
      </c>
      <c r="T101" s="33"/>
      <c r="U101" s="33"/>
      <c r="V101" s="33"/>
      <c r="W101" s="210"/>
      <c r="X101" s="208">
        <f t="shared" si="274"/>
        <v>474.94000000000005</v>
      </c>
      <c r="Y101" s="33"/>
      <c r="Z101" s="218">
        <f t="shared" si="275"/>
        <v>2700</v>
      </c>
      <c r="AA101" s="23"/>
      <c r="AB101" s="33"/>
      <c r="AC101" s="33"/>
      <c r="AD101" s="210"/>
      <c r="AE101" s="65">
        <v>0</v>
      </c>
      <c r="AF101" s="23"/>
      <c r="AG101" s="72">
        <v>4620</v>
      </c>
      <c r="AH101" s="23"/>
      <c r="AI101" s="73"/>
      <c r="AJ101" s="73"/>
      <c r="AK101" s="210"/>
      <c r="AL101" s="65">
        <v>0</v>
      </c>
      <c r="AM101" s="23"/>
      <c r="AN101" s="72">
        <v>6160</v>
      </c>
      <c r="AO101" s="23"/>
      <c r="AP101" s="73"/>
      <c r="AQ101" s="73"/>
      <c r="AR101" s="210"/>
      <c r="AS101" s="65">
        <v>0</v>
      </c>
      <c r="AT101" s="23"/>
      <c r="AU101" s="72">
        <v>7700</v>
      </c>
      <c r="AV101" s="23"/>
      <c r="AW101" s="73"/>
      <c r="AX101" s="73"/>
      <c r="AY101" s="210"/>
      <c r="AZ101" s="208">
        <f t="shared" si="276"/>
        <v>0</v>
      </c>
      <c r="BA101" s="23"/>
      <c r="BB101" s="218">
        <f t="shared" si="289"/>
        <v>18480</v>
      </c>
      <c r="BC101" s="23"/>
      <c r="BD101" s="73"/>
      <c r="BE101" s="33"/>
      <c r="BF101" s="210"/>
      <c r="BG101" s="65">
        <v>0</v>
      </c>
      <c r="BH101" s="23"/>
      <c r="BI101" s="72">
        <v>0</v>
      </c>
      <c r="BJ101" s="23"/>
      <c r="BK101" s="73"/>
      <c r="BL101" s="33"/>
      <c r="BM101" s="210"/>
      <c r="BN101" s="65">
        <v>0</v>
      </c>
      <c r="BO101" s="52"/>
      <c r="BP101" s="72">
        <v>0</v>
      </c>
      <c r="BQ101" s="52"/>
      <c r="BR101" s="222">
        <f t="shared" si="277"/>
        <v>0</v>
      </c>
      <c r="BS101" s="52"/>
      <c r="BT101" s="210"/>
      <c r="BU101" s="65">
        <v>0</v>
      </c>
      <c r="BV101" s="52"/>
      <c r="BW101" s="72">
        <v>0</v>
      </c>
      <c r="BX101" s="52"/>
      <c r="BY101" s="222">
        <f t="shared" si="278"/>
        <v>0</v>
      </c>
      <c r="BZ101" s="81"/>
      <c r="CA101" s="210"/>
      <c r="CB101" s="65"/>
      <c r="CC101" s="52"/>
      <c r="CD101" s="72">
        <v>2138</v>
      </c>
      <c r="CE101" s="52"/>
      <c r="CF101" s="222">
        <f t="shared" si="279"/>
        <v>-2138</v>
      </c>
      <c r="CG101" s="81"/>
      <c r="CH101" s="210"/>
      <c r="CI101" s="208">
        <f t="shared" si="280"/>
        <v>0</v>
      </c>
      <c r="CJ101" s="52"/>
      <c r="CK101" s="208">
        <f t="shared" si="290"/>
        <v>2138</v>
      </c>
      <c r="CL101" s="52"/>
      <c r="CM101" s="222">
        <f t="shared" si="281"/>
        <v>-2138</v>
      </c>
      <c r="CN101" s="81"/>
      <c r="CO101" s="210"/>
      <c r="CP101" s="65">
        <v>0</v>
      </c>
      <c r="CQ101" s="51"/>
      <c r="CR101" s="72">
        <v>4276</v>
      </c>
      <c r="CS101" s="51"/>
      <c r="CT101" s="222">
        <f t="shared" si="282"/>
        <v>-4276</v>
      </c>
      <c r="CU101" s="68"/>
      <c r="CV101" s="210"/>
      <c r="CW101" s="65">
        <v>0</v>
      </c>
      <c r="CX101" s="52"/>
      <c r="CY101" s="72">
        <v>4276</v>
      </c>
      <c r="CZ101" s="52"/>
      <c r="DA101" s="222">
        <f t="shared" si="283"/>
        <v>-4276</v>
      </c>
      <c r="DB101" s="81"/>
      <c r="DC101" s="210"/>
      <c r="DD101" s="65">
        <v>0</v>
      </c>
      <c r="DE101" s="52"/>
      <c r="DF101" s="72">
        <v>8145</v>
      </c>
      <c r="DG101" s="52"/>
      <c r="DH101" s="222">
        <f t="shared" si="284"/>
        <v>-8145</v>
      </c>
      <c r="DI101" s="81"/>
      <c r="DJ101" s="210"/>
      <c r="DK101" s="65">
        <v>0</v>
      </c>
      <c r="DL101" s="52"/>
      <c r="DM101" s="72">
        <v>8145</v>
      </c>
      <c r="DN101" s="52"/>
      <c r="DO101" s="222">
        <f t="shared" si="291"/>
        <v>-8145</v>
      </c>
      <c r="DP101" s="81"/>
      <c r="DQ101" s="210"/>
      <c r="DR101" s="208">
        <f t="shared" si="292"/>
        <v>0</v>
      </c>
      <c r="DS101" s="52"/>
      <c r="DT101" s="208">
        <f t="shared" si="286"/>
        <v>24842</v>
      </c>
      <c r="DU101" s="52"/>
      <c r="DV101" s="222">
        <f t="shared" si="287"/>
        <v>-24842</v>
      </c>
      <c r="DW101" s="81"/>
      <c r="DX101" s="210"/>
      <c r="DY101" s="208">
        <f t="shared" si="288"/>
        <v>474.94000000000005</v>
      </c>
      <c r="DZ101" s="52"/>
      <c r="EA101" s="208">
        <f t="shared" si="293"/>
        <v>48160</v>
      </c>
      <c r="EB101" s="33"/>
      <c r="EC101" s="33"/>
      <c r="ED101" s="33"/>
      <c r="EE101" s="210"/>
      <c r="EF101" s="210"/>
      <c r="EG101" s="210"/>
      <c r="EH101" s="210"/>
      <c r="EI101" s="210"/>
    </row>
    <row r="102" spans="1:139">
      <c r="A102" s="28" t="s">
        <v>111</v>
      </c>
      <c r="B102" s="10"/>
      <c r="C102" s="65"/>
      <c r="D102" s="33"/>
      <c r="E102" s="22"/>
      <c r="F102" s="33"/>
      <c r="G102" s="33"/>
      <c r="H102" s="33"/>
      <c r="I102" s="210"/>
      <c r="J102" s="22"/>
      <c r="K102" s="33"/>
      <c r="L102" s="22"/>
      <c r="M102" s="33"/>
      <c r="N102" s="33"/>
      <c r="O102" s="33"/>
      <c r="P102" s="210"/>
      <c r="Q102" s="65"/>
      <c r="R102" s="23"/>
      <c r="S102" s="22"/>
      <c r="T102" s="33"/>
      <c r="U102" s="33"/>
      <c r="V102" s="33"/>
      <c r="W102" s="210"/>
      <c r="X102" s="208"/>
      <c r="Y102" s="33"/>
      <c r="Z102" s="218"/>
      <c r="AA102" s="23"/>
      <c r="AB102" s="33"/>
      <c r="AC102" s="33"/>
      <c r="AD102" s="210"/>
      <c r="AE102" s="65"/>
      <c r="AF102" s="23"/>
      <c r="AG102" s="72"/>
      <c r="AH102" s="23"/>
      <c r="AI102" s="73"/>
      <c r="AJ102" s="73"/>
      <c r="AK102" s="210"/>
      <c r="AL102" s="65"/>
      <c r="AM102" s="23"/>
      <c r="AN102" s="72"/>
      <c r="AO102" s="23"/>
      <c r="AP102" s="73"/>
      <c r="AQ102" s="73"/>
      <c r="AR102" s="210"/>
      <c r="AS102" s="65"/>
      <c r="AT102" s="23"/>
      <c r="AU102" s="72"/>
      <c r="AV102" s="23"/>
      <c r="AW102" s="73"/>
      <c r="AX102" s="73"/>
      <c r="AY102" s="210"/>
      <c r="AZ102" s="208"/>
      <c r="BA102" s="23"/>
      <c r="BB102" s="218"/>
      <c r="BC102" s="23"/>
      <c r="BD102" s="73"/>
      <c r="BE102" s="33"/>
      <c r="BF102" s="210"/>
      <c r="BG102" s="65"/>
      <c r="BH102" s="23"/>
      <c r="BI102" s="72"/>
      <c r="BJ102" s="23"/>
      <c r="BK102" s="73"/>
      <c r="BL102" s="33"/>
      <c r="BM102" s="210"/>
      <c r="BN102" s="65"/>
      <c r="BO102" s="52"/>
      <c r="BP102" s="72"/>
      <c r="BQ102" s="52"/>
      <c r="BR102" s="222"/>
      <c r="BS102" s="52"/>
      <c r="BT102" s="210"/>
      <c r="BU102" s="65"/>
      <c r="BV102" s="52"/>
      <c r="BW102" s="72"/>
      <c r="BX102" s="52"/>
      <c r="BY102" s="222"/>
      <c r="BZ102" s="81"/>
      <c r="CA102" s="210"/>
      <c r="CB102" s="65"/>
      <c r="CC102" s="52"/>
      <c r="CD102" s="72"/>
      <c r="CE102" s="52"/>
      <c r="CF102" s="222"/>
      <c r="CG102" s="81"/>
      <c r="CH102" s="210"/>
      <c r="CI102" s="208"/>
      <c r="CJ102" s="52"/>
      <c r="CK102" s="208"/>
      <c r="CL102" s="52"/>
      <c r="CM102" s="222"/>
      <c r="CN102" s="81"/>
      <c r="CO102" s="210"/>
      <c r="CP102" s="65"/>
      <c r="CQ102" s="51"/>
      <c r="CR102" s="72"/>
      <c r="CS102" s="51"/>
      <c r="CT102" s="222"/>
      <c r="CU102" s="68"/>
      <c r="CV102" s="210"/>
      <c r="CW102" s="65">
        <v>302.44</v>
      </c>
      <c r="CX102" s="52"/>
      <c r="CY102" s="72"/>
      <c r="CZ102" s="52"/>
      <c r="DA102" s="222"/>
      <c r="DB102" s="81"/>
      <c r="DC102" s="210"/>
      <c r="DD102" s="65">
        <v>842.9</v>
      </c>
      <c r="DE102" s="52"/>
      <c r="DF102" s="72"/>
      <c r="DG102" s="52"/>
      <c r="DH102" s="222"/>
      <c r="DI102" s="81"/>
      <c r="DJ102" s="210"/>
      <c r="DK102" s="65">
        <v>1907.46</v>
      </c>
      <c r="DL102" s="52"/>
      <c r="DM102" s="72"/>
      <c r="DN102" s="52"/>
      <c r="DO102" s="222"/>
      <c r="DP102" s="81"/>
      <c r="DQ102" s="210"/>
      <c r="DR102" s="208">
        <f t="shared" si="292"/>
        <v>3052.8</v>
      </c>
      <c r="DS102" s="52"/>
      <c r="DT102" s="208"/>
      <c r="DU102" s="52"/>
      <c r="DV102" s="222"/>
      <c r="DW102" s="81"/>
      <c r="DX102" s="210"/>
      <c r="DY102" s="208">
        <f t="shared" si="288"/>
        <v>3052.8</v>
      </c>
      <c r="DZ102" s="52"/>
      <c r="EA102" s="208"/>
      <c r="EB102" s="33"/>
      <c r="EC102" s="33"/>
      <c r="ED102" s="33"/>
      <c r="EE102" s="210"/>
      <c r="EF102" s="210"/>
      <c r="EG102" s="210"/>
      <c r="EH102" s="210"/>
      <c r="EI102" s="210"/>
    </row>
    <row r="103" spans="1:139">
      <c r="A103" s="28" t="s">
        <v>112</v>
      </c>
      <c r="B103" s="10"/>
      <c r="C103" s="65"/>
      <c r="D103" s="33"/>
      <c r="E103" s="22">
        <v>0</v>
      </c>
      <c r="F103" s="33"/>
      <c r="G103" s="33"/>
      <c r="H103" s="33"/>
      <c r="I103" s="210"/>
      <c r="J103" s="22">
        <v>0</v>
      </c>
      <c r="K103" s="33"/>
      <c r="L103" s="22">
        <v>0</v>
      </c>
      <c r="M103" s="33"/>
      <c r="N103" s="33"/>
      <c r="O103" s="33"/>
      <c r="P103" s="210"/>
      <c r="Q103" s="65">
        <v>103.68</v>
      </c>
      <c r="R103" s="23"/>
      <c r="S103" s="22">
        <v>0</v>
      </c>
      <c r="T103" s="33"/>
      <c r="U103" s="33"/>
      <c r="V103" s="33"/>
      <c r="W103" s="210"/>
      <c r="X103" s="208">
        <f t="shared" si="274"/>
        <v>103.68</v>
      </c>
      <c r="Y103" s="33"/>
      <c r="Z103" s="218">
        <f t="shared" si="275"/>
        <v>0</v>
      </c>
      <c r="AA103" s="23"/>
      <c r="AB103" s="33"/>
      <c r="AC103" s="33"/>
      <c r="AD103" s="210"/>
      <c r="AE103" s="65">
        <v>0</v>
      </c>
      <c r="AF103" s="23"/>
      <c r="AG103" s="74">
        <v>0</v>
      </c>
      <c r="AH103" s="23"/>
      <c r="AI103" s="73"/>
      <c r="AJ103" s="73"/>
      <c r="AK103" s="210"/>
      <c r="AL103" s="65">
        <v>0</v>
      </c>
      <c r="AM103" s="23"/>
      <c r="AN103" s="74">
        <v>0</v>
      </c>
      <c r="AO103" s="23"/>
      <c r="AP103" s="73"/>
      <c r="AQ103" s="73"/>
      <c r="AR103" s="210"/>
      <c r="AS103" s="65">
        <v>0</v>
      </c>
      <c r="AT103" s="23"/>
      <c r="AU103" s="74">
        <v>0</v>
      </c>
      <c r="AV103" s="23"/>
      <c r="AW103" s="73"/>
      <c r="AX103" s="73"/>
      <c r="AY103" s="210"/>
      <c r="AZ103" s="208">
        <f t="shared" si="276"/>
        <v>0</v>
      </c>
      <c r="BA103" s="23"/>
      <c r="BB103" s="218">
        <f t="shared" si="289"/>
        <v>0</v>
      </c>
      <c r="BC103" s="23"/>
      <c r="BD103" s="73"/>
      <c r="BE103" s="33"/>
      <c r="BF103" s="210"/>
      <c r="BG103" s="65">
        <v>0</v>
      </c>
      <c r="BH103" s="23"/>
      <c r="BI103" s="74">
        <v>0</v>
      </c>
      <c r="BJ103" s="23"/>
      <c r="BK103" s="73"/>
      <c r="BL103" s="33"/>
      <c r="BM103" s="210"/>
      <c r="BN103" s="65">
        <v>0</v>
      </c>
      <c r="BO103" s="52"/>
      <c r="BP103" s="74">
        <v>0</v>
      </c>
      <c r="BQ103" s="52"/>
      <c r="BR103" s="222">
        <f t="shared" si="277"/>
        <v>0</v>
      </c>
      <c r="BS103" s="52"/>
      <c r="BT103" s="210"/>
      <c r="BU103" s="65">
        <v>0</v>
      </c>
      <c r="BV103" s="52"/>
      <c r="BW103" s="74">
        <v>0</v>
      </c>
      <c r="BX103" s="52"/>
      <c r="BY103" s="222">
        <f t="shared" si="278"/>
        <v>0</v>
      </c>
      <c r="BZ103" s="81"/>
      <c r="CA103" s="210"/>
      <c r="CB103" s="65">
        <v>11.88</v>
      </c>
      <c r="CC103" s="52"/>
      <c r="CD103" s="74">
        <v>143</v>
      </c>
      <c r="CE103" s="52"/>
      <c r="CF103" s="222">
        <f t="shared" si="279"/>
        <v>-131.12</v>
      </c>
      <c r="CG103" s="81"/>
      <c r="CH103" s="210"/>
      <c r="CI103" s="208">
        <f t="shared" si="280"/>
        <v>11.88</v>
      </c>
      <c r="CJ103" s="52"/>
      <c r="CK103" s="208">
        <f t="shared" si="290"/>
        <v>143</v>
      </c>
      <c r="CL103" s="52"/>
      <c r="CM103" s="222">
        <f t="shared" si="281"/>
        <v>-131.12</v>
      </c>
      <c r="CN103" s="81"/>
      <c r="CO103" s="210"/>
      <c r="CP103" s="65">
        <v>37.200000000000003</v>
      </c>
      <c r="CQ103" s="51"/>
      <c r="CR103" s="74">
        <v>285</v>
      </c>
      <c r="CS103" s="51"/>
      <c r="CT103" s="222">
        <f t="shared" si="282"/>
        <v>-247.8</v>
      </c>
      <c r="CU103" s="68"/>
      <c r="CV103" s="210"/>
      <c r="CW103" s="65">
        <v>315.76</v>
      </c>
      <c r="CX103" s="52"/>
      <c r="CY103" s="74">
        <v>285</v>
      </c>
      <c r="CZ103" s="52"/>
      <c r="DA103" s="222">
        <f t="shared" si="283"/>
        <v>30.759999999999991</v>
      </c>
      <c r="DB103" s="81"/>
      <c r="DC103" s="210"/>
      <c r="DD103" s="65">
        <v>231.35</v>
      </c>
      <c r="DE103" s="52"/>
      <c r="DF103" s="74">
        <v>326</v>
      </c>
      <c r="DG103" s="52"/>
      <c r="DH103" s="222">
        <f t="shared" si="284"/>
        <v>-94.65</v>
      </c>
      <c r="DI103" s="81"/>
      <c r="DJ103" s="210"/>
      <c r="DK103" s="65">
        <v>281.63</v>
      </c>
      <c r="DL103" s="52"/>
      <c r="DM103" s="74">
        <v>326</v>
      </c>
      <c r="DN103" s="52"/>
      <c r="DO103" s="222">
        <f t="shared" si="291"/>
        <v>-44.370000000000005</v>
      </c>
      <c r="DP103" s="81"/>
      <c r="DQ103" s="210"/>
      <c r="DR103" s="208">
        <f t="shared" si="292"/>
        <v>865.93999999999994</v>
      </c>
      <c r="DS103" s="52"/>
      <c r="DT103" s="208">
        <f t="shared" si="286"/>
        <v>1222</v>
      </c>
      <c r="DU103" s="52"/>
      <c r="DV103" s="222">
        <f t="shared" si="287"/>
        <v>-356.06000000000006</v>
      </c>
      <c r="DW103" s="81"/>
      <c r="DX103" s="210"/>
      <c r="DY103" s="208">
        <f t="shared" si="288"/>
        <v>981.5</v>
      </c>
      <c r="DZ103" s="52"/>
      <c r="EA103" s="208">
        <f t="shared" si="293"/>
        <v>1365</v>
      </c>
      <c r="EB103" s="33"/>
      <c r="EC103" s="33"/>
      <c r="ED103" s="33"/>
      <c r="EE103" s="210"/>
      <c r="EF103" s="210"/>
      <c r="EG103" s="210"/>
      <c r="EH103" s="210"/>
      <c r="EI103" s="229"/>
    </row>
    <row r="104" spans="1:139" ht="17.100000000000001" thickBot="1">
      <c r="A104" s="11" t="s">
        <v>113</v>
      </c>
      <c r="B104" s="9"/>
      <c r="C104" s="69">
        <f>SUM(C97:C103)</f>
        <v>0</v>
      </c>
      <c r="D104" s="32" t="e">
        <f>C104/C12</f>
        <v>#DIV/0!</v>
      </c>
      <c r="E104" s="69">
        <f>SUM(E97:E103)</f>
        <v>900</v>
      </c>
      <c r="F104" s="32">
        <f>E104/E12</f>
        <v>3.5665599340582695E-3</v>
      </c>
      <c r="G104" s="34">
        <f>E104-C104</f>
        <v>900</v>
      </c>
      <c r="H104" s="31">
        <f>G104/E104</f>
        <v>1</v>
      </c>
      <c r="I104" s="210"/>
      <c r="J104" s="69">
        <f>SUM(J97:J103)</f>
        <v>0</v>
      </c>
      <c r="K104" s="32">
        <f>J104/J12</f>
        <v>0</v>
      </c>
      <c r="L104" s="69">
        <f>SUM(L97:L103)</f>
        <v>900</v>
      </c>
      <c r="M104" s="32">
        <f>L104/L12</f>
        <v>3.5399907842239911E-3</v>
      </c>
      <c r="N104" s="34">
        <f>L104-J104</f>
        <v>900</v>
      </c>
      <c r="O104" s="31">
        <f>N104/L104</f>
        <v>1</v>
      </c>
      <c r="P104" s="210"/>
      <c r="Q104" s="69">
        <f>SUM(Q97:Q103)</f>
        <v>578.62000000000012</v>
      </c>
      <c r="R104" s="32">
        <f>Q104/Q12</f>
        <v>4.7665846451422642E-3</v>
      </c>
      <c r="S104" s="69">
        <f>SUM(S97:S103)</f>
        <v>900</v>
      </c>
      <c r="T104" s="32">
        <f>S104/S12</f>
        <v>3.0736492254240023E-3</v>
      </c>
      <c r="U104" s="34">
        <f>S104-Q104</f>
        <v>321.37999999999988</v>
      </c>
      <c r="V104" s="31">
        <f>U104/S104</f>
        <v>0.35708888888888873</v>
      </c>
      <c r="W104" s="210"/>
      <c r="X104" s="69">
        <f>SUM(X97:X103)</f>
        <v>578.62000000000012</v>
      </c>
      <c r="Y104" s="32">
        <f>X104/X12</f>
        <v>2.1840123441878448E-3</v>
      </c>
      <c r="Z104" s="69">
        <f>SUM(Z97:Z103)</f>
        <v>2700</v>
      </c>
      <c r="AA104" s="32">
        <f>Z104/Z12</f>
        <v>3.377560604689528E-3</v>
      </c>
      <c r="AB104" s="34">
        <f>Z104-X104</f>
        <v>2121.38</v>
      </c>
      <c r="AC104" s="31">
        <f>AB104/Z104</f>
        <v>0.78569629629629634</v>
      </c>
      <c r="AD104" s="210"/>
      <c r="AE104" s="69">
        <f>SUM(AE97:AE103)</f>
        <v>0</v>
      </c>
      <c r="AF104" s="32" t="e">
        <f>AE104/AE12</f>
        <v>#DIV/0!</v>
      </c>
      <c r="AG104" s="69">
        <f>SUM(AG97:AG103)</f>
        <v>4620</v>
      </c>
      <c r="AH104" s="32">
        <f>AG104/AG12</f>
        <v>1.465544571302518E-2</v>
      </c>
      <c r="AI104" s="34">
        <f>AG104-AE104</f>
        <v>4620</v>
      </c>
      <c r="AJ104" s="31">
        <f>AI104/AG104</f>
        <v>1</v>
      </c>
      <c r="AK104" s="210"/>
      <c r="AL104" s="69">
        <f>SUM(AL97:AL103)</f>
        <v>0</v>
      </c>
      <c r="AM104" s="32" t="e">
        <f>AL104/AL12</f>
        <v>#DIV/0!</v>
      </c>
      <c r="AN104" s="69">
        <f>SUM(AN97:AN103)</f>
        <v>6160</v>
      </c>
      <c r="AO104" s="32">
        <f>AN104/AN12</f>
        <v>1.9464923780761884E-2</v>
      </c>
      <c r="AP104" s="34">
        <f>AN104-AL104</f>
        <v>6160</v>
      </c>
      <c r="AQ104" s="31">
        <f>AP104/AN104</f>
        <v>1</v>
      </c>
      <c r="AR104" s="210"/>
      <c r="AS104" s="69">
        <f>SUM(AS97:AS103)</f>
        <v>0</v>
      </c>
      <c r="AT104" s="32" t="e">
        <f>AS104/AS12</f>
        <v>#DIV/0!</v>
      </c>
      <c r="AU104" s="69">
        <f>SUM(AU97:AU103)</f>
        <v>7700</v>
      </c>
      <c r="AV104" s="32">
        <f>AU104/AU12</f>
        <v>2.3823595200559152E-2</v>
      </c>
      <c r="AW104" s="34">
        <f>AU104-AS104</f>
        <v>7700</v>
      </c>
      <c r="AX104" s="31">
        <f>AW104/AU104</f>
        <v>1</v>
      </c>
      <c r="AY104" s="210"/>
      <c r="AZ104" s="69">
        <f>SUM(AZ97:AZ103)</f>
        <v>0</v>
      </c>
      <c r="BA104" s="32" t="e">
        <f>AZ104/AZ12</f>
        <v>#DIV/0!</v>
      </c>
      <c r="BB104" s="69">
        <f>SUM(BB97:BB103)</f>
        <v>18480</v>
      </c>
      <c r="BC104" s="32">
        <f>BB104/BB12</f>
        <v>1.9352470241351501E-2</v>
      </c>
      <c r="BD104" s="34">
        <f>BB104-AZ104</f>
        <v>18480</v>
      </c>
      <c r="BE104" s="31">
        <f>BD104/BB104</f>
        <v>1</v>
      </c>
      <c r="BF104" s="210"/>
      <c r="BG104" s="69">
        <f>SUM(BG97:BG103)</f>
        <v>0</v>
      </c>
      <c r="BH104" s="32" t="e">
        <f>BG104/BG12</f>
        <v>#DIV/0!</v>
      </c>
      <c r="BI104" s="69">
        <f>SUM(BI97:BI103)</f>
        <v>0</v>
      </c>
      <c r="BJ104" s="32" t="e">
        <f>BI104/BI12</f>
        <v>#DIV/0!</v>
      </c>
      <c r="BK104" s="34">
        <f>BI104-BG104</f>
        <v>0</v>
      </c>
      <c r="BL104" s="31" t="e">
        <f>BK104/BI104</f>
        <v>#DIV/0!</v>
      </c>
      <c r="BM104" s="210"/>
      <c r="BN104" s="69">
        <f>SUM(BN97:BN103)</f>
        <v>0</v>
      </c>
      <c r="BO104" s="38" t="e">
        <f>BN104/BN12</f>
        <v>#DIV/0!</v>
      </c>
      <c r="BP104" s="69">
        <f>SUM(BP97:BP103)</f>
        <v>0</v>
      </c>
      <c r="BQ104" s="38" t="e">
        <f>BP104/BP12</f>
        <v>#DIV/0!</v>
      </c>
      <c r="BR104" s="69">
        <f>SUM(BR97:BR103)</f>
        <v>0</v>
      </c>
      <c r="BS104" s="40" t="e">
        <f>BR104/BP104</f>
        <v>#DIV/0!</v>
      </c>
      <c r="BT104" s="210"/>
      <c r="BU104" s="69">
        <f>SUM(BU97:BU103)</f>
        <v>0</v>
      </c>
      <c r="BV104" s="38">
        <f>BU104/BU12</f>
        <v>0</v>
      </c>
      <c r="BW104" s="69">
        <f>SUM(BW97:BW103)</f>
        <v>0</v>
      </c>
      <c r="BX104" s="38" t="e">
        <f>BW104/BW12</f>
        <v>#DIV/0!</v>
      </c>
      <c r="BY104" s="69">
        <f>SUM(BY97:BY103)</f>
        <v>0</v>
      </c>
      <c r="BZ104" s="40" t="e">
        <f>BY104/BW104</f>
        <v>#DIV/0!</v>
      </c>
      <c r="CA104" s="210"/>
      <c r="CB104" s="69">
        <f>SUM(CB97:CB103)</f>
        <v>2300.0100000000002</v>
      </c>
      <c r="CC104" s="38">
        <f>CB104/CB12</f>
        <v>3.163568285943516E-2</v>
      </c>
      <c r="CD104" s="69">
        <f>SUM(CD97:CD103)</f>
        <v>2281</v>
      </c>
      <c r="CE104" s="38">
        <f>CD104/CD12</f>
        <v>1.9203892976813887E-2</v>
      </c>
      <c r="CF104" s="69">
        <f>SUM(CF97:CF103)</f>
        <v>19.010000000000105</v>
      </c>
      <c r="CG104" s="40">
        <f>CF104/CD104</f>
        <v>8.3340640070145126E-3</v>
      </c>
      <c r="CH104" s="210"/>
      <c r="CI104" s="69">
        <f>SUM(CI97:CI103)</f>
        <v>2300.0100000000002</v>
      </c>
      <c r="CJ104" s="38">
        <f>CI104/CI12</f>
        <v>2.8310209121682042E-2</v>
      </c>
      <c r="CK104" s="69">
        <f>SUM(CK97:CK103)</f>
        <v>2281</v>
      </c>
      <c r="CL104" s="38">
        <f>CK104/CK12</f>
        <v>1.9203892976813887E-2</v>
      </c>
      <c r="CM104" s="69">
        <f>SUM(CM97:CM103)</f>
        <v>19.010000000000105</v>
      </c>
      <c r="CN104" s="40">
        <f>CM104/CK104</f>
        <v>8.3340640070145126E-3</v>
      </c>
      <c r="CO104" s="210"/>
      <c r="CP104" s="69">
        <f>SUM(CP97:CP103)</f>
        <v>3871.5699999999997</v>
      </c>
      <c r="CQ104" s="38">
        <f>CP104/CP12</f>
        <v>1.7442587599718073E-2</v>
      </c>
      <c r="CR104" s="69">
        <f>SUM(CR97:CR103)</f>
        <v>4561</v>
      </c>
      <c r="CS104" s="38">
        <f>CR104/CR12</f>
        <v>1.9199683443061846E-2</v>
      </c>
      <c r="CT104" s="69">
        <f>SUM(CT97:CT103)</f>
        <v>-689.43000000000006</v>
      </c>
      <c r="CU104" s="40">
        <f>CT104/CR104</f>
        <v>-0.15115764086823066</v>
      </c>
      <c r="CV104" s="210"/>
      <c r="CW104" s="69">
        <f>SUM(CW97:CW103)</f>
        <v>11401.87</v>
      </c>
      <c r="CX104" s="38">
        <f>CW104/CW12</f>
        <v>4.3741554517072893E-2</v>
      </c>
      <c r="CY104" s="69">
        <f>SUM(CY97:CY103)</f>
        <v>4561</v>
      </c>
      <c r="CZ104" s="38">
        <f>CY104/CY12</f>
        <v>1.9199683443061846E-2</v>
      </c>
      <c r="DA104" s="69">
        <f>SUM(DA97:DA103)</f>
        <v>6538.43</v>
      </c>
      <c r="DB104" s="40">
        <f>DA104/CY104</f>
        <v>1.4335518526638895</v>
      </c>
      <c r="DC104" s="210"/>
      <c r="DD104" s="69">
        <f>SUM(DD97:DD103)</f>
        <v>12336.039999999999</v>
      </c>
      <c r="DE104" s="38">
        <f>DD104/DD12</f>
        <v>5.4218045672578034E-2</v>
      </c>
      <c r="DF104" s="69">
        <f>SUM(DF97:DF103)</f>
        <v>8471</v>
      </c>
      <c r="DG104" s="38">
        <f>DF104/DF12</f>
        <v>3.1201770961099998E-2</v>
      </c>
      <c r="DH104" s="69">
        <f>SUM(DH97:DH103)</f>
        <v>3022.139999999999</v>
      </c>
      <c r="DI104" s="40">
        <f>DH104/DF104</f>
        <v>0.35676307401723517</v>
      </c>
      <c r="DJ104" s="210"/>
      <c r="DK104" s="69">
        <f>SUM(DK97:DK103)</f>
        <v>6408.87</v>
      </c>
      <c r="DL104" s="38">
        <f>DK104/DK12</f>
        <v>4.3115712635649235E-2</v>
      </c>
      <c r="DM104" s="69">
        <f>SUM(DM97:DM103)</f>
        <v>8471</v>
      </c>
      <c r="DN104" s="38">
        <f>DM104/DM12</f>
        <v>3.1201770961099998E-2</v>
      </c>
      <c r="DO104" s="69">
        <f>SUM(DO97:DO103)</f>
        <v>-3969.59</v>
      </c>
      <c r="DP104" s="40">
        <f>DO104/DM104</f>
        <v>-0.46860937315547163</v>
      </c>
      <c r="DQ104" s="210"/>
      <c r="DR104" s="69">
        <f>SUM(DR97:DR103)</f>
        <v>34018.350000000006</v>
      </c>
      <c r="DS104" s="38">
        <f>DR104/DR12</f>
        <v>3.9611714178188241E-2</v>
      </c>
      <c r="DT104" s="69">
        <f>SUM(DT97:DT103)</f>
        <v>26064</v>
      </c>
      <c r="DU104" s="38">
        <f>DT104/DT12</f>
        <v>2.5600779495802941E-2</v>
      </c>
      <c r="DV104" s="69">
        <f>SUM(DV97:DV103)</f>
        <v>4901.55</v>
      </c>
      <c r="DW104" s="40">
        <f>DV104/DT104</f>
        <v>0.18805824125230203</v>
      </c>
      <c r="DX104" s="210"/>
      <c r="DY104" s="69">
        <f>SUM(DY97:DY103)</f>
        <v>36896.980000000003</v>
      </c>
      <c r="DZ104" s="32">
        <f>DY104/DY12</f>
        <v>3.0620593380565553E-2</v>
      </c>
      <c r="EA104" s="69">
        <f>SUM(EA97:EA103)</f>
        <v>49525</v>
      </c>
      <c r="EB104" s="32">
        <f>EA104/EA12</f>
        <v>1.712967011479645E-2</v>
      </c>
      <c r="EC104" s="34">
        <f>EA104-DY104</f>
        <v>12628.019999999997</v>
      </c>
      <c r="ED104" s="31">
        <f>EC104/EA104</f>
        <v>0.25498273599192323</v>
      </c>
      <c r="EE104" s="210"/>
      <c r="EF104" s="210"/>
      <c r="EG104" s="210"/>
      <c r="EH104" s="210"/>
      <c r="EI104" s="210"/>
    </row>
    <row r="105" spans="1:139" ht="17.100000000000001" thickTop="1">
      <c r="A105" s="9"/>
      <c r="B105" s="10"/>
      <c r="C105" s="65"/>
      <c r="D105" s="33"/>
      <c r="E105" s="22"/>
      <c r="F105" s="33"/>
      <c r="G105" s="33"/>
      <c r="H105" s="33"/>
      <c r="I105" s="210"/>
      <c r="J105" s="22"/>
      <c r="K105" s="33"/>
      <c r="L105" s="22"/>
      <c r="M105" s="33"/>
      <c r="N105" s="33"/>
      <c r="O105" s="33"/>
      <c r="P105" s="210"/>
      <c r="Q105" s="65"/>
      <c r="R105" s="23"/>
      <c r="S105" s="22"/>
      <c r="T105" s="33"/>
      <c r="U105" s="33"/>
      <c r="V105" s="33"/>
      <c r="W105" s="210"/>
      <c r="X105" s="65"/>
      <c r="Y105" s="33"/>
      <c r="Z105" s="22"/>
      <c r="AA105" s="23"/>
      <c r="AB105" s="33"/>
      <c r="AC105" s="33"/>
      <c r="AD105" s="210"/>
      <c r="AE105" s="65"/>
      <c r="AF105" s="23"/>
      <c r="AG105" s="22"/>
      <c r="AH105" s="23"/>
      <c r="AI105" s="73"/>
      <c r="AJ105" s="73"/>
      <c r="AK105" s="210"/>
      <c r="AL105" s="65"/>
      <c r="AM105" s="23"/>
      <c r="AN105" s="22"/>
      <c r="AO105" s="23"/>
      <c r="AP105" s="73"/>
      <c r="AQ105" s="73"/>
      <c r="AR105" s="210"/>
      <c r="AS105" s="65"/>
      <c r="AT105" s="23"/>
      <c r="AU105" s="22"/>
      <c r="AV105" s="23"/>
      <c r="AW105" s="73"/>
      <c r="AX105" s="73"/>
      <c r="AY105" s="210"/>
      <c r="AZ105" s="65"/>
      <c r="BA105" s="23"/>
      <c r="BB105" s="22"/>
      <c r="BC105" s="23"/>
      <c r="BD105" s="73"/>
      <c r="BE105" s="33"/>
      <c r="BF105" s="210"/>
      <c r="BG105" s="65"/>
      <c r="BH105" s="23"/>
      <c r="BI105" s="65"/>
      <c r="BJ105" s="23"/>
      <c r="BK105" s="73"/>
      <c r="BL105" s="33"/>
      <c r="BM105" s="210"/>
      <c r="BN105" s="65"/>
      <c r="BO105" s="52"/>
      <c r="BP105" s="65"/>
      <c r="BQ105" s="52"/>
      <c r="BR105" s="68"/>
      <c r="BS105" s="52"/>
      <c r="BT105" s="210"/>
      <c r="BU105" s="65"/>
      <c r="BV105" s="52"/>
      <c r="BW105" s="65"/>
      <c r="BX105" s="52"/>
      <c r="BY105" s="68"/>
      <c r="BZ105" s="81"/>
      <c r="CA105" s="210"/>
      <c r="CB105" s="65"/>
      <c r="CC105" s="52"/>
      <c r="CD105" s="65"/>
      <c r="CE105" s="52"/>
      <c r="CF105" s="68"/>
      <c r="CG105" s="81"/>
      <c r="CH105" s="210"/>
      <c r="CI105" s="65"/>
      <c r="CJ105" s="52"/>
      <c r="CK105" s="65"/>
      <c r="CL105" s="52"/>
      <c r="CM105" s="68"/>
      <c r="CN105" s="81"/>
      <c r="CO105" s="210"/>
      <c r="CP105" s="65"/>
      <c r="CQ105" s="51"/>
      <c r="CR105" s="65"/>
      <c r="CS105" s="51"/>
      <c r="CT105" s="68"/>
      <c r="CU105" s="68"/>
      <c r="CV105" s="210"/>
      <c r="CW105" s="65"/>
      <c r="CX105" s="52"/>
      <c r="CY105" s="65"/>
      <c r="CZ105" s="52"/>
      <c r="DA105" s="68"/>
      <c r="DB105" s="81"/>
      <c r="DC105" s="210"/>
      <c r="DD105" s="65"/>
      <c r="DE105" s="52"/>
      <c r="DF105" s="65"/>
      <c r="DG105" s="52"/>
      <c r="DH105" s="68"/>
      <c r="DI105" s="81"/>
      <c r="DJ105" s="210"/>
      <c r="DK105" s="65"/>
      <c r="DL105" s="52"/>
      <c r="DM105" s="65"/>
      <c r="DN105" s="52"/>
      <c r="DO105" s="68"/>
      <c r="DP105" s="81"/>
      <c r="DQ105" s="210"/>
      <c r="DR105" s="65"/>
      <c r="DS105" s="52"/>
      <c r="DT105" s="65"/>
      <c r="DU105" s="52"/>
      <c r="DV105" s="68"/>
      <c r="DW105" s="81"/>
      <c r="DX105" s="210"/>
      <c r="DY105" s="65"/>
      <c r="DZ105" s="52"/>
      <c r="EA105" s="65"/>
      <c r="EB105" s="33"/>
      <c r="EC105" s="33"/>
      <c r="ED105" s="33"/>
      <c r="EE105" s="210"/>
      <c r="EF105" s="210"/>
      <c r="EG105" s="210"/>
      <c r="EH105" s="210"/>
      <c r="EI105" s="210"/>
    </row>
    <row r="106" spans="1:139">
      <c r="A106" s="9" t="s">
        <v>114</v>
      </c>
      <c r="B106" s="9"/>
      <c r="C106" s="65"/>
      <c r="D106" s="33"/>
      <c r="E106" s="22"/>
      <c r="F106" s="33"/>
      <c r="G106" s="212"/>
      <c r="H106" s="212"/>
      <c r="I106" s="210"/>
      <c r="J106" s="22"/>
      <c r="K106" s="33"/>
      <c r="L106" s="22"/>
      <c r="M106" s="33"/>
      <c r="N106" s="212"/>
      <c r="O106" s="212"/>
      <c r="P106" s="210"/>
      <c r="Q106" s="65"/>
      <c r="R106" s="23"/>
      <c r="S106" s="22"/>
      <c r="T106" s="33"/>
      <c r="U106" s="212"/>
      <c r="V106" s="212"/>
      <c r="W106" s="210"/>
      <c r="X106" s="65"/>
      <c r="Y106" s="33"/>
      <c r="Z106" s="22"/>
      <c r="AA106" s="23"/>
      <c r="AB106" s="212"/>
      <c r="AC106" s="212"/>
      <c r="AD106" s="210"/>
      <c r="AE106" s="65"/>
      <c r="AF106" s="23"/>
      <c r="AG106" s="22"/>
      <c r="AH106" s="23"/>
      <c r="AI106" s="220"/>
      <c r="AJ106" s="221"/>
      <c r="AK106" s="210"/>
      <c r="AL106" s="65"/>
      <c r="AM106" s="23"/>
      <c r="AN106" s="22"/>
      <c r="AO106" s="23"/>
      <c r="AP106" s="220"/>
      <c r="AQ106" s="221"/>
      <c r="AR106" s="210"/>
      <c r="AS106" s="65"/>
      <c r="AT106" s="23"/>
      <c r="AU106" s="22"/>
      <c r="AV106" s="23"/>
      <c r="AW106" s="220"/>
      <c r="AX106" s="221"/>
      <c r="AY106" s="210"/>
      <c r="AZ106" s="65"/>
      <c r="BA106" s="23"/>
      <c r="BB106" s="22"/>
      <c r="BC106" s="23"/>
      <c r="BD106" s="220"/>
      <c r="BE106" s="212"/>
      <c r="BF106" s="210"/>
      <c r="BG106" s="65"/>
      <c r="BH106" s="23"/>
      <c r="BI106" s="65"/>
      <c r="BJ106" s="23"/>
      <c r="BK106" s="220"/>
      <c r="BL106" s="212"/>
      <c r="BM106" s="210"/>
      <c r="BN106" s="65"/>
      <c r="BO106" s="52"/>
      <c r="BP106" s="65"/>
      <c r="BQ106" s="52"/>
      <c r="BR106" s="222"/>
      <c r="BS106" s="216"/>
      <c r="BT106" s="210"/>
      <c r="BU106" s="65"/>
      <c r="BV106" s="52"/>
      <c r="BW106" s="65"/>
      <c r="BX106" s="52"/>
      <c r="BY106" s="222">
        <f>BU106-BW106</f>
        <v>0</v>
      </c>
      <c r="BZ106" s="216"/>
      <c r="CA106" s="210"/>
      <c r="CB106" s="65"/>
      <c r="CC106" s="52"/>
      <c r="CD106" s="65"/>
      <c r="CE106" s="52"/>
      <c r="CF106" s="222">
        <f>CB106-CD106</f>
        <v>0</v>
      </c>
      <c r="CG106" s="216"/>
      <c r="CH106" s="210"/>
      <c r="CI106" s="65"/>
      <c r="CJ106" s="52"/>
      <c r="CK106" s="65"/>
      <c r="CL106" s="52"/>
      <c r="CM106" s="222"/>
      <c r="CN106" s="216"/>
      <c r="CO106" s="210"/>
      <c r="CP106" s="65"/>
      <c r="CQ106" s="51"/>
      <c r="CR106" s="65"/>
      <c r="CS106" s="51"/>
      <c r="CT106" s="222">
        <f t="shared" ref="CT106:CT111" si="294">CP106-CR106</f>
        <v>0</v>
      </c>
      <c r="CU106" s="223"/>
      <c r="CV106" s="210"/>
      <c r="CW106" s="65"/>
      <c r="CX106" s="52"/>
      <c r="CY106" s="65"/>
      <c r="CZ106" s="52"/>
      <c r="DA106" s="222"/>
      <c r="DB106" s="216"/>
      <c r="DC106" s="210"/>
      <c r="DD106" s="65"/>
      <c r="DE106" s="52"/>
      <c r="DF106" s="65"/>
      <c r="DG106" s="52"/>
      <c r="DH106" s="222"/>
      <c r="DI106" s="216"/>
      <c r="DJ106" s="210"/>
      <c r="DK106" s="65"/>
      <c r="DL106" s="52"/>
      <c r="DM106" s="65"/>
      <c r="DN106" s="52"/>
      <c r="DO106" s="222"/>
      <c r="DP106" s="216"/>
      <c r="DQ106" s="210"/>
      <c r="DR106" s="65"/>
      <c r="DS106" s="52"/>
      <c r="DT106" s="65"/>
      <c r="DU106" s="52"/>
      <c r="DV106" s="222"/>
      <c r="DW106" s="216"/>
      <c r="DX106" s="210"/>
      <c r="DY106" s="65"/>
      <c r="DZ106" s="52"/>
      <c r="EA106" s="65"/>
      <c r="EB106" s="33"/>
      <c r="EC106" s="212"/>
      <c r="ED106" s="212"/>
      <c r="EE106" s="210"/>
      <c r="EF106" s="210"/>
      <c r="EG106" s="210"/>
      <c r="EH106" s="210"/>
      <c r="EI106" s="210"/>
    </row>
    <row r="107" spans="1:139">
      <c r="A107" s="57" t="s">
        <v>115</v>
      </c>
      <c r="B107" s="10"/>
      <c r="C107" s="65"/>
      <c r="D107" s="33"/>
      <c r="E107" s="226">
        <v>1261.7147</v>
      </c>
      <c r="F107" s="33"/>
      <c r="G107" s="212"/>
      <c r="H107" s="212"/>
      <c r="I107" s="210"/>
      <c r="J107" s="22">
        <v>6</v>
      </c>
      <c r="K107" s="33"/>
      <c r="L107" s="226">
        <v>1271.1897500000002</v>
      </c>
      <c r="M107" s="33"/>
      <c r="N107" s="212"/>
      <c r="O107" s="212"/>
      <c r="P107" s="210"/>
      <c r="Q107" s="65">
        <v>0</v>
      </c>
      <c r="R107" s="23"/>
      <c r="S107" s="226">
        <v>1464.0577600000001</v>
      </c>
      <c r="T107" s="33"/>
      <c r="U107" s="212"/>
      <c r="V107" s="212"/>
      <c r="W107" s="210"/>
      <c r="X107" s="208">
        <f t="shared" ref="X107:X111" si="295">C107+J107+Q107</f>
        <v>6</v>
      </c>
      <c r="Y107" s="33"/>
      <c r="Z107" s="218">
        <f>E107+L107+S107</f>
        <v>3996.9622100000001</v>
      </c>
      <c r="AA107" s="23"/>
      <c r="AB107" s="212"/>
      <c r="AC107" s="212"/>
      <c r="AD107" s="210"/>
      <c r="AE107" s="65">
        <v>0</v>
      </c>
      <c r="AF107" s="23"/>
      <c r="AG107" s="22">
        <v>1576.2058999999999</v>
      </c>
      <c r="AH107" s="23"/>
      <c r="AI107" s="220">
        <f t="shared" ref="AI107:AI111" si="296">AG107-AE107</f>
        <v>1576.2058999999999</v>
      </c>
      <c r="AJ107" s="221"/>
      <c r="AK107" s="210"/>
      <c r="AL107" s="65">
        <v>0</v>
      </c>
      <c r="AM107" s="23"/>
      <c r="AN107" s="22">
        <v>1582.3334500000001</v>
      </c>
      <c r="AO107" s="23"/>
      <c r="AP107" s="220"/>
      <c r="AQ107" s="221"/>
      <c r="AR107" s="210"/>
      <c r="AS107" s="65">
        <v>0</v>
      </c>
      <c r="AT107" s="23"/>
      <c r="AU107" s="22">
        <v>1616.04492</v>
      </c>
      <c r="AV107" s="23"/>
      <c r="AW107" s="220"/>
      <c r="AX107" s="221"/>
      <c r="AY107" s="210"/>
      <c r="AZ107" s="208">
        <f t="shared" ref="AZ107:AZ111" si="297">AE107+AL107+AS107</f>
        <v>0</v>
      </c>
      <c r="BA107" s="23"/>
      <c r="BB107" s="218">
        <f t="shared" ref="BB107:BB111" si="298">AG107+AN107+AU107</f>
        <v>4774.5842700000003</v>
      </c>
      <c r="BC107" s="23"/>
      <c r="BD107" s="220"/>
      <c r="BE107" s="212"/>
      <c r="BF107" s="210"/>
      <c r="BG107" s="65">
        <v>0</v>
      </c>
      <c r="BH107" s="23"/>
      <c r="BI107" s="65">
        <v>0</v>
      </c>
      <c r="BJ107" s="23"/>
      <c r="BK107" s="220"/>
      <c r="BL107" s="212"/>
      <c r="BM107" s="210"/>
      <c r="BN107" s="65">
        <v>0</v>
      </c>
      <c r="BO107" s="52"/>
      <c r="BP107" s="72">
        <v>0</v>
      </c>
      <c r="BQ107" s="52"/>
      <c r="BR107" s="222">
        <f t="shared" ref="BR107:BR111" si="299">BN107-BP107</f>
        <v>0</v>
      </c>
      <c r="BS107" s="216"/>
      <c r="BT107" s="210"/>
      <c r="BU107" s="65">
        <v>0</v>
      </c>
      <c r="BV107" s="52"/>
      <c r="BW107" s="72">
        <v>0</v>
      </c>
      <c r="BX107" s="52"/>
      <c r="BY107" s="222">
        <f>BU107-BW107</f>
        <v>0</v>
      </c>
      <c r="BZ107" s="216"/>
      <c r="CA107" s="210"/>
      <c r="CB107" s="65">
        <v>0</v>
      </c>
      <c r="CC107" s="52"/>
      <c r="CD107" s="65">
        <v>594</v>
      </c>
      <c r="CE107" s="52"/>
      <c r="CF107" s="222">
        <f>CB107-CD107</f>
        <v>-594</v>
      </c>
      <c r="CG107" s="216"/>
      <c r="CH107" s="210"/>
      <c r="CI107" s="208">
        <f t="shared" ref="CI107" si="300">BG107+BN107+BU107+CB107</f>
        <v>0</v>
      </c>
      <c r="CJ107" s="52"/>
      <c r="CK107" s="208">
        <f>BI107+BP107+BW107+CD107</f>
        <v>594</v>
      </c>
      <c r="CL107" s="52"/>
      <c r="CM107" s="222">
        <f t="shared" ref="CM107:CM111" si="301">CI107-CK107</f>
        <v>-594</v>
      </c>
      <c r="CN107" s="216"/>
      <c r="CO107" s="210"/>
      <c r="CP107" s="65">
        <v>0</v>
      </c>
      <c r="CQ107" s="51"/>
      <c r="CR107" s="72">
        <v>1188</v>
      </c>
      <c r="CS107" s="51"/>
      <c r="CT107" s="222">
        <f t="shared" si="294"/>
        <v>-1188</v>
      </c>
      <c r="CU107" s="223"/>
      <c r="CV107" s="210"/>
      <c r="CW107" s="65">
        <v>14</v>
      </c>
      <c r="CX107" s="52"/>
      <c r="CY107" s="72">
        <v>1188</v>
      </c>
      <c r="CZ107" s="52"/>
      <c r="DA107" s="222">
        <f t="shared" ref="DA107:DA111" si="302">CW107-CY107</f>
        <v>-1174</v>
      </c>
      <c r="DB107" s="216"/>
      <c r="DC107" s="210"/>
      <c r="DD107" s="65">
        <v>696.5</v>
      </c>
      <c r="DE107" s="52"/>
      <c r="DF107" s="72">
        <v>1357</v>
      </c>
      <c r="DG107" s="52"/>
      <c r="DH107" s="222">
        <f t="shared" ref="DH107:DH111" si="303">DD107-DF107</f>
        <v>-660.5</v>
      </c>
      <c r="DI107" s="216"/>
      <c r="DJ107" s="210"/>
      <c r="DK107" s="65">
        <v>241</v>
      </c>
      <c r="DL107" s="52"/>
      <c r="DM107" s="72">
        <v>1357</v>
      </c>
      <c r="DN107" s="52"/>
      <c r="DO107" s="222">
        <f t="shared" ref="DO107:DO111" si="304">DK107-DM107</f>
        <v>-1116</v>
      </c>
      <c r="DP107" s="216"/>
      <c r="DQ107" s="210"/>
      <c r="DR107" s="208">
        <f t="shared" ref="DR107:DR111" si="305">CP107+CW107+DD107+DK107</f>
        <v>951.5</v>
      </c>
      <c r="DS107" s="52"/>
      <c r="DT107" s="208">
        <f t="shared" ref="DT107:DT111" si="306">CR107+CY107+DF107+DM107</f>
        <v>5090</v>
      </c>
      <c r="DU107" s="52"/>
      <c r="DV107" s="222">
        <f t="shared" ref="DV107:DV111" si="307">DR107-DT107</f>
        <v>-4138.5</v>
      </c>
      <c r="DW107" s="216"/>
      <c r="DX107" s="210"/>
      <c r="DY107" s="208">
        <f>X107+AZ107+CI107+DR107</f>
        <v>957.5</v>
      </c>
      <c r="DZ107" s="52"/>
      <c r="EA107" s="208">
        <f>Z107+BB107+CK107+DT107</f>
        <v>14455.546480000001</v>
      </c>
      <c r="EB107" s="33"/>
      <c r="EC107" s="212"/>
      <c r="ED107" s="212"/>
      <c r="EE107" s="210"/>
      <c r="EF107" s="210"/>
      <c r="EG107" s="210"/>
      <c r="EH107" s="210"/>
      <c r="EI107" s="210"/>
    </row>
    <row r="108" spans="1:139">
      <c r="A108" s="57" t="s">
        <v>116</v>
      </c>
      <c r="B108" s="10"/>
      <c r="C108" s="65"/>
      <c r="D108" s="33"/>
      <c r="E108" s="226">
        <v>3785.1440999999995</v>
      </c>
      <c r="F108" s="33"/>
      <c r="G108" s="212"/>
      <c r="H108" s="212"/>
      <c r="I108" s="210"/>
      <c r="J108" s="22">
        <v>2937.35</v>
      </c>
      <c r="K108" s="33"/>
      <c r="L108" s="226">
        <v>3813.5692500000005</v>
      </c>
      <c r="M108" s="33"/>
      <c r="N108" s="212"/>
      <c r="O108" s="212"/>
      <c r="P108" s="210"/>
      <c r="Q108" s="65">
        <v>4130.7</v>
      </c>
      <c r="R108" s="23"/>
      <c r="S108" s="226">
        <v>4392.17328</v>
      </c>
      <c r="T108" s="33"/>
      <c r="U108" s="212"/>
      <c r="V108" s="212"/>
      <c r="W108" s="210"/>
      <c r="X108" s="208">
        <f t="shared" si="295"/>
        <v>7068.0499999999993</v>
      </c>
      <c r="Y108" s="33"/>
      <c r="Z108" s="218">
        <f>E108+L108+S108</f>
        <v>11990.886630000001</v>
      </c>
      <c r="AA108" s="23"/>
      <c r="AB108" s="212"/>
      <c r="AC108" s="212"/>
      <c r="AD108" s="210"/>
      <c r="AE108" s="65">
        <v>0</v>
      </c>
      <c r="AF108" s="23"/>
      <c r="AG108" s="22">
        <v>4728.6176999999998</v>
      </c>
      <c r="AH108" s="23"/>
      <c r="AI108" s="220">
        <f t="shared" si="296"/>
        <v>4728.6176999999998</v>
      </c>
      <c r="AJ108" s="221"/>
      <c r="AK108" s="210"/>
      <c r="AL108" s="65">
        <v>0</v>
      </c>
      <c r="AM108" s="23"/>
      <c r="AN108" s="22">
        <v>4747.0003500000003</v>
      </c>
      <c r="AO108" s="23"/>
      <c r="AP108" s="220"/>
      <c r="AQ108" s="221"/>
      <c r="AR108" s="210"/>
      <c r="AS108" s="65">
        <v>0</v>
      </c>
      <c r="AT108" s="23"/>
      <c r="AU108" s="22">
        <v>4848.1347599999999</v>
      </c>
      <c r="AV108" s="23"/>
      <c r="AW108" s="220"/>
      <c r="AX108" s="221"/>
      <c r="AY108" s="210"/>
      <c r="AZ108" s="208">
        <f t="shared" si="297"/>
        <v>0</v>
      </c>
      <c r="BA108" s="23"/>
      <c r="BB108" s="218">
        <f t="shared" si="298"/>
        <v>14323.752810000002</v>
      </c>
      <c r="BC108" s="23"/>
      <c r="BD108" s="220"/>
      <c r="BE108" s="212"/>
      <c r="BF108" s="210"/>
      <c r="BG108" s="65">
        <v>0</v>
      </c>
      <c r="BH108" s="23"/>
      <c r="BI108" s="65">
        <v>0</v>
      </c>
      <c r="BJ108" s="23"/>
      <c r="BK108" s="220"/>
      <c r="BL108" s="212"/>
      <c r="BM108" s="210"/>
      <c r="BN108" s="65">
        <v>0</v>
      </c>
      <c r="BO108" s="52"/>
      <c r="BP108" s="72">
        <v>0</v>
      </c>
      <c r="BQ108" s="52"/>
      <c r="BR108" s="222">
        <f t="shared" si="299"/>
        <v>0</v>
      </c>
      <c r="BS108" s="216"/>
      <c r="BT108" s="210"/>
      <c r="BU108" s="65">
        <v>0</v>
      </c>
      <c r="BV108" s="52"/>
      <c r="BW108" s="72">
        <v>0</v>
      </c>
      <c r="BX108" s="52"/>
      <c r="BY108" s="222">
        <f>BU108-BW108</f>
        <v>0</v>
      </c>
      <c r="BZ108" s="216"/>
      <c r="CA108" s="210"/>
      <c r="CB108" s="65">
        <v>2587</v>
      </c>
      <c r="CC108" s="52"/>
      <c r="CD108" s="65">
        <v>1782</v>
      </c>
      <c r="CE108" s="52"/>
      <c r="CF108" s="222">
        <f>CB108-CD108</f>
        <v>805</v>
      </c>
      <c r="CG108" s="216"/>
      <c r="CH108" s="210"/>
      <c r="CI108" s="208">
        <f t="shared" ref="CI108:CI111" si="308">BG108+BN108+BU108+CB108</f>
        <v>2587</v>
      </c>
      <c r="CJ108" s="52"/>
      <c r="CK108" s="208">
        <f t="shared" ref="CK108:CK111" si="309">BI108+BP108+BW108+CD108</f>
        <v>1782</v>
      </c>
      <c r="CL108" s="52"/>
      <c r="CM108" s="222">
        <f t="shared" si="301"/>
        <v>805</v>
      </c>
      <c r="CN108" s="216"/>
      <c r="CO108" s="210"/>
      <c r="CP108" s="65">
        <v>4589.75</v>
      </c>
      <c r="CQ108" s="51"/>
      <c r="CR108" s="72">
        <v>3563</v>
      </c>
      <c r="CS108" s="51"/>
      <c r="CT108" s="222">
        <f t="shared" si="294"/>
        <v>1026.75</v>
      </c>
      <c r="CU108" s="223"/>
      <c r="CV108" s="210"/>
      <c r="CW108" s="65">
        <f>474.2+4490.8</f>
        <v>4965</v>
      </c>
      <c r="CX108" s="52"/>
      <c r="CY108" s="72">
        <v>3563</v>
      </c>
      <c r="CZ108" s="52"/>
      <c r="DA108" s="222">
        <f t="shared" si="302"/>
        <v>1402</v>
      </c>
      <c r="DB108" s="216"/>
      <c r="DC108" s="210"/>
      <c r="DD108" s="65">
        <v>2402.56</v>
      </c>
      <c r="DE108" s="52"/>
      <c r="DF108" s="72">
        <v>4072</v>
      </c>
      <c r="DG108" s="52"/>
      <c r="DH108" s="222">
        <f t="shared" si="303"/>
        <v>-1669.44</v>
      </c>
      <c r="DI108" s="216"/>
      <c r="DJ108" s="210"/>
      <c r="DK108" s="65">
        <f>1376.3+65.45</f>
        <v>1441.75</v>
      </c>
      <c r="DL108" s="52"/>
      <c r="DM108" s="72">
        <v>4072</v>
      </c>
      <c r="DN108" s="52"/>
      <c r="DO108" s="222">
        <f t="shared" si="304"/>
        <v>-2630.25</v>
      </c>
      <c r="DP108" s="216"/>
      <c r="DQ108" s="210"/>
      <c r="DR108" s="208">
        <f t="shared" si="305"/>
        <v>13399.06</v>
      </c>
      <c r="DS108" s="52"/>
      <c r="DT108" s="208">
        <f t="shared" si="306"/>
        <v>15270</v>
      </c>
      <c r="DU108" s="52"/>
      <c r="DV108" s="222">
        <f t="shared" si="307"/>
        <v>-1870.9400000000005</v>
      </c>
      <c r="DW108" s="216"/>
      <c r="DX108" s="210"/>
      <c r="DY108" s="208">
        <f t="shared" ref="DY108:DY111" si="310">X108+AZ108+CI108+DR108</f>
        <v>23054.11</v>
      </c>
      <c r="DZ108" s="52"/>
      <c r="EA108" s="208">
        <f t="shared" ref="EA108:EA111" si="311">Z108+BB108+CK108+DT108</f>
        <v>43366.639439999999</v>
      </c>
      <c r="EB108" s="33"/>
      <c r="EC108" s="212"/>
      <c r="ED108" s="212"/>
      <c r="EE108" s="210"/>
      <c r="EF108" s="210"/>
      <c r="EG108" s="210"/>
      <c r="EH108" s="210"/>
      <c r="EI108" s="210"/>
    </row>
    <row r="109" spans="1:139">
      <c r="A109" s="57" t="s">
        <v>117</v>
      </c>
      <c r="B109" s="10"/>
      <c r="C109" s="65"/>
      <c r="D109" s="33"/>
      <c r="E109" s="68">
        <v>530.76923076923072</v>
      </c>
      <c r="F109" s="33"/>
      <c r="G109" s="212"/>
      <c r="H109" s="212"/>
      <c r="I109" s="210"/>
      <c r="J109" s="22">
        <v>0</v>
      </c>
      <c r="K109" s="33"/>
      <c r="L109" s="72">
        <v>530.76923076923072</v>
      </c>
      <c r="M109" s="33"/>
      <c r="N109" s="212"/>
      <c r="O109" s="212"/>
      <c r="P109" s="210"/>
      <c r="Q109" s="65">
        <v>0</v>
      </c>
      <c r="R109" s="23"/>
      <c r="S109" s="72">
        <v>530.76923076923072</v>
      </c>
      <c r="T109" s="33"/>
      <c r="U109" s="212"/>
      <c r="V109" s="212"/>
      <c r="W109" s="210"/>
      <c r="X109" s="208">
        <f t="shared" si="295"/>
        <v>0</v>
      </c>
      <c r="Y109" s="33"/>
      <c r="Z109" s="218">
        <f>E109+L109+S109</f>
        <v>1592.3076923076922</v>
      </c>
      <c r="AA109" s="23"/>
      <c r="AB109" s="212"/>
      <c r="AC109" s="212"/>
      <c r="AD109" s="210"/>
      <c r="AE109" s="65">
        <v>0</v>
      </c>
      <c r="AF109" s="23"/>
      <c r="AG109" s="22">
        <v>530.76923076923072</v>
      </c>
      <c r="AH109" s="23"/>
      <c r="AI109" s="220">
        <f t="shared" si="296"/>
        <v>530.76923076923072</v>
      </c>
      <c r="AJ109" s="221"/>
      <c r="AK109" s="210"/>
      <c r="AL109" s="65">
        <v>0</v>
      </c>
      <c r="AM109" s="23"/>
      <c r="AN109" s="22">
        <v>530.76923076923072</v>
      </c>
      <c r="AO109" s="23"/>
      <c r="AP109" s="220"/>
      <c r="AQ109" s="221"/>
      <c r="AR109" s="210"/>
      <c r="AS109" s="65">
        <v>0</v>
      </c>
      <c r="AT109" s="23"/>
      <c r="AU109" s="22">
        <v>530.76923076923072</v>
      </c>
      <c r="AV109" s="23"/>
      <c r="AW109" s="220"/>
      <c r="AX109" s="221"/>
      <c r="AY109" s="210"/>
      <c r="AZ109" s="208">
        <f t="shared" si="297"/>
        <v>0</v>
      </c>
      <c r="BA109" s="23"/>
      <c r="BB109" s="218">
        <f t="shared" si="298"/>
        <v>1592.3076923076922</v>
      </c>
      <c r="BC109" s="23"/>
      <c r="BD109" s="220"/>
      <c r="BE109" s="212"/>
      <c r="BF109" s="210"/>
      <c r="BG109" s="65">
        <v>0</v>
      </c>
      <c r="BH109" s="23"/>
      <c r="BI109" s="65">
        <v>0</v>
      </c>
      <c r="BJ109" s="23"/>
      <c r="BK109" s="220"/>
      <c r="BL109" s="212"/>
      <c r="BM109" s="210"/>
      <c r="BN109" s="65">
        <v>0</v>
      </c>
      <c r="BO109" s="52"/>
      <c r="BP109" s="72">
        <v>0</v>
      </c>
      <c r="BQ109" s="52"/>
      <c r="BR109" s="222">
        <f t="shared" si="299"/>
        <v>0</v>
      </c>
      <c r="BS109" s="216"/>
      <c r="BT109" s="210"/>
      <c r="BU109" s="65">
        <v>3069.25</v>
      </c>
      <c r="BV109" s="52"/>
      <c r="BW109" s="72">
        <v>0</v>
      </c>
      <c r="BX109" s="52"/>
      <c r="BY109" s="222">
        <f>BU109-BW109</f>
        <v>3069.25</v>
      </c>
      <c r="BZ109" s="216"/>
      <c r="CA109" s="210"/>
      <c r="CB109" s="65">
        <v>305.5</v>
      </c>
      <c r="CC109" s="52"/>
      <c r="CD109" s="65">
        <v>531</v>
      </c>
      <c r="CE109" s="52"/>
      <c r="CF109" s="222">
        <f>CB109-CD109</f>
        <v>-225.5</v>
      </c>
      <c r="CG109" s="216"/>
      <c r="CH109" s="210"/>
      <c r="CI109" s="208">
        <f t="shared" si="308"/>
        <v>3374.75</v>
      </c>
      <c r="CJ109" s="52"/>
      <c r="CK109" s="208">
        <f t="shared" si="309"/>
        <v>531</v>
      </c>
      <c r="CL109" s="52"/>
      <c r="CM109" s="222">
        <f t="shared" si="301"/>
        <v>2843.75</v>
      </c>
      <c r="CN109" s="216"/>
      <c r="CO109" s="210"/>
      <c r="CP109" s="65">
        <f>510.5+149.54+3</f>
        <v>663.04</v>
      </c>
      <c r="CQ109" s="51"/>
      <c r="CR109" s="72">
        <v>531</v>
      </c>
      <c r="CS109" s="51"/>
      <c r="CT109" s="222">
        <f t="shared" si="294"/>
        <v>132.03999999999996</v>
      </c>
      <c r="CU109" s="223"/>
      <c r="CV109" s="210"/>
      <c r="CW109" s="65">
        <v>188.94</v>
      </c>
      <c r="CX109" s="52"/>
      <c r="CY109" s="72">
        <v>531</v>
      </c>
      <c r="CZ109" s="52"/>
      <c r="DA109" s="222">
        <f t="shared" si="302"/>
        <v>-342.06</v>
      </c>
      <c r="DB109" s="216"/>
      <c r="DC109" s="210"/>
      <c r="DD109" s="65">
        <v>320.38</v>
      </c>
      <c r="DE109" s="52"/>
      <c r="DF109" s="72">
        <v>531</v>
      </c>
      <c r="DG109" s="52"/>
      <c r="DH109" s="222">
        <f t="shared" si="303"/>
        <v>-210.62</v>
      </c>
      <c r="DI109" s="216"/>
      <c r="DJ109" s="210"/>
      <c r="DK109" s="65">
        <v>25.96</v>
      </c>
      <c r="DL109" s="52"/>
      <c r="DM109" s="72">
        <v>531</v>
      </c>
      <c r="DN109" s="52"/>
      <c r="DO109" s="222">
        <f t="shared" si="304"/>
        <v>-505.04</v>
      </c>
      <c r="DP109" s="216"/>
      <c r="DQ109" s="210"/>
      <c r="DR109" s="208">
        <f t="shared" si="305"/>
        <v>1198.3200000000002</v>
      </c>
      <c r="DS109" s="52"/>
      <c r="DT109" s="208">
        <f t="shared" si="306"/>
        <v>2124</v>
      </c>
      <c r="DU109" s="52"/>
      <c r="DV109" s="222">
        <f t="shared" si="307"/>
        <v>-925.67999999999984</v>
      </c>
      <c r="DW109" s="216"/>
      <c r="DX109" s="210"/>
      <c r="DY109" s="208">
        <f t="shared" si="310"/>
        <v>4573.07</v>
      </c>
      <c r="DZ109" s="52"/>
      <c r="EA109" s="208">
        <f t="shared" si="311"/>
        <v>5839.6153846153848</v>
      </c>
      <c r="EB109" s="33"/>
      <c r="EC109" s="212"/>
      <c r="ED109" s="212"/>
      <c r="EE109" s="210"/>
      <c r="EF109" s="210"/>
      <c r="EG109" s="210"/>
      <c r="EH109" s="210"/>
      <c r="EI109" s="210"/>
    </row>
    <row r="110" spans="1:139">
      <c r="A110" s="57" t="s">
        <v>118</v>
      </c>
      <c r="B110" s="10"/>
      <c r="C110" s="65"/>
      <c r="D110" s="33"/>
      <c r="E110" s="68"/>
      <c r="F110" s="33"/>
      <c r="G110" s="212"/>
      <c r="H110" s="212"/>
      <c r="I110" s="210"/>
      <c r="J110" s="22"/>
      <c r="K110" s="33"/>
      <c r="L110" s="72"/>
      <c r="M110" s="33"/>
      <c r="N110" s="212"/>
      <c r="O110" s="212"/>
      <c r="P110" s="210"/>
      <c r="Q110" s="65"/>
      <c r="R110" s="23"/>
      <c r="S110" s="72"/>
      <c r="T110" s="33"/>
      <c r="U110" s="212"/>
      <c r="V110" s="212"/>
      <c r="W110" s="210"/>
      <c r="X110" s="208"/>
      <c r="Y110" s="33"/>
      <c r="Z110" s="218"/>
      <c r="AA110" s="23"/>
      <c r="AB110" s="212"/>
      <c r="AC110" s="212"/>
      <c r="AD110" s="210"/>
      <c r="AE110" s="65"/>
      <c r="AF110" s="23"/>
      <c r="AG110" s="22"/>
      <c r="AH110" s="23"/>
      <c r="AI110" s="220"/>
      <c r="AJ110" s="221"/>
      <c r="AK110" s="210"/>
      <c r="AL110" s="65"/>
      <c r="AM110" s="23"/>
      <c r="AN110" s="22"/>
      <c r="AO110" s="23"/>
      <c r="AP110" s="220"/>
      <c r="AQ110" s="221"/>
      <c r="AR110" s="210"/>
      <c r="AS110" s="65"/>
      <c r="AT110" s="23"/>
      <c r="AU110" s="22"/>
      <c r="AV110" s="23"/>
      <c r="AW110" s="220"/>
      <c r="AX110" s="221"/>
      <c r="AY110" s="210"/>
      <c r="AZ110" s="208"/>
      <c r="BA110" s="23"/>
      <c r="BB110" s="218"/>
      <c r="BC110" s="23"/>
      <c r="BD110" s="220"/>
      <c r="BE110" s="212"/>
      <c r="BF110" s="210"/>
      <c r="BG110" s="65"/>
      <c r="BH110" s="23"/>
      <c r="BI110" s="65"/>
      <c r="BJ110" s="23"/>
      <c r="BK110" s="220"/>
      <c r="BL110" s="212"/>
      <c r="BM110" s="210"/>
      <c r="BN110" s="65"/>
      <c r="BO110" s="52"/>
      <c r="BP110" s="72"/>
      <c r="BQ110" s="52"/>
      <c r="BR110" s="222"/>
      <c r="BS110" s="216"/>
      <c r="BT110" s="210"/>
      <c r="BU110" s="65"/>
      <c r="BV110" s="52"/>
      <c r="BW110" s="72"/>
      <c r="BX110" s="52"/>
      <c r="BY110" s="222"/>
      <c r="BZ110" s="216"/>
      <c r="CA110" s="210"/>
      <c r="CB110" s="65"/>
      <c r="CC110" s="52"/>
      <c r="CD110" s="65"/>
      <c r="CE110" s="52"/>
      <c r="CF110" s="222"/>
      <c r="CG110" s="216"/>
      <c r="CH110" s="210"/>
      <c r="CI110" s="208"/>
      <c r="CJ110" s="52"/>
      <c r="CK110" s="208"/>
      <c r="CL110" s="52"/>
      <c r="CM110" s="222"/>
      <c r="CN110" s="216"/>
      <c r="CO110" s="210"/>
      <c r="CP110" s="65"/>
      <c r="CQ110" s="51"/>
      <c r="CR110" s="72"/>
      <c r="CS110" s="51"/>
      <c r="CT110" s="222"/>
      <c r="CU110" s="223"/>
      <c r="CV110" s="210"/>
      <c r="CW110" s="65">
        <v>1278.75</v>
      </c>
      <c r="CX110" s="52"/>
      <c r="CY110" s="72"/>
      <c r="CZ110" s="52"/>
      <c r="DA110" s="222"/>
      <c r="DB110" s="216"/>
      <c r="DC110" s="210"/>
      <c r="DD110" s="65">
        <v>0</v>
      </c>
      <c r="DE110" s="52"/>
      <c r="DF110" s="72"/>
      <c r="DG110" s="52"/>
      <c r="DH110" s="222"/>
      <c r="DI110" s="216"/>
      <c r="DJ110" s="210"/>
      <c r="DK110" s="65"/>
      <c r="DL110" s="52"/>
      <c r="DM110" s="72"/>
      <c r="DN110" s="52"/>
      <c r="DO110" s="222"/>
      <c r="DP110" s="216"/>
      <c r="DQ110" s="210"/>
      <c r="DR110" s="208">
        <f t="shared" si="305"/>
        <v>1278.75</v>
      </c>
      <c r="DS110" s="52"/>
      <c r="DT110" s="208"/>
      <c r="DU110" s="52"/>
      <c r="DV110" s="222"/>
      <c r="DW110" s="216"/>
      <c r="DX110" s="210"/>
      <c r="DY110" s="208">
        <f t="shared" si="310"/>
        <v>1278.75</v>
      </c>
      <c r="DZ110" s="52"/>
      <c r="EA110" s="208"/>
      <c r="EB110" s="33"/>
      <c r="EC110" s="212"/>
      <c r="ED110" s="212"/>
      <c r="EE110" s="210"/>
      <c r="EF110" s="210"/>
      <c r="EG110" s="210"/>
      <c r="EH110" s="210"/>
      <c r="EI110" s="210"/>
    </row>
    <row r="111" spans="1:139">
      <c r="A111" s="57" t="s">
        <v>119</v>
      </c>
      <c r="B111" s="10"/>
      <c r="C111" s="65"/>
      <c r="D111" s="33"/>
      <c r="E111" s="68">
        <v>378.51440999999994</v>
      </c>
      <c r="F111" s="33"/>
      <c r="G111" s="212"/>
      <c r="H111" s="212"/>
      <c r="I111" s="210"/>
      <c r="J111" s="22">
        <v>0</v>
      </c>
      <c r="K111" s="33"/>
      <c r="L111" s="68">
        <v>381.35692500000005</v>
      </c>
      <c r="M111" s="33"/>
      <c r="N111" s="212"/>
      <c r="O111" s="212"/>
      <c r="P111" s="210"/>
      <c r="Q111" s="65">
        <v>0</v>
      </c>
      <c r="R111" s="23"/>
      <c r="S111" s="68">
        <v>439.21732800000007</v>
      </c>
      <c r="T111" s="33"/>
      <c r="U111" s="212"/>
      <c r="V111" s="212"/>
      <c r="W111" s="210"/>
      <c r="X111" s="208">
        <f t="shared" si="295"/>
        <v>0</v>
      </c>
      <c r="Y111" s="33"/>
      <c r="Z111" s="218">
        <f t="shared" ref="Z111" si="312">E111+L111+S111</f>
        <v>1199.088663</v>
      </c>
      <c r="AA111" s="23"/>
      <c r="AB111" s="212"/>
      <c r="AC111" s="212"/>
      <c r="AD111" s="210"/>
      <c r="AE111" s="65">
        <v>0</v>
      </c>
      <c r="AF111" s="23"/>
      <c r="AG111" s="22">
        <v>472.86176999999998</v>
      </c>
      <c r="AH111" s="23"/>
      <c r="AI111" s="220">
        <f t="shared" si="296"/>
        <v>472.86176999999998</v>
      </c>
      <c r="AJ111" s="221"/>
      <c r="AK111" s="210"/>
      <c r="AL111" s="65">
        <v>0</v>
      </c>
      <c r="AM111" s="23"/>
      <c r="AN111" s="22">
        <v>474.70003500000001</v>
      </c>
      <c r="AO111" s="23"/>
      <c r="AP111" s="220"/>
      <c r="AQ111" s="221"/>
      <c r="AR111" s="210"/>
      <c r="AS111" s="65">
        <v>0</v>
      </c>
      <c r="AT111" s="23"/>
      <c r="AU111" s="22">
        <v>484.81347599999998</v>
      </c>
      <c r="AV111" s="23"/>
      <c r="AW111" s="220"/>
      <c r="AX111" s="221"/>
      <c r="AY111" s="210"/>
      <c r="AZ111" s="208">
        <f t="shared" si="297"/>
        <v>0</v>
      </c>
      <c r="BA111" s="23"/>
      <c r="BB111" s="218">
        <f t="shared" si="298"/>
        <v>1432.3752810000001</v>
      </c>
      <c r="BC111" s="23"/>
      <c r="BD111" s="220"/>
      <c r="BE111" s="212"/>
      <c r="BF111" s="210"/>
      <c r="BG111" s="65">
        <v>0</v>
      </c>
      <c r="BH111" s="23"/>
      <c r="BI111" s="65">
        <v>0</v>
      </c>
      <c r="BJ111" s="23"/>
      <c r="BK111" s="220"/>
      <c r="BL111" s="212"/>
      <c r="BM111" s="210"/>
      <c r="BN111" s="65">
        <v>0</v>
      </c>
      <c r="BO111" s="52"/>
      <c r="BP111" s="72">
        <v>0</v>
      </c>
      <c r="BQ111" s="52"/>
      <c r="BR111" s="222">
        <f t="shared" si="299"/>
        <v>0</v>
      </c>
      <c r="BS111" s="216"/>
      <c r="BT111" s="210"/>
      <c r="BU111" s="65">
        <v>0</v>
      </c>
      <c r="BV111" s="52"/>
      <c r="BW111" s="72">
        <v>0</v>
      </c>
      <c r="BX111" s="52"/>
      <c r="BY111" s="222">
        <f>BU111-BW111</f>
        <v>0</v>
      </c>
      <c r="BZ111" s="216"/>
      <c r="CA111" s="210"/>
      <c r="CB111" s="65">
        <v>542</v>
      </c>
      <c r="CC111" s="52"/>
      <c r="CD111" s="65">
        <v>178</v>
      </c>
      <c r="CE111" s="52"/>
      <c r="CF111" s="222">
        <f>CB111-CD111</f>
        <v>364</v>
      </c>
      <c r="CG111" s="216"/>
      <c r="CH111" s="210"/>
      <c r="CI111" s="208">
        <f t="shared" si="308"/>
        <v>542</v>
      </c>
      <c r="CJ111" s="52"/>
      <c r="CK111" s="208">
        <f t="shared" si="309"/>
        <v>178</v>
      </c>
      <c r="CL111" s="52"/>
      <c r="CM111" s="222">
        <f t="shared" si="301"/>
        <v>364</v>
      </c>
      <c r="CN111" s="216"/>
      <c r="CO111" s="210"/>
      <c r="CP111" s="65">
        <v>310.5</v>
      </c>
      <c r="CQ111" s="51"/>
      <c r="CR111" s="72">
        <v>356</v>
      </c>
      <c r="CS111" s="51"/>
      <c r="CT111" s="222">
        <f t="shared" si="294"/>
        <v>-45.5</v>
      </c>
      <c r="CU111" s="223"/>
      <c r="CV111" s="210"/>
      <c r="CW111" s="65">
        <v>0</v>
      </c>
      <c r="CX111" s="52"/>
      <c r="CY111" s="72">
        <v>356</v>
      </c>
      <c r="CZ111" s="52"/>
      <c r="DA111" s="222">
        <f t="shared" si="302"/>
        <v>-356</v>
      </c>
      <c r="DB111" s="216"/>
      <c r="DC111" s="210"/>
      <c r="DD111" s="65">
        <v>1074</v>
      </c>
      <c r="DE111" s="52"/>
      <c r="DF111" s="72">
        <v>407</v>
      </c>
      <c r="DG111" s="52"/>
      <c r="DH111" s="222">
        <f t="shared" si="303"/>
        <v>667</v>
      </c>
      <c r="DI111" s="216"/>
      <c r="DJ111" s="210"/>
      <c r="DK111" s="65">
        <v>573</v>
      </c>
      <c r="DL111" s="52"/>
      <c r="DM111" s="72">
        <v>407</v>
      </c>
      <c r="DN111" s="52"/>
      <c r="DO111" s="222">
        <f t="shared" si="304"/>
        <v>166</v>
      </c>
      <c r="DP111" s="216"/>
      <c r="DQ111" s="210"/>
      <c r="DR111" s="208">
        <f t="shared" si="305"/>
        <v>1957.5</v>
      </c>
      <c r="DS111" s="52"/>
      <c r="DT111" s="208">
        <f t="shared" si="306"/>
        <v>1526</v>
      </c>
      <c r="DU111" s="52"/>
      <c r="DV111" s="222">
        <f t="shared" si="307"/>
        <v>431.5</v>
      </c>
      <c r="DW111" s="216"/>
      <c r="DX111" s="210"/>
      <c r="DY111" s="208">
        <f t="shared" si="310"/>
        <v>2499.5</v>
      </c>
      <c r="DZ111" s="52"/>
      <c r="EA111" s="208">
        <f t="shared" si="311"/>
        <v>4335.4639440000001</v>
      </c>
      <c r="EB111" s="33"/>
      <c r="EC111" s="212"/>
      <c r="ED111" s="212"/>
      <c r="EE111" s="210"/>
      <c r="EF111" s="210"/>
      <c r="EG111" s="210"/>
      <c r="EH111" s="210"/>
      <c r="EI111" s="210"/>
    </row>
    <row r="112" spans="1:139" ht="17.100000000000001" thickBot="1">
      <c r="A112" s="11" t="s">
        <v>120</v>
      </c>
      <c r="B112" s="9"/>
      <c r="C112" s="69">
        <f>SUM(C106:C111)</f>
        <v>0</v>
      </c>
      <c r="D112" s="32" t="e">
        <f>C112/C12</f>
        <v>#DIV/0!</v>
      </c>
      <c r="E112" s="24">
        <f>SUM(E106:E111)</f>
        <v>5956.1424407692302</v>
      </c>
      <c r="F112" s="32">
        <f>E112/E12</f>
        <v>2.3603265545323965E-2</v>
      </c>
      <c r="G112" s="34">
        <f>E112-C112</f>
        <v>5956.1424407692302</v>
      </c>
      <c r="H112" s="31">
        <f>G112/E112</f>
        <v>1</v>
      </c>
      <c r="I112" s="210"/>
      <c r="J112" s="24">
        <f>SUM(J106:J111)</f>
        <v>2943.35</v>
      </c>
      <c r="K112" s="32">
        <f>J112/J12</f>
        <v>2.0504934044383756E-2</v>
      </c>
      <c r="L112" s="24">
        <f>SUM(L106:L111)</f>
        <v>5996.8851557692315</v>
      </c>
      <c r="M112" s="32">
        <f>L112/L12</f>
        <v>2.3587686872747482E-2</v>
      </c>
      <c r="N112" s="34">
        <f>L112-J112</f>
        <v>3053.5351557692316</v>
      </c>
      <c r="O112" s="31">
        <f>N112/L112</f>
        <v>0.50918686558998294</v>
      </c>
      <c r="P112" s="210"/>
      <c r="Q112" s="69">
        <f>SUM(Q106:Q111)</f>
        <v>4130.7</v>
      </c>
      <c r="R112" s="21">
        <f>Q112/Q12</f>
        <v>3.4028086125071973E-2</v>
      </c>
      <c r="S112" s="24">
        <f>SUM(S106:S111)</f>
        <v>6826.2175987692308</v>
      </c>
      <c r="T112" s="32">
        <f>S112/S12</f>
        <v>2.3312664927814152E-2</v>
      </c>
      <c r="U112" s="34">
        <f>S112-Q112</f>
        <v>2695.517598769231</v>
      </c>
      <c r="V112" s="31">
        <f>U112/S112</f>
        <v>0.39487718634331753</v>
      </c>
      <c r="W112" s="210"/>
      <c r="X112" s="24">
        <f>SUM(X106:X111)</f>
        <v>7074.0499999999993</v>
      </c>
      <c r="Y112" s="21">
        <f>X112/X12</f>
        <v>2.6701138093052471E-2</v>
      </c>
      <c r="Z112" s="24">
        <f>SUM(Z106:Z111)</f>
        <v>18779.245195307692</v>
      </c>
      <c r="AA112" s="32">
        <f>Z112/Z12</f>
        <v>2.3491866206472724E-2</v>
      </c>
      <c r="AB112" s="34">
        <f>Z112-X112</f>
        <v>11705.195195307693</v>
      </c>
      <c r="AC112" s="31">
        <f>AB112/Z112</f>
        <v>0.62330488119045546</v>
      </c>
      <c r="AD112" s="210"/>
      <c r="AE112" s="69">
        <f>SUM(AE106:AE111)</f>
        <v>0</v>
      </c>
      <c r="AF112" s="21" t="e">
        <f>AE112/AE12</f>
        <v>#DIV/0!</v>
      </c>
      <c r="AG112" s="24">
        <f>SUM(AG106:AG111)</f>
        <v>7308.4546007692297</v>
      </c>
      <c r="AH112" s="21">
        <f>AG112/AG12</f>
        <v>2.3183692564433457E-2</v>
      </c>
      <c r="AI112" s="71">
        <f>AG112-AE112</f>
        <v>7308.4546007692297</v>
      </c>
      <c r="AJ112" s="19">
        <f>AI112/AG112</f>
        <v>1</v>
      </c>
      <c r="AK112" s="210"/>
      <c r="AL112" s="69">
        <f>SUM(AL106:AL111)</f>
        <v>0</v>
      </c>
      <c r="AM112" s="21" t="e">
        <f>AL112/AL12</f>
        <v>#DIV/0!</v>
      </c>
      <c r="AN112" s="24">
        <f>SUM(AN106:AN111)</f>
        <v>7334.8030657692307</v>
      </c>
      <c r="AO112" s="21">
        <f>AN112/AN12</f>
        <v>2.3177172503587119E-2</v>
      </c>
      <c r="AP112" s="71">
        <f>AN112-AL112</f>
        <v>7334.8030657692307</v>
      </c>
      <c r="AQ112" s="19">
        <f>AP112/AN112</f>
        <v>1</v>
      </c>
      <c r="AR112" s="210"/>
      <c r="AS112" s="69">
        <f>SUM(AS106:AS111)</f>
        <v>0</v>
      </c>
      <c r="AT112" s="21" t="e">
        <f>AS112/AS12</f>
        <v>#DIV/0!</v>
      </c>
      <c r="AU112" s="24">
        <f>SUM(AU106:AU111)</f>
        <v>7479.7623867692309</v>
      </c>
      <c r="AV112" s="21">
        <f>AU112/AU12</f>
        <v>2.3142185882955628E-2</v>
      </c>
      <c r="AW112" s="71">
        <f>AU112-AS112</f>
        <v>7479.7623867692309</v>
      </c>
      <c r="AX112" s="19">
        <f>AW112/AU112</f>
        <v>1</v>
      </c>
      <c r="AY112" s="210"/>
      <c r="AZ112" s="69">
        <f>SUM(AZ106:AZ111)</f>
        <v>0</v>
      </c>
      <c r="BA112" s="21" t="e">
        <f>AZ112/AZ12</f>
        <v>#DIV/0!</v>
      </c>
      <c r="BB112" s="24">
        <f>SUM(BB106:BB111)</f>
        <v>22123.020053307693</v>
      </c>
      <c r="BC112" s="21">
        <f>BB112/BB12</f>
        <v>2.3167483075241323E-2</v>
      </c>
      <c r="BD112" s="71">
        <f>BB112-AZ112</f>
        <v>22123.020053307693</v>
      </c>
      <c r="BE112" s="31">
        <f>BD112/BB112</f>
        <v>1</v>
      </c>
      <c r="BF112" s="210"/>
      <c r="BG112" s="69">
        <f>SUM(BG106:BG111)</f>
        <v>0</v>
      </c>
      <c r="BH112" s="21" t="e">
        <f>BG112/BG12</f>
        <v>#DIV/0!</v>
      </c>
      <c r="BI112" s="69">
        <f>SUM(BI106:BI111)</f>
        <v>0</v>
      </c>
      <c r="BJ112" s="21" t="e">
        <f>BI112/BI12</f>
        <v>#DIV/0!</v>
      </c>
      <c r="BK112" s="71">
        <f>BI112-BG112</f>
        <v>0</v>
      </c>
      <c r="BL112" s="31" t="e">
        <f>BK112/BI112</f>
        <v>#DIV/0!</v>
      </c>
      <c r="BM112" s="210"/>
      <c r="BN112" s="69">
        <f>SUM(BN106:BN111)</f>
        <v>0</v>
      </c>
      <c r="BO112" s="38" t="e">
        <f>BN112/BN12</f>
        <v>#DIV/0!</v>
      </c>
      <c r="BP112" s="69">
        <f>SUM(BP106:BP111)</f>
        <v>0</v>
      </c>
      <c r="BQ112" s="38" t="e">
        <f>BP112/BP12</f>
        <v>#DIV/0!</v>
      </c>
      <c r="BR112" s="69">
        <f>SUM(BR106:BR111)</f>
        <v>0</v>
      </c>
      <c r="BS112" s="40" t="e">
        <f>BR112/BP112</f>
        <v>#DIV/0!</v>
      </c>
      <c r="BT112" s="210"/>
      <c r="BU112" s="69">
        <f>SUM(BU106:BU111)</f>
        <v>3069.25</v>
      </c>
      <c r="BV112" s="38">
        <f>BU112/BU12</f>
        <v>0.35939274715752739</v>
      </c>
      <c r="BW112" s="69">
        <f>SUM(BW106:BW111)</f>
        <v>0</v>
      </c>
      <c r="BX112" s="38" t="e">
        <f>BW112/BW12</f>
        <v>#DIV/0!</v>
      </c>
      <c r="BY112" s="69">
        <f>SUM(BY106:BY111)</f>
        <v>3069.25</v>
      </c>
      <c r="BZ112" s="40" t="e">
        <f>BY112/BW112</f>
        <v>#DIV/0!</v>
      </c>
      <c r="CA112" s="210"/>
      <c r="CB112" s="69">
        <f>SUM(CB106:CB111)</f>
        <v>3434.5</v>
      </c>
      <c r="CC112" s="38">
        <f>CB112/CB12</f>
        <v>4.7240121904135221E-2</v>
      </c>
      <c r="CD112" s="69">
        <f>SUM(CD106:CD111)</f>
        <v>3085</v>
      </c>
      <c r="CE112" s="38">
        <f>CD112/CD12</f>
        <v>2.5972823250096821E-2</v>
      </c>
      <c r="CF112" s="69">
        <f>SUM(CF106:CF111)</f>
        <v>349.5</v>
      </c>
      <c r="CG112" s="40">
        <f>CF112/CD112</f>
        <v>0.11329011345218801</v>
      </c>
      <c r="CH112" s="210"/>
      <c r="CI112" s="69">
        <f>SUM(CI106:CI111)</f>
        <v>6503.75</v>
      </c>
      <c r="CJ112" s="38">
        <f>CI112/CI12</f>
        <v>8.0052922628657958E-2</v>
      </c>
      <c r="CK112" s="69">
        <f>SUM(CK106:CK111)</f>
        <v>3085</v>
      </c>
      <c r="CL112" s="38">
        <f>CK112/CK12</f>
        <v>2.5972823250096821E-2</v>
      </c>
      <c r="CM112" s="69">
        <f>SUM(CM106:CM111)</f>
        <v>3418.75</v>
      </c>
      <c r="CN112" s="40">
        <f>CM112/CK112</f>
        <v>1.1081847649918963</v>
      </c>
      <c r="CO112" s="210"/>
      <c r="CP112" s="69">
        <f>SUM(CP106:CP111)</f>
        <v>5563.29</v>
      </c>
      <c r="CQ112" s="41">
        <f>CP112/CP12</f>
        <v>2.5064295148385686E-2</v>
      </c>
      <c r="CR112" s="69">
        <f>SUM(CR106:CR111)</f>
        <v>5638</v>
      </c>
      <c r="CS112" s="41">
        <f>CR112/CR12</f>
        <v>2.3733351294010677E-2</v>
      </c>
      <c r="CT112" s="69">
        <f>SUM(CT106:CT111)</f>
        <v>-74.710000000000036</v>
      </c>
      <c r="CU112" s="42">
        <f>CT112/CR112</f>
        <v>-1.325115289109614E-2</v>
      </c>
      <c r="CV112" s="210"/>
      <c r="CW112" s="69">
        <f>SUM(CW106:CW111)</f>
        <v>6446.69</v>
      </c>
      <c r="CX112" s="38">
        <f>CW112/CW12</f>
        <v>2.4731753834210404E-2</v>
      </c>
      <c r="CY112" s="69">
        <f>SUM(CY106:CY111)</f>
        <v>5638</v>
      </c>
      <c r="CZ112" s="38">
        <f>CY112/CY12</f>
        <v>2.3733351294010677E-2</v>
      </c>
      <c r="DA112" s="69">
        <f>SUM(DA106:DA111)</f>
        <v>-470.06</v>
      </c>
      <c r="DB112" s="40">
        <f>DA112/CY112</f>
        <v>-8.3373536715147217E-2</v>
      </c>
      <c r="DC112" s="210"/>
      <c r="DD112" s="69">
        <f>SUM(DD106:DD111)</f>
        <v>4493.4400000000005</v>
      </c>
      <c r="DE112" s="38">
        <f>DD112/DD12</f>
        <v>1.9749087644575496E-2</v>
      </c>
      <c r="DF112" s="69">
        <f>SUM(DF106:DF111)</f>
        <v>6367</v>
      </c>
      <c r="DG112" s="38">
        <f>DF112/DF12</f>
        <v>2.3451974466925238E-2</v>
      </c>
      <c r="DH112" s="69">
        <f>SUM(DH106:DH111)</f>
        <v>-1873.56</v>
      </c>
      <c r="DI112" s="40">
        <f>DH112/DF112</f>
        <v>-0.29426103345374588</v>
      </c>
      <c r="DJ112" s="210"/>
      <c r="DK112" s="69">
        <f>SUM(DK106:DK111)</f>
        <v>2281.71</v>
      </c>
      <c r="DL112" s="38">
        <f>DK112/DK12</f>
        <v>1.5350218162934685E-2</v>
      </c>
      <c r="DM112" s="69">
        <f>SUM(DM106:DM111)</f>
        <v>6367</v>
      </c>
      <c r="DN112" s="38">
        <f>DM112/DM12</f>
        <v>2.3451974466925238E-2</v>
      </c>
      <c r="DO112" s="69">
        <f>SUM(DO106:DO111)</f>
        <v>-4085.29</v>
      </c>
      <c r="DP112" s="40">
        <f>DO112/DM112</f>
        <v>-0.64163499293230719</v>
      </c>
      <c r="DQ112" s="210"/>
      <c r="DR112" s="69">
        <f>SUM(DR106:DR111)</f>
        <v>18785.129999999997</v>
      </c>
      <c r="DS112" s="38">
        <f>DR112/DR12</f>
        <v>2.1873818111698806E-2</v>
      </c>
      <c r="DT112" s="69">
        <f>SUM(DT106:DT111)</f>
        <v>24010</v>
      </c>
      <c r="DU112" s="38">
        <f>DT112/DT12</f>
        <v>2.3583284058250022E-2</v>
      </c>
      <c r="DV112" s="69">
        <f>SUM(DV106:DV111)</f>
        <v>-6503.6200000000008</v>
      </c>
      <c r="DW112" s="40">
        <f>DV112/DT112</f>
        <v>-0.27087130362349027</v>
      </c>
      <c r="DX112" s="210"/>
      <c r="DY112" s="69">
        <f>SUM(DY106:DY111)</f>
        <v>32362.93</v>
      </c>
      <c r="DZ112" s="38">
        <f>DY112/DY12</f>
        <v>2.6857811130713307E-2</v>
      </c>
      <c r="EA112" s="69">
        <f>SUM(EA106:EA111)</f>
        <v>67997.265248615382</v>
      </c>
      <c r="EB112" s="32">
        <f>EA112/EA12</f>
        <v>2.3518843461223505E-2</v>
      </c>
      <c r="EC112" s="34">
        <f>EA112-DY112</f>
        <v>35634.335248615382</v>
      </c>
      <c r="ED112" s="31">
        <f>EC112/EA112</f>
        <v>0.5240554177925707</v>
      </c>
      <c r="EE112" s="210"/>
      <c r="EF112" s="210"/>
      <c r="EG112" s="210"/>
      <c r="EH112" s="210"/>
      <c r="EI112" s="210"/>
    </row>
    <row r="113" spans="1:134" ht="17.100000000000001" thickTop="1">
      <c r="A113" s="12"/>
      <c r="B113" s="12"/>
      <c r="C113" s="65"/>
      <c r="D113" s="33"/>
      <c r="E113" s="22"/>
      <c r="F113" s="33"/>
      <c r="G113" s="33"/>
      <c r="H113" s="33"/>
      <c r="I113" s="210"/>
      <c r="J113" s="22"/>
      <c r="K113" s="33"/>
      <c r="L113" s="22"/>
      <c r="M113" s="33"/>
      <c r="N113" s="33"/>
      <c r="O113" s="33"/>
      <c r="P113" s="210"/>
      <c r="Q113" s="65"/>
      <c r="R113" s="23"/>
      <c r="S113" s="22"/>
      <c r="T113" s="33"/>
      <c r="U113" s="33"/>
      <c r="V113" s="33"/>
      <c r="W113" s="210"/>
      <c r="X113" s="65"/>
      <c r="Y113" s="33"/>
      <c r="Z113" s="22"/>
      <c r="AA113" s="23"/>
      <c r="AB113" s="33"/>
      <c r="AC113" s="33"/>
      <c r="AD113" s="210"/>
      <c r="AE113" s="65"/>
      <c r="AF113" s="23"/>
      <c r="AG113" s="22"/>
      <c r="AH113" s="23"/>
      <c r="AI113" s="73"/>
      <c r="AJ113" s="73"/>
      <c r="AK113" s="210"/>
      <c r="AL113" s="65"/>
      <c r="AM113" s="23"/>
      <c r="AN113" s="22"/>
      <c r="AO113" s="23"/>
      <c r="AP113" s="73"/>
      <c r="AQ113" s="73"/>
      <c r="AR113" s="210"/>
      <c r="AS113" s="65"/>
      <c r="AT113" s="23"/>
      <c r="AU113" s="22"/>
      <c r="AV113" s="23"/>
      <c r="AW113" s="73"/>
      <c r="AX113" s="73"/>
      <c r="AY113" s="210"/>
      <c r="AZ113" s="65"/>
      <c r="BA113" s="23"/>
      <c r="BB113" s="22"/>
      <c r="BC113" s="23"/>
      <c r="BD113" s="73"/>
      <c r="BE113" s="33"/>
      <c r="BF113" s="210"/>
      <c r="BG113" s="65"/>
      <c r="BH113" s="23"/>
      <c r="BI113" s="65"/>
      <c r="BJ113" s="23"/>
      <c r="BK113" s="73"/>
      <c r="BL113" s="33"/>
      <c r="BM113" s="210"/>
      <c r="BN113" s="65"/>
      <c r="BO113" s="52"/>
      <c r="BP113" s="65"/>
      <c r="BQ113" s="52"/>
      <c r="BR113" s="68"/>
      <c r="BS113" s="52"/>
      <c r="BT113" s="210"/>
      <c r="BU113" s="65"/>
      <c r="BV113" s="52"/>
      <c r="BW113" s="65"/>
      <c r="BX113" s="52"/>
      <c r="BY113" s="68"/>
      <c r="BZ113" s="81"/>
      <c r="CA113" s="210"/>
      <c r="CB113" s="65"/>
      <c r="CC113" s="52"/>
      <c r="CD113" s="65"/>
      <c r="CE113" s="52"/>
      <c r="CF113" s="68"/>
      <c r="CG113" s="81"/>
      <c r="CH113" s="210"/>
      <c r="CI113" s="65"/>
      <c r="CJ113" s="52"/>
      <c r="CK113" s="65"/>
      <c r="CL113" s="52"/>
      <c r="CM113" s="68"/>
      <c r="CN113" s="81"/>
      <c r="CO113" s="210"/>
      <c r="CP113" s="65"/>
      <c r="CQ113" s="51"/>
      <c r="CR113" s="65"/>
      <c r="CS113" s="51"/>
      <c r="CT113" s="68"/>
      <c r="CU113" s="68"/>
      <c r="CV113" s="210"/>
      <c r="CW113" s="65"/>
      <c r="CX113" s="52"/>
      <c r="CY113" s="65"/>
      <c r="CZ113" s="52"/>
      <c r="DA113" s="68"/>
      <c r="DB113" s="81"/>
      <c r="DC113" s="210"/>
      <c r="DD113" s="65"/>
      <c r="DE113" s="52"/>
      <c r="DF113" s="65"/>
      <c r="DG113" s="52"/>
      <c r="DH113" s="68"/>
      <c r="DI113" s="81"/>
      <c r="DJ113" s="210"/>
      <c r="DK113" s="65"/>
      <c r="DL113" s="52"/>
      <c r="DM113" s="65"/>
      <c r="DN113" s="52"/>
      <c r="DO113" s="68"/>
      <c r="DP113" s="81"/>
      <c r="DQ113" s="210"/>
      <c r="DR113" s="65"/>
      <c r="DS113" s="52"/>
      <c r="DT113" s="65"/>
      <c r="DU113" s="52"/>
      <c r="DV113" s="68"/>
      <c r="DW113" s="81"/>
      <c r="DX113" s="210"/>
      <c r="DY113" s="65"/>
      <c r="DZ113" s="52"/>
      <c r="EA113" s="65"/>
      <c r="EB113" s="33"/>
      <c r="EC113" s="33"/>
      <c r="ED113" s="33"/>
    </row>
    <row r="114" spans="1:134">
      <c r="A114" s="9" t="s">
        <v>121</v>
      </c>
      <c r="B114" s="9"/>
      <c r="C114" s="65"/>
      <c r="D114" s="33"/>
      <c r="E114" s="22"/>
      <c r="F114" s="33"/>
      <c r="G114" s="33"/>
      <c r="H114" s="33"/>
      <c r="I114" s="210"/>
      <c r="J114" s="22"/>
      <c r="K114" s="33"/>
      <c r="L114" s="22"/>
      <c r="M114" s="33"/>
      <c r="N114" s="33"/>
      <c r="O114" s="33"/>
      <c r="P114" s="210"/>
      <c r="Q114" s="65"/>
      <c r="R114" s="23"/>
      <c r="S114" s="22"/>
      <c r="T114" s="33"/>
      <c r="U114" s="33"/>
      <c r="V114" s="33"/>
      <c r="W114" s="210"/>
      <c r="X114" s="65"/>
      <c r="Y114" s="33"/>
      <c r="Z114" s="22"/>
      <c r="AA114" s="23"/>
      <c r="AB114" s="33"/>
      <c r="AC114" s="33"/>
      <c r="AD114" s="210"/>
      <c r="AE114" s="65"/>
      <c r="AF114" s="23"/>
      <c r="AG114" s="22"/>
      <c r="AH114" s="23"/>
      <c r="AI114" s="73"/>
      <c r="AJ114" s="73"/>
      <c r="AK114" s="210"/>
      <c r="AL114" s="65"/>
      <c r="AM114" s="23"/>
      <c r="AN114" s="22"/>
      <c r="AO114" s="23"/>
      <c r="AP114" s="73"/>
      <c r="AQ114" s="73"/>
      <c r="AR114" s="210"/>
      <c r="AS114" s="65"/>
      <c r="AT114" s="23"/>
      <c r="AU114" s="22"/>
      <c r="AV114" s="23"/>
      <c r="AW114" s="73"/>
      <c r="AX114" s="73"/>
      <c r="AY114" s="210"/>
      <c r="AZ114" s="65"/>
      <c r="BA114" s="23"/>
      <c r="BB114" s="22"/>
      <c r="BC114" s="23"/>
      <c r="BD114" s="73"/>
      <c r="BE114" s="33"/>
      <c r="BF114" s="210"/>
      <c r="BG114" s="65"/>
      <c r="BH114" s="23"/>
      <c r="BI114" s="65"/>
      <c r="BJ114" s="23"/>
      <c r="BK114" s="73"/>
      <c r="BL114" s="33"/>
      <c r="BM114" s="210"/>
      <c r="BN114" s="65"/>
      <c r="BO114" s="52"/>
      <c r="BP114" s="65"/>
      <c r="BQ114" s="52"/>
      <c r="BR114" s="68"/>
      <c r="BS114" s="52"/>
      <c r="BT114" s="210"/>
      <c r="BU114" s="65"/>
      <c r="BV114" s="52"/>
      <c r="BW114" s="65"/>
      <c r="BX114" s="52"/>
      <c r="BY114" s="68"/>
      <c r="BZ114" s="81"/>
      <c r="CA114" s="210"/>
      <c r="CB114" s="65"/>
      <c r="CC114" s="52"/>
      <c r="CD114" s="65"/>
      <c r="CE114" s="52"/>
      <c r="CF114" s="68"/>
      <c r="CG114" s="81"/>
      <c r="CH114" s="210"/>
      <c r="CI114" s="65"/>
      <c r="CJ114" s="52"/>
      <c r="CK114" s="65"/>
      <c r="CL114" s="52"/>
      <c r="CM114" s="68"/>
      <c r="CN114" s="81"/>
      <c r="CO114" s="210"/>
      <c r="CP114" s="65"/>
      <c r="CQ114" s="51"/>
      <c r="CR114" s="65"/>
      <c r="CS114" s="51"/>
      <c r="CT114" s="68"/>
      <c r="CU114" s="68"/>
      <c r="CV114" s="210"/>
      <c r="CW114" s="65"/>
      <c r="CX114" s="52"/>
      <c r="CY114" s="65"/>
      <c r="CZ114" s="52"/>
      <c r="DA114" s="68"/>
      <c r="DB114" s="81"/>
      <c r="DC114" s="210"/>
      <c r="DD114" s="65"/>
      <c r="DE114" s="52"/>
      <c r="DF114" s="65"/>
      <c r="DG114" s="52"/>
      <c r="DH114" s="68"/>
      <c r="DI114" s="81"/>
      <c r="DJ114" s="210"/>
      <c r="DK114" s="65"/>
      <c r="DL114" s="52"/>
      <c r="DM114" s="65"/>
      <c r="DN114" s="52"/>
      <c r="DO114" s="68"/>
      <c r="DP114" s="81"/>
      <c r="DQ114" s="210"/>
      <c r="DR114" s="65"/>
      <c r="DS114" s="52"/>
      <c r="DT114" s="65"/>
      <c r="DU114" s="52"/>
      <c r="DV114" s="68"/>
      <c r="DW114" s="81"/>
      <c r="DX114" s="210"/>
      <c r="DY114" s="65"/>
      <c r="DZ114" s="52"/>
      <c r="EA114" s="65"/>
      <c r="EB114" s="33"/>
      <c r="EC114" s="33"/>
      <c r="ED114" s="33"/>
    </row>
    <row r="115" spans="1:134">
      <c r="A115" s="10" t="s">
        <v>122</v>
      </c>
      <c r="B115" s="10"/>
      <c r="C115" s="68"/>
      <c r="D115" s="33"/>
      <c r="E115" s="68">
        <v>4065.1848261538462</v>
      </c>
      <c r="F115" s="33"/>
      <c r="G115" s="212">
        <f t="shared" ref="G115:G121" si="313">E115-C115</f>
        <v>4065.1848261538462</v>
      </c>
      <c r="H115" s="212"/>
      <c r="I115" s="210"/>
      <c r="J115" s="73">
        <v>3048.75</v>
      </c>
      <c r="K115" s="33"/>
      <c r="L115" s="68">
        <v>4065.1848261538462</v>
      </c>
      <c r="M115" s="33"/>
      <c r="N115" s="212">
        <f t="shared" ref="N115:N121" si="314">L115-J115</f>
        <v>1016.4348261538462</v>
      </c>
      <c r="O115" s="212"/>
      <c r="P115" s="210"/>
      <c r="Q115" s="68">
        <v>2103.36</v>
      </c>
      <c r="R115" s="23"/>
      <c r="S115" s="68">
        <v>4065.1848261538462</v>
      </c>
      <c r="T115" s="33"/>
      <c r="U115" s="212">
        <f t="shared" ref="U115:U121" si="315">S115-Q115</f>
        <v>1961.8248261538461</v>
      </c>
      <c r="V115" s="212"/>
      <c r="W115" s="210"/>
      <c r="X115" s="208">
        <f t="shared" ref="X115:X120" si="316">C115+J115+Q115</f>
        <v>5152.1100000000006</v>
      </c>
      <c r="Y115" s="33"/>
      <c r="Z115" s="218">
        <f t="shared" ref="Z115:Z120" si="317">E115+L115+S115</f>
        <v>12195.554478461538</v>
      </c>
      <c r="AA115" s="23"/>
      <c r="AB115" s="212">
        <f t="shared" ref="AB115:AB121" si="318">Z115-X115</f>
        <v>7043.4444784615371</v>
      </c>
      <c r="AC115" s="212"/>
      <c r="AD115" s="210"/>
      <c r="AE115" s="68">
        <v>1016.25</v>
      </c>
      <c r="AF115" s="23"/>
      <c r="AG115" s="73">
        <v>4065.1848261538462</v>
      </c>
      <c r="AH115" s="23"/>
      <c r="AI115" s="220">
        <f t="shared" ref="AI115:AI121" si="319">AG115-AE115</f>
        <v>3048.9348261538462</v>
      </c>
      <c r="AJ115" s="221"/>
      <c r="AK115" s="210"/>
      <c r="AL115" s="68">
        <v>1596.99</v>
      </c>
      <c r="AM115" s="23"/>
      <c r="AN115" s="73">
        <v>4065.1848261538462</v>
      </c>
      <c r="AO115" s="23"/>
      <c r="AP115" s="220">
        <f t="shared" ref="AP115:AP121" si="320">AN115-AL115</f>
        <v>2468.1948261538464</v>
      </c>
      <c r="AQ115" s="221"/>
      <c r="AR115" s="210"/>
      <c r="AS115" s="68">
        <v>1317.83</v>
      </c>
      <c r="AT115" s="23"/>
      <c r="AU115" s="73">
        <v>4065.1848261538462</v>
      </c>
      <c r="AV115" s="23"/>
      <c r="AW115" s="220">
        <f t="shared" ref="AW115:AW121" si="321">AU115-AS115</f>
        <v>2747.3548261538463</v>
      </c>
      <c r="AX115" s="221"/>
      <c r="AY115" s="210"/>
      <c r="AZ115" s="208">
        <f t="shared" ref="AZ115:AZ120" si="322">AE115+AL115+AS115</f>
        <v>3931.0699999999997</v>
      </c>
      <c r="BA115" s="23"/>
      <c r="BB115" s="218">
        <f t="shared" ref="BB115:BB120" si="323">AG115+AN115+AU115</f>
        <v>12195.554478461538</v>
      </c>
      <c r="BC115" s="23"/>
      <c r="BD115" s="220">
        <f t="shared" ref="BD115:BD121" si="324">BB115-AZ115</f>
        <v>8264.4844784615379</v>
      </c>
      <c r="BE115" s="212"/>
      <c r="BF115" s="210"/>
      <c r="BG115" s="68">
        <v>1716.32</v>
      </c>
      <c r="BH115" s="23"/>
      <c r="BI115" s="68">
        <v>1626</v>
      </c>
      <c r="BJ115" s="23"/>
      <c r="BK115" s="220">
        <f t="shared" ref="BK115:BK121" si="325">BI115-BG115</f>
        <v>-90.319999999999936</v>
      </c>
      <c r="BL115" s="212"/>
      <c r="BM115" s="210"/>
      <c r="BN115" s="68">
        <v>1961.6</v>
      </c>
      <c r="BO115" s="52"/>
      <c r="BP115" s="68">
        <v>1626</v>
      </c>
      <c r="BQ115" s="52"/>
      <c r="BR115" s="222">
        <f t="shared" ref="BR115:BR120" si="326">BN115-BP115</f>
        <v>335.59999999999991</v>
      </c>
      <c r="BS115" s="216"/>
      <c r="BT115" s="210"/>
      <c r="BU115" s="68">
        <v>1626</v>
      </c>
      <c r="BV115" s="52"/>
      <c r="BW115" s="65">
        <v>1626</v>
      </c>
      <c r="BX115" s="52"/>
      <c r="BY115" s="222">
        <f>BU115-BW115</f>
        <v>0</v>
      </c>
      <c r="BZ115" s="216"/>
      <c r="CA115" s="210"/>
      <c r="CB115" s="68">
        <v>2918.71</v>
      </c>
      <c r="CC115" s="52"/>
      <c r="CD115" s="68">
        <v>4065</v>
      </c>
      <c r="CE115" s="52"/>
      <c r="CF115" s="222">
        <f>CB115-CD115</f>
        <v>-1146.29</v>
      </c>
      <c r="CG115" s="216"/>
      <c r="CH115" s="210"/>
      <c r="CI115" s="208">
        <f t="shared" ref="CI115:CI120" si="327">BG115+BN115+BU115+CB115</f>
        <v>8222.630000000001</v>
      </c>
      <c r="CJ115" s="52"/>
      <c r="CK115" s="208">
        <f>BI115+BP115+BW115+CD115</f>
        <v>8943</v>
      </c>
      <c r="CL115" s="52"/>
      <c r="CM115" s="222">
        <f t="shared" ref="CM115:CM120" si="328">CI115-CK115</f>
        <v>-720.36999999999898</v>
      </c>
      <c r="CN115" s="216"/>
      <c r="CO115" s="210"/>
      <c r="CP115" s="68">
        <v>3709.79</v>
      </c>
      <c r="CQ115" s="51"/>
      <c r="CR115" s="68">
        <v>4065.1848261538462</v>
      </c>
      <c r="CS115" s="51"/>
      <c r="CT115" s="222">
        <f t="shared" ref="CT115:CT120" si="329">CP115-CR115</f>
        <v>-355.39482615384622</v>
      </c>
      <c r="CU115" s="223"/>
      <c r="CV115" s="210"/>
      <c r="CW115" s="68">
        <v>4025.42</v>
      </c>
      <c r="CX115" s="52"/>
      <c r="CY115" s="68">
        <v>4065.1848261538462</v>
      </c>
      <c r="CZ115" s="52"/>
      <c r="DA115" s="222">
        <f t="shared" ref="DA115:DA120" si="330">CW115-CY115</f>
        <v>-39.764826153846116</v>
      </c>
      <c r="DB115" s="216"/>
      <c r="DC115" s="210"/>
      <c r="DD115" s="68">
        <v>3991.66</v>
      </c>
      <c r="DE115" s="52"/>
      <c r="DF115" s="68">
        <v>4065.1848261538462</v>
      </c>
      <c r="DG115" s="52"/>
      <c r="DH115" s="222">
        <f t="shared" ref="DH115:DH120" si="331">DD115-DF115</f>
        <v>-73.524826153846334</v>
      </c>
      <c r="DI115" s="216"/>
      <c r="DJ115" s="210"/>
      <c r="DK115" s="68">
        <v>4209.13</v>
      </c>
      <c r="DL115" s="52"/>
      <c r="DM115" s="68">
        <v>4065.1848261538462</v>
      </c>
      <c r="DN115" s="52"/>
      <c r="DO115" s="222">
        <f t="shared" ref="DO115:DO120" si="332">DK115-DM115</f>
        <v>143.94517384615392</v>
      </c>
      <c r="DP115" s="216"/>
      <c r="DQ115" s="210"/>
      <c r="DR115" s="208">
        <f t="shared" ref="DR115:DR120" si="333">CP115+CW115+DD115+DK115</f>
        <v>15936</v>
      </c>
      <c r="DS115" s="52"/>
      <c r="DT115" s="208">
        <f t="shared" ref="DT115:DT120" si="334">CR115+CY115+DF115+DM115</f>
        <v>16260.739304615385</v>
      </c>
      <c r="DU115" s="52"/>
      <c r="DV115" s="222">
        <f t="shared" ref="DV115:DV120" si="335">DR115-DT115</f>
        <v>-324.73930461538475</v>
      </c>
      <c r="DW115" s="216"/>
      <c r="DX115" s="210"/>
      <c r="DY115" s="208">
        <f>X115+AZ115+CI115+DR115</f>
        <v>33241.81</v>
      </c>
      <c r="DZ115" s="52"/>
      <c r="EA115" s="208">
        <f>Z115+BB115+CK115+DT115</f>
        <v>49594.848261538456</v>
      </c>
      <c r="EB115" s="33"/>
      <c r="EC115" s="212">
        <f t="shared" ref="EC115:EC121" si="336">EA115-DY115</f>
        <v>16353.038261538459</v>
      </c>
      <c r="ED115" s="212"/>
    </row>
    <row r="116" spans="1:134">
      <c r="A116" s="10" t="s">
        <v>123</v>
      </c>
      <c r="B116" s="10"/>
      <c r="C116" s="68"/>
      <c r="D116" s="33"/>
      <c r="E116" s="68">
        <v>1258.4178707692308</v>
      </c>
      <c r="F116" s="33"/>
      <c r="G116" s="212">
        <f t="shared" si="313"/>
        <v>1258.4178707692308</v>
      </c>
      <c r="H116" s="212"/>
      <c r="I116" s="210"/>
      <c r="J116" s="73">
        <v>943.5</v>
      </c>
      <c r="K116" s="33"/>
      <c r="L116" s="68">
        <v>1258.4178707692308</v>
      </c>
      <c r="M116" s="33"/>
      <c r="N116" s="212">
        <f t="shared" si="314"/>
        <v>314.91787076923083</v>
      </c>
      <c r="O116" s="212"/>
      <c r="P116" s="210"/>
      <c r="Q116" s="68">
        <v>1273.05</v>
      </c>
      <c r="R116" s="23"/>
      <c r="S116" s="68">
        <v>1258.4178707692308</v>
      </c>
      <c r="T116" s="33"/>
      <c r="U116" s="212">
        <f t="shared" si="315"/>
        <v>-14.632129230769124</v>
      </c>
      <c r="V116" s="212"/>
      <c r="W116" s="210"/>
      <c r="X116" s="208">
        <f t="shared" si="316"/>
        <v>2216.5500000000002</v>
      </c>
      <c r="Y116" s="33"/>
      <c r="Z116" s="218">
        <f t="shared" si="317"/>
        <v>3775.2536123076925</v>
      </c>
      <c r="AA116" s="23"/>
      <c r="AB116" s="212">
        <f t="shared" si="318"/>
        <v>1558.7036123076923</v>
      </c>
      <c r="AC116" s="212"/>
      <c r="AD116" s="210"/>
      <c r="AE116" s="68">
        <v>314.60000000000002</v>
      </c>
      <c r="AF116" s="23"/>
      <c r="AG116" s="73">
        <v>1258.4178707692308</v>
      </c>
      <c r="AH116" s="23"/>
      <c r="AI116" s="220">
        <f t="shared" si="319"/>
        <v>943.81787076923081</v>
      </c>
      <c r="AJ116" s="221"/>
      <c r="AK116" s="210"/>
      <c r="AL116" s="68">
        <v>255.41</v>
      </c>
      <c r="AM116" s="23"/>
      <c r="AN116" s="73">
        <v>1258.4178707692308</v>
      </c>
      <c r="AO116" s="23"/>
      <c r="AP116" s="220">
        <f t="shared" si="320"/>
        <v>1003.0078707692309</v>
      </c>
      <c r="AQ116" s="221"/>
      <c r="AR116" s="210"/>
      <c r="AS116" s="68">
        <v>210.84</v>
      </c>
      <c r="AT116" s="23"/>
      <c r="AU116" s="73">
        <v>1258.4178707692308</v>
      </c>
      <c r="AV116" s="23"/>
      <c r="AW116" s="220">
        <f t="shared" si="321"/>
        <v>1047.5778707692309</v>
      </c>
      <c r="AX116" s="221"/>
      <c r="AY116" s="210"/>
      <c r="AZ116" s="208">
        <f t="shared" si="322"/>
        <v>780.85</v>
      </c>
      <c r="BA116" s="23"/>
      <c r="BB116" s="218">
        <f>AG116+AN116+AU116</f>
        <v>3775.2536123076925</v>
      </c>
      <c r="BC116" s="23"/>
      <c r="BD116" s="220"/>
      <c r="BE116" s="212"/>
      <c r="BF116" s="210"/>
      <c r="BG116" s="68">
        <v>59.15</v>
      </c>
      <c r="BH116" s="23"/>
      <c r="BI116" s="68">
        <v>504</v>
      </c>
      <c r="BJ116" s="23"/>
      <c r="BK116" s="220">
        <f t="shared" si="325"/>
        <v>444.85</v>
      </c>
      <c r="BL116" s="212"/>
      <c r="BM116" s="210"/>
      <c r="BN116" s="68">
        <v>258.92</v>
      </c>
      <c r="BO116" s="52"/>
      <c r="BP116" s="68">
        <v>504</v>
      </c>
      <c r="BQ116" s="52"/>
      <c r="BR116" s="222">
        <f t="shared" si="326"/>
        <v>-245.07999999999998</v>
      </c>
      <c r="BS116" s="216"/>
      <c r="BT116" s="210"/>
      <c r="BU116" s="68">
        <v>504</v>
      </c>
      <c r="BV116" s="52"/>
      <c r="BW116" s="65">
        <v>504</v>
      </c>
      <c r="BX116" s="52"/>
      <c r="BY116" s="222">
        <f>BU116-BW116</f>
        <v>0</v>
      </c>
      <c r="BZ116" s="216"/>
      <c r="CA116" s="210"/>
      <c r="CB116" s="68">
        <v>2978.41</v>
      </c>
      <c r="CC116" s="52"/>
      <c r="CD116" s="68">
        <v>1258</v>
      </c>
      <c r="CE116" s="52"/>
      <c r="CF116" s="222">
        <f>CB116-CD116</f>
        <v>1720.4099999999999</v>
      </c>
      <c r="CG116" s="216"/>
      <c r="CH116" s="210"/>
      <c r="CI116" s="208">
        <f t="shared" si="327"/>
        <v>3800.4799999999996</v>
      </c>
      <c r="CJ116" s="52"/>
      <c r="CK116" s="208">
        <f t="shared" ref="CK116:CK120" si="337">BI116+BP116+BW116+CD116</f>
        <v>2770</v>
      </c>
      <c r="CL116" s="52"/>
      <c r="CM116" s="222">
        <f t="shared" si="328"/>
        <v>1030.4799999999996</v>
      </c>
      <c r="CN116" s="216"/>
      <c r="CO116" s="210"/>
      <c r="CP116" s="68">
        <v>-1339.26</v>
      </c>
      <c r="CQ116" s="51"/>
      <c r="CR116" s="68">
        <v>1258.4178707692308</v>
      </c>
      <c r="CS116" s="51"/>
      <c r="CT116" s="222">
        <f t="shared" si="329"/>
        <v>-2597.677870769231</v>
      </c>
      <c r="CU116" s="223"/>
      <c r="CV116" s="210"/>
      <c r="CW116" s="68">
        <v>1373.41</v>
      </c>
      <c r="CX116" s="52"/>
      <c r="CY116" s="68">
        <v>1258.4178707692308</v>
      </c>
      <c r="CZ116" s="52"/>
      <c r="DA116" s="222">
        <f t="shared" si="330"/>
        <v>114.99212923076925</v>
      </c>
      <c r="DB116" s="216"/>
      <c r="DC116" s="210"/>
      <c r="DD116" s="68">
        <v>1689.63</v>
      </c>
      <c r="DE116" s="52"/>
      <c r="DF116" s="68">
        <v>1258.4178707692308</v>
      </c>
      <c r="DG116" s="52"/>
      <c r="DH116" s="222">
        <f t="shared" si="331"/>
        <v>431.21212923076928</v>
      </c>
      <c r="DI116" s="216"/>
      <c r="DJ116" s="210"/>
      <c r="DK116" s="68">
        <v>850.79</v>
      </c>
      <c r="DL116" s="52"/>
      <c r="DM116" s="68">
        <v>1258.4178707692308</v>
      </c>
      <c r="DN116" s="52"/>
      <c r="DO116" s="222">
        <f t="shared" si="332"/>
        <v>-407.62787076923087</v>
      </c>
      <c r="DP116" s="216"/>
      <c r="DQ116" s="210"/>
      <c r="DR116" s="208">
        <f t="shared" si="333"/>
        <v>2574.5700000000002</v>
      </c>
      <c r="DS116" s="52"/>
      <c r="DT116" s="208">
        <f t="shared" si="334"/>
        <v>5033.6714830769233</v>
      </c>
      <c r="DU116" s="52"/>
      <c r="DV116" s="222">
        <f t="shared" si="335"/>
        <v>-2459.1014830769232</v>
      </c>
      <c r="DW116" s="216"/>
      <c r="DX116" s="210"/>
      <c r="DY116" s="208">
        <f t="shared" ref="DY116:DY120" si="338">X116+AZ116+CI116+DR116</f>
        <v>9372.4499999999989</v>
      </c>
      <c r="DZ116" s="52"/>
      <c r="EA116" s="208">
        <f t="shared" ref="EA116:EA120" si="339">Z116+BB116+CK116+DT116</f>
        <v>15354.178707692308</v>
      </c>
      <c r="EB116" s="33"/>
      <c r="EC116" s="212">
        <f t="shared" si="336"/>
        <v>5981.7287076923094</v>
      </c>
      <c r="ED116" s="212"/>
    </row>
    <row r="117" spans="1:134">
      <c r="A117" s="10" t="s">
        <v>124</v>
      </c>
      <c r="B117" s="10"/>
      <c r="C117" s="68"/>
      <c r="D117" s="33"/>
      <c r="E117" s="68"/>
      <c r="F117" s="33"/>
      <c r="G117" s="212"/>
      <c r="H117" s="212"/>
      <c r="I117" s="210"/>
      <c r="J117" s="73"/>
      <c r="K117" s="33"/>
      <c r="L117" s="68"/>
      <c r="M117" s="33"/>
      <c r="N117" s="212"/>
      <c r="O117" s="212"/>
      <c r="P117" s="210"/>
      <c r="Q117" s="68"/>
      <c r="R117" s="23"/>
      <c r="S117" s="68"/>
      <c r="T117" s="33"/>
      <c r="U117" s="212"/>
      <c r="V117" s="212"/>
      <c r="W117" s="210"/>
      <c r="X117" s="208"/>
      <c r="Y117" s="33"/>
      <c r="Z117" s="218"/>
      <c r="AA117" s="23"/>
      <c r="AB117" s="212"/>
      <c r="AC117" s="212"/>
      <c r="AD117" s="210"/>
      <c r="AE117" s="68"/>
      <c r="AF117" s="23"/>
      <c r="AG117" s="73"/>
      <c r="AH117" s="23"/>
      <c r="AI117" s="220"/>
      <c r="AJ117" s="221"/>
      <c r="AK117" s="210"/>
      <c r="AL117" s="68"/>
      <c r="AM117" s="23"/>
      <c r="AN117" s="73"/>
      <c r="AO117" s="23"/>
      <c r="AP117" s="220"/>
      <c r="AQ117" s="221"/>
      <c r="AR117" s="210"/>
      <c r="AS117" s="68"/>
      <c r="AT117" s="23"/>
      <c r="AU117" s="73"/>
      <c r="AV117" s="23"/>
      <c r="AW117" s="220"/>
      <c r="AX117" s="221"/>
      <c r="AY117" s="210"/>
      <c r="AZ117" s="208"/>
      <c r="BA117" s="23"/>
      <c r="BB117" s="218"/>
      <c r="BC117" s="23"/>
      <c r="BD117" s="220"/>
      <c r="BE117" s="212"/>
      <c r="BF117" s="210"/>
      <c r="BG117" s="68"/>
      <c r="BH117" s="23"/>
      <c r="BI117" s="68"/>
      <c r="BJ117" s="23"/>
      <c r="BK117" s="220"/>
      <c r="BL117" s="212"/>
      <c r="BM117" s="210"/>
      <c r="BN117" s="68"/>
      <c r="BO117" s="52"/>
      <c r="BP117" s="68"/>
      <c r="BQ117" s="52"/>
      <c r="BR117" s="222"/>
      <c r="BS117" s="216"/>
      <c r="BT117" s="210"/>
      <c r="BU117" s="68"/>
      <c r="BV117" s="52"/>
      <c r="BW117" s="65"/>
      <c r="BX117" s="52"/>
      <c r="BY117" s="222"/>
      <c r="BZ117" s="216"/>
      <c r="CA117" s="210"/>
      <c r="CB117" s="68"/>
      <c r="CC117" s="52"/>
      <c r="CD117" s="68"/>
      <c r="CE117" s="52"/>
      <c r="CF117" s="222"/>
      <c r="CG117" s="216"/>
      <c r="CH117" s="210"/>
      <c r="CI117" s="208"/>
      <c r="CJ117" s="52"/>
      <c r="CK117" s="208"/>
      <c r="CL117" s="52"/>
      <c r="CM117" s="222"/>
      <c r="CN117" s="216"/>
      <c r="CO117" s="210"/>
      <c r="CP117" s="68"/>
      <c r="CQ117" s="51"/>
      <c r="CR117" s="68"/>
      <c r="CS117" s="51"/>
      <c r="CT117" s="222"/>
      <c r="CU117" s="223"/>
      <c r="CV117" s="210"/>
      <c r="CW117" s="68"/>
      <c r="CX117" s="52"/>
      <c r="CY117" s="68"/>
      <c r="CZ117" s="52"/>
      <c r="DA117" s="222"/>
      <c r="DB117" s="216"/>
      <c r="DC117" s="210"/>
      <c r="DD117" s="68">
        <v>50</v>
      </c>
      <c r="DE117" s="52"/>
      <c r="DF117" s="68"/>
      <c r="DG117" s="52"/>
      <c r="DH117" s="222"/>
      <c r="DI117" s="216"/>
      <c r="DJ117" s="210"/>
      <c r="DK117" s="68">
        <v>0</v>
      </c>
      <c r="DL117" s="52"/>
      <c r="DM117" s="68"/>
      <c r="DN117" s="52"/>
      <c r="DO117" s="222"/>
      <c r="DP117" s="216"/>
      <c r="DQ117" s="210"/>
      <c r="DR117" s="208">
        <f t="shared" si="333"/>
        <v>50</v>
      </c>
      <c r="DS117" s="52"/>
      <c r="DT117" s="208"/>
      <c r="DU117" s="52"/>
      <c r="DV117" s="222"/>
      <c r="DW117" s="216"/>
      <c r="DX117" s="210"/>
      <c r="DY117" s="208">
        <f t="shared" si="338"/>
        <v>50</v>
      </c>
      <c r="DZ117" s="52"/>
      <c r="EA117" s="208"/>
      <c r="EB117" s="33"/>
      <c r="EC117" s="212"/>
      <c r="ED117" s="212"/>
    </row>
    <row r="118" spans="1:134">
      <c r="A118" s="10" t="s">
        <v>125</v>
      </c>
      <c r="B118" s="10"/>
      <c r="C118" s="68"/>
      <c r="D118" s="33"/>
      <c r="E118" s="68">
        <v>491.54769230769227</v>
      </c>
      <c r="F118" s="33"/>
      <c r="G118" s="212">
        <f t="shared" si="313"/>
        <v>491.54769230769227</v>
      </c>
      <c r="H118" s="212"/>
      <c r="I118" s="210"/>
      <c r="J118" s="73">
        <v>369</v>
      </c>
      <c r="K118" s="33"/>
      <c r="L118" s="68">
        <v>491.54769230769227</v>
      </c>
      <c r="M118" s="33"/>
      <c r="N118" s="212">
        <f t="shared" si="314"/>
        <v>122.54769230769227</v>
      </c>
      <c r="O118" s="212"/>
      <c r="P118" s="210"/>
      <c r="Q118" s="68">
        <v>369</v>
      </c>
      <c r="R118" s="23"/>
      <c r="S118" s="68">
        <v>491.54769230769227</v>
      </c>
      <c r="T118" s="33"/>
      <c r="U118" s="212">
        <f t="shared" si="315"/>
        <v>122.54769230769227</v>
      </c>
      <c r="V118" s="212"/>
      <c r="W118" s="210"/>
      <c r="X118" s="208">
        <f t="shared" si="316"/>
        <v>738</v>
      </c>
      <c r="Y118" s="33"/>
      <c r="Z118" s="218">
        <f t="shared" si="317"/>
        <v>1474.6430769230769</v>
      </c>
      <c r="AA118" s="23"/>
      <c r="AB118" s="212">
        <f t="shared" si="318"/>
        <v>736.64307692307693</v>
      </c>
      <c r="AC118" s="212"/>
      <c r="AD118" s="210"/>
      <c r="AE118" s="68">
        <v>123</v>
      </c>
      <c r="AF118" s="23"/>
      <c r="AG118" s="73">
        <v>491.54769230769227</v>
      </c>
      <c r="AH118" s="23"/>
      <c r="AI118" s="220">
        <f t="shared" si="319"/>
        <v>368.54769230769227</v>
      </c>
      <c r="AJ118" s="221"/>
      <c r="AK118" s="210"/>
      <c r="AL118" s="68">
        <v>123</v>
      </c>
      <c r="AM118" s="23"/>
      <c r="AN118" s="73">
        <v>491.54769230769227</v>
      </c>
      <c r="AO118" s="23"/>
      <c r="AP118" s="220">
        <f t="shared" si="320"/>
        <v>368.54769230769227</v>
      </c>
      <c r="AQ118" s="221"/>
      <c r="AR118" s="210"/>
      <c r="AS118" s="68">
        <v>123</v>
      </c>
      <c r="AT118" s="23"/>
      <c r="AU118" s="73">
        <v>491.54769230769227</v>
      </c>
      <c r="AV118" s="23"/>
      <c r="AW118" s="220">
        <f t="shared" si="321"/>
        <v>368.54769230769227</v>
      </c>
      <c r="AX118" s="221"/>
      <c r="AY118" s="210"/>
      <c r="AZ118" s="208">
        <f t="shared" si="322"/>
        <v>369</v>
      </c>
      <c r="BA118" s="23"/>
      <c r="BB118" s="218">
        <f>AG118+AN118+AU118</f>
        <v>1474.6430769230769</v>
      </c>
      <c r="BC118" s="23"/>
      <c r="BD118" s="220"/>
      <c r="BE118" s="212"/>
      <c r="BF118" s="210"/>
      <c r="BG118" s="68">
        <v>123</v>
      </c>
      <c r="BH118" s="23"/>
      <c r="BI118" s="68">
        <v>196</v>
      </c>
      <c r="BJ118" s="23"/>
      <c r="BK118" s="220">
        <f t="shared" si="325"/>
        <v>73</v>
      </c>
      <c r="BL118" s="212"/>
      <c r="BM118" s="210"/>
      <c r="BN118" s="68">
        <v>123</v>
      </c>
      <c r="BO118" s="52"/>
      <c r="BP118" s="68">
        <v>196</v>
      </c>
      <c r="BQ118" s="52"/>
      <c r="BR118" s="222">
        <f t="shared" si="326"/>
        <v>-73</v>
      </c>
      <c r="BS118" s="216"/>
      <c r="BT118" s="210"/>
      <c r="BU118" s="68">
        <v>196</v>
      </c>
      <c r="BV118" s="52"/>
      <c r="BW118" s="65">
        <v>196</v>
      </c>
      <c r="BX118" s="52"/>
      <c r="BY118" s="222">
        <f>BU118-BW118</f>
        <v>0</v>
      </c>
      <c r="BZ118" s="216"/>
      <c r="CA118" s="210"/>
      <c r="CB118" s="68">
        <v>492</v>
      </c>
      <c r="CC118" s="52"/>
      <c r="CD118" s="68">
        <v>492</v>
      </c>
      <c r="CE118" s="52"/>
      <c r="CF118" s="222">
        <f>CB118-CD118</f>
        <v>0</v>
      </c>
      <c r="CG118" s="216"/>
      <c r="CH118" s="210"/>
      <c r="CI118" s="208">
        <f t="shared" si="327"/>
        <v>934</v>
      </c>
      <c r="CJ118" s="52"/>
      <c r="CK118" s="208">
        <f t="shared" si="337"/>
        <v>1080</v>
      </c>
      <c r="CL118" s="52"/>
      <c r="CM118" s="222">
        <f t="shared" si="328"/>
        <v>-146</v>
      </c>
      <c r="CN118" s="216"/>
      <c r="CO118" s="210"/>
      <c r="CP118" s="68">
        <v>-1549</v>
      </c>
      <c r="CQ118" s="51"/>
      <c r="CR118" s="68">
        <v>491.54769230769227</v>
      </c>
      <c r="CS118" s="51"/>
      <c r="CT118" s="222">
        <f t="shared" si="329"/>
        <v>-2040.5476923076922</v>
      </c>
      <c r="CU118" s="223"/>
      <c r="CV118" s="210"/>
      <c r="CW118" s="68">
        <v>492</v>
      </c>
      <c r="CX118" s="52"/>
      <c r="CY118" s="68">
        <v>491.54769230769227</v>
      </c>
      <c r="CZ118" s="52"/>
      <c r="DA118" s="222">
        <f t="shared" si="330"/>
        <v>0.45230769230772694</v>
      </c>
      <c r="DB118" s="216"/>
      <c r="DC118" s="210"/>
      <c r="DD118" s="68">
        <v>492</v>
      </c>
      <c r="DE118" s="52"/>
      <c r="DF118" s="68">
        <v>491.54769230769227</v>
      </c>
      <c r="DG118" s="52"/>
      <c r="DH118" s="222">
        <f t="shared" si="331"/>
        <v>0.45230769230772694</v>
      </c>
      <c r="DI118" s="216"/>
      <c r="DJ118" s="210"/>
      <c r="DK118" s="68">
        <v>492</v>
      </c>
      <c r="DL118" s="52"/>
      <c r="DM118" s="68">
        <v>491.54769230769227</v>
      </c>
      <c r="DN118" s="52"/>
      <c r="DO118" s="222">
        <f t="shared" si="332"/>
        <v>0.45230769230772694</v>
      </c>
      <c r="DP118" s="216"/>
      <c r="DQ118" s="210"/>
      <c r="DR118" s="208">
        <f t="shared" si="333"/>
        <v>-73</v>
      </c>
      <c r="DS118" s="52"/>
      <c r="DT118" s="208">
        <f t="shared" si="334"/>
        <v>1966.1907692307691</v>
      </c>
      <c r="DU118" s="52"/>
      <c r="DV118" s="222">
        <f t="shared" si="335"/>
        <v>-2039.1907692307691</v>
      </c>
      <c r="DW118" s="216"/>
      <c r="DX118" s="210"/>
      <c r="DY118" s="208">
        <f t="shared" si="338"/>
        <v>1968</v>
      </c>
      <c r="DZ118" s="52"/>
      <c r="EA118" s="208">
        <f t="shared" si="339"/>
        <v>5995.4769230769234</v>
      </c>
      <c r="EB118" s="33"/>
      <c r="EC118" s="212">
        <f t="shared" si="336"/>
        <v>4027.4769230769234</v>
      </c>
      <c r="ED118" s="212"/>
    </row>
    <row r="119" spans="1:134">
      <c r="A119" s="10" t="s">
        <v>126</v>
      </c>
      <c r="B119" s="10"/>
      <c r="C119" s="68"/>
      <c r="D119" s="33"/>
      <c r="E119" s="68">
        <v>177.83742307692307</v>
      </c>
      <c r="F119" s="33"/>
      <c r="G119" s="212">
        <f t="shared" si="313"/>
        <v>177.83742307692307</v>
      </c>
      <c r="H119" s="212"/>
      <c r="I119" s="210"/>
      <c r="J119" s="73">
        <v>133.5</v>
      </c>
      <c r="K119" s="33"/>
      <c r="L119" s="68">
        <v>177.83742307692307</v>
      </c>
      <c r="M119" s="33"/>
      <c r="N119" s="212">
        <f t="shared" si="314"/>
        <v>44.337423076923073</v>
      </c>
      <c r="O119" s="212"/>
      <c r="P119" s="210"/>
      <c r="Q119" s="68">
        <v>133.5</v>
      </c>
      <c r="R119" s="23"/>
      <c r="S119" s="68">
        <v>177.83742307692307</v>
      </c>
      <c r="T119" s="33"/>
      <c r="U119" s="212">
        <f t="shared" si="315"/>
        <v>44.337423076923073</v>
      </c>
      <c r="V119" s="212"/>
      <c r="W119" s="210"/>
      <c r="X119" s="208">
        <f t="shared" si="316"/>
        <v>267</v>
      </c>
      <c r="Y119" s="33"/>
      <c r="Z119" s="218">
        <f t="shared" si="317"/>
        <v>533.51226923076922</v>
      </c>
      <c r="AA119" s="23"/>
      <c r="AB119" s="212">
        <f t="shared" si="318"/>
        <v>266.51226923076922</v>
      </c>
      <c r="AC119" s="212"/>
      <c r="AD119" s="210"/>
      <c r="AE119" s="68">
        <v>44.5</v>
      </c>
      <c r="AF119" s="23"/>
      <c r="AG119" s="73">
        <v>177.83742307692307</v>
      </c>
      <c r="AH119" s="23"/>
      <c r="AI119" s="220">
        <f t="shared" si="319"/>
        <v>133.33742307692307</v>
      </c>
      <c r="AJ119" s="221"/>
      <c r="AK119" s="210"/>
      <c r="AL119" s="68">
        <v>44.5</v>
      </c>
      <c r="AM119" s="23"/>
      <c r="AN119" s="73">
        <v>177.83742307692307</v>
      </c>
      <c r="AO119" s="23"/>
      <c r="AP119" s="220">
        <f t="shared" si="320"/>
        <v>133.33742307692307</v>
      </c>
      <c r="AQ119" s="221"/>
      <c r="AR119" s="210"/>
      <c r="AS119" s="68">
        <v>44.5</v>
      </c>
      <c r="AT119" s="23"/>
      <c r="AU119" s="73">
        <v>177.83742307692307</v>
      </c>
      <c r="AV119" s="23"/>
      <c r="AW119" s="220">
        <f t="shared" si="321"/>
        <v>133.33742307692307</v>
      </c>
      <c r="AX119" s="221"/>
      <c r="AY119" s="210"/>
      <c r="AZ119" s="208">
        <f t="shared" si="322"/>
        <v>133.5</v>
      </c>
      <c r="BA119" s="23"/>
      <c r="BB119" s="218">
        <f t="shared" si="323"/>
        <v>533.51226923076922</v>
      </c>
      <c r="BC119" s="23"/>
      <c r="BD119" s="220">
        <f t="shared" si="324"/>
        <v>400.01226923076922</v>
      </c>
      <c r="BE119" s="212"/>
      <c r="BF119" s="210"/>
      <c r="BG119" s="68">
        <v>44.5</v>
      </c>
      <c r="BH119" s="23"/>
      <c r="BI119" s="68">
        <v>72</v>
      </c>
      <c r="BJ119" s="23"/>
      <c r="BK119" s="220">
        <f t="shared" si="325"/>
        <v>27.5</v>
      </c>
      <c r="BL119" s="212"/>
      <c r="BM119" s="210"/>
      <c r="BN119" s="68">
        <v>45</v>
      </c>
      <c r="BO119" s="52"/>
      <c r="BP119" s="68">
        <v>72</v>
      </c>
      <c r="BQ119" s="52"/>
      <c r="BR119" s="222">
        <f t="shared" si="326"/>
        <v>-27</v>
      </c>
      <c r="BS119" s="216"/>
      <c r="BT119" s="210"/>
      <c r="BU119" s="68">
        <v>72</v>
      </c>
      <c r="BV119" s="52"/>
      <c r="BW119" s="65">
        <v>72</v>
      </c>
      <c r="BX119" s="52"/>
      <c r="BY119" s="222">
        <f>BU119-BW119</f>
        <v>0</v>
      </c>
      <c r="BZ119" s="216"/>
      <c r="CA119" s="210"/>
      <c r="CB119" s="68">
        <v>178</v>
      </c>
      <c r="CC119" s="52"/>
      <c r="CD119" s="68">
        <v>178</v>
      </c>
      <c r="CE119" s="52"/>
      <c r="CF119" s="222">
        <f>CB119-CD119</f>
        <v>0</v>
      </c>
      <c r="CG119" s="216"/>
      <c r="CH119" s="210"/>
      <c r="CI119" s="208">
        <f t="shared" si="327"/>
        <v>339.5</v>
      </c>
      <c r="CJ119" s="52"/>
      <c r="CK119" s="208">
        <f t="shared" si="337"/>
        <v>394</v>
      </c>
      <c r="CL119" s="52"/>
      <c r="CM119" s="222">
        <f t="shared" si="328"/>
        <v>-54.5</v>
      </c>
      <c r="CN119" s="216"/>
      <c r="CO119" s="210"/>
      <c r="CP119" s="68">
        <v>-561.5</v>
      </c>
      <c r="CQ119" s="51"/>
      <c r="CR119" s="68">
        <v>177.83742307692307</v>
      </c>
      <c r="CS119" s="51"/>
      <c r="CT119" s="222">
        <f t="shared" si="329"/>
        <v>-739.33742307692307</v>
      </c>
      <c r="CU119" s="223"/>
      <c r="CV119" s="210"/>
      <c r="CW119" s="68">
        <v>178</v>
      </c>
      <c r="CX119" s="52"/>
      <c r="CY119" s="68">
        <v>177.83742307692307</v>
      </c>
      <c r="CZ119" s="52"/>
      <c r="DA119" s="222">
        <f t="shared" si="330"/>
        <v>0.16257692307692651</v>
      </c>
      <c r="DB119" s="216"/>
      <c r="DC119" s="210"/>
      <c r="DD119" s="68">
        <v>178</v>
      </c>
      <c r="DE119" s="52"/>
      <c r="DF119" s="68">
        <v>177.83742307692307</v>
      </c>
      <c r="DG119" s="52"/>
      <c r="DH119" s="222">
        <f t="shared" si="331"/>
        <v>0.16257692307692651</v>
      </c>
      <c r="DI119" s="216"/>
      <c r="DJ119" s="210"/>
      <c r="DK119" s="68">
        <v>178</v>
      </c>
      <c r="DL119" s="52"/>
      <c r="DM119" s="68">
        <v>177.83742307692307</v>
      </c>
      <c r="DN119" s="52"/>
      <c r="DO119" s="222">
        <f t="shared" si="332"/>
        <v>0.16257692307692651</v>
      </c>
      <c r="DP119" s="216"/>
      <c r="DQ119" s="210"/>
      <c r="DR119" s="208">
        <f t="shared" si="333"/>
        <v>-27.5</v>
      </c>
      <c r="DS119" s="52"/>
      <c r="DT119" s="208">
        <f t="shared" si="334"/>
        <v>711.34969230769229</v>
      </c>
      <c r="DU119" s="52"/>
      <c r="DV119" s="222">
        <f t="shared" si="335"/>
        <v>-738.84969230769229</v>
      </c>
      <c r="DW119" s="216"/>
      <c r="DX119" s="210"/>
      <c r="DY119" s="208">
        <f t="shared" si="338"/>
        <v>712.5</v>
      </c>
      <c r="DZ119" s="52"/>
      <c r="EA119" s="208">
        <f t="shared" si="339"/>
        <v>2172.374230769231</v>
      </c>
      <c r="EB119" s="33"/>
      <c r="EC119" s="212">
        <f t="shared" si="336"/>
        <v>1459.874230769231</v>
      </c>
      <c r="ED119" s="212"/>
    </row>
    <row r="120" spans="1:134">
      <c r="A120" s="10" t="s">
        <v>127</v>
      </c>
      <c r="B120" s="10"/>
      <c r="C120" s="68"/>
      <c r="D120" s="33"/>
      <c r="E120" s="68">
        <v>0</v>
      </c>
      <c r="F120" s="33"/>
      <c r="G120" s="212">
        <f t="shared" si="313"/>
        <v>0</v>
      </c>
      <c r="H120" s="212"/>
      <c r="I120" s="210"/>
      <c r="J120" s="73">
        <v>185.5</v>
      </c>
      <c r="K120" s="33"/>
      <c r="L120" s="68">
        <v>0</v>
      </c>
      <c r="M120" s="33"/>
      <c r="N120" s="212">
        <f t="shared" si="314"/>
        <v>-185.5</v>
      </c>
      <c r="O120" s="212"/>
      <c r="P120" s="210"/>
      <c r="Q120" s="68">
        <v>371</v>
      </c>
      <c r="R120" s="23"/>
      <c r="S120" s="68">
        <v>0</v>
      </c>
      <c r="T120" s="33"/>
      <c r="U120" s="212">
        <f t="shared" si="315"/>
        <v>-371</v>
      </c>
      <c r="V120" s="212"/>
      <c r="W120" s="210"/>
      <c r="X120" s="208">
        <f t="shared" si="316"/>
        <v>556.5</v>
      </c>
      <c r="Y120" s="33"/>
      <c r="Z120" s="218">
        <f t="shared" si="317"/>
        <v>0</v>
      </c>
      <c r="AA120" s="23"/>
      <c r="AB120" s="212">
        <f t="shared" si="318"/>
        <v>-556.5</v>
      </c>
      <c r="AC120" s="212"/>
      <c r="AD120" s="210"/>
      <c r="AE120" s="68">
        <v>0</v>
      </c>
      <c r="AF120" s="23"/>
      <c r="AG120" s="73">
        <v>0</v>
      </c>
      <c r="AH120" s="23"/>
      <c r="AI120" s="220">
        <f t="shared" si="319"/>
        <v>0</v>
      </c>
      <c r="AJ120" s="221"/>
      <c r="AK120" s="210"/>
      <c r="AL120" s="68">
        <v>-396.59</v>
      </c>
      <c r="AM120" s="23"/>
      <c r="AN120" s="73">
        <v>0</v>
      </c>
      <c r="AO120" s="23"/>
      <c r="AP120" s="220">
        <f t="shared" si="320"/>
        <v>396.59</v>
      </c>
      <c r="AQ120" s="221"/>
      <c r="AR120" s="210"/>
      <c r="AS120" s="68">
        <v>0</v>
      </c>
      <c r="AT120" s="23"/>
      <c r="AU120" s="73">
        <v>0</v>
      </c>
      <c r="AV120" s="23"/>
      <c r="AW120" s="220">
        <f t="shared" si="321"/>
        <v>0</v>
      </c>
      <c r="AX120" s="221"/>
      <c r="AY120" s="210"/>
      <c r="AZ120" s="208">
        <f t="shared" si="322"/>
        <v>-396.59</v>
      </c>
      <c r="BA120" s="23"/>
      <c r="BB120" s="218">
        <f t="shared" si="323"/>
        <v>0</v>
      </c>
      <c r="BC120" s="23"/>
      <c r="BD120" s="220">
        <f t="shared" si="324"/>
        <v>396.59</v>
      </c>
      <c r="BE120" s="212"/>
      <c r="BF120" s="210"/>
      <c r="BG120" s="68">
        <v>0</v>
      </c>
      <c r="BH120" s="23"/>
      <c r="BI120" s="68">
        <v>0</v>
      </c>
      <c r="BJ120" s="23"/>
      <c r="BK120" s="220">
        <f t="shared" si="325"/>
        <v>0</v>
      </c>
      <c r="BL120" s="212"/>
      <c r="BM120" s="210"/>
      <c r="BN120" s="68">
        <v>185.5</v>
      </c>
      <c r="BO120" s="52"/>
      <c r="BP120" s="68">
        <v>0</v>
      </c>
      <c r="BQ120" s="52"/>
      <c r="BR120" s="222">
        <f t="shared" si="326"/>
        <v>185.5</v>
      </c>
      <c r="BS120" s="216"/>
      <c r="BT120" s="210"/>
      <c r="BU120" s="68">
        <v>0</v>
      </c>
      <c r="BV120" s="52"/>
      <c r="BW120" s="68">
        <v>0</v>
      </c>
      <c r="BX120" s="52"/>
      <c r="BY120" s="222">
        <f>BU120-BW120</f>
        <v>0</v>
      </c>
      <c r="BZ120" s="216"/>
      <c r="CA120" s="210"/>
      <c r="CB120" s="68">
        <v>0</v>
      </c>
      <c r="CC120" s="52"/>
      <c r="CD120" s="68">
        <v>0</v>
      </c>
      <c r="CE120" s="52"/>
      <c r="CF120" s="222">
        <f>CB120-CD120</f>
        <v>0</v>
      </c>
      <c r="CG120" s="216"/>
      <c r="CH120" s="210"/>
      <c r="CI120" s="208">
        <f t="shared" si="327"/>
        <v>185.5</v>
      </c>
      <c r="CJ120" s="52"/>
      <c r="CK120" s="208">
        <f t="shared" si="337"/>
        <v>0</v>
      </c>
      <c r="CL120" s="52"/>
      <c r="CM120" s="222">
        <f t="shared" si="328"/>
        <v>185.5</v>
      </c>
      <c r="CN120" s="216"/>
      <c r="CO120" s="210"/>
      <c r="CP120" s="68">
        <v>0</v>
      </c>
      <c r="CQ120" s="51"/>
      <c r="CR120" s="68">
        <v>0</v>
      </c>
      <c r="CS120" s="51"/>
      <c r="CT120" s="222">
        <f t="shared" si="329"/>
        <v>0</v>
      </c>
      <c r="CU120" s="223"/>
      <c r="CV120" s="210"/>
      <c r="CW120" s="68">
        <v>185.5</v>
      </c>
      <c r="CX120" s="52"/>
      <c r="CY120" s="68">
        <v>0</v>
      </c>
      <c r="CZ120" s="52"/>
      <c r="DA120" s="222">
        <f t="shared" si="330"/>
        <v>185.5</v>
      </c>
      <c r="DB120" s="216"/>
      <c r="DC120" s="210"/>
      <c r="DD120" s="68">
        <v>0</v>
      </c>
      <c r="DE120" s="52"/>
      <c r="DF120" s="68">
        <v>0</v>
      </c>
      <c r="DG120" s="52"/>
      <c r="DH120" s="222">
        <f t="shared" si="331"/>
        <v>0</v>
      </c>
      <c r="DI120" s="216"/>
      <c r="DJ120" s="210"/>
      <c r="DK120" s="68">
        <v>185.5</v>
      </c>
      <c r="DL120" s="52"/>
      <c r="DM120" s="68">
        <v>0</v>
      </c>
      <c r="DN120" s="52"/>
      <c r="DO120" s="222">
        <f t="shared" si="332"/>
        <v>185.5</v>
      </c>
      <c r="DP120" s="216"/>
      <c r="DQ120" s="210"/>
      <c r="DR120" s="208">
        <f t="shared" si="333"/>
        <v>371</v>
      </c>
      <c r="DS120" s="52"/>
      <c r="DT120" s="208">
        <f t="shared" si="334"/>
        <v>0</v>
      </c>
      <c r="DU120" s="52"/>
      <c r="DV120" s="222">
        <f t="shared" si="335"/>
        <v>371</v>
      </c>
      <c r="DW120" s="216"/>
      <c r="DX120" s="210"/>
      <c r="DY120" s="208">
        <f t="shared" si="338"/>
        <v>716.41000000000008</v>
      </c>
      <c r="DZ120" s="52"/>
      <c r="EA120" s="208">
        <f t="shared" si="339"/>
        <v>0</v>
      </c>
      <c r="EB120" s="33"/>
      <c r="EC120" s="212">
        <f t="shared" si="336"/>
        <v>-716.41000000000008</v>
      </c>
      <c r="ED120" s="212"/>
    </row>
    <row r="121" spans="1:134" ht="17.100000000000001" thickBot="1">
      <c r="A121" s="11" t="s">
        <v>128</v>
      </c>
      <c r="B121" s="9"/>
      <c r="C121" s="69">
        <f>SUM(C115:C120)</f>
        <v>0</v>
      </c>
      <c r="D121" s="32" t="e">
        <f>C121/C12</f>
        <v>#DIV/0!</v>
      </c>
      <c r="E121" s="24">
        <f>SUM(E115:E120)</f>
        <v>5992.9878123076924</v>
      </c>
      <c r="F121" s="32">
        <f>E121/E12</f>
        <v>2.3749278018529042E-2</v>
      </c>
      <c r="G121" s="34">
        <f t="shared" si="313"/>
        <v>5992.9878123076924</v>
      </c>
      <c r="H121" s="31">
        <f>G121/E121</f>
        <v>1</v>
      </c>
      <c r="I121" s="210"/>
      <c r="J121" s="24">
        <f>SUM(J115:J120)</f>
        <v>4680.25</v>
      </c>
      <c r="K121" s="32">
        <f>J121/J12</f>
        <v>3.2605098802801935E-2</v>
      </c>
      <c r="L121" s="24">
        <f>SUM(L115:L120)</f>
        <v>5992.9878123076924</v>
      </c>
      <c r="M121" s="32">
        <f>L121/L12</f>
        <v>2.3572357361706587E-2</v>
      </c>
      <c r="N121" s="34">
        <f t="shared" si="314"/>
        <v>1312.7378123076924</v>
      </c>
      <c r="O121" s="31">
        <f>N121/L121</f>
        <v>0.21904563356724105</v>
      </c>
      <c r="P121" s="210"/>
      <c r="Q121" s="69">
        <f>SUM(Q115:Q120)</f>
        <v>4249.91</v>
      </c>
      <c r="R121" s="21">
        <f>Q121/Q12</f>
        <v>3.5010120198466277E-2</v>
      </c>
      <c r="S121" s="24">
        <f>SUM(S115:S120)</f>
        <v>5992.9878123076924</v>
      </c>
      <c r="T121" s="32">
        <f>S121/S12</f>
        <v>2.0467047052527804E-2</v>
      </c>
      <c r="U121" s="34">
        <f t="shared" si="315"/>
        <v>1743.0778123076925</v>
      </c>
      <c r="V121" s="31">
        <f>U121/S121</f>
        <v>0.29085288789140612</v>
      </c>
      <c r="W121" s="210"/>
      <c r="X121" s="24">
        <f>SUM(X115:X120)</f>
        <v>8930.16</v>
      </c>
      <c r="Y121" s="21">
        <f>X121/X12</f>
        <v>3.3707061068702297E-2</v>
      </c>
      <c r="Z121" s="24">
        <f>SUM(Z115:Z120)</f>
        <v>17978.963436923077</v>
      </c>
      <c r="AA121" s="32">
        <f>Z121/Z12</f>
        <v>2.2490755043594379E-2</v>
      </c>
      <c r="AB121" s="34">
        <f t="shared" si="318"/>
        <v>9048.8034369230772</v>
      </c>
      <c r="AC121" s="31">
        <f>AB121/Z121</f>
        <v>0.50329950715288241</v>
      </c>
      <c r="AD121" s="210"/>
      <c r="AE121" s="69">
        <f>SUM(AE115:AE120)</f>
        <v>1498.35</v>
      </c>
      <c r="AF121" s="21" t="e">
        <f>AE121/AE12</f>
        <v>#DIV/0!</v>
      </c>
      <c r="AG121" s="24">
        <f>SUM(AG115:AG120)</f>
        <v>5992.9878123076924</v>
      </c>
      <c r="AH121" s="21">
        <f>AG121/AG12</f>
        <v>1.9010802498289379E-2</v>
      </c>
      <c r="AI121" s="71">
        <f t="shared" si="319"/>
        <v>4494.637812307692</v>
      </c>
      <c r="AJ121" s="19">
        <f>AI121/AG121</f>
        <v>0.74998280541754725</v>
      </c>
      <c r="AK121" s="210"/>
      <c r="AL121" s="69">
        <f>SUM(AL115:AL120)</f>
        <v>1623.3100000000002</v>
      </c>
      <c r="AM121" s="21" t="e">
        <f>AL121/AL12</f>
        <v>#DIV/0!</v>
      </c>
      <c r="AN121" s="24">
        <f>SUM(AN115:AN120)</f>
        <v>5992.9878123076924</v>
      </c>
      <c r="AO121" s="21">
        <f>AN121/AN12</f>
        <v>1.8937183601559111E-2</v>
      </c>
      <c r="AP121" s="71">
        <f t="shared" si="320"/>
        <v>4369.677812307692</v>
      </c>
      <c r="AQ121" s="19">
        <f>AP121/AN121</f>
        <v>0.72913177018878006</v>
      </c>
      <c r="AR121" s="210"/>
      <c r="AS121" s="69">
        <f>SUM(AS115:AS120)</f>
        <v>1696.1699999999998</v>
      </c>
      <c r="AT121" s="21" t="e">
        <f>AS121/AS12</f>
        <v>#DIV/0!</v>
      </c>
      <c r="AU121" s="24">
        <f>SUM(AU115:AU120)</f>
        <v>5992.9878123076924</v>
      </c>
      <c r="AV121" s="21">
        <f>AU121/AU12</f>
        <v>1.8542144893805589E-2</v>
      </c>
      <c r="AW121" s="71">
        <f t="shared" si="321"/>
        <v>4296.8178123076923</v>
      </c>
      <c r="AX121" s="19">
        <f>AW121/AU121</f>
        <v>0.71697422836125146</v>
      </c>
      <c r="AY121" s="210"/>
      <c r="AZ121" s="69">
        <f>SUM(AZ115:AZ120)</f>
        <v>4817.83</v>
      </c>
      <c r="BA121" s="21" t="e">
        <f>AZ121/AZ12</f>
        <v>#DIV/0!</v>
      </c>
      <c r="BB121" s="24">
        <f>SUM(BB115:BB120)</f>
        <v>17978.963436923077</v>
      </c>
      <c r="BC121" s="21">
        <f>BB121/BB12</f>
        <v>1.8827778943906956E-2</v>
      </c>
      <c r="BD121" s="71">
        <f t="shared" si="324"/>
        <v>13161.133436923077</v>
      </c>
      <c r="BE121" s="31">
        <f>BD121/BB121</f>
        <v>0.73202960132252626</v>
      </c>
      <c r="BF121" s="210"/>
      <c r="BG121" s="69">
        <f>SUM(BG115:BG120)</f>
        <v>1942.97</v>
      </c>
      <c r="BH121" s="21" t="e">
        <f>BG121/BG12</f>
        <v>#DIV/0!</v>
      </c>
      <c r="BI121" s="69">
        <f>SUM(BI115:BI120)</f>
        <v>2398</v>
      </c>
      <c r="BJ121" s="21" t="e">
        <f>BI121/BI12</f>
        <v>#DIV/0!</v>
      </c>
      <c r="BK121" s="71">
        <f t="shared" si="325"/>
        <v>455.03</v>
      </c>
      <c r="BL121" s="31">
        <f>BK121/BI121</f>
        <v>0.18975396163469557</v>
      </c>
      <c r="BM121" s="210"/>
      <c r="BN121" s="69">
        <f>SUM(BN115:BN120)</f>
        <v>2574.02</v>
      </c>
      <c r="BO121" s="38" t="e">
        <f>BN121/BN12</f>
        <v>#DIV/0!</v>
      </c>
      <c r="BP121" s="69">
        <f>SUM(BP115:BP120)</f>
        <v>2398</v>
      </c>
      <c r="BQ121" s="38" t="e">
        <f>BP121/BP12</f>
        <v>#DIV/0!</v>
      </c>
      <c r="BR121" s="69">
        <f>SUM(BR115:BR120)</f>
        <v>176.01999999999992</v>
      </c>
      <c r="BS121" s="40">
        <f>BR121/BP121</f>
        <v>7.3402835696413649E-2</v>
      </c>
      <c r="BT121" s="210"/>
      <c r="BU121" s="69">
        <f>SUM(BU115:BU120)</f>
        <v>2398</v>
      </c>
      <c r="BV121" s="38">
        <f>BU121/BU12</f>
        <v>0.28079296495357198</v>
      </c>
      <c r="BW121" s="69">
        <f>SUM(BW115:BW120)</f>
        <v>2398</v>
      </c>
      <c r="BX121" s="38" t="e">
        <f>BW121/BW12</f>
        <v>#DIV/0!</v>
      </c>
      <c r="BY121" s="69">
        <f>SUM(BY115:BY120)</f>
        <v>0</v>
      </c>
      <c r="BZ121" s="40">
        <f>BY121/BW121</f>
        <v>0</v>
      </c>
      <c r="CA121" s="210"/>
      <c r="CB121" s="69">
        <f>SUM(CB115:CB120)</f>
        <v>6567.12</v>
      </c>
      <c r="CC121" s="38">
        <f>CB121/CB12</f>
        <v>9.0328009712937682E-2</v>
      </c>
      <c r="CD121" s="69">
        <f>SUM(CD115:CD120)</f>
        <v>5993</v>
      </c>
      <c r="CE121" s="38">
        <f>CD121/CD12</f>
        <v>5.0455471551970901E-2</v>
      </c>
      <c r="CF121" s="69">
        <f>SUM(CF115:CF120)</f>
        <v>574.11999999999989</v>
      </c>
      <c r="CG121" s="40">
        <f>CF121/CD121</f>
        <v>9.5798431503420642E-2</v>
      </c>
      <c r="CH121" s="210"/>
      <c r="CI121" s="69">
        <f>SUM(CI115:CI120)</f>
        <v>13482.11</v>
      </c>
      <c r="CJ121" s="38">
        <f>CI121/CI12</f>
        <v>0.16594769305416962</v>
      </c>
      <c r="CK121" s="69">
        <f>SUM(CK115:CK120)</f>
        <v>13187</v>
      </c>
      <c r="CL121" s="38">
        <f>CK121/CK12</f>
        <v>0.11102224317634579</v>
      </c>
      <c r="CM121" s="69">
        <f>SUM(CM115:CM120)</f>
        <v>295.11000000000058</v>
      </c>
      <c r="CN121" s="40">
        <f>CM121/CK121</f>
        <v>2.2378857966178858E-2</v>
      </c>
      <c r="CO121" s="210"/>
      <c r="CP121" s="69">
        <f>SUM(CP115:CP120)</f>
        <v>260.02999999999975</v>
      </c>
      <c r="CQ121" s="41">
        <f>CP121/CP12</f>
        <v>1.1715133792117116E-3</v>
      </c>
      <c r="CR121" s="69">
        <f>SUM(CR115:CR120)</f>
        <v>5992.9878123076924</v>
      </c>
      <c r="CS121" s="41">
        <f>CR121/CR12</f>
        <v>2.5227684471483325E-2</v>
      </c>
      <c r="CT121" s="69">
        <f>SUM(CT115:CT120)</f>
        <v>-5732.9578123076926</v>
      </c>
      <c r="CU121" s="42">
        <f>CT121/CR121</f>
        <v>-0.9566109579822637</v>
      </c>
      <c r="CV121" s="210"/>
      <c r="CW121" s="69">
        <f>SUM(CW115:CW120)</f>
        <v>6254.33</v>
      </c>
      <c r="CX121" s="38">
        <f>CW121/CW12</f>
        <v>2.3993793707765873E-2</v>
      </c>
      <c r="CY121" s="69">
        <f>SUM(CY115:CY120)</f>
        <v>5992.9878123076924</v>
      </c>
      <c r="CZ121" s="38">
        <f>CY121/CY12</f>
        <v>2.5227684471483325E-2</v>
      </c>
      <c r="DA121" s="69">
        <f>SUM(DA115:DA120)</f>
        <v>261.34218769230779</v>
      </c>
      <c r="DB121" s="40">
        <f>DA121/CY121</f>
        <v>4.3607995857357494E-2</v>
      </c>
      <c r="DC121" s="210"/>
      <c r="DD121" s="69">
        <f>SUM(DD115:DD120)</f>
        <v>6401.29</v>
      </c>
      <c r="DE121" s="38">
        <f>DD121/DD12</f>
        <v>2.8134266229958484E-2</v>
      </c>
      <c r="DF121" s="69">
        <f>SUM(DF115:DF120)</f>
        <v>5992.9878123076924</v>
      </c>
      <c r="DG121" s="38">
        <f>DF121/DF12</f>
        <v>2.2074351681299537E-2</v>
      </c>
      <c r="DH121" s="69">
        <f>SUM(DH115:DH120)</f>
        <v>358.3021876923076</v>
      </c>
      <c r="DI121" s="40">
        <f>DH121/DF121</f>
        <v>5.9786904114249785E-2</v>
      </c>
      <c r="DJ121" s="210"/>
      <c r="DK121" s="69">
        <f>SUM(DK115:DK120)</f>
        <v>5915.42</v>
      </c>
      <c r="DL121" s="38">
        <f>DK121/DK12</f>
        <v>3.9796024703133655E-2</v>
      </c>
      <c r="DM121" s="69">
        <f>SUM(DM115:DM120)</f>
        <v>5992.9878123076924</v>
      </c>
      <c r="DN121" s="38">
        <f>DM121/DM12</f>
        <v>2.2074351681299537E-2</v>
      </c>
      <c r="DO121" s="69">
        <f>SUM(DO115:DO120)</f>
        <v>-77.567812307692293</v>
      </c>
      <c r="DP121" s="40">
        <f>DO121/DM121</f>
        <v>-1.294309528686053E-2</v>
      </c>
      <c r="DQ121" s="210"/>
      <c r="DR121" s="69">
        <f>SUM(DR115:DR120)</f>
        <v>18831.07</v>
      </c>
      <c r="DS121" s="38">
        <f>DR121/DR12</f>
        <v>2.1927311657074934E-2</v>
      </c>
      <c r="DT121" s="69">
        <f>SUM(DT115:DT120)</f>
        <v>23971.951249230769</v>
      </c>
      <c r="DU121" s="38">
        <f>DT121/DT12</f>
        <v>2.3545911526077917E-2</v>
      </c>
      <c r="DV121" s="69">
        <f>SUM(DV115:DV120)</f>
        <v>-5190.8812492307698</v>
      </c>
      <c r="DW121" s="40">
        <f>DV121/DT121</f>
        <v>-0.21653978832437926</v>
      </c>
      <c r="DX121" s="210"/>
      <c r="DY121" s="69">
        <f>SUM(DY115:DY120)</f>
        <v>46061.17</v>
      </c>
      <c r="DZ121" s="38">
        <f>DY121/DY12</f>
        <v>3.8225902423534512E-2</v>
      </c>
      <c r="EA121" s="69">
        <f>SUM(EA115:EA120)</f>
        <v>73116.878123076924</v>
      </c>
      <c r="EB121" s="32">
        <f>EA121/EA12</f>
        <v>2.528961134925967E-2</v>
      </c>
      <c r="EC121" s="34">
        <f t="shared" si="336"/>
        <v>27055.708123076925</v>
      </c>
      <c r="ED121" s="31">
        <f>EC121/EA121</f>
        <v>0.37003368876792464</v>
      </c>
    </row>
    <row r="122" spans="1:134" ht="17.100000000000001" thickTop="1">
      <c r="A122" s="10"/>
      <c r="B122" s="10"/>
      <c r="C122" s="65"/>
      <c r="D122" s="33"/>
      <c r="E122" s="22"/>
      <c r="F122" s="33"/>
      <c r="G122" s="33"/>
      <c r="H122" s="33"/>
      <c r="I122" s="210"/>
      <c r="J122" s="22"/>
      <c r="K122" s="33"/>
      <c r="L122" s="22"/>
      <c r="M122" s="33"/>
      <c r="N122" s="33"/>
      <c r="O122" s="33"/>
      <c r="P122" s="210"/>
      <c r="Q122" s="65"/>
      <c r="R122" s="23"/>
      <c r="S122" s="22"/>
      <c r="T122" s="33"/>
      <c r="U122" s="33"/>
      <c r="V122" s="33"/>
      <c r="W122" s="210"/>
      <c r="X122" s="65"/>
      <c r="Y122" s="33"/>
      <c r="Z122" s="22"/>
      <c r="AA122" s="23"/>
      <c r="AB122" s="33"/>
      <c r="AC122" s="33"/>
      <c r="AD122" s="210"/>
      <c r="AE122" s="65"/>
      <c r="AF122" s="23"/>
      <c r="AG122" s="22"/>
      <c r="AH122" s="23"/>
      <c r="AI122" s="73"/>
      <c r="AJ122" s="73"/>
      <c r="AK122" s="210"/>
      <c r="AL122" s="65"/>
      <c r="AM122" s="23"/>
      <c r="AN122" s="22"/>
      <c r="AO122" s="23"/>
      <c r="AP122" s="73"/>
      <c r="AQ122" s="73"/>
      <c r="AR122" s="210"/>
      <c r="AS122" s="65"/>
      <c r="AT122" s="23"/>
      <c r="AU122" s="22"/>
      <c r="AV122" s="23"/>
      <c r="AW122" s="73"/>
      <c r="AX122" s="73"/>
      <c r="AY122" s="210"/>
      <c r="AZ122" s="65"/>
      <c r="BA122" s="23"/>
      <c r="BB122" s="22"/>
      <c r="BC122" s="23"/>
      <c r="BD122" s="73"/>
      <c r="BE122" s="33"/>
      <c r="BF122" s="210"/>
      <c r="BG122" s="65"/>
      <c r="BH122" s="23"/>
      <c r="BI122" s="65"/>
      <c r="BJ122" s="23"/>
      <c r="BK122" s="73"/>
      <c r="BL122" s="33"/>
      <c r="BM122" s="210"/>
      <c r="BN122" s="65"/>
      <c r="BO122" s="52"/>
      <c r="BP122" s="65"/>
      <c r="BQ122" s="52"/>
      <c r="BR122" s="68"/>
      <c r="BS122" s="52"/>
      <c r="BT122" s="210"/>
      <c r="BU122" s="65"/>
      <c r="BV122" s="52"/>
      <c r="BW122" s="65"/>
      <c r="BX122" s="52"/>
      <c r="BY122" s="68"/>
      <c r="BZ122" s="81"/>
      <c r="CA122" s="210"/>
      <c r="CB122" s="65"/>
      <c r="CC122" s="52"/>
      <c r="CD122" s="65"/>
      <c r="CE122" s="52"/>
      <c r="CF122" s="68"/>
      <c r="CG122" s="81"/>
      <c r="CH122" s="210"/>
      <c r="CI122" s="65"/>
      <c r="CJ122" s="52"/>
      <c r="CK122" s="65"/>
      <c r="CL122" s="52"/>
      <c r="CM122" s="68"/>
      <c r="CN122" s="81"/>
      <c r="CO122" s="210"/>
      <c r="CP122" s="65"/>
      <c r="CQ122" s="51"/>
      <c r="CR122" s="65"/>
      <c r="CS122" s="51"/>
      <c r="CT122" s="68"/>
      <c r="CU122" s="68"/>
      <c r="CV122" s="210"/>
      <c r="CW122" s="65"/>
      <c r="CX122" s="52"/>
      <c r="CY122" s="65"/>
      <c r="CZ122" s="52"/>
      <c r="DA122" s="68"/>
      <c r="DB122" s="81"/>
      <c r="DC122" s="210"/>
      <c r="DD122" s="65"/>
      <c r="DE122" s="52"/>
      <c r="DF122" s="65"/>
      <c r="DG122" s="52"/>
      <c r="DH122" s="68"/>
      <c r="DI122" s="81"/>
      <c r="DJ122" s="210"/>
      <c r="DK122" s="65"/>
      <c r="DL122" s="52"/>
      <c r="DM122" s="65"/>
      <c r="DN122" s="52"/>
      <c r="DO122" s="68"/>
      <c r="DP122" s="81"/>
      <c r="DQ122" s="210"/>
      <c r="DR122" s="65"/>
      <c r="DS122" s="52"/>
      <c r="DT122" s="65"/>
      <c r="DU122" s="52"/>
      <c r="DV122" s="68"/>
      <c r="DW122" s="81"/>
      <c r="DX122" s="210"/>
      <c r="DY122" s="65"/>
      <c r="DZ122" s="52"/>
      <c r="EA122" s="65"/>
      <c r="EB122" s="33"/>
      <c r="EC122" s="33"/>
      <c r="ED122" s="33"/>
    </row>
    <row r="123" spans="1:134">
      <c r="A123" s="9" t="s">
        <v>129</v>
      </c>
      <c r="B123" s="9"/>
      <c r="C123" s="65"/>
      <c r="D123" s="33"/>
      <c r="E123" s="22"/>
      <c r="F123" s="33"/>
      <c r="G123" s="33"/>
      <c r="H123" s="33"/>
      <c r="I123" s="210"/>
      <c r="J123" s="22"/>
      <c r="K123" s="33"/>
      <c r="L123" s="22"/>
      <c r="M123" s="33"/>
      <c r="N123" s="33"/>
      <c r="O123" s="33"/>
      <c r="P123" s="210"/>
      <c r="Q123" s="65"/>
      <c r="R123" s="23"/>
      <c r="S123" s="22"/>
      <c r="T123" s="33"/>
      <c r="U123" s="33"/>
      <c r="V123" s="33"/>
      <c r="W123" s="210"/>
      <c r="X123" s="65"/>
      <c r="Y123" s="33"/>
      <c r="Z123" s="22"/>
      <c r="AA123" s="23"/>
      <c r="AB123" s="33"/>
      <c r="AC123" s="33"/>
      <c r="AD123" s="210"/>
      <c r="AE123" s="65"/>
      <c r="AF123" s="23"/>
      <c r="AG123" s="22"/>
      <c r="AH123" s="23"/>
      <c r="AI123" s="73"/>
      <c r="AJ123" s="73"/>
      <c r="AK123" s="210"/>
      <c r="AL123" s="65"/>
      <c r="AM123" s="23"/>
      <c r="AN123" s="22"/>
      <c r="AO123" s="23"/>
      <c r="AP123" s="73"/>
      <c r="AQ123" s="73"/>
      <c r="AR123" s="210"/>
      <c r="AS123" s="65"/>
      <c r="AT123" s="23"/>
      <c r="AU123" s="22"/>
      <c r="AV123" s="23"/>
      <c r="AW123" s="73"/>
      <c r="AX123" s="73"/>
      <c r="AY123" s="210"/>
      <c r="AZ123" s="65"/>
      <c r="BA123" s="23"/>
      <c r="BB123" s="22"/>
      <c r="BC123" s="23"/>
      <c r="BD123" s="73"/>
      <c r="BE123" s="33"/>
      <c r="BF123" s="210"/>
      <c r="BG123" s="65"/>
      <c r="BH123" s="23"/>
      <c r="BI123" s="65"/>
      <c r="BJ123" s="23"/>
      <c r="BK123" s="73"/>
      <c r="BL123" s="33"/>
      <c r="BM123" s="210"/>
      <c r="BN123" s="65"/>
      <c r="BO123" s="52"/>
      <c r="BP123" s="65"/>
      <c r="BQ123" s="52"/>
      <c r="BR123" s="68"/>
      <c r="BS123" s="52"/>
      <c r="BT123" s="210"/>
      <c r="BU123" s="65"/>
      <c r="BV123" s="52"/>
      <c r="BW123" s="65"/>
      <c r="BX123" s="52"/>
      <c r="BY123" s="68"/>
      <c r="BZ123" s="81"/>
      <c r="CA123" s="210"/>
      <c r="CB123" s="65"/>
      <c r="CC123" s="52"/>
      <c r="CD123" s="65"/>
      <c r="CE123" s="52"/>
      <c r="CF123" s="68"/>
      <c r="CG123" s="81"/>
      <c r="CH123" s="210"/>
      <c r="CI123" s="65"/>
      <c r="CJ123" s="52"/>
      <c r="CK123" s="65"/>
      <c r="CL123" s="52"/>
      <c r="CM123" s="68"/>
      <c r="CN123" s="81"/>
      <c r="CO123" s="210"/>
      <c r="CP123" s="65"/>
      <c r="CQ123" s="51"/>
      <c r="CR123" s="65"/>
      <c r="CS123" s="51"/>
      <c r="CT123" s="68"/>
      <c r="CU123" s="68"/>
      <c r="CV123" s="210"/>
      <c r="CW123" s="65"/>
      <c r="CX123" s="52"/>
      <c r="CY123" s="65"/>
      <c r="CZ123" s="52"/>
      <c r="DA123" s="68"/>
      <c r="DB123" s="81"/>
      <c r="DC123" s="210"/>
      <c r="DD123" s="65"/>
      <c r="DE123" s="52"/>
      <c r="DF123" s="65"/>
      <c r="DG123" s="52"/>
      <c r="DH123" s="68"/>
      <c r="DI123" s="81"/>
      <c r="DJ123" s="210"/>
      <c r="DK123" s="65"/>
      <c r="DL123" s="52"/>
      <c r="DM123" s="65"/>
      <c r="DN123" s="52"/>
      <c r="DO123" s="68"/>
      <c r="DP123" s="81"/>
      <c r="DQ123" s="210"/>
      <c r="DR123" s="65"/>
      <c r="DS123" s="52"/>
      <c r="DT123" s="65"/>
      <c r="DU123" s="52"/>
      <c r="DV123" s="68"/>
      <c r="DW123" s="81"/>
      <c r="DX123" s="210"/>
      <c r="DY123" s="65"/>
      <c r="DZ123" s="52"/>
      <c r="EA123" s="65"/>
      <c r="EB123" s="33"/>
      <c r="EC123" s="33"/>
      <c r="ED123" s="33"/>
    </row>
    <row r="124" spans="1:134">
      <c r="A124" s="10" t="s">
        <v>130</v>
      </c>
      <c r="B124" s="10"/>
      <c r="C124" s="65"/>
      <c r="D124" s="33"/>
      <c r="E124" s="68">
        <v>1980</v>
      </c>
      <c r="F124" s="33"/>
      <c r="G124" s="212">
        <f>E124-C124</f>
        <v>1980</v>
      </c>
      <c r="H124" s="212"/>
      <c r="I124" s="210"/>
      <c r="J124" s="22">
        <v>1625</v>
      </c>
      <c r="K124" s="33"/>
      <c r="L124" s="68">
        <v>1980</v>
      </c>
      <c r="M124" s="33"/>
      <c r="N124" s="212"/>
      <c r="O124" s="212"/>
      <c r="P124" s="210"/>
      <c r="Q124" s="65">
        <v>1980</v>
      </c>
      <c r="R124" s="23"/>
      <c r="S124" s="68">
        <v>1980</v>
      </c>
      <c r="T124" s="33"/>
      <c r="U124" s="212"/>
      <c r="V124" s="212"/>
      <c r="W124" s="210"/>
      <c r="X124" s="208">
        <f t="shared" ref="X124:X140" si="340">C124+J124+Q124</f>
        <v>3605</v>
      </c>
      <c r="Y124" s="33"/>
      <c r="Z124" s="218">
        <f t="shared" ref="Z124:Z140" si="341">E124+L124+S124</f>
        <v>5940</v>
      </c>
      <c r="AA124" s="23"/>
      <c r="AB124" s="212">
        <f>Z124-X124</f>
        <v>2335</v>
      </c>
      <c r="AC124" s="212"/>
      <c r="AD124" s="210"/>
      <c r="AE124" s="65">
        <v>1980</v>
      </c>
      <c r="AF124" s="23"/>
      <c r="AG124" s="22">
        <v>1980</v>
      </c>
      <c r="AH124" s="23"/>
      <c r="AI124" s="220">
        <f>AG124-AE124</f>
        <v>0</v>
      </c>
      <c r="AJ124" s="221"/>
      <c r="AK124" s="210"/>
      <c r="AL124" s="65">
        <v>1732.5</v>
      </c>
      <c r="AM124" s="23"/>
      <c r="AN124" s="22">
        <v>1980</v>
      </c>
      <c r="AO124" s="23"/>
      <c r="AP124" s="220">
        <f>AN124-AL124</f>
        <v>247.5</v>
      </c>
      <c r="AQ124" s="221"/>
      <c r="AR124" s="210"/>
      <c r="AS124" s="65">
        <v>990</v>
      </c>
      <c r="AT124" s="23"/>
      <c r="AU124" s="22">
        <v>1980</v>
      </c>
      <c r="AV124" s="23"/>
      <c r="AW124" s="220">
        <f>AU124-AS124</f>
        <v>990</v>
      </c>
      <c r="AX124" s="221"/>
      <c r="AY124" s="210"/>
      <c r="AZ124" s="208">
        <f t="shared" ref="AZ124:AZ140" si="342">AE124+AL124+AS124</f>
        <v>4702.5</v>
      </c>
      <c r="BA124" s="23"/>
      <c r="BB124" s="218">
        <f t="shared" ref="BB124:BB140" si="343">AG124+AN124+AU124</f>
        <v>5940</v>
      </c>
      <c r="BC124" s="23"/>
      <c r="BD124" s="220">
        <f>BB124-AZ124</f>
        <v>1237.5</v>
      </c>
      <c r="BE124" s="212"/>
      <c r="BF124" s="210"/>
      <c r="BG124" s="65">
        <v>742.5</v>
      </c>
      <c r="BH124" s="23"/>
      <c r="BI124" s="65">
        <v>1980</v>
      </c>
      <c r="BJ124" s="23"/>
      <c r="BK124" s="220">
        <f>BI124-BG124</f>
        <v>1237.5</v>
      </c>
      <c r="BL124" s="212"/>
      <c r="BM124" s="210"/>
      <c r="BN124" s="65">
        <v>2854.13</v>
      </c>
      <c r="BO124" s="52"/>
      <c r="BP124" s="65">
        <v>1980</v>
      </c>
      <c r="BQ124" s="52"/>
      <c r="BR124" s="222">
        <f t="shared" ref="BR124:BR140" si="344">BN124-BP124</f>
        <v>874.13000000000011</v>
      </c>
      <c r="BS124" s="216"/>
      <c r="BT124" s="210"/>
      <c r="BU124" s="65">
        <v>1485</v>
      </c>
      <c r="BV124" s="52"/>
      <c r="BW124" s="65">
        <v>990</v>
      </c>
      <c r="BX124" s="52"/>
      <c r="BY124" s="222">
        <f t="shared" ref="BY124:BY140" si="345">BU124-BW124</f>
        <v>495</v>
      </c>
      <c r="BZ124" s="216"/>
      <c r="CA124" s="210"/>
      <c r="CB124" s="65">
        <v>495</v>
      </c>
      <c r="CC124" s="52"/>
      <c r="CD124" s="65">
        <v>990</v>
      </c>
      <c r="CE124" s="52"/>
      <c r="CF124" s="222">
        <f t="shared" ref="CF124:CF140" si="346">CB124-CD124</f>
        <v>-495</v>
      </c>
      <c r="CG124" s="216"/>
      <c r="CH124" s="210"/>
      <c r="CI124" s="208">
        <f t="shared" ref="CI124:CI140" si="347">BG124+BN124+BU124+CB124</f>
        <v>5576.63</v>
      </c>
      <c r="CJ124" s="52"/>
      <c r="CK124" s="208">
        <f>BI124+BP124+BW124+CD124</f>
        <v>5940</v>
      </c>
      <c r="CL124" s="52"/>
      <c r="CM124" s="222">
        <f t="shared" ref="CM124:CM140" si="348">CI124-CK124</f>
        <v>-363.36999999999989</v>
      </c>
      <c r="CN124" s="216"/>
      <c r="CO124" s="210"/>
      <c r="CP124" s="65">
        <v>2046.73</v>
      </c>
      <c r="CQ124" s="51"/>
      <c r="CR124" s="65">
        <v>1980</v>
      </c>
      <c r="CS124" s="51"/>
      <c r="CT124" s="222">
        <f t="shared" ref="CT124:CT140" si="349">CP124-CR124</f>
        <v>66.730000000000018</v>
      </c>
      <c r="CU124" s="223"/>
      <c r="CV124" s="210"/>
      <c r="CW124" s="65">
        <v>1980</v>
      </c>
      <c r="CX124" s="52"/>
      <c r="CY124" s="65">
        <v>1980</v>
      </c>
      <c r="CZ124" s="52"/>
      <c r="DA124" s="222">
        <f t="shared" ref="DA124:DA140" si="350">CW124-CY124</f>
        <v>0</v>
      </c>
      <c r="DB124" s="216"/>
      <c r="DC124" s="210"/>
      <c r="DD124" s="65">
        <v>2462</v>
      </c>
      <c r="DE124" s="52"/>
      <c r="DF124" s="65">
        <v>1980</v>
      </c>
      <c r="DG124" s="52"/>
      <c r="DH124" s="222">
        <f t="shared" ref="DH124:DH140" si="351">DD124-DF124</f>
        <v>482</v>
      </c>
      <c r="DI124" s="216"/>
      <c r="DJ124" s="210"/>
      <c r="DK124" s="65">
        <v>2131.5</v>
      </c>
      <c r="DL124" s="52"/>
      <c r="DM124" s="65">
        <v>1980</v>
      </c>
      <c r="DN124" s="52"/>
      <c r="DO124" s="222">
        <f t="shared" ref="DO124:DO140" si="352">DK124-DM124</f>
        <v>151.5</v>
      </c>
      <c r="DP124" s="216"/>
      <c r="DQ124" s="210"/>
      <c r="DR124" s="208">
        <f t="shared" ref="DR124:DR140" si="353">CP124+CW124+DD124+DK124</f>
        <v>8620.23</v>
      </c>
      <c r="DS124" s="52"/>
      <c r="DT124" s="208">
        <f t="shared" ref="DT124:DT140" si="354">CR124+CY124+DF124+DM124</f>
        <v>7920</v>
      </c>
      <c r="DU124" s="52"/>
      <c r="DV124" s="222">
        <f t="shared" ref="DV124:DV140" si="355">DR124-DT124</f>
        <v>700.22999999999956</v>
      </c>
      <c r="DW124" s="216"/>
      <c r="DX124" s="210"/>
      <c r="DY124" s="208">
        <f t="shared" ref="DY124:DY140" si="356">X124+AZ124+CI124+DR124</f>
        <v>22504.36</v>
      </c>
      <c r="DZ124" s="52"/>
      <c r="EA124" s="208">
        <f>Z124+BB124+CK124+DT124</f>
        <v>25740</v>
      </c>
      <c r="EB124" s="33"/>
      <c r="EC124" s="230">
        <f>EA124-DY124</f>
        <v>3235.6399999999994</v>
      </c>
      <c r="ED124" s="212"/>
    </row>
    <row r="125" spans="1:134">
      <c r="A125" s="10" t="s">
        <v>131</v>
      </c>
      <c r="B125" s="10"/>
      <c r="C125" s="65"/>
      <c r="D125" s="33"/>
      <c r="E125" s="72">
        <v>0</v>
      </c>
      <c r="F125" s="33"/>
      <c r="G125" s="212">
        <f t="shared" ref="G125" si="357">E125-C125</f>
        <v>0</v>
      </c>
      <c r="H125" s="212"/>
      <c r="I125" s="210"/>
      <c r="J125" s="22">
        <v>0</v>
      </c>
      <c r="K125" s="33"/>
      <c r="L125" s="72">
        <v>0</v>
      </c>
      <c r="M125" s="33"/>
      <c r="N125" s="212"/>
      <c r="O125" s="212"/>
      <c r="P125" s="210"/>
      <c r="Q125" s="65">
        <v>0</v>
      </c>
      <c r="R125" s="23"/>
      <c r="S125" s="68"/>
      <c r="T125" s="33"/>
      <c r="U125" s="212"/>
      <c r="V125" s="212"/>
      <c r="W125" s="210"/>
      <c r="X125" s="208">
        <f t="shared" si="340"/>
        <v>0</v>
      </c>
      <c r="Y125" s="33"/>
      <c r="Z125" s="218">
        <f t="shared" si="341"/>
        <v>0</v>
      </c>
      <c r="AA125" s="23"/>
      <c r="AB125" s="212"/>
      <c r="AC125" s="212"/>
      <c r="AD125" s="210"/>
      <c r="AE125" s="65">
        <v>0</v>
      </c>
      <c r="AF125" s="23"/>
      <c r="AG125" s="22">
        <v>0</v>
      </c>
      <c r="AH125" s="23"/>
      <c r="AI125" s="220"/>
      <c r="AJ125" s="221"/>
      <c r="AK125" s="210"/>
      <c r="AL125" s="65">
        <v>0</v>
      </c>
      <c r="AM125" s="23"/>
      <c r="AN125" s="22">
        <v>0</v>
      </c>
      <c r="AO125" s="23"/>
      <c r="AP125" s="220"/>
      <c r="AQ125" s="221"/>
      <c r="AR125" s="210"/>
      <c r="AS125" s="65">
        <v>0</v>
      </c>
      <c r="AT125" s="23"/>
      <c r="AU125" s="22">
        <v>0</v>
      </c>
      <c r="AV125" s="23"/>
      <c r="AW125" s="220">
        <f t="shared" ref="AW125:AW126" si="358">AU125-AS125</f>
        <v>0</v>
      </c>
      <c r="AX125" s="221"/>
      <c r="AY125" s="210"/>
      <c r="AZ125" s="208">
        <f t="shared" si="342"/>
        <v>0</v>
      </c>
      <c r="BA125" s="23"/>
      <c r="BB125" s="218">
        <f t="shared" si="343"/>
        <v>0</v>
      </c>
      <c r="BC125" s="23"/>
      <c r="BD125" s="220">
        <f t="shared" ref="BD125:BD126" si="359">BB125-AZ125</f>
        <v>0</v>
      </c>
      <c r="BE125" s="212"/>
      <c r="BF125" s="210"/>
      <c r="BG125" s="65">
        <v>0</v>
      </c>
      <c r="BH125" s="23"/>
      <c r="BI125" s="65">
        <v>0</v>
      </c>
      <c r="BJ125" s="23"/>
      <c r="BK125" s="220"/>
      <c r="BL125" s="212"/>
      <c r="BM125" s="210"/>
      <c r="BN125" s="65">
        <v>0</v>
      </c>
      <c r="BO125" s="52"/>
      <c r="BP125" s="65">
        <v>0</v>
      </c>
      <c r="BQ125" s="52"/>
      <c r="BR125" s="222">
        <f t="shared" si="344"/>
        <v>0</v>
      </c>
      <c r="BS125" s="216"/>
      <c r="BT125" s="210"/>
      <c r="BU125" s="65">
        <v>0</v>
      </c>
      <c r="BV125" s="52"/>
      <c r="BW125" s="65">
        <v>0</v>
      </c>
      <c r="BX125" s="52"/>
      <c r="BY125" s="222">
        <f t="shared" si="345"/>
        <v>0</v>
      </c>
      <c r="BZ125" s="216"/>
      <c r="CA125" s="210"/>
      <c r="CB125" s="65">
        <v>0</v>
      </c>
      <c r="CC125" s="52"/>
      <c r="CD125" s="65">
        <v>0</v>
      </c>
      <c r="CE125" s="52"/>
      <c r="CF125" s="222">
        <f t="shared" si="346"/>
        <v>0</v>
      </c>
      <c r="CG125" s="216"/>
      <c r="CH125" s="210"/>
      <c r="CI125" s="208">
        <f t="shared" si="347"/>
        <v>0</v>
      </c>
      <c r="CJ125" s="52"/>
      <c r="CK125" s="208">
        <f t="shared" ref="CK125:CK140" si="360">BI125+BP125+BW125+CD125</f>
        <v>0</v>
      </c>
      <c r="CL125" s="52"/>
      <c r="CM125" s="222">
        <f t="shared" si="348"/>
        <v>0</v>
      </c>
      <c r="CN125" s="216"/>
      <c r="CO125" s="210"/>
      <c r="CP125" s="65">
        <v>0</v>
      </c>
      <c r="CQ125" s="51"/>
      <c r="CR125" s="65">
        <v>0</v>
      </c>
      <c r="CS125" s="51"/>
      <c r="CT125" s="222">
        <f t="shared" si="349"/>
        <v>0</v>
      </c>
      <c r="CU125" s="223"/>
      <c r="CV125" s="210"/>
      <c r="CW125" s="65">
        <v>0</v>
      </c>
      <c r="CX125" s="52"/>
      <c r="CY125" s="65">
        <v>0</v>
      </c>
      <c r="CZ125" s="52"/>
      <c r="DA125" s="222">
        <f t="shared" si="350"/>
        <v>0</v>
      </c>
      <c r="DB125" s="216"/>
      <c r="DC125" s="210"/>
      <c r="DD125" s="65">
        <v>0</v>
      </c>
      <c r="DE125" s="52"/>
      <c r="DF125" s="65">
        <v>0</v>
      </c>
      <c r="DG125" s="52"/>
      <c r="DH125" s="222">
        <f t="shared" si="351"/>
        <v>0</v>
      </c>
      <c r="DI125" s="216"/>
      <c r="DJ125" s="210"/>
      <c r="DK125" s="65">
        <v>0</v>
      </c>
      <c r="DL125" s="52"/>
      <c r="DM125" s="65">
        <v>0</v>
      </c>
      <c r="DN125" s="52"/>
      <c r="DO125" s="222">
        <f t="shared" si="352"/>
        <v>0</v>
      </c>
      <c r="DP125" s="216"/>
      <c r="DQ125" s="210"/>
      <c r="DR125" s="208">
        <f t="shared" si="353"/>
        <v>0</v>
      </c>
      <c r="DS125" s="52"/>
      <c r="DT125" s="208">
        <f t="shared" si="354"/>
        <v>0</v>
      </c>
      <c r="DU125" s="52"/>
      <c r="DV125" s="222">
        <f t="shared" si="355"/>
        <v>0</v>
      </c>
      <c r="DW125" s="216"/>
      <c r="DX125" s="210"/>
      <c r="DY125" s="208">
        <f t="shared" si="356"/>
        <v>0</v>
      </c>
      <c r="DZ125" s="52"/>
      <c r="EA125" s="208">
        <f t="shared" ref="EA125:EA140" si="361">Z125+BB125+CK125+DT125</f>
        <v>0</v>
      </c>
      <c r="EB125" s="33"/>
      <c r="EC125" s="230">
        <f>EA125-DY125</f>
        <v>0</v>
      </c>
      <c r="ED125" s="212"/>
    </row>
    <row r="126" spans="1:134">
      <c r="A126" s="10" t="s">
        <v>132</v>
      </c>
      <c r="B126" s="10"/>
      <c r="C126" s="65"/>
      <c r="D126" s="33"/>
      <c r="E126" s="68">
        <v>207.69230769230768</v>
      </c>
      <c r="F126" s="33"/>
      <c r="G126" s="212"/>
      <c r="H126" s="212"/>
      <c r="I126" s="210"/>
      <c r="J126" s="22">
        <v>0</v>
      </c>
      <c r="K126" s="33"/>
      <c r="L126" s="68">
        <v>207.69230769230768</v>
      </c>
      <c r="M126" s="33"/>
      <c r="N126" s="212"/>
      <c r="O126" s="212"/>
      <c r="P126" s="210"/>
      <c r="Q126" s="65">
        <v>575</v>
      </c>
      <c r="R126" s="23"/>
      <c r="S126" s="68">
        <v>207.69230769230768</v>
      </c>
      <c r="T126" s="33"/>
      <c r="U126" s="212"/>
      <c r="V126" s="212"/>
      <c r="W126" s="210"/>
      <c r="X126" s="208">
        <f t="shared" si="340"/>
        <v>575</v>
      </c>
      <c r="Y126" s="33"/>
      <c r="Z126" s="218">
        <f t="shared" si="341"/>
        <v>623.07692307692309</v>
      </c>
      <c r="AA126" s="23"/>
      <c r="AB126" s="212"/>
      <c r="AC126" s="212"/>
      <c r="AD126" s="210"/>
      <c r="AE126" s="65">
        <v>0</v>
      </c>
      <c r="AF126" s="23"/>
      <c r="AG126" s="22">
        <v>207.69230769230768</v>
      </c>
      <c r="AH126" s="23"/>
      <c r="AI126" s="220"/>
      <c r="AJ126" s="221"/>
      <c r="AK126" s="210"/>
      <c r="AL126" s="65">
        <v>0</v>
      </c>
      <c r="AM126" s="23"/>
      <c r="AN126" s="22">
        <v>207.69230769230768</v>
      </c>
      <c r="AO126" s="23"/>
      <c r="AP126" s="220"/>
      <c r="AQ126" s="221"/>
      <c r="AR126" s="210"/>
      <c r="AS126" s="65">
        <v>0</v>
      </c>
      <c r="AT126" s="23"/>
      <c r="AU126" s="22">
        <v>207.69230769230768</v>
      </c>
      <c r="AV126" s="23"/>
      <c r="AW126" s="220">
        <f t="shared" si="358"/>
        <v>207.69230769230768</v>
      </c>
      <c r="AX126" s="221"/>
      <c r="AY126" s="210"/>
      <c r="AZ126" s="208">
        <f t="shared" si="342"/>
        <v>0</v>
      </c>
      <c r="BA126" s="23"/>
      <c r="BB126" s="218">
        <f t="shared" si="343"/>
        <v>623.07692307692309</v>
      </c>
      <c r="BC126" s="23"/>
      <c r="BD126" s="220">
        <f t="shared" si="359"/>
        <v>623.07692307692309</v>
      </c>
      <c r="BE126" s="212"/>
      <c r="BF126" s="210"/>
      <c r="BG126" s="65">
        <v>0</v>
      </c>
      <c r="BH126" s="23"/>
      <c r="BI126" s="65">
        <v>0</v>
      </c>
      <c r="BJ126" s="23"/>
      <c r="BK126" s="220"/>
      <c r="BL126" s="212"/>
      <c r="BM126" s="210"/>
      <c r="BN126" s="65">
        <v>0</v>
      </c>
      <c r="BO126" s="52"/>
      <c r="BP126" s="65">
        <v>0</v>
      </c>
      <c r="BQ126" s="52"/>
      <c r="BR126" s="222">
        <f t="shared" si="344"/>
        <v>0</v>
      </c>
      <c r="BS126" s="216"/>
      <c r="BT126" s="210"/>
      <c r="BU126" s="65">
        <v>1128.5999999999999</v>
      </c>
      <c r="BV126" s="52"/>
      <c r="BW126" s="65">
        <v>207.69230769230768</v>
      </c>
      <c r="BX126" s="52"/>
      <c r="BY126" s="222">
        <f t="shared" si="345"/>
        <v>920.90769230769229</v>
      </c>
      <c r="BZ126" s="216"/>
      <c r="CA126" s="210"/>
      <c r="CB126" s="65">
        <v>0</v>
      </c>
      <c r="CC126" s="52"/>
      <c r="CD126" s="65">
        <v>207.69230769230768</v>
      </c>
      <c r="CE126" s="52"/>
      <c r="CF126" s="222">
        <f t="shared" si="346"/>
        <v>-207.69230769230768</v>
      </c>
      <c r="CG126" s="216"/>
      <c r="CH126" s="210"/>
      <c r="CI126" s="208">
        <f t="shared" si="347"/>
        <v>1128.5999999999999</v>
      </c>
      <c r="CJ126" s="52"/>
      <c r="CK126" s="208">
        <f t="shared" si="360"/>
        <v>415.38461538461536</v>
      </c>
      <c r="CL126" s="52"/>
      <c r="CM126" s="222">
        <f t="shared" si="348"/>
        <v>713.21538461538455</v>
      </c>
      <c r="CN126" s="216"/>
      <c r="CO126" s="210"/>
      <c r="CP126" s="65">
        <v>4897.5</v>
      </c>
      <c r="CQ126" s="51"/>
      <c r="CR126" s="65">
        <v>207.69230769230768</v>
      </c>
      <c r="CS126" s="51"/>
      <c r="CT126" s="222">
        <f t="shared" si="349"/>
        <v>4689.8076923076924</v>
      </c>
      <c r="CU126" s="223"/>
      <c r="CV126" s="210"/>
      <c r="CW126" s="65">
        <v>581</v>
      </c>
      <c r="CX126" s="52"/>
      <c r="CY126" s="65">
        <v>207.69230769230768</v>
      </c>
      <c r="CZ126" s="52"/>
      <c r="DA126" s="222">
        <f t="shared" si="350"/>
        <v>373.30769230769232</v>
      </c>
      <c r="DB126" s="216"/>
      <c r="DC126" s="210"/>
      <c r="DD126" s="65">
        <f>650.86+2237</f>
        <v>2887.86</v>
      </c>
      <c r="DE126" s="52"/>
      <c r="DF126" s="65">
        <v>207.69230769230768</v>
      </c>
      <c r="DG126" s="52"/>
      <c r="DH126" s="222">
        <f t="shared" si="351"/>
        <v>2680.1676923076925</v>
      </c>
      <c r="DI126" s="216"/>
      <c r="DJ126" s="210"/>
      <c r="DK126" s="65">
        <f>-425.52+257.5</f>
        <v>-168.01999999999998</v>
      </c>
      <c r="DL126" s="52"/>
      <c r="DM126" s="65">
        <v>207.69230769230768</v>
      </c>
      <c r="DN126" s="52"/>
      <c r="DO126" s="222">
        <f t="shared" si="352"/>
        <v>-375.71230769230766</v>
      </c>
      <c r="DP126" s="216"/>
      <c r="DQ126" s="210"/>
      <c r="DR126" s="208">
        <f t="shared" si="353"/>
        <v>8198.34</v>
      </c>
      <c r="DS126" s="52"/>
      <c r="DT126" s="208">
        <f t="shared" si="354"/>
        <v>830.76923076923072</v>
      </c>
      <c r="DU126" s="52"/>
      <c r="DV126" s="222">
        <f t="shared" si="355"/>
        <v>7367.5707692307697</v>
      </c>
      <c r="DW126" s="216"/>
      <c r="DX126" s="210"/>
      <c r="DY126" s="208">
        <f t="shared" si="356"/>
        <v>9901.94</v>
      </c>
      <c r="DZ126" s="52"/>
      <c r="EA126" s="208">
        <f t="shared" si="361"/>
        <v>2492.3076923076924</v>
      </c>
      <c r="EB126" s="33"/>
      <c r="EC126" s="212"/>
      <c r="ED126" s="212"/>
    </row>
    <row r="127" spans="1:134">
      <c r="A127" s="10" t="s">
        <v>133</v>
      </c>
      <c r="B127" s="10"/>
      <c r="C127" s="65"/>
      <c r="D127" s="33"/>
      <c r="E127" s="68">
        <v>269.23076923076923</v>
      </c>
      <c r="F127" s="33"/>
      <c r="G127" s="212">
        <f>E127-C127</f>
        <v>269.23076923076923</v>
      </c>
      <c r="H127" s="212"/>
      <c r="I127" s="210"/>
      <c r="J127" s="22">
        <v>0</v>
      </c>
      <c r="K127" s="33"/>
      <c r="L127" s="68">
        <v>269.23076923076923</v>
      </c>
      <c r="M127" s="33"/>
      <c r="N127" s="212"/>
      <c r="O127" s="212"/>
      <c r="P127" s="210"/>
      <c r="Q127" s="65">
        <v>0</v>
      </c>
      <c r="R127" s="23"/>
      <c r="S127" s="68">
        <v>269.23076923076923</v>
      </c>
      <c r="T127" s="33"/>
      <c r="U127" s="212"/>
      <c r="V127" s="212"/>
      <c r="W127" s="210"/>
      <c r="X127" s="208">
        <f t="shared" si="340"/>
        <v>0</v>
      </c>
      <c r="Y127" s="33"/>
      <c r="Z127" s="218">
        <f t="shared" si="341"/>
        <v>807.69230769230762</v>
      </c>
      <c r="AA127" s="23"/>
      <c r="AB127" s="212">
        <f>Z127-X127</f>
        <v>807.69230769230762</v>
      </c>
      <c r="AC127" s="212"/>
      <c r="AD127" s="210"/>
      <c r="AE127" s="65">
        <v>0</v>
      </c>
      <c r="AF127" s="23"/>
      <c r="AG127" s="22">
        <v>269.23076923076923</v>
      </c>
      <c r="AH127" s="23"/>
      <c r="AI127" s="220">
        <f>AG127-AE127</f>
        <v>269.23076923076923</v>
      </c>
      <c r="AJ127" s="221"/>
      <c r="AK127" s="210"/>
      <c r="AL127" s="65">
        <v>0</v>
      </c>
      <c r="AM127" s="23"/>
      <c r="AN127" s="22">
        <v>269.23076923076923</v>
      </c>
      <c r="AO127" s="23"/>
      <c r="AP127" s="220">
        <f>AN127-AL127</f>
        <v>269.23076923076923</v>
      </c>
      <c r="AQ127" s="221"/>
      <c r="AR127" s="210"/>
      <c r="AS127" s="65">
        <v>0</v>
      </c>
      <c r="AT127" s="23"/>
      <c r="AU127" s="22">
        <v>269.23076923076923</v>
      </c>
      <c r="AV127" s="23"/>
      <c r="AW127" s="220">
        <f>AU127-AS127</f>
        <v>269.23076923076923</v>
      </c>
      <c r="AX127" s="221"/>
      <c r="AY127" s="210"/>
      <c r="AZ127" s="208">
        <f t="shared" si="342"/>
        <v>0</v>
      </c>
      <c r="BA127" s="23"/>
      <c r="BB127" s="218">
        <f t="shared" si="343"/>
        <v>807.69230769230762</v>
      </c>
      <c r="BC127" s="23"/>
      <c r="BD127" s="220">
        <f>BB127-AZ127</f>
        <v>807.69230769230762</v>
      </c>
      <c r="BE127" s="212"/>
      <c r="BF127" s="210"/>
      <c r="BG127" s="65">
        <v>0</v>
      </c>
      <c r="BH127" s="23"/>
      <c r="BI127" s="65">
        <v>0</v>
      </c>
      <c r="BJ127" s="23"/>
      <c r="BK127" s="220">
        <f>BI127-BG127</f>
        <v>0</v>
      </c>
      <c r="BL127" s="212"/>
      <c r="BM127" s="210"/>
      <c r="BN127" s="65">
        <v>0</v>
      </c>
      <c r="BO127" s="52"/>
      <c r="BP127" s="65">
        <v>0</v>
      </c>
      <c r="BQ127" s="52"/>
      <c r="BR127" s="222">
        <f t="shared" si="344"/>
        <v>0</v>
      </c>
      <c r="BS127" s="216"/>
      <c r="BT127" s="210"/>
      <c r="BU127" s="65">
        <v>0</v>
      </c>
      <c r="BV127" s="52"/>
      <c r="BW127" s="65">
        <v>269</v>
      </c>
      <c r="BX127" s="52"/>
      <c r="BY127" s="222">
        <f t="shared" si="345"/>
        <v>-269</v>
      </c>
      <c r="BZ127" s="216"/>
      <c r="CA127" s="210"/>
      <c r="CB127" s="65">
        <v>0</v>
      </c>
      <c r="CC127" s="52"/>
      <c r="CD127" s="65">
        <v>269.23076923076923</v>
      </c>
      <c r="CE127" s="52"/>
      <c r="CF127" s="222">
        <f t="shared" si="346"/>
        <v>-269.23076923076923</v>
      </c>
      <c r="CG127" s="216"/>
      <c r="CH127" s="210"/>
      <c r="CI127" s="208">
        <f t="shared" si="347"/>
        <v>0</v>
      </c>
      <c r="CJ127" s="52"/>
      <c r="CK127" s="208">
        <f t="shared" si="360"/>
        <v>538.23076923076928</v>
      </c>
      <c r="CL127" s="52"/>
      <c r="CM127" s="222">
        <f t="shared" si="348"/>
        <v>-538.23076923076928</v>
      </c>
      <c r="CN127" s="216"/>
      <c r="CO127" s="210"/>
      <c r="CP127" s="65">
        <v>0</v>
      </c>
      <c r="CQ127" s="51"/>
      <c r="CR127" s="65">
        <v>269.23076923076923</v>
      </c>
      <c r="CS127" s="51"/>
      <c r="CT127" s="222">
        <f t="shared" si="349"/>
        <v>-269.23076923076923</v>
      </c>
      <c r="CU127" s="223"/>
      <c r="CV127" s="210"/>
      <c r="CW127" s="65">
        <v>0</v>
      </c>
      <c r="CX127" s="52"/>
      <c r="CY127" s="65">
        <v>269.23076923076923</v>
      </c>
      <c r="CZ127" s="52"/>
      <c r="DA127" s="222">
        <f t="shared" si="350"/>
        <v>-269.23076923076923</v>
      </c>
      <c r="DB127" s="216"/>
      <c r="DC127" s="210"/>
      <c r="DD127" s="65">
        <v>0</v>
      </c>
      <c r="DE127" s="52"/>
      <c r="DF127" s="65">
        <v>269.23076923076923</v>
      </c>
      <c r="DG127" s="52"/>
      <c r="DH127" s="222">
        <f t="shared" si="351"/>
        <v>-269.23076923076923</v>
      </c>
      <c r="DI127" s="216"/>
      <c r="DJ127" s="210"/>
      <c r="DK127" s="65">
        <v>2500</v>
      </c>
      <c r="DL127" s="52"/>
      <c r="DM127" s="65">
        <v>269.23076923076923</v>
      </c>
      <c r="DN127" s="52"/>
      <c r="DO127" s="222">
        <f t="shared" si="352"/>
        <v>2230.7692307692309</v>
      </c>
      <c r="DP127" s="216"/>
      <c r="DQ127" s="210"/>
      <c r="DR127" s="208">
        <f t="shared" si="353"/>
        <v>2500</v>
      </c>
      <c r="DS127" s="52"/>
      <c r="DT127" s="208">
        <f t="shared" si="354"/>
        <v>1076.9230769230769</v>
      </c>
      <c r="DU127" s="52"/>
      <c r="DV127" s="222">
        <f t="shared" si="355"/>
        <v>1423.0769230769231</v>
      </c>
      <c r="DW127" s="216"/>
      <c r="DX127" s="210"/>
      <c r="DY127" s="208">
        <f t="shared" si="356"/>
        <v>2500</v>
      </c>
      <c r="DZ127" s="52"/>
      <c r="EA127" s="208">
        <f t="shared" si="361"/>
        <v>3230.5384615384619</v>
      </c>
      <c r="EB127" s="33"/>
      <c r="EC127" s="212">
        <f>EA127-DY127</f>
        <v>730.53846153846189</v>
      </c>
      <c r="ED127" s="212"/>
    </row>
    <row r="128" spans="1:134">
      <c r="A128" s="10" t="s">
        <v>134</v>
      </c>
      <c r="B128" s="10"/>
      <c r="C128" s="65"/>
      <c r="D128" s="33"/>
      <c r="E128" s="68">
        <v>737.15384615384619</v>
      </c>
      <c r="F128" s="33"/>
      <c r="G128" s="212">
        <f>E128-C128</f>
        <v>737.15384615384619</v>
      </c>
      <c r="H128" s="212"/>
      <c r="I128" s="210"/>
      <c r="J128" s="22">
        <v>737</v>
      </c>
      <c r="K128" s="33"/>
      <c r="L128" s="68">
        <v>737.15384615384619</v>
      </c>
      <c r="M128" s="33"/>
      <c r="N128" s="212"/>
      <c r="O128" s="212"/>
      <c r="P128" s="210"/>
      <c r="Q128" s="65">
        <f>254.27+18.17</f>
        <v>272.44</v>
      </c>
      <c r="R128" s="23"/>
      <c r="S128" s="68">
        <v>737.15384615384619</v>
      </c>
      <c r="T128" s="33"/>
      <c r="U128" s="212"/>
      <c r="V128" s="212"/>
      <c r="W128" s="210"/>
      <c r="X128" s="208">
        <f t="shared" si="340"/>
        <v>1009.44</v>
      </c>
      <c r="Y128" s="33"/>
      <c r="Z128" s="218">
        <f t="shared" si="341"/>
        <v>2211.4615384615386</v>
      </c>
      <c r="AA128" s="23"/>
      <c r="AB128" s="212">
        <f>Z128-X128</f>
        <v>1202.0215384615385</v>
      </c>
      <c r="AC128" s="212"/>
      <c r="AD128" s="210"/>
      <c r="AE128" s="65">
        <v>0</v>
      </c>
      <c r="AF128" s="23"/>
      <c r="AG128" s="22">
        <v>737.15384615384619</v>
      </c>
      <c r="AH128" s="23"/>
      <c r="AI128" s="220">
        <f>AG128-AE128</f>
        <v>737.15384615384619</v>
      </c>
      <c r="AJ128" s="221"/>
      <c r="AK128" s="210"/>
      <c r="AL128" s="65">
        <v>-46.3</v>
      </c>
      <c r="AM128" s="23"/>
      <c r="AN128" s="22">
        <v>737.15384615384619</v>
      </c>
      <c r="AO128" s="23"/>
      <c r="AP128" s="220">
        <f>AN128-AL128</f>
        <v>783.45384615384614</v>
      </c>
      <c r="AQ128" s="221"/>
      <c r="AR128" s="210"/>
      <c r="AS128" s="65">
        <v>100</v>
      </c>
      <c r="AT128" s="23"/>
      <c r="AU128" s="22">
        <v>737.15384615384619</v>
      </c>
      <c r="AV128" s="23"/>
      <c r="AW128" s="220">
        <f>AU128-AS128</f>
        <v>637.15384615384619</v>
      </c>
      <c r="AX128" s="221"/>
      <c r="AY128" s="210"/>
      <c r="AZ128" s="208">
        <f t="shared" si="342"/>
        <v>53.7</v>
      </c>
      <c r="BA128" s="23"/>
      <c r="BB128" s="218">
        <f t="shared" si="343"/>
        <v>2211.4615384615386</v>
      </c>
      <c r="BC128" s="23"/>
      <c r="BD128" s="220">
        <f>BB128-AZ128</f>
        <v>2157.7615384615387</v>
      </c>
      <c r="BE128" s="212"/>
      <c r="BF128" s="210"/>
      <c r="BG128" s="65">
        <v>100</v>
      </c>
      <c r="BH128" s="23"/>
      <c r="BI128" s="65">
        <v>737.15384615384619</v>
      </c>
      <c r="BJ128" s="23"/>
      <c r="BK128" s="220">
        <f>BI128-BG128</f>
        <v>637.15384615384619</v>
      </c>
      <c r="BL128" s="212"/>
      <c r="BM128" s="210"/>
      <c r="BN128" s="65">
        <v>496.1</v>
      </c>
      <c r="BO128" s="52"/>
      <c r="BP128" s="65">
        <v>737.15384615384619</v>
      </c>
      <c r="BQ128" s="52"/>
      <c r="BR128" s="222">
        <f t="shared" si="344"/>
        <v>-241.05384615384617</v>
      </c>
      <c r="BS128" s="216"/>
      <c r="BT128" s="210"/>
      <c r="BU128" s="65">
        <v>0</v>
      </c>
      <c r="BV128" s="52"/>
      <c r="BW128" s="65">
        <v>737</v>
      </c>
      <c r="BX128" s="52"/>
      <c r="BY128" s="222">
        <f t="shared" si="345"/>
        <v>-737</v>
      </c>
      <c r="BZ128" s="216"/>
      <c r="CA128" s="210"/>
      <c r="CB128" s="65">
        <v>100</v>
      </c>
      <c r="CC128" s="52"/>
      <c r="CD128" s="65">
        <v>737.15384615384619</v>
      </c>
      <c r="CE128" s="52"/>
      <c r="CF128" s="222">
        <f t="shared" si="346"/>
        <v>-637.15384615384619</v>
      </c>
      <c r="CG128" s="216"/>
      <c r="CH128" s="210"/>
      <c r="CI128" s="208">
        <f t="shared" si="347"/>
        <v>696.1</v>
      </c>
      <c r="CJ128" s="52"/>
      <c r="CK128" s="208">
        <f t="shared" si="360"/>
        <v>2948.4615384615386</v>
      </c>
      <c r="CL128" s="52"/>
      <c r="CM128" s="222">
        <f t="shared" si="348"/>
        <v>-2252.3615384615387</v>
      </c>
      <c r="CN128" s="216"/>
      <c r="CO128" s="210"/>
      <c r="CP128" s="65">
        <v>1004.47</v>
      </c>
      <c r="CQ128" s="51"/>
      <c r="CR128" s="65">
        <v>737.15384615384619</v>
      </c>
      <c r="CS128" s="51"/>
      <c r="CT128" s="222">
        <f t="shared" si="349"/>
        <v>267.31615384615384</v>
      </c>
      <c r="CU128" s="223"/>
      <c r="CV128" s="210"/>
      <c r="CW128" s="65">
        <v>100</v>
      </c>
      <c r="CX128" s="52"/>
      <c r="CY128" s="65">
        <v>737.15384615384619</v>
      </c>
      <c r="CZ128" s="52"/>
      <c r="DA128" s="222">
        <f t="shared" si="350"/>
        <v>-637.15384615384619</v>
      </c>
      <c r="DB128" s="216"/>
      <c r="DC128" s="210"/>
      <c r="DD128" s="65">
        <v>395.1</v>
      </c>
      <c r="DE128" s="52"/>
      <c r="DF128" s="65">
        <v>737.15384615384619</v>
      </c>
      <c r="DG128" s="52"/>
      <c r="DH128" s="222">
        <f t="shared" si="351"/>
        <v>-342.05384615384617</v>
      </c>
      <c r="DI128" s="216"/>
      <c r="DJ128" s="210"/>
      <c r="DK128" s="65">
        <v>1728.32</v>
      </c>
      <c r="DL128" s="52"/>
      <c r="DM128" s="65">
        <v>737.15384615384619</v>
      </c>
      <c r="DN128" s="52"/>
      <c r="DO128" s="222">
        <f t="shared" si="352"/>
        <v>991.16615384615375</v>
      </c>
      <c r="DP128" s="216"/>
      <c r="DQ128" s="210"/>
      <c r="DR128" s="208">
        <f t="shared" si="353"/>
        <v>3227.8900000000003</v>
      </c>
      <c r="DS128" s="52"/>
      <c r="DT128" s="208">
        <f t="shared" si="354"/>
        <v>2948.6153846153848</v>
      </c>
      <c r="DU128" s="52"/>
      <c r="DV128" s="222">
        <f t="shared" si="355"/>
        <v>279.27461538461557</v>
      </c>
      <c r="DW128" s="216"/>
      <c r="DX128" s="210"/>
      <c r="DY128" s="208">
        <f t="shared" si="356"/>
        <v>4987.130000000001</v>
      </c>
      <c r="DZ128" s="52"/>
      <c r="EA128" s="208">
        <f t="shared" si="361"/>
        <v>10320</v>
      </c>
      <c r="EB128" s="33"/>
      <c r="EC128" s="212">
        <f>EA128-DY128</f>
        <v>5332.869999999999</v>
      </c>
      <c r="ED128" s="212"/>
    </row>
    <row r="129" spans="1:134">
      <c r="A129" s="10" t="s">
        <v>135</v>
      </c>
      <c r="B129" s="10"/>
      <c r="C129" s="65"/>
      <c r="D129" s="33"/>
      <c r="E129" s="68">
        <v>15.602123076923077</v>
      </c>
      <c r="F129" s="33"/>
      <c r="G129" s="212">
        <f>E129-C129</f>
        <v>15.602123076923077</v>
      </c>
      <c r="H129" s="212"/>
      <c r="I129" s="210"/>
      <c r="J129" s="22">
        <v>0</v>
      </c>
      <c r="K129" s="33"/>
      <c r="L129" s="68">
        <v>15.602123076923077</v>
      </c>
      <c r="M129" s="33"/>
      <c r="N129" s="212"/>
      <c r="O129" s="212"/>
      <c r="P129" s="210"/>
      <c r="Q129" s="65">
        <v>0</v>
      </c>
      <c r="R129" s="23"/>
      <c r="S129" s="68">
        <v>15.602123076923077</v>
      </c>
      <c r="T129" s="33"/>
      <c r="U129" s="212"/>
      <c r="V129" s="212"/>
      <c r="W129" s="210"/>
      <c r="X129" s="208">
        <f t="shared" si="340"/>
        <v>0</v>
      </c>
      <c r="Y129" s="33"/>
      <c r="Z129" s="218">
        <f t="shared" si="341"/>
        <v>46.806369230769228</v>
      </c>
      <c r="AA129" s="23"/>
      <c r="AB129" s="212">
        <f>Z129-X129</f>
        <v>46.806369230769228</v>
      </c>
      <c r="AC129" s="212"/>
      <c r="AD129" s="210"/>
      <c r="AE129" s="65">
        <v>0</v>
      </c>
      <c r="AF129" s="23"/>
      <c r="AG129" s="22">
        <v>15.602123076923077</v>
      </c>
      <c r="AH129" s="23"/>
      <c r="AI129" s="220">
        <f>AG129-AE129</f>
        <v>15.602123076923077</v>
      </c>
      <c r="AJ129" s="221"/>
      <c r="AK129" s="210"/>
      <c r="AL129" s="65">
        <v>0</v>
      </c>
      <c r="AM129" s="23"/>
      <c r="AN129" s="22">
        <v>15.602123076923077</v>
      </c>
      <c r="AO129" s="23"/>
      <c r="AP129" s="220">
        <f>AN129-AL129</f>
        <v>15.602123076923077</v>
      </c>
      <c r="AQ129" s="221"/>
      <c r="AR129" s="210"/>
      <c r="AS129" s="65">
        <v>100</v>
      </c>
      <c r="AT129" s="23"/>
      <c r="AU129" s="22">
        <v>15.602123076923077</v>
      </c>
      <c r="AV129" s="23"/>
      <c r="AW129" s="220">
        <f>AU129-AS129</f>
        <v>-84.397876923076922</v>
      </c>
      <c r="AX129" s="221"/>
      <c r="AY129" s="210"/>
      <c r="AZ129" s="208">
        <f t="shared" si="342"/>
        <v>100</v>
      </c>
      <c r="BA129" s="23"/>
      <c r="BB129" s="218">
        <f t="shared" si="343"/>
        <v>46.806369230769228</v>
      </c>
      <c r="BC129" s="23"/>
      <c r="BD129" s="220">
        <f>BB129-AZ129</f>
        <v>-53.193630769230772</v>
      </c>
      <c r="BE129" s="212"/>
      <c r="BF129" s="210"/>
      <c r="BG129" s="65">
        <v>0</v>
      </c>
      <c r="BH129" s="23"/>
      <c r="BI129" s="65">
        <v>0</v>
      </c>
      <c r="BJ129" s="23"/>
      <c r="BK129" s="220">
        <f>BI129-BG129</f>
        <v>0</v>
      </c>
      <c r="BL129" s="212"/>
      <c r="BM129" s="210"/>
      <c r="BN129" s="65">
        <v>42.38</v>
      </c>
      <c r="BO129" s="52"/>
      <c r="BP129" s="65">
        <v>0</v>
      </c>
      <c r="BQ129" s="52"/>
      <c r="BR129" s="222">
        <f t="shared" si="344"/>
        <v>42.38</v>
      </c>
      <c r="BS129" s="216"/>
      <c r="BT129" s="210"/>
      <c r="BU129" s="65">
        <v>0</v>
      </c>
      <c r="BV129" s="52"/>
      <c r="BW129" s="65">
        <v>16</v>
      </c>
      <c r="BX129" s="52"/>
      <c r="BY129" s="222">
        <f t="shared" si="345"/>
        <v>-16</v>
      </c>
      <c r="BZ129" s="216"/>
      <c r="CA129" s="210"/>
      <c r="CB129" s="65">
        <v>0</v>
      </c>
      <c r="CC129" s="52"/>
      <c r="CD129" s="65">
        <v>15.602123076923077</v>
      </c>
      <c r="CE129" s="52"/>
      <c r="CF129" s="222">
        <f t="shared" si="346"/>
        <v>-15.602123076923077</v>
      </c>
      <c r="CG129" s="216"/>
      <c r="CH129" s="210"/>
      <c r="CI129" s="208">
        <f t="shared" si="347"/>
        <v>42.38</v>
      </c>
      <c r="CJ129" s="52"/>
      <c r="CK129" s="208">
        <f t="shared" si="360"/>
        <v>31.602123076923078</v>
      </c>
      <c r="CL129" s="52"/>
      <c r="CM129" s="222">
        <f t="shared" si="348"/>
        <v>10.777876923076924</v>
      </c>
      <c r="CN129" s="216"/>
      <c r="CO129" s="210"/>
      <c r="CP129" s="65">
        <v>0</v>
      </c>
      <c r="CQ129" s="51"/>
      <c r="CR129" s="65">
        <v>15.602123076923077</v>
      </c>
      <c r="CS129" s="51"/>
      <c r="CT129" s="222">
        <f t="shared" si="349"/>
        <v>-15.602123076923077</v>
      </c>
      <c r="CU129" s="223"/>
      <c r="CV129" s="210"/>
      <c r="CW129" s="65">
        <v>0</v>
      </c>
      <c r="CX129" s="52"/>
      <c r="CY129" s="65">
        <v>15.602123076923077</v>
      </c>
      <c r="CZ129" s="52"/>
      <c r="DA129" s="222">
        <f t="shared" si="350"/>
        <v>-15.602123076923077</v>
      </c>
      <c r="DB129" s="216"/>
      <c r="DC129" s="210"/>
      <c r="DD129" s="65">
        <v>0</v>
      </c>
      <c r="DE129" s="52"/>
      <c r="DF129" s="65">
        <v>15.602123076923077</v>
      </c>
      <c r="DG129" s="52"/>
      <c r="DH129" s="222">
        <f t="shared" si="351"/>
        <v>-15.602123076923077</v>
      </c>
      <c r="DI129" s="216"/>
      <c r="DJ129" s="210"/>
      <c r="DK129" s="65">
        <v>1011.63</v>
      </c>
      <c r="DL129" s="52"/>
      <c r="DM129" s="65">
        <v>15.602123076923077</v>
      </c>
      <c r="DN129" s="52"/>
      <c r="DO129" s="222">
        <f t="shared" si="352"/>
        <v>996.02787692307697</v>
      </c>
      <c r="DP129" s="216"/>
      <c r="DQ129" s="210"/>
      <c r="DR129" s="208">
        <f t="shared" si="353"/>
        <v>1011.63</v>
      </c>
      <c r="DS129" s="52"/>
      <c r="DT129" s="208">
        <f t="shared" si="354"/>
        <v>62.408492307692306</v>
      </c>
      <c r="DU129" s="52"/>
      <c r="DV129" s="222">
        <f t="shared" si="355"/>
        <v>949.22150769230768</v>
      </c>
      <c r="DW129" s="216"/>
      <c r="DX129" s="210"/>
      <c r="DY129" s="208">
        <f t="shared" si="356"/>
        <v>1154.01</v>
      </c>
      <c r="DZ129" s="52"/>
      <c r="EA129" s="208">
        <f t="shared" si="361"/>
        <v>187.62335384615383</v>
      </c>
      <c r="EB129" s="33"/>
      <c r="EC129" s="212">
        <f>EA129-DY129</f>
        <v>-966.38664615384619</v>
      </c>
      <c r="ED129" s="212"/>
    </row>
    <row r="130" spans="1:134">
      <c r="A130" s="10" t="s">
        <v>136</v>
      </c>
      <c r="B130" s="10"/>
      <c r="C130" s="65"/>
      <c r="D130" s="33"/>
      <c r="E130" s="68">
        <v>5551.5446799999991</v>
      </c>
      <c r="F130" s="33"/>
      <c r="G130" s="212">
        <f t="shared" ref="G130:G135" si="362">E130-C130</f>
        <v>5551.5446799999991</v>
      </c>
      <c r="H130" s="212"/>
      <c r="I130" s="210"/>
      <c r="J130" s="22">
        <v>3156.52</v>
      </c>
      <c r="K130" s="33"/>
      <c r="L130" s="68">
        <v>5593.2349000000004</v>
      </c>
      <c r="M130" s="33"/>
      <c r="N130" s="212"/>
      <c r="O130" s="212"/>
      <c r="P130" s="210"/>
      <c r="Q130" s="65">
        <v>2003.55</v>
      </c>
      <c r="R130" s="23"/>
      <c r="S130" s="68">
        <v>6441.8541439999999</v>
      </c>
      <c r="T130" s="33"/>
      <c r="U130" s="212"/>
      <c r="V130" s="212"/>
      <c r="W130" s="210"/>
      <c r="X130" s="208">
        <f t="shared" si="340"/>
        <v>5160.07</v>
      </c>
      <c r="Y130" s="33"/>
      <c r="Z130" s="218">
        <f t="shared" si="341"/>
        <v>17586.633723999999</v>
      </c>
      <c r="AA130" s="23"/>
      <c r="AB130" s="212">
        <f t="shared" ref="AB130:AB135" si="363">Z130-X130</f>
        <v>12426.563724</v>
      </c>
      <c r="AC130" s="212"/>
      <c r="AD130" s="210"/>
      <c r="AE130" s="65">
        <v>2714.76</v>
      </c>
      <c r="AF130" s="23"/>
      <c r="AG130" s="22">
        <v>6935.3059599999997</v>
      </c>
      <c r="AH130" s="23"/>
      <c r="AI130" s="220">
        <f t="shared" ref="AI130:AI136" si="364">AG130-AE130</f>
        <v>4220.5459599999995</v>
      </c>
      <c r="AJ130" s="221"/>
      <c r="AK130" s="210"/>
      <c r="AL130" s="65">
        <v>0</v>
      </c>
      <c r="AM130" s="23"/>
      <c r="AN130" s="22">
        <v>6962.2671799999998</v>
      </c>
      <c r="AO130" s="23"/>
      <c r="AP130" s="220">
        <f t="shared" ref="AP130:AP136" si="365">AN130-AL130</f>
        <v>6962.2671799999998</v>
      </c>
      <c r="AQ130" s="221"/>
      <c r="AR130" s="210"/>
      <c r="AS130" s="65">
        <v>0</v>
      </c>
      <c r="AT130" s="23"/>
      <c r="AU130" s="22">
        <v>7110.5976479999999</v>
      </c>
      <c r="AV130" s="23"/>
      <c r="AW130" s="220">
        <f t="shared" ref="AW130:AW135" si="366">AU130-AS130</f>
        <v>7110.5976479999999</v>
      </c>
      <c r="AX130" s="221"/>
      <c r="AY130" s="210"/>
      <c r="AZ130" s="208">
        <f t="shared" si="342"/>
        <v>2714.76</v>
      </c>
      <c r="BA130" s="23"/>
      <c r="BB130" s="218">
        <f t="shared" si="343"/>
        <v>21008.170787999999</v>
      </c>
      <c r="BC130" s="23"/>
      <c r="BD130" s="220">
        <f t="shared" ref="BD130:BD135" si="367">BB130-AZ130</f>
        <v>18293.410788000001</v>
      </c>
      <c r="BE130" s="212"/>
      <c r="BF130" s="210"/>
      <c r="BG130" s="65">
        <v>0</v>
      </c>
      <c r="BH130" s="23"/>
      <c r="BI130" s="65">
        <v>0</v>
      </c>
      <c r="BJ130" s="23"/>
      <c r="BK130" s="220">
        <f t="shared" ref="BK130:BK135" si="368">BI130-BG130</f>
        <v>0</v>
      </c>
      <c r="BL130" s="212"/>
      <c r="BM130" s="210"/>
      <c r="BN130" s="65">
        <v>0</v>
      </c>
      <c r="BO130" s="52"/>
      <c r="BP130" s="65">
        <v>0</v>
      </c>
      <c r="BQ130" s="52"/>
      <c r="BR130" s="222">
        <f t="shared" si="344"/>
        <v>0</v>
      </c>
      <c r="BS130" s="216"/>
      <c r="BT130" s="210"/>
      <c r="BU130" s="65">
        <v>0</v>
      </c>
      <c r="BV130" s="52"/>
      <c r="BW130" s="65">
        <v>0</v>
      </c>
      <c r="BX130" s="52"/>
      <c r="BY130" s="222">
        <f t="shared" si="345"/>
        <v>0</v>
      </c>
      <c r="BZ130" s="216"/>
      <c r="CA130" s="210"/>
      <c r="CB130" s="65">
        <v>2152.94</v>
      </c>
      <c r="CC130" s="52"/>
      <c r="CD130" s="65">
        <v>2613</v>
      </c>
      <c r="CE130" s="52"/>
      <c r="CF130" s="222">
        <f t="shared" si="346"/>
        <v>-460.05999999999995</v>
      </c>
      <c r="CG130" s="216"/>
      <c r="CH130" s="210"/>
      <c r="CI130" s="208">
        <f t="shared" si="347"/>
        <v>2152.94</v>
      </c>
      <c r="CJ130" s="52"/>
      <c r="CK130" s="208">
        <f t="shared" si="360"/>
        <v>2613</v>
      </c>
      <c r="CL130" s="52"/>
      <c r="CM130" s="222">
        <f t="shared" si="348"/>
        <v>-460.05999999999995</v>
      </c>
      <c r="CN130" s="216"/>
      <c r="CO130" s="210"/>
      <c r="CP130" s="65">
        <v>4115.75</v>
      </c>
      <c r="CQ130" s="51"/>
      <c r="CR130" s="65">
        <v>5226</v>
      </c>
      <c r="CS130" s="51"/>
      <c r="CT130" s="222">
        <f t="shared" si="349"/>
        <v>-1110.25</v>
      </c>
      <c r="CU130" s="223"/>
      <c r="CV130" s="210"/>
      <c r="CW130" s="65">
        <v>5673.44</v>
      </c>
      <c r="CX130" s="52"/>
      <c r="CY130" s="65">
        <v>5226</v>
      </c>
      <c r="CZ130" s="52"/>
      <c r="DA130" s="222">
        <f t="shared" si="350"/>
        <v>447.4399999999996</v>
      </c>
      <c r="DB130" s="216"/>
      <c r="DC130" s="210"/>
      <c r="DD130" s="65">
        <v>5158.28</v>
      </c>
      <c r="DE130" s="52"/>
      <c r="DF130" s="65">
        <v>5973</v>
      </c>
      <c r="DG130" s="52"/>
      <c r="DH130" s="222">
        <f t="shared" si="351"/>
        <v>-814.72000000000025</v>
      </c>
      <c r="DI130" s="216"/>
      <c r="DJ130" s="210"/>
      <c r="DK130" s="65">
        <v>3139.84</v>
      </c>
      <c r="DL130" s="52"/>
      <c r="DM130" s="65">
        <v>5973</v>
      </c>
      <c r="DN130" s="52"/>
      <c r="DO130" s="222">
        <f t="shared" si="352"/>
        <v>-2833.16</v>
      </c>
      <c r="DP130" s="216"/>
      <c r="DQ130" s="210"/>
      <c r="DR130" s="208">
        <f t="shared" si="353"/>
        <v>18087.309999999998</v>
      </c>
      <c r="DS130" s="52"/>
      <c r="DT130" s="208">
        <f t="shared" si="354"/>
        <v>22398</v>
      </c>
      <c r="DU130" s="52"/>
      <c r="DV130" s="222">
        <f t="shared" si="355"/>
        <v>-4310.6900000000023</v>
      </c>
      <c r="DW130" s="216"/>
      <c r="DX130" s="210"/>
      <c r="DY130" s="208">
        <f t="shared" si="356"/>
        <v>28115.079999999998</v>
      </c>
      <c r="DZ130" s="52"/>
      <c r="EA130" s="208">
        <f t="shared" si="361"/>
        <v>63605.804512000002</v>
      </c>
      <c r="EB130" s="33"/>
      <c r="EC130" s="212">
        <f t="shared" ref="EC130:EC135" si="369">EA130-DY130</f>
        <v>35490.724512000001</v>
      </c>
      <c r="ED130" s="212"/>
    </row>
    <row r="131" spans="1:134">
      <c r="A131" s="10" t="s">
        <v>137</v>
      </c>
      <c r="B131" s="10"/>
      <c r="C131" s="65"/>
      <c r="D131" s="33"/>
      <c r="E131" s="68">
        <v>96.15384615384616</v>
      </c>
      <c r="F131" s="33"/>
      <c r="G131" s="212">
        <f t="shared" si="362"/>
        <v>96.15384615384616</v>
      </c>
      <c r="H131" s="212"/>
      <c r="I131" s="210"/>
      <c r="J131" s="22">
        <v>0</v>
      </c>
      <c r="K131" s="33"/>
      <c r="L131" s="68">
        <v>96.15384615384616</v>
      </c>
      <c r="M131" s="33"/>
      <c r="N131" s="212"/>
      <c r="O131" s="212"/>
      <c r="P131" s="210"/>
      <c r="Q131" s="65">
        <v>0</v>
      </c>
      <c r="R131" s="23"/>
      <c r="S131" s="68">
        <v>96.15384615384616</v>
      </c>
      <c r="T131" s="33"/>
      <c r="U131" s="212"/>
      <c r="V131" s="212"/>
      <c r="W131" s="210"/>
      <c r="X131" s="208">
        <f t="shared" si="340"/>
        <v>0</v>
      </c>
      <c r="Y131" s="33"/>
      <c r="Z131" s="218">
        <f t="shared" si="341"/>
        <v>288.46153846153845</v>
      </c>
      <c r="AA131" s="23"/>
      <c r="AB131" s="212">
        <f t="shared" si="363"/>
        <v>288.46153846153845</v>
      </c>
      <c r="AC131" s="212"/>
      <c r="AD131" s="210"/>
      <c r="AE131" s="65">
        <v>0</v>
      </c>
      <c r="AF131" s="23"/>
      <c r="AG131" s="22">
        <v>96.15384615384616</v>
      </c>
      <c r="AH131" s="23"/>
      <c r="AI131" s="220">
        <f t="shared" si="364"/>
        <v>96.15384615384616</v>
      </c>
      <c r="AJ131" s="221"/>
      <c r="AK131" s="210"/>
      <c r="AL131" s="65">
        <v>0</v>
      </c>
      <c r="AM131" s="23"/>
      <c r="AN131" s="22">
        <v>96.15384615384616</v>
      </c>
      <c r="AO131" s="23"/>
      <c r="AP131" s="220">
        <f t="shared" si="365"/>
        <v>96.15384615384616</v>
      </c>
      <c r="AQ131" s="221"/>
      <c r="AR131" s="210"/>
      <c r="AS131" s="65">
        <v>0</v>
      </c>
      <c r="AT131" s="23"/>
      <c r="AU131" s="22">
        <v>96.15384615384616</v>
      </c>
      <c r="AV131" s="23"/>
      <c r="AW131" s="220">
        <f t="shared" si="366"/>
        <v>96.15384615384616</v>
      </c>
      <c r="AX131" s="221"/>
      <c r="AY131" s="210"/>
      <c r="AZ131" s="208">
        <f t="shared" si="342"/>
        <v>0</v>
      </c>
      <c r="BA131" s="23"/>
      <c r="BB131" s="218">
        <f t="shared" si="343"/>
        <v>288.46153846153845</v>
      </c>
      <c r="BC131" s="23"/>
      <c r="BD131" s="220">
        <f t="shared" si="367"/>
        <v>288.46153846153845</v>
      </c>
      <c r="BE131" s="212"/>
      <c r="BF131" s="210"/>
      <c r="BG131" s="65">
        <v>180</v>
      </c>
      <c r="BH131" s="23"/>
      <c r="BI131" s="65">
        <v>0</v>
      </c>
      <c r="BJ131" s="23"/>
      <c r="BK131" s="220">
        <f t="shared" si="368"/>
        <v>-180</v>
      </c>
      <c r="BL131" s="212"/>
      <c r="BM131" s="210"/>
      <c r="BN131" s="65">
        <v>0</v>
      </c>
      <c r="BO131" s="52"/>
      <c r="BP131" s="65">
        <v>0</v>
      </c>
      <c r="BQ131" s="52"/>
      <c r="BR131" s="222">
        <f t="shared" si="344"/>
        <v>0</v>
      </c>
      <c r="BS131" s="216"/>
      <c r="BT131" s="210"/>
      <c r="BU131" s="65">
        <v>0</v>
      </c>
      <c r="BV131" s="52"/>
      <c r="BW131" s="65">
        <v>96.15384615384616</v>
      </c>
      <c r="BX131" s="52"/>
      <c r="BY131" s="222">
        <f t="shared" si="345"/>
        <v>-96.15384615384616</v>
      </c>
      <c r="BZ131" s="216"/>
      <c r="CA131" s="210"/>
      <c r="CB131" s="65">
        <v>0</v>
      </c>
      <c r="CC131" s="52"/>
      <c r="CD131" s="65">
        <v>96.15384615384616</v>
      </c>
      <c r="CE131" s="52"/>
      <c r="CF131" s="222">
        <f t="shared" si="346"/>
        <v>-96.15384615384616</v>
      </c>
      <c r="CG131" s="216"/>
      <c r="CH131" s="210"/>
      <c r="CI131" s="208">
        <f t="shared" si="347"/>
        <v>180</v>
      </c>
      <c r="CJ131" s="52"/>
      <c r="CK131" s="208">
        <f t="shared" si="360"/>
        <v>192.30769230769232</v>
      </c>
      <c r="CL131" s="52"/>
      <c r="CM131" s="222">
        <f t="shared" si="348"/>
        <v>-12.307692307692321</v>
      </c>
      <c r="CN131" s="216"/>
      <c r="CO131" s="210"/>
      <c r="CP131" s="65">
        <v>325.67</v>
      </c>
      <c r="CQ131" s="51"/>
      <c r="CR131" s="65">
        <v>96.15384615384616</v>
      </c>
      <c r="CS131" s="51"/>
      <c r="CT131" s="222">
        <f t="shared" si="349"/>
        <v>229.51615384615386</v>
      </c>
      <c r="CU131" s="223"/>
      <c r="CV131" s="210"/>
      <c r="CW131" s="65">
        <v>0</v>
      </c>
      <c r="CX131" s="52"/>
      <c r="CY131" s="65">
        <v>96.15384615384616</v>
      </c>
      <c r="CZ131" s="52"/>
      <c r="DA131" s="222">
        <f t="shared" si="350"/>
        <v>-96.15384615384616</v>
      </c>
      <c r="DB131" s="216"/>
      <c r="DC131" s="210"/>
      <c r="DD131" s="65">
        <v>99</v>
      </c>
      <c r="DE131" s="52"/>
      <c r="DF131" s="65">
        <v>96.15384615384616</v>
      </c>
      <c r="DG131" s="52"/>
      <c r="DH131" s="222">
        <f t="shared" si="351"/>
        <v>2.8461538461538396</v>
      </c>
      <c r="DI131" s="216"/>
      <c r="DJ131" s="210"/>
      <c r="DK131" s="65">
        <v>718</v>
      </c>
      <c r="DL131" s="52"/>
      <c r="DM131" s="65">
        <v>96.15384615384616</v>
      </c>
      <c r="DN131" s="52"/>
      <c r="DO131" s="222">
        <f t="shared" si="352"/>
        <v>621.84615384615381</v>
      </c>
      <c r="DP131" s="216"/>
      <c r="DQ131" s="210"/>
      <c r="DR131" s="208">
        <f t="shared" si="353"/>
        <v>1142.67</v>
      </c>
      <c r="DS131" s="52"/>
      <c r="DT131" s="208">
        <f t="shared" si="354"/>
        <v>384.61538461538464</v>
      </c>
      <c r="DU131" s="52"/>
      <c r="DV131" s="222">
        <f t="shared" si="355"/>
        <v>758.05461538461543</v>
      </c>
      <c r="DW131" s="216"/>
      <c r="DX131" s="210"/>
      <c r="DY131" s="208">
        <f t="shared" si="356"/>
        <v>1322.67</v>
      </c>
      <c r="DZ131" s="52"/>
      <c r="EA131" s="208">
        <f t="shared" si="361"/>
        <v>1153.8461538461538</v>
      </c>
      <c r="EB131" s="33"/>
      <c r="EC131" s="212">
        <f t="shared" si="369"/>
        <v>-168.82384615384626</v>
      </c>
      <c r="ED131" s="212"/>
    </row>
    <row r="132" spans="1:134">
      <c r="A132" s="10" t="s">
        <v>138</v>
      </c>
      <c r="B132" s="10"/>
      <c r="C132" s="65"/>
      <c r="D132" s="33"/>
      <c r="E132" s="68">
        <v>2437.0769230769229</v>
      </c>
      <c r="F132" s="33"/>
      <c r="G132" s="212">
        <f t="shared" si="362"/>
        <v>2437.0769230769229</v>
      </c>
      <c r="H132" s="212"/>
      <c r="I132" s="210"/>
      <c r="J132" s="22">
        <v>1627.62</v>
      </c>
      <c r="K132" s="33"/>
      <c r="L132" s="68">
        <v>2437.0769230769229</v>
      </c>
      <c r="M132" s="33"/>
      <c r="N132" s="212"/>
      <c r="O132" s="212"/>
      <c r="P132" s="210"/>
      <c r="Q132" s="65">
        <v>1564.62</v>
      </c>
      <c r="R132" s="23"/>
      <c r="S132" s="68">
        <v>2437.0769230769229</v>
      </c>
      <c r="T132" s="33"/>
      <c r="U132" s="212"/>
      <c r="V132" s="212"/>
      <c r="W132" s="210"/>
      <c r="X132" s="208">
        <f t="shared" si="340"/>
        <v>3192.24</v>
      </c>
      <c r="Y132" s="33"/>
      <c r="Z132" s="218">
        <f t="shared" si="341"/>
        <v>7311.2307692307686</v>
      </c>
      <c r="AA132" s="23"/>
      <c r="AB132" s="212">
        <f t="shared" si="363"/>
        <v>4118.9907692307688</v>
      </c>
      <c r="AC132" s="212"/>
      <c r="AD132" s="210"/>
      <c r="AE132" s="65">
        <v>1564.62</v>
      </c>
      <c r="AF132" s="23"/>
      <c r="AG132" s="22">
        <v>2437.0769230769229</v>
      </c>
      <c r="AH132" s="23"/>
      <c r="AI132" s="220">
        <f t="shared" si="364"/>
        <v>872.45692307692298</v>
      </c>
      <c r="AJ132" s="221"/>
      <c r="AK132" s="210"/>
      <c r="AL132" s="65">
        <v>1767.17</v>
      </c>
      <c r="AM132" s="23"/>
      <c r="AN132" s="22">
        <v>2437.0769230769229</v>
      </c>
      <c r="AO132" s="23"/>
      <c r="AP132" s="220">
        <f t="shared" si="365"/>
        <v>669.90692307692279</v>
      </c>
      <c r="AQ132" s="221"/>
      <c r="AR132" s="210"/>
      <c r="AS132" s="65">
        <v>1709.79</v>
      </c>
      <c r="AT132" s="23"/>
      <c r="AU132" s="22">
        <v>2437.0769230769229</v>
      </c>
      <c r="AV132" s="23"/>
      <c r="AW132" s="220">
        <f t="shared" si="366"/>
        <v>727.2869230769229</v>
      </c>
      <c r="AX132" s="221"/>
      <c r="AY132" s="210"/>
      <c r="AZ132" s="208">
        <f t="shared" si="342"/>
        <v>5041.58</v>
      </c>
      <c r="BA132" s="23"/>
      <c r="BB132" s="218">
        <f t="shared" si="343"/>
        <v>7311.2307692307686</v>
      </c>
      <c r="BC132" s="23"/>
      <c r="BD132" s="220">
        <f t="shared" si="367"/>
        <v>2269.6507692307687</v>
      </c>
      <c r="BE132" s="212"/>
      <c r="BF132" s="210"/>
      <c r="BG132" s="65">
        <v>1295.4100000000001</v>
      </c>
      <c r="BH132" s="23"/>
      <c r="BI132" s="65">
        <v>892</v>
      </c>
      <c r="BJ132" s="23"/>
      <c r="BK132" s="220">
        <f t="shared" si="368"/>
        <v>-403.41000000000008</v>
      </c>
      <c r="BL132" s="212"/>
      <c r="BM132" s="210"/>
      <c r="BN132" s="65">
        <v>932.84</v>
      </c>
      <c r="BO132" s="52"/>
      <c r="BP132" s="65">
        <v>892</v>
      </c>
      <c r="BQ132" s="52"/>
      <c r="BR132" s="222">
        <f t="shared" si="344"/>
        <v>40.840000000000032</v>
      </c>
      <c r="BS132" s="216"/>
      <c r="BT132" s="210"/>
      <c r="BU132" s="65">
        <f>1561.69/2</f>
        <v>780.84500000000003</v>
      </c>
      <c r="BV132" s="52"/>
      <c r="BW132" s="65">
        <v>892</v>
      </c>
      <c r="BX132" s="52"/>
      <c r="BY132" s="222">
        <f t="shared" si="345"/>
        <v>-111.15499999999997</v>
      </c>
      <c r="BZ132" s="216"/>
      <c r="CA132" s="210"/>
      <c r="CB132" s="65">
        <f>1561.69/2</f>
        <v>780.84500000000003</v>
      </c>
      <c r="CC132" s="52"/>
      <c r="CD132" s="65">
        <v>892</v>
      </c>
      <c r="CE132" s="52"/>
      <c r="CF132" s="222">
        <f t="shared" si="346"/>
        <v>-111.15499999999997</v>
      </c>
      <c r="CG132" s="216"/>
      <c r="CH132" s="210"/>
      <c r="CI132" s="208">
        <f t="shared" si="347"/>
        <v>3789.9400000000005</v>
      </c>
      <c r="CJ132" s="52"/>
      <c r="CK132" s="208">
        <f t="shared" si="360"/>
        <v>3568</v>
      </c>
      <c r="CL132" s="52"/>
      <c r="CM132" s="222">
        <f t="shared" si="348"/>
        <v>221.94000000000051</v>
      </c>
      <c r="CN132" s="216"/>
      <c r="CO132" s="210"/>
      <c r="CP132" s="65">
        <v>1685</v>
      </c>
      <c r="CQ132" s="51"/>
      <c r="CR132" s="65">
        <v>1565</v>
      </c>
      <c r="CS132" s="51"/>
      <c r="CT132" s="222">
        <f t="shared" si="349"/>
        <v>120</v>
      </c>
      <c r="CU132" s="223"/>
      <c r="CV132" s="210"/>
      <c r="CW132" s="65">
        <v>1685</v>
      </c>
      <c r="CX132" s="52"/>
      <c r="CY132" s="65">
        <v>1565</v>
      </c>
      <c r="CZ132" s="52"/>
      <c r="DA132" s="222">
        <f t="shared" si="350"/>
        <v>120</v>
      </c>
      <c r="DB132" s="216"/>
      <c r="DC132" s="210"/>
      <c r="DD132" s="65">
        <v>1685</v>
      </c>
      <c r="DE132" s="52"/>
      <c r="DF132" s="65">
        <v>1565</v>
      </c>
      <c r="DG132" s="52"/>
      <c r="DH132" s="222">
        <f t="shared" si="351"/>
        <v>120</v>
      </c>
      <c r="DI132" s="216"/>
      <c r="DJ132" s="210"/>
      <c r="DK132" s="65">
        <v>-1646.45</v>
      </c>
      <c r="DL132" s="52"/>
      <c r="DM132" s="65">
        <v>1565</v>
      </c>
      <c r="DN132" s="52"/>
      <c r="DO132" s="222">
        <f t="shared" si="352"/>
        <v>-3211.45</v>
      </c>
      <c r="DP132" s="216"/>
      <c r="DQ132" s="210"/>
      <c r="DR132" s="208">
        <f t="shared" si="353"/>
        <v>3408.55</v>
      </c>
      <c r="DS132" s="52"/>
      <c r="DT132" s="208">
        <f t="shared" si="354"/>
        <v>6260</v>
      </c>
      <c r="DU132" s="52"/>
      <c r="DV132" s="222">
        <f t="shared" si="355"/>
        <v>-2851.45</v>
      </c>
      <c r="DW132" s="216"/>
      <c r="DX132" s="210"/>
      <c r="DY132" s="208">
        <f t="shared" si="356"/>
        <v>15432.310000000001</v>
      </c>
      <c r="DZ132" s="52"/>
      <c r="EA132" s="208">
        <f t="shared" si="361"/>
        <v>24450.461538461539</v>
      </c>
      <c r="EB132" s="33"/>
      <c r="EC132" s="212">
        <f t="shared" si="369"/>
        <v>9018.1515384615377</v>
      </c>
      <c r="ED132" s="212"/>
    </row>
    <row r="133" spans="1:134">
      <c r="A133" s="10" t="s">
        <v>139</v>
      </c>
      <c r="B133" s="10"/>
      <c r="C133" s="65"/>
      <c r="D133" s="33"/>
      <c r="E133" s="68">
        <v>272</v>
      </c>
      <c r="F133" s="33"/>
      <c r="G133" s="212">
        <f t="shared" si="362"/>
        <v>272</v>
      </c>
      <c r="H133" s="212"/>
      <c r="I133" s="210"/>
      <c r="J133" s="22">
        <v>0</v>
      </c>
      <c r="K133" s="33"/>
      <c r="L133" s="68">
        <v>272</v>
      </c>
      <c r="M133" s="33"/>
      <c r="N133" s="212"/>
      <c r="O133" s="212"/>
      <c r="P133" s="210"/>
      <c r="Q133" s="65">
        <v>0</v>
      </c>
      <c r="R133" s="23"/>
      <c r="S133" s="68">
        <v>272</v>
      </c>
      <c r="T133" s="33"/>
      <c r="U133" s="212"/>
      <c r="V133" s="212"/>
      <c r="W133" s="210"/>
      <c r="X133" s="208">
        <f t="shared" si="340"/>
        <v>0</v>
      </c>
      <c r="Y133" s="33"/>
      <c r="Z133" s="218">
        <f t="shared" si="341"/>
        <v>816</v>
      </c>
      <c r="AA133" s="23"/>
      <c r="AB133" s="212">
        <f t="shared" si="363"/>
        <v>816</v>
      </c>
      <c r="AC133" s="212"/>
      <c r="AD133" s="210"/>
      <c r="AE133" s="65">
        <v>0</v>
      </c>
      <c r="AF133" s="23"/>
      <c r="AG133" s="22">
        <v>272</v>
      </c>
      <c r="AH133" s="23"/>
      <c r="AI133" s="220">
        <f t="shared" si="364"/>
        <v>272</v>
      </c>
      <c r="AJ133" s="221"/>
      <c r="AK133" s="210"/>
      <c r="AL133" s="65">
        <v>489.92</v>
      </c>
      <c r="AM133" s="23"/>
      <c r="AN133" s="22">
        <v>272</v>
      </c>
      <c r="AO133" s="23"/>
      <c r="AP133" s="220">
        <f t="shared" si="365"/>
        <v>-217.92000000000002</v>
      </c>
      <c r="AQ133" s="221"/>
      <c r="AR133" s="210"/>
      <c r="AS133" s="65">
        <v>0</v>
      </c>
      <c r="AT133" s="23"/>
      <c r="AU133" s="22">
        <v>272</v>
      </c>
      <c r="AV133" s="23"/>
      <c r="AW133" s="220">
        <f t="shared" si="366"/>
        <v>272</v>
      </c>
      <c r="AX133" s="221"/>
      <c r="AY133" s="210"/>
      <c r="AZ133" s="208">
        <f t="shared" si="342"/>
        <v>489.92</v>
      </c>
      <c r="BA133" s="23"/>
      <c r="BB133" s="218">
        <f t="shared" si="343"/>
        <v>816</v>
      </c>
      <c r="BC133" s="23"/>
      <c r="BD133" s="220">
        <f t="shared" si="367"/>
        <v>326.08</v>
      </c>
      <c r="BE133" s="212"/>
      <c r="BF133" s="210"/>
      <c r="BG133" s="65">
        <v>203.53</v>
      </c>
      <c r="BH133" s="23"/>
      <c r="BI133" s="65">
        <v>0</v>
      </c>
      <c r="BJ133" s="23"/>
      <c r="BK133" s="220">
        <f t="shared" si="368"/>
        <v>-203.53</v>
      </c>
      <c r="BL133" s="212"/>
      <c r="BM133" s="210"/>
      <c r="BN133" s="65">
        <v>1055</v>
      </c>
      <c r="BO133" s="52"/>
      <c r="BP133" s="65">
        <v>0</v>
      </c>
      <c r="BQ133" s="52"/>
      <c r="BR133" s="222">
        <f t="shared" si="344"/>
        <v>1055</v>
      </c>
      <c r="BS133" s="216"/>
      <c r="BT133" s="210"/>
      <c r="BU133" s="65">
        <v>0</v>
      </c>
      <c r="BV133" s="52"/>
      <c r="BW133" s="65">
        <v>272</v>
      </c>
      <c r="BX133" s="52"/>
      <c r="BY133" s="222">
        <f t="shared" si="345"/>
        <v>-272</v>
      </c>
      <c r="BZ133" s="216"/>
      <c r="CA133" s="210"/>
      <c r="CB133" s="65">
        <v>1380</v>
      </c>
      <c r="CC133" s="52"/>
      <c r="CD133" s="65">
        <v>272</v>
      </c>
      <c r="CE133" s="52"/>
      <c r="CF133" s="222">
        <f t="shared" si="346"/>
        <v>1108</v>
      </c>
      <c r="CG133" s="216"/>
      <c r="CH133" s="210"/>
      <c r="CI133" s="208">
        <f t="shared" si="347"/>
        <v>2638.5299999999997</v>
      </c>
      <c r="CJ133" s="52"/>
      <c r="CK133" s="208">
        <f t="shared" si="360"/>
        <v>544</v>
      </c>
      <c r="CL133" s="52"/>
      <c r="CM133" s="222">
        <f t="shared" si="348"/>
        <v>2094.5299999999997</v>
      </c>
      <c r="CN133" s="216"/>
      <c r="CO133" s="210"/>
      <c r="CP133" s="65">
        <v>0</v>
      </c>
      <c r="CQ133" s="51"/>
      <c r="CR133" s="65">
        <v>272</v>
      </c>
      <c r="CS133" s="51"/>
      <c r="CT133" s="222">
        <f t="shared" si="349"/>
        <v>-272</v>
      </c>
      <c r="CU133" s="223"/>
      <c r="CV133" s="210"/>
      <c r="CW133" s="65">
        <v>0</v>
      </c>
      <c r="CX133" s="52"/>
      <c r="CY133" s="65">
        <v>272</v>
      </c>
      <c r="CZ133" s="52"/>
      <c r="DA133" s="222">
        <f t="shared" si="350"/>
        <v>-272</v>
      </c>
      <c r="DB133" s="216"/>
      <c r="DC133" s="210"/>
      <c r="DD133" s="65">
        <v>112.4</v>
      </c>
      <c r="DE133" s="52"/>
      <c r="DF133" s="65">
        <v>272</v>
      </c>
      <c r="DG133" s="52"/>
      <c r="DH133" s="222">
        <f t="shared" si="351"/>
        <v>-159.6</v>
      </c>
      <c r="DI133" s="216"/>
      <c r="DJ133" s="210"/>
      <c r="DK133" s="65">
        <v>390</v>
      </c>
      <c r="DL133" s="52"/>
      <c r="DM133" s="65">
        <v>272</v>
      </c>
      <c r="DN133" s="52"/>
      <c r="DO133" s="222">
        <f t="shared" si="352"/>
        <v>118</v>
      </c>
      <c r="DP133" s="216"/>
      <c r="DQ133" s="210"/>
      <c r="DR133" s="208">
        <f t="shared" si="353"/>
        <v>502.4</v>
      </c>
      <c r="DS133" s="52"/>
      <c r="DT133" s="208">
        <f t="shared" si="354"/>
        <v>1088</v>
      </c>
      <c r="DU133" s="52"/>
      <c r="DV133" s="222">
        <f t="shared" si="355"/>
        <v>-585.6</v>
      </c>
      <c r="DW133" s="216"/>
      <c r="DX133" s="210"/>
      <c r="DY133" s="208">
        <f t="shared" si="356"/>
        <v>3630.85</v>
      </c>
      <c r="DZ133" s="52"/>
      <c r="EA133" s="208">
        <f t="shared" si="361"/>
        <v>3264</v>
      </c>
      <c r="EB133" s="33"/>
      <c r="EC133" s="212">
        <f t="shared" si="369"/>
        <v>-366.84999999999991</v>
      </c>
      <c r="ED133" s="212"/>
    </row>
    <row r="134" spans="1:134">
      <c r="A134" s="10" t="s">
        <v>140</v>
      </c>
      <c r="B134" s="10"/>
      <c r="C134" s="65"/>
      <c r="D134" s="33"/>
      <c r="E134" s="68">
        <v>280.53310489510488</v>
      </c>
      <c r="F134" s="33"/>
      <c r="G134" s="212">
        <f t="shared" si="362"/>
        <v>280.53310489510488</v>
      </c>
      <c r="H134" s="212"/>
      <c r="I134" s="210"/>
      <c r="J134" s="22">
        <v>0</v>
      </c>
      <c r="K134" s="33"/>
      <c r="L134" s="68">
        <v>280.53310489510488</v>
      </c>
      <c r="M134" s="33"/>
      <c r="N134" s="212"/>
      <c r="O134" s="212"/>
      <c r="P134" s="210"/>
      <c r="Q134" s="65">
        <v>596.84</v>
      </c>
      <c r="R134" s="23"/>
      <c r="S134" s="68">
        <v>280.53310489510488</v>
      </c>
      <c r="T134" s="33"/>
      <c r="U134" s="212"/>
      <c r="V134" s="212"/>
      <c r="W134" s="210"/>
      <c r="X134" s="208">
        <f t="shared" si="340"/>
        <v>596.84</v>
      </c>
      <c r="Y134" s="33"/>
      <c r="Z134" s="218">
        <f t="shared" si="341"/>
        <v>841.59931468531465</v>
      </c>
      <c r="AA134" s="23"/>
      <c r="AB134" s="212">
        <f t="shared" si="363"/>
        <v>244.75931468531462</v>
      </c>
      <c r="AC134" s="212"/>
      <c r="AD134" s="210"/>
      <c r="AE134" s="65">
        <v>99</v>
      </c>
      <c r="AF134" s="23"/>
      <c r="AG134" s="22">
        <v>280.53310489510488</v>
      </c>
      <c r="AH134" s="23"/>
      <c r="AI134" s="220">
        <f t="shared" si="364"/>
        <v>181.53310489510488</v>
      </c>
      <c r="AJ134" s="221"/>
      <c r="AK134" s="210"/>
      <c r="AL134" s="65">
        <v>0</v>
      </c>
      <c r="AM134" s="23"/>
      <c r="AN134" s="22">
        <v>280.53310489510488</v>
      </c>
      <c r="AO134" s="23"/>
      <c r="AP134" s="220">
        <f t="shared" si="365"/>
        <v>280.53310489510488</v>
      </c>
      <c r="AQ134" s="221"/>
      <c r="AR134" s="210"/>
      <c r="AS134" s="65">
        <v>0</v>
      </c>
      <c r="AT134" s="23"/>
      <c r="AU134" s="22">
        <v>280.53310489510488</v>
      </c>
      <c r="AV134" s="23"/>
      <c r="AW134" s="220">
        <f t="shared" si="366"/>
        <v>280.53310489510488</v>
      </c>
      <c r="AX134" s="221"/>
      <c r="AY134" s="210"/>
      <c r="AZ134" s="208">
        <f t="shared" si="342"/>
        <v>99</v>
      </c>
      <c r="BA134" s="23"/>
      <c r="BB134" s="218">
        <f t="shared" si="343"/>
        <v>841.59931468531465</v>
      </c>
      <c r="BC134" s="23"/>
      <c r="BD134" s="220">
        <f t="shared" si="367"/>
        <v>742.59931468531465</v>
      </c>
      <c r="BE134" s="212"/>
      <c r="BF134" s="210"/>
      <c r="BG134" s="65">
        <v>651.78</v>
      </c>
      <c r="BH134" s="23"/>
      <c r="BI134" s="65">
        <v>0</v>
      </c>
      <c r="BJ134" s="23"/>
      <c r="BK134" s="220">
        <f t="shared" si="368"/>
        <v>-651.78</v>
      </c>
      <c r="BL134" s="212"/>
      <c r="BM134" s="210"/>
      <c r="BN134" s="65">
        <v>359.31</v>
      </c>
      <c r="BO134" s="52"/>
      <c r="BP134" s="65">
        <v>0</v>
      </c>
      <c r="BQ134" s="52"/>
      <c r="BR134" s="222">
        <f t="shared" si="344"/>
        <v>359.31</v>
      </c>
      <c r="BS134" s="216"/>
      <c r="BT134" s="210"/>
      <c r="BU134" s="65">
        <v>1505.06</v>
      </c>
      <c r="BV134" s="52"/>
      <c r="BW134" s="65">
        <v>280.53310489510488</v>
      </c>
      <c r="BX134" s="52"/>
      <c r="BY134" s="222">
        <f t="shared" si="345"/>
        <v>1224.5268951048952</v>
      </c>
      <c r="BZ134" s="216"/>
      <c r="CA134" s="210"/>
      <c r="CB134" s="65">
        <v>141</v>
      </c>
      <c r="CC134" s="52"/>
      <c r="CD134" s="65">
        <v>280.53310489510488</v>
      </c>
      <c r="CE134" s="52"/>
      <c r="CF134" s="222">
        <f t="shared" si="346"/>
        <v>-139.53310489510488</v>
      </c>
      <c r="CG134" s="216"/>
      <c r="CH134" s="210"/>
      <c r="CI134" s="208">
        <f t="shared" si="347"/>
        <v>2657.1499999999996</v>
      </c>
      <c r="CJ134" s="52"/>
      <c r="CK134" s="208">
        <f t="shared" si="360"/>
        <v>561.06620979020977</v>
      </c>
      <c r="CL134" s="52"/>
      <c r="CM134" s="222">
        <f t="shared" si="348"/>
        <v>2096.0837902097901</v>
      </c>
      <c r="CN134" s="216"/>
      <c r="CO134" s="210"/>
      <c r="CP134" s="65">
        <v>382.06</v>
      </c>
      <c r="CQ134" s="51"/>
      <c r="CR134" s="65">
        <v>281</v>
      </c>
      <c r="CS134" s="51"/>
      <c r="CT134" s="222">
        <f t="shared" si="349"/>
        <v>101.06</v>
      </c>
      <c r="CU134" s="223"/>
      <c r="CV134" s="210"/>
      <c r="CW134" s="65">
        <v>340.21</v>
      </c>
      <c r="CX134" s="52"/>
      <c r="CY134" s="65">
        <v>281</v>
      </c>
      <c r="CZ134" s="52"/>
      <c r="DA134" s="222">
        <f t="shared" si="350"/>
        <v>59.20999999999998</v>
      </c>
      <c r="DB134" s="216"/>
      <c r="DC134" s="210"/>
      <c r="DD134" s="65">
        <v>347.56</v>
      </c>
      <c r="DE134" s="52"/>
      <c r="DF134" s="65">
        <v>281</v>
      </c>
      <c r="DG134" s="52"/>
      <c r="DH134" s="222">
        <f t="shared" si="351"/>
        <v>66.56</v>
      </c>
      <c r="DI134" s="216"/>
      <c r="DJ134" s="210"/>
      <c r="DK134" s="65">
        <v>159.52000000000001</v>
      </c>
      <c r="DL134" s="52"/>
      <c r="DM134" s="65">
        <v>281</v>
      </c>
      <c r="DN134" s="52"/>
      <c r="DO134" s="222">
        <f t="shared" si="352"/>
        <v>-121.47999999999999</v>
      </c>
      <c r="DP134" s="216"/>
      <c r="DQ134" s="210"/>
      <c r="DR134" s="208">
        <f t="shared" si="353"/>
        <v>1229.3499999999999</v>
      </c>
      <c r="DS134" s="52"/>
      <c r="DT134" s="208">
        <f t="shared" si="354"/>
        <v>1124</v>
      </c>
      <c r="DU134" s="52"/>
      <c r="DV134" s="222">
        <f t="shared" si="355"/>
        <v>105.34999999999991</v>
      </c>
      <c r="DW134" s="216"/>
      <c r="DX134" s="210"/>
      <c r="DY134" s="208">
        <f t="shared" si="356"/>
        <v>4582.34</v>
      </c>
      <c r="DZ134" s="52"/>
      <c r="EA134" s="208">
        <f t="shared" si="361"/>
        <v>3368.2648391608391</v>
      </c>
      <c r="EB134" s="33"/>
      <c r="EC134" s="212">
        <f t="shared" si="369"/>
        <v>-1214.0751608391611</v>
      </c>
      <c r="ED134" s="212"/>
    </row>
    <row r="135" spans="1:134">
      <c r="A135" s="10" t="s">
        <v>141</v>
      </c>
      <c r="B135" s="10"/>
      <c r="C135" s="65"/>
      <c r="D135" s="33"/>
      <c r="E135" s="68">
        <v>555.38461538461536</v>
      </c>
      <c r="F135" s="33"/>
      <c r="G135" s="212">
        <f t="shared" si="362"/>
        <v>555.38461538461536</v>
      </c>
      <c r="H135" s="212"/>
      <c r="I135" s="210"/>
      <c r="J135" s="22">
        <v>555</v>
      </c>
      <c r="K135" s="33"/>
      <c r="L135" s="68">
        <v>555.38461538461536</v>
      </c>
      <c r="M135" s="33"/>
      <c r="N135" s="212"/>
      <c r="O135" s="212"/>
      <c r="P135" s="210"/>
      <c r="Q135" s="65">
        <f>26.21+555</f>
        <v>581.21</v>
      </c>
      <c r="R135" s="23"/>
      <c r="S135" s="68">
        <v>555.38461538461536</v>
      </c>
      <c r="T135" s="33"/>
      <c r="U135" s="212"/>
      <c r="V135" s="212"/>
      <c r="W135" s="210"/>
      <c r="X135" s="208">
        <f t="shared" si="340"/>
        <v>1136.21</v>
      </c>
      <c r="Y135" s="33"/>
      <c r="Z135" s="218">
        <f t="shared" si="341"/>
        <v>1666.1538461538462</v>
      </c>
      <c r="AA135" s="23"/>
      <c r="AB135" s="212">
        <f t="shared" si="363"/>
        <v>529.94384615384615</v>
      </c>
      <c r="AC135" s="212"/>
      <c r="AD135" s="210"/>
      <c r="AE135" s="65">
        <v>127.74</v>
      </c>
      <c r="AF135" s="23"/>
      <c r="AG135" s="22">
        <v>555.38461538461536</v>
      </c>
      <c r="AH135" s="23"/>
      <c r="AI135" s="220">
        <f t="shared" si="364"/>
        <v>427.64461538461535</v>
      </c>
      <c r="AJ135" s="221"/>
      <c r="AK135" s="210"/>
      <c r="AL135" s="65">
        <v>0</v>
      </c>
      <c r="AM135" s="23"/>
      <c r="AN135" s="22">
        <v>555.38461538461536</v>
      </c>
      <c r="AO135" s="23"/>
      <c r="AP135" s="220">
        <f t="shared" si="365"/>
        <v>555.38461538461536</v>
      </c>
      <c r="AQ135" s="221"/>
      <c r="AR135" s="210"/>
      <c r="AS135" s="65">
        <v>0</v>
      </c>
      <c r="AT135" s="23"/>
      <c r="AU135" s="22">
        <v>555.38461538461536</v>
      </c>
      <c r="AV135" s="23"/>
      <c r="AW135" s="220">
        <f t="shared" si="366"/>
        <v>555.38461538461536</v>
      </c>
      <c r="AX135" s="221"/>
      <c r="AY135" s="210"/>
      <c r="AZ135" s="208">
        <f t="shared" si="342"/>
        <v>127.74</v>
      </c>
      <c r="BA135" s="23"/>
      <c r="BB135" s="218">
        <f t="shared" si="343"/>
        <v>1666.1538461538462</v>
      </c>
      <c r="BC135" s="23"/>
      <c r="BD135" s="220">
        <f t="shared" si="367"/>
        <v>1538.4138461538462</v>
      </c>
      <c r="BE135" s="212"/>
      <c r="BF135" s="210"/>
      <c r="BG135" s="65">
        <v>6500</v>
      </c>
      <c r="BH135" s="23"/>
      <c r="BI135" s="65">
        <v>10500</v>
      </c>
      <c r="BJ135" s="23"/>
      <c r="BK135" s="220">
        <f t="shared" si="368"/>
        <v>4000</v>
      </c>
      <c r="BL135" s="212"/>
      <c r="BM135" s="210"/>
      <c r="BN135" s="65">
        <v>0</v>
      </c>
      <c r="BO135" s="52"/>
      <c r="BP135" s="65">
        <v>0</v>
      </c>
      <c r="BQ135" s="52"/>
      <c r="BR135" s="222">
        <f t="shared" si="344"/>
        <v>0</v>
      </c>
      <c r="BS135" s="216"/>
      <c r="BT135" s="210"/>
      <c r="BU135" s="65">
        <v>0</v>
      </c>
      <c r="BV135" s="52"/>
      <c r="BW135" s="65">
        <v>555.38461538461536</v>
      </c>
      <c r="BX135" s="52"/>
      <c r="BY135" s="222">
        <f t="shared" si="345"/>
        <v>-555.38461538461536</v>
      </c>
      <c r="BZ135" s="216"/>
      <c r="CA135" s="210"/>
      <c r="CB135" s="65">
        <v>100.68</v>
      </c>
      <c r="CC135" s="52"/>
      <c r="CD135" s="65">
        <v>555.38461538461536</v>
      </c>
      <c r="CE135" s="52"/>
      <c r="CF135" s="222">
        <f t="shared" si="346"/>
        <v>-454.70461538461535</v>
      </c>
      <c r="CG135" s="216"/>
      <c r="CH135" s="210"/>
      <c r="CI135" s="208">
        <f t="shared" si="347"/>
        <v>6600.68</v>
      </c>
      <c r="CJ135" s="52"/>
      <c r="CK135" s="208">
        <f t="shared" si="360"/>
        <v>11610.76923076923</v>
      </c>
      <c r="CL135" s="52"/>
      <c r="CM135" s="222">
        <f t="shared" si="348"/>
        <v>-5010.0892307692302</v>
      </c>
      <c r="CN135" s="216"/>
      <c r="CO135" s="210"/>
      <c r="CP135" s="65">
        <f>452.24+4050</f>
        <v>4502.24</v>
      </c>
      <c r="CQ135" s="51"/>
      <c r="CR135" s="65">
        <v>555</v>
      </c>
      <c r="CS135" s="51"/>
      <c r="CT135" s="222">
        <f t="shared" si="349"/>
        <v>3947.24</v>
      </c>
      <c r="CU135" s="223"/>
      <c r="CV135" s="210"/>
      <c r="CW135" s="65">
        <v>0</v>
      </c>
      <c r="CX135" s="52"/>
      <c r="CY135" s="65">
        <v>555</v>
      </c>
      <c r="CZ135" s="52"/>
      <c r="DA135" s="222">
        <f t="shared" si="350"/>
        <v>-555</v>
      </c>
      <c r="DB135" s="216"/>
      <c r="DC135" s="210"/>
      <c r="DD135" s="65">
        <v>0</v>
      </c>
      <c r="DE135" s="52"/>
      <c r="DF135" s="65">
        <v>555</v>
      </c>
      <c r="DG135" s="52"/>
      <c r="DH135" s="222">
        <f t="shared" si="351"/>
        <v>-555</v>
      </c>
      <c r="DI135" s="216"/>
      <c r="DJ135" s="210"/>
      <c r="DK135" s="65">
        <v>268.24</v>
      </c>
      <c r="DL135" s="52"/>
      <c r="DM135" s="65">
        <v>555</v>
      </c>
      <c r="DN135" s="52"/>
      <c r="DO135" s="222">
        <f t="shared" si="352"/>
        <v>-286.76</v>
      </c>
      <c r="DP135" s="216"/>
      <c r="DQ135" s="210"/>
      <c r="DR135" s="208">
        <f t="shared" si="353"/>
        <v>4770.4799999999996</v>
      </c>
      <c r="DS135" s="52"/>
      <c r="DT135" s="208">
        <f t="shared" si="354"/>
        <v>2220</v>
      </c>
      <c r="DU135" s="52"/>
      <c r="DV135" s="222">
        <f t="shared" si="355"/>
        <v>2550.4799999999996</v>
      </c>
      <c r="DW135" s="216"/>
      <c r="DX135" s="210"/>
      <c r="DY135" s="208">
        <f t="shared" si="356"/>
        <v>12635.11</v>
      </c>
      <c r="DZ135" s="52"/>
      <c r="EA135" s="208">
        <f t="shared" si="361"/>
        <v>17163.076923076922</v>
      </c>
      <c r="EB135" s="33"/>
      <c r="EC135" s="212">
        <f t="shared" si="369"/>
        <v>4527.9669230769214</v>
      </c>
      <c r="ED135" s="212"/>
    </row>
    <row r="136" spans="1:134">
      <c r="A136" s="10" t="s">
        <v>142</v>
      </c>
      <c r="B136" s="10"/>
      <c r="C136" s="65"/>
      <c r="D136" s="33"/>
      <c r="E136" s="68">
        <v>0</v>
      </c>
      <c r="F136" s="33"/>
      <c r="G136" s="212">
        <f>E136-C136</f>
        <v>0</v>
      </c>
      <c r="H136" s="212"/>
      <c r="I136" s="210"/>
      <c r="J136" s="22">
        <v>0</v>
      </c>
      <c r="K136" s="33"/>
      <c r="L136" s="68">
        <v>0</v>
      </c>
      <c r="M136" s="33"/>
      <c r="N136" s="212"/>
      <c r="O136" s="212"/>
      <c r="P136" s="210"/>
      <c r="Q136" s="65">
        <v>284.89</v>
      </c>
      <c r="R136" s="23"/>
      <c r="S136" s="68">
        <v>0</v>
      </c>
      <c r="T136" s="33"/>
      <c r="U136" s="212"/>
      <c r="V136" s="212"/>
      <c r="W136" s="210"/>
      <c r="X136" s="208">
        <f t="shared" si="340"/>
        <v>284.89</v>
      </c>
      <c r="Y136" s="33"/>
      <c r="Z136" s="218">
        <f t="shared" si="341"/>
        <v>0</v>
      </c>
      <c r="AA136" s="23"/>
      <c r="AB136" s="212">
        <f>Z136-X136</f>
        <v>-284.89</v>
      </c>
      <c r="AC136" s="212"/>
      <c r="AD136" s="210"/>
      <c r="AE136" s="65">
        <v>0</v>
      </c>
      <c r="AF136" s="23"/>
      <c r="AG136" s="22">
        <v>0</v>
      </c>
      <c r="AH136" s="23"/>
      <c r="AI136" s="220">
        <f t="shared" si="364"/>
        <v>0</v>
      </c>
      <c r="AJ136" s="221"/>
      <c r="AK136" s="210"/>
      <c r="AL136" s="65">
        <v>0</v>
      </c>
      <c r="AM136" s="23"/>
      <c r="AN136" s="22">
        <v>0</v>
      </c>
      <c r="AO136" s="23"/>
      <c r="AP136" s="220">
        <f t="shared" si="365"/>
        <v>0</v>
      </c>
      <c r="AQ136" s="221"/>
      <c r="AR136" s="210"/>
      <c r="AS136" s="65">
        <v>0</v>
      </c>
      <c r="AT136" s="23"/>
      <c r="AU136" s="22">
        <v>0</v>
      </c>
      <c r="AV136" s="23"/>
      <c r="AW136" s="220">
        <f>AU136-AS136</f>
        <v>0</v>
      </c>
      <c r="AX136" s="221"/>
      <c r="AY136" s="210"/>
      <c r="AZ136" s="208">
        <f t="shared" si="342"/>
        <v>0</v>
      </c>
      <c r="BA136" s="23"/>
      <c r="BB136" s="218">
        <f t="shared" si="343"/>
        <v>0</v>
      </c>
      <c r="BC136" s="23"/>
      <c r="BD136" s="220">
        <f>BB136-AZ136</f>
        <v>0</v>
      </c>
      <c r="BE136" s="212"/>
      <c r="BF136" s="210"/>
      <c r="BG136" s="65">
        <v>0</v>
      </c>
      <c r="BH136" s="23"/>
      <c r="BI136" s="65">
        <v>0</v>
      </c>
      <c r="BJ136" s="23"/>
      <c r="BK136" s="220">
        <f t="shared" ref="BK136:BK141" si="370">BI136-BG136</f>
        <v>0</v>
      </c>
      <c r="BL136" s="212"/>
      <c r="BM136" s="210"/>
      <c r="BN136" s="65">
        <v>22.5</v>
      </c>
      <c r="BO136" s="52"/>
      <c r="BP136" s="65">
        <v>0</v>
      </c>
      <c r="BQ136" s="52"/>
      <c r="BR136" s="222">
        <f t="shared" si="344"/>
        <v>22.5</v>
      </c>
      <c r="BS136" s="216"/>
      <c r="BT136" s="210"/>
      <c r="BU136" s="65">
        <v>9.01</v>
      </c>
      <c r="BV136" s="52"/>
      <c r="BW136" s="65">
        <v>0</v>
      </c>
      <c r="BX136" s="52"/>
      <c r="BY136" s="222">
        <f t="shared" si="345"/>
        <v>9.01</v>
      </c>
      <c r="BZ136" s="216"/>
      <c r="CA136" s="210"/>
      <c r="CB136" s="65">
        <v>0</v>
      </c>
      <c r="CC136" s="52"/>
      <c r="CD136" s="65">
        <v>0</v>
      </c>
      <c r="CE136" s="52"/>
      <c r="CF136" s="222">
        <f t="shared" si="346"/>
        <v>0</v>
      </c>
      <c r="CG136" s="216"/>
      <c r="CH136" s="210"/>
      <c r="CI136" s="208">
        <f t="shared" si="347"/>
        <v>31.509999999999998</v>
      </c>
      <c r="CJ136" s="52"/>
      <c r="CK136" s="208">
        <f t="shared" si="360"/>
        <v>0</v>
      </c>
      <c r="CL136" s="52"/>
      <c r="CM136" s="222">
        <f t="shared" si="348"/>
        <v>31.509999999999998</v>
      </c>
      <c r="CN136" s="216"/>
      <c r="CO136" s="210"/>
      <c r="CP136" s="65">
        <v>0</v>
      </c>
      <c r="CQ136" s="51"/>
      <c r="CR136" s="65">
        <v>0</v>
      </c>
      <c r="CS136" s="51"/>
      <c r="CT136" s="222">
        <f t="shared" si="349"/>
        <v>0</v>
      </c>
      <c r="CU136" s="223"/>
      <c r="CV136" s="210"/>
      <c r="CW136" s="65">
        <v>9.02</v>
      </c>
      <c r="CX136" s="52"/>
      <c r="CY136" s="65">
        <v>0</v>
      </c>
      <c r="CZ136" s="52"/>
      <c r="DA136" s="222">
        <f t="shared" si="350"/>
        <v>9.02</v>
      </c>
      <c r="DB136" s="216"/>
      <c r="DC136" s="210"/>
      <c r="DD136" s="65">
        <v>27.53</v>
      </c>
      <c r="DE136" s="52"/>
      <c r="DF136" s="65">
        <v>0</v>
      </c>
      <c r="DG136" s="52"/>
      <c r="DH136" s="222">
        <f t="shared" si="351"/>
        <v>27.53</v>
      </c>
      <c r="DI136" s="216"/>
      <c r="DJ136" s="210"/>
      <c r="DK136" s="65">
        <v>0</v>
      </c>
      <c r="DL136" s="52"/>
      <c r="DM136" s="65">
        <v>0</v>
      </c>
      <c r="DN136" s="52"/>
      <c r="DO136" s="222">
        <f t="shared" si="352"/>
        <v>0</v>
      </c>
      <c r="DP136" s="216"/>
      <c r="DQ136" s="210"/>
      <c r="DR136" s="208">
        <f t="shared" si="353"/>
        <v>36.549999999999997</v>
      </c>
      <c r="DS136" s="52"/>
      <c r="DT136" s="208">
        <f t="shared" si="354"/>
        <v>0</v>
      </c>
      <c r="DU136" s="52"/>
      <c r="DV136" s="222">
        <f t="shared" si="355"/>
        <v>36.549999999999997</v>
      </c>
      <c r="DW136" s="216"/>
      <c r="DX136" s="210"/>
      <c r="DY136" s="208">
        <f t="shared" si="356"/>
        <v>352.95</v>
      </c>
      <c r="DZ136" s="52"/>
      <c r="EA136" s="208">
        <f t="shared" si="361"/>
        <v>0</v>
      </c>
      <c r="EB136" s="33"/>
      <c r="EC136" s="212">
        <f>EA136-DY136</f>
        <v>-352.95</v>
      </c>
      <c r="ED136" s="212"/>
    </row>
    <row r="137" spans="1:134">
      <c r="A137" s="10" t="s">
        <v>143</v>
      </c>
      <c r="B137" s="10"/>
      <c r="C137" s="65"/>
      <c r="D137" s="33"/>
      <c r="E137" s="68">
        <v>30.860240559440562</v>
      </c>
      <c r="F137" s="33"/>
      <c r="G137" s="212">
        <f>E137-C137</f>
        <v>30.860240559440562</v>
      </c>
      <c r="H137" s="212"/>
      <c r="I137" s="210"/>
      <c r="J137" s="22">
        <v>0</v>
      </c>
      <c r="K137" s="33"/>
      <c r="L137" s="68">
        <v>30.860240559440562</v>
      </c>
      <c r="M137" s="33"/>
      <c r="N137" s="212"/>
      <c r="O137" s="212"/>
      <c r="P137" s="210"/>
      <c r="Q137" s="65">
        <v>10.59</v>
      </c>
      <c r="R137" s="23"/>
      <c r="S137" s="68">
        <v>30.860240559440562</v>
      </c>
      <c r="T137" s="33"/>
      <c r="U137" s="212"/>
      <c r="V137" s="212"/>
      <c r="W137" s="210"/>
      <c r="X137" s="208">
        <f t="shared" si="340"/>
        <v>10.59</v>
      </c>
      <c r="Y137" s="33"/>
      <c r="Z137" s="218">
        <f>E137+L137+S137</f>
        <v>92.58072167832168</v>
      </c>
      <c r="AA137" s="23"/>
      <c r="AB137" s="212">
        <f>Z137-X137</f>
        <v>81.990721678321677</v>
      </c>
      <c r="AC137" s="212"/>
      <c r="AD137" s="210"/>
      <c r="AE137" s="65">
        <v>0</v>
      </c>
      <c r="AF137" s="23"/>
      <c r="AG137" s="22">
        <v>30.860240559440562</v>
      </c>
      <c r="AH137" s="23"/>
      <c r="AI137" s="220">
        <f>AG137-AE137</f>
        <v>30.860240559440562</v>
      </c>
      <c r="AJ137" s="221"/>
      <c r="AK137" s="210"/>
      <c r="AL137" s="65">
        <v>0</v>
      </c>
      <c r="AM137" s="23"/>
      <c r="AN137" s="22">
        <v>30.860240559440562</v>
      </c>
      <c r="AO137" s="23"/>
      <c r="AP137" s="220">
        <f>AN137-AL137</f>
        <v>30.860240559440562</v>
      </c>
      <c r="AQ137" s="221"/>
      <c r="AR137" s="210"/>
      <c r="AS137" s="65">
        <v>0</v>
      </c>
      <c r="AT137" s="23"/>
      <c r="AU137" s="22">
        <v>30.860240559440562</v>
      </c>
      <c r="AV137" s="23"/>
      <c r="AW137" s="220">
        <f>AU137-AS137</f>
        <v>30.860240559440562</v>
      </c>
      <c r="AX137" s="221"/>
      <c r="AY137" s="210"/>
      <c r="AZ137" s="208">
        <f t="shared" si="342"/>
        <v>0</v>
      </c>
      <c r="BA137" s="23"/>
      <c r="BB137" s="218">
        <f t="shared" si="343"/>
        <v>92.58072167832168</v>
      </c>
      <c r="BC137" s="23"/>
      <c r="BD137" s="220">
        <f>BB137-AZ137</f>
        <v>92.58072167832168</v>
      </c>
      <c r="BE137" s="212"/>
      <c r="BF137" s="210"/>
      <c r="BG137" s="65">
        <v>26.15</v>
      </c>
      <c r="BH137" s="23"/>
      <c r="BI137" s="65">
        <v>0</v>
      </c>
      <c r="BJ137" s="23"/>
      <c r="BK137" s="220">
        <f t="shared" si="370"/>
        <v>-26.15</v>
      </c>
      <c r="BL137" s="212"/>
      <c r="BM137" s="210"/>
      <c r="BN137" s="65">
        <v>257.8</v>
      </c>
      <c r="BO137" s="52"/>
      <c r="BP137" s="65">
        <v>0</v>
      </c>
      <c r="BQ137" s="52"/>
      <c r="BR137" s="222">
        <f t="shared" si="344"/>
        <v>257.8</v>
      </c>
      <c r="BS137" s="216"/>
      <c r="BT137" s="210"/>
      <c r="BU137" s="65">
        <v>457.23</v>
      </c>
      <c r="BV137" s="52"/>
      <c r="BW137" s="65">
        <v>30.860240559440562</v>
      </c>
      <c r="BX137" s="52"/>
      <c r="BY137" s="222">
        <f t="shared" si="345"/>
        <v>426.36975944055945</v>
      </c>
      <c r="BZ137" s="216"/>
      <c r="CA137" s="210"/>
      <c r="CB137" s="65">
        <v>124.54</v>
      </c>
      <c r="CC137" s="52"/>
      <c r="CD137" s="65">
        <v>30.860240559440562</v>
      </c>
      <c r="CE137" s="52"/>
      <c r="CF137" s="222">
        <f t="shared" si="346"/>
        <v>93.679759440559451</v>
      </c>
      <c r="CG137" s="216"/>
      <c r="CH137" s="210"/>
      <c r="CI137" s="208">
        <f t="shared" si="347"/>
        <v>865.72</v>
      </c>
      <c r="CJ137" s="52"/>
      <c r="CK137" s="208">
        <f t="shared" si="360"/>
        <v>61.720481118881125</v>
      </c>
      <c r="CL137" s="52"/>
      <c r="CM137" s="222">
        <f t="shared" si="348"/>
        <v>803.99951888111889</v>
      </c>
      <c r="CN137" s="216"/>
      <c r="CO137" s="210"/>
      <c r="CP137" s="65">
        <v>536.25</v>
      </c>
      <c r="CQ137" s="51"/>
      <c r="CR137" s="65">
        <v>30.860240559440562</v>
      </c>
      <c r="CS137" s="51"/>
      <c r="CT137" s="222">
        <f t="shared" si="349"/>
        <v>505.38975944055943</v>
      </c>
      <c r="CU137" s="223"/>
      <c r="CV137" s="210"/>
      <c r="CW137" s="65">
        <v>60.71</v>
      </c>
      <c r="CX137" s="52"/>
      <c r="CY137" s="65">
        <v>30.860240559440562</v>
      </c>
      <c r="CZ137" s="52"/>
      <c r="DA137" s="222">
        <f t="shared" si="350"/>
        <v>29.849759440559438</v>
      </c>
      <c r="DB137" s="216"/>
      <c r="DC137" s="210"/>
      <c r="DD137" s="65">
        <v>10.55</v>
      </c>
      <c r="DE137" s="52"/>
      <c r="DF137" s="65">
        <v>30.860240559440562</v>
      </c>
      <c r="DG137" s="52"/>
      <c r="DH137" s="222">
        <f t="shared" si="351"/>
        <v>-20.310240559440562</v>
      </c>
      <c r="DI137" s="216"/>
      <c r="DJ137" s="210"/>
      <c r="DK137" s="65">
        <v>0</v>
      </c>
      <c r="DL137" s="52"/>
      <c r="DM137" s="65">
        <v>30.860240559440562</v>
      </c>
      <c r="DN137" s="52"/>
      <c r="DO137" s="222">
        <f t="shared" si="352"/>
        <v>-30.860240559440562</v>
      </c>
      <c r="DP137" s="216"/>
      <c r="DQ137" s="210"/>
      <c r="DR137" s="208">
        <f t="shared" si="353"/>
        <v>607.51</v>
      </c>
      <c r="DS137" s="52"/>
      <c r="DT137" s="208">
        <f t="shared" si="354"/>
        <v>123.44096223776225</v>
      </c>
      <c r="DU137" s="52"/>
      <c r="DV137" s="222">
        <f t="shared" si="355"/>
        <v>484.06903776223771</v>
      </c>
      <c r="DW137" s="216"/>
      <c r="DX137" s="210"/>
      <c r="DY137" s="208">
        <f t="shared" si="356"/>
        <v>1483.8200000000002</v>
      </c>
      <c r="DZ137" s="52"/>
      <c r="EA137" s="208">
        <f t="shared" si="361"/>
        <v>370.32288671328672</v>
      </c>
      <c r="EB137" s="33"/>
      <c r="EC137" s="212">
        <f>EA137-DY137</f>
        <v>-1113.4971132867136</v>
      </c>
      <c r="ED137" s="212"/>
    </row>
    <row r="138" spans="1:134">
      <c r="A138" s="10" t="s">
        <v>144</v>
      </c>
      <c r="B138" s="10"/>
      <c r="C138" s="65"/>
      <c r="D138" s="33"/>
      <c r="E138" s="68">
        <v>800.53846153846155</v>
      </c>
      <c r="F138" s="33"/>
      <c r="G138" s="212">
        <f>E138-C138</f>
        <v>800.53846153846155</v>
      </c>
      <c r="H138" s="212"/>
      <c r="I138" s="210"/>
      <c r="J138" s="22">
        <v>273.79000000000002</v>
      </c>
      <c r="K138" s="33"/>
      <c r="L138" s="68">
        <v>800.53846153846155</v>
      </c>
      <c r="M138" s="33"/>
      <c r="N138" s="212"/>
      <c r="O138" s="212"/>
      <c r="P138" s="210"/>
      <c r="Q138" s="65">
        <v>149</v>
      </c>
      <c r="R138" s="23"/>
      <c r="S138" s="68">
        <v>800.53846153846155</v>
      </c>
      <c r="T138" s="33"/>
      <c r="U138" s="212"/>
      <c r="V138" s="212"/>
      <c r="W138" s="210"/>
      <c r="X138" s="208">
        <f t="shared" si="340"/>
        <v>422.79</v>
      </c>
      <c r="Y138" s="33"/>
      <c r="Z138" s="218">
        <f t="shared" si="341"/>
        <v>2401.6153846153848</v>
      </c>
      <c r="AA138" s="23"/>
      <c r="AB138" s="212">
        <f>Z138-X138</f>
        <v>1978.8253846153848</v>
      </c>
      <c r="AC138" s="212"/>
      <c r="AD138" s="210"/>
      <c r="AE138" s="65">
        <v>801</v>
      </c>
      <c r="AF138" s="23"/>
      <c r="AG138" s="22">
        <v>800.53846153846155</v>
      </c>
      <c r="AH138" s="23"/>
      <c r="AI138" s="220">
        <f>AG138-AE138</f>
        <v>-0.46153846153845279</v>
      </c>
      <c r="AJ138" s="221"/>
      <c r="AK138" s="210"/>
      <c r="AL138" s="65">
        <v>-51.95</v>
      </c>
      <c r="AM138" s="23"/>
      <c r="AN138" s="22">
        <v>800.53846153846155</v>
      </c>
      <c r="AO138" s="23"/>
      <c r="AP138" s="220">
        <f>AN138-AL138</f>
        <v>852.48846153846159</v>
      </c>
      <c r="AQ138" s="221"/>
      <c r="AR138" s="210"/>
      <c r="AS138" s="65">
        <v>0</v>
      </c>
      <c r="AT138" s="23"/>
      <c r="AU138" s="22">
        <v>800.53846153846155</v>
      </c>
      <c r="AV138" s="23"/>
      <c r="AW138" s="220">
        <f>AU138-AS138</f>
        <v>800.53846153846155</v>
      </c>
      <c r="AX138" s="221"/>
      <c r="AY138" s="210"/>
      <c r="AZ138" s="208">
        <f t="shared" si="342"/>
        <v>749.05</v>
      </c>
      <c r="BA138" s="23"/>
      <c r="BB138" s="218">
        <f t="shared" si="343"/>
        <v>2401.6153846153848</v>
      </c>
      <c r="BC138" s="23"/>
      <c r="BD138" s="220"/>
      <c r="BE138" s="212"/>
      <c r="BF138" s="210"/>
      <c r="BG138" s="65">
        <v>631.1</v>
      </c>
      <c r="BH138" s="23"/>
      <c r="BI138" s="65">
        <v>800.53846153846155</v>
      </c>
      <c r="BJ138" s="23"/>
      <c r="BK138" s="220">
        <f t="shared" si="370"/>
        <v>169.43846153846152</v>
      </c>
      <c r="BL138" s="212"/>
      <c r="BM138" s="210"/>
      <c r="BN138" s="65">
        <v>149</v>
      </c>
      <c r="BO138" s="52"/>
      <c r="BP138" s="65">
        <v>800.53846153846155</v>
      </c>
      <c r="BQ138" s="52"/>
      <c r="BR138" s="222">
        <f t="shared" si="344"/>
        <v>-651.53846153846155</v>
      </c>
      <c r="BS138" s="216"/>
      <c r="BT138" s="210"/>
      <c r="BU138" s="65">
        <v>351.58</v>
      </c>
      <c r="BV138" s="52"/>
      <c r="BW138" s="65">
        <v>800.53846153846155</v>
      </c>
      <c r="BX138" s="52"/>
      <c r="BY138" s="222">
        <f t="shared" si="345"/>
        <v>-448.95846153846156</v>
      </c>
      <c r="BZ138" s="216"/>
      <c r="CA138" s="210"/>
      <c r="CB138" s="65">
        <v>0</v>
      </c>
      <c r="CC138" s="52"/>
      <c r="CD138" s="65">
        <v>800.53846153846155</v>
      </c>
      <c r="CE138" s="52"/>
      <c r="CF138" s="222">
        <f t="shared" si="346"/>
        <v>-800.53846153846155</v>
      </c>
      <c r="CG138" s="216"/>
      <c r="CH138" s="210"/>
      <c r="CI138" s="208">
        <f t="shared" si="347"/>
        <v>1131.68</v>
      </c>
      <c r="CJ138" s="52"/>
      <c r="CK138" s="208">
        <f t="shared" si="360"/>
        <v>3202.1538461538462</v>
      </c>
      <c r="CL138" s="52"/>
      <c r="CM138" s="222">
        <f t="shared" si="348"/>
        <v>-2070.4738461538464</v>
      </c>
      <c r="CN138" s="216"/>
      <c r="CO138" s="210"/>
      <c r="CP138" s="65">
        <v>500.7</v>
      </c>
      <c r="CQ138" s="51"/>
      <c r="CR138" s="65">
        <v>800.53846153846155</v>
      </c>
      <c r="CS138" s="51"/>
      <c r="CT138" s="222">
        <f t="shared" si="349"/>
        <v>-299.83846153846156</v>
      </c>
      <c r="CU138" s="223"/>
      <c r="CV138" s="210"/>
      <c r="CW138" s="65">
        <v>625.02</v>
      </c>
      <c r="CX138" s="52"/>
      <c r="CY138" s="65">
        <v>800.53846153846155</v>
      </c>
      <c r="CZ138" s="52"/>
      <c r="DA138" s="222">
        <f t="shared" si="350"/>
        <v>-175.51846153846157</v>
      </c>
      <c r="DB138" s="216"/>
      <c r="DC138" s="210"/>
      <c r="DD138" s="65">
        <v>779.63</v>
      </c>
      <c r="DE138" s="52"/>
      <c r="DF138" s="65">
        <v>800.53846153846155</v>
      </c>
      <c r="DG138" s="52"/>
      <c r="DH138" s="222">
        <f t="shared" si="351"/>
        <v>-20.908461538461552</v>
      </c>
      <c r="DI138" s="216"/>
      <c r="DJ138" s="210"/>
      <c r="DK138" s="65">
        <v>551.23</v>
      </c>
      <c r="DL138" s="52"/>
      <c r="DM138" s="65">
        <v>800.53846153846155</v>
      </c>
      <c r="DN138" s="52"/>
      <c r="DO138" s="222">
        <f t="shared" si="352"/>
        <v>-249.30846153846153</v>
      </c>
      <c r="DP138" s="216"/>
      <c r="DQ138" s="210"/>
      <c r="DR138" s="208">
        <f t="shared" si="353"/>
        <v>2456.58</v>
      </c>
      <c r="DS138" s="52"/>
      <c r="DT138" s="208">
        <f t="shared" si="354"/>
        <v>3202.1538461538462</v>
      </c>
      <c r="DU138" s="52"/>
      <c r="DV138" s="222">
        <f t="shared" si="355"/>
        <v>-745.57384615384626</v>
      </c>
      <c r="DW138" s="216"/>
      <c r="DX138" s="210"/>
      <c r="DY138" s="208">
        <f t="shared" si="356"/>
        <v>4760.1000000000004</v>
      </c>
      <c r="DZ138" s="52"/>
      <c r="EA138" s="208">
        <f t="shared" si="361"/>
        <v>11207.538461538461</v>
      </c>
      <c r="EB138" s="33"/>
      <c r="EC138" s="212"/>
      <c r="ED138" s="212"/>
    </row>
    <row r="139" spans="1:134">
      <c r="A139" s="10" t="s">
        <v>145</v>
      </c>
      <c r="B139" s="10"/>
      <c r="C139" s="65"/>
      <c r="D139" s="33"/>
      <c r="E139" s="68"/>
      <c r="F139" s="33"/>
      <c r="G139" s="212"/>
      <c r="H139" s="212"/>
      <c r="I139" s="210"/>
      <c r="J139" s="22"/>
      <c r="K139" s="33"/>
      <c r="L139" s="68"/>
      <c r="M139" s="33"/>
      <c r="N139" s="212"/>
      <c r="O139" s="212"/>
      <c r="P139" s="210"/>
      <c r="Q139" s="65"/>
      <c r="R139" s="23"/>
      <c r="S139" s="68"/>
      <c r="T139" s="33"/>
      <c r="U139" s="212"/>
      <c r="V139" s="212"/>
      <c r="W139" s="210"/>
      <c r="X139" s="208">
        <f t="shared" si="340"/>
        <v>0</v>
      </c>
      <c r="Y139" s="33"/>
      <c r="Z139" s="218">
        <v>0</v>
      </c>
      <c r="AA139" s="23"/>
      <c r="AB139" s="212"/>
      <c r="AC139" s="212"/>
      <c r="AD139" s="210"/>
      <c r="AE139" s="65">
        <v>0</v>
      </c>
      <c r="AF139" s="23"/>
      <c r="AG139" s="22">
        <v>0</v>
      </c>
      <c r="AH139" s="23"/>
      <c r="AI139" s="220">
        <f>AG139-AE139</f>
        <v>0</v>
      </c>
      <c r="AJ139" s="221"/>
      <c r="AK139" s="210"/>
      <c r="AL139" s="65">
        <v>1450.71</v>
      </c>
      <c r="AM139" s="23"/>
      <c r="AN139" s="22"/>
      <c r="AO139" s="23"/>
      <c r="AP139" s="220"/>
      <c r="AQ139" s="221"/>
      <c r="AR139" s="210"/>
      <c r="AS139" s="65">
        <v>480.96</v>
      </c>
      <c r="AT139" s="23"/>
      <c r="AU139" s="22">
        <v>0</v>
      </c>
      <c r="AV139" s="23"/>
      <c r="AW139" s="220"/>
      <c r="AX139" s="221"/>
      <c r="AY139" s="210"/>
      <c r="AZ139" s="208">
        <f t="shared" si="342"/>
        <v>1931.67</v>
      </c>
      <c r="BA139" s="23"/>
      <c r="BB139" s="218">
        <f t="shared" si="343"/>
        <v>0</v>
      </c>
      <c r="BC139" s="23"/>
      <c r="BD139" s="220"/>
      <c r="BE139" s="212"/>
      <c r="BF139" s="210"/>
      <c r="BG139" s="65">
        <v>533.96</v>
      </c>
      <c r="BH139" s="23"/>
      <c r="BI139" s="65">
        <v>0</v>
      </c>
      <c r="BJ139" s="23"/>
      <c r="BK139" s="220">
        <f t="shared" si="370"/>
        <v>-533.96</v>
      </c>
      <c r="BL139" s="212"/>
      <c r="BM139" s="210"/>
      <c r="BN139" s="65">
        <v>1028.82</v>
      </c>
      <c r="BO139" s="52"/>
      <c r="BP139" s="65">
        <v>0</v>
      </c>
      <c r="BQ139" s="52"/>
      <c r="BR139" s="222">
        <f t="shared" si="344"/>
        <v>1028.82</v>
      </c>
      <c r="BS139" s="216"/>
      <c r="BT139" s="210"/>
      <c r="BU139" s="65">
        <v>1967.29</v>
      </c>
      <c r="BV139" s="52"/>
      <c r="BW139" s="65">
        <v>0</v>
      </c>
      <c r="BX139" s="52"/>
      <c r="BY139" s="222">
        <f t="shared" si="345"/>
        <v>1967.29</v>
      </c>
      <c r="BZ139" s="216"/>
      <c r="CA139" s="210"/>
      <c r="CB139" s="65">
        <v>600.86</v>
      </c>
      <c r="CC139" s="52"/>
      <c r="CD139" s="65">
        <v>0</v>
      </c>
      <c r="CE139" s="52"/>
      <c r="CF139" s="222">
        <f t="shared" si="346"/>
        <v>600.86</v>
      </c>
      <c r="CG139" s="216"/>
      <c r="CH139" s="210"/>
      <c r="CI139" s="208">
        <f t="shared" si="347"/>
        <v>4130.9299999999994</v>
      </c>
      <c r="CJ139" s="52"/>
      <c r="CK139" s="208">
        <f t="shared" si="360"/>
        <v>0</v>
      </c>
      <c r="CL139" s="52"/>
      <c r="CM139" s="222">
        <f t="shared" si="348"/>
        <v>4130.9299999999994</v>
      </c>
      <c r="CN139" s="216"/>
      <c r="CO139" s="210"/>
      <c r="CP139" s="65">
        <v>547.86</v>
      </c>
      <c r="CQ139" s="51"/>
      <c r="CR139" s="65">
        <v>0</v>
      </c>
      <c r="CS139" s="51"/>
      <c r="CT139" s="222">
        <f t="shared" si="349"/>
        <v>547.86</v>
      </c>
      <c r="CU139" s="223"/>
      <c r="CV139" s="210"/>
      <c r="CW139" s="65">
        <v>971.89</v>
      </c>
      <c r="CX139" s="52"/>
      <c r="CY139" s="65">
        <v>0</v>
      </c>
      <c r="CZ139" s="52"/>
      <c r="DA139" s="222">
        <f t="shared" si="350"/>
        <v>971.89</v>
      </c>
      <c r="DB139" s="216"/>
      <c r="DC139" s="210"/>
      <c r="DD139" s="65">
        <v>723.46</v>
      </c>
      <c r="DE139" s="52"/>
      <c r="DF139" s="65">
        <v>0</v>
      </c>
      <c r="DG139" s="52"/>
      <c r="DH139" s="222">
        <f t="shared" si="351"/>
        <v>723.46</v>
      </c>
      <c r="DI139" s="216"/>
      <c r="DJ139" s="210"/>
      <c r="DK139" s="65">
        <v>-41.24</v>
      </c>
      <c r="DL139" s="52"/>
      <c r="DM139" s="65">
        <v>0</v>
      </c>
      <c r="DN139" s="52"/>
      <c r="DO139" s="222">
        <f t="shared" si="352"/>
        <v>-41.24</v>
      </c>
      <c r="DP139" s="216"/>
      <c r="DQ139" s="210"/>
      <c r="DR139" s="208">
        <f t="shared" si="353"/>
        <v>2201.9700000000003</v>
      </c>
      <c r="DS139" s="52"/>
      <c r="DT139" s="208">
        <f t="shared" si="354"/>
        <v>0</v>
      </c>
      <c r="DU139" s="52"/>
      <c r="DV139" s="222">
        <f t="shared" si="355"/>
        <v>2201.9700000000003</v>
      </c>
      <c r="DW139" s="216"/>
      <c r="DX139" s="210"/>
      <c r="DY139" s="208">
        <f t="shared" si="356"/>
        <v>8264.57</v>
      </c>
      <c r="DZ139" s="52"/>
      <c r="EA139" s="208">
        <f t="shared" si="361"/>
        <v>0</v>
      </c>
      <c r="EB139" s="33"/>
      <c r="EC139" s="212"/>
      <c r="ED139" s="212"/>
    </row>
    <row r="140" spans="1:134">
      <c r="A140" s="10" t="s">
        <v>146</v>
      </c>
      <c r="B140" s="10"/>
      <c r="C140" s="65"/>
      <c r="D140" s="33"/>
      <c r="E140" s="68">
        <v>0</v>
      </c>
      <c r="F140" s="33"/>
      <c r="G140" s="212">
        <f>E140-C140</f>
        <v>0</v>
      </c>
      <c r="H140" s="212"/>
      <c r="I140" s="210"/>
      <c r="J140" s="22">
        <v>970</v>
      </c>
      <c r="K140" s="33"/>
      <c r="L140" s="68">
        <v>0</v>
      </c>
      <c r="M140" s="33"/>
      <c r="N140" s="212"/>
      <c r="O140" s="212"/>
      <c r="P140" s="210"/>
      <c r="Q140" s="65">
        <v>0</v>
      </c>
      <c r="R140" s="23"/>
      <c r="S140" s="68">
        <v>0</v>
      </c>
      <c r="T140" s="33"/>
      <c r="U140" s="231"/>
      <c r="V140" s="212"/>
      <c r="W140" s="210"/>
      <c r="X140" s="208">
        <f t="shared" si="340"/>
        <v>970</v>
      </c>
      <c r="Y140" s="33"/>
      <c r="Z140" s="218">
        <f t="shared" si="341"/>
        <v>0</v>
      </c>
      <c r="AA140" s="23"/>
      <c r="AB140" s="212"/>
      <c r="AC140" s="212"/>
      <c r="AD140" s="210"/>
      <c r="AE140" s="65">
        <v>0</v>
      </c>
      <c r="AF140" s="23"/>
      <c r="AG140" s="22">
        <v>0</v>
      </c>
      <c r="AH140" s="23"/>
      <c r="AI140" s="220">
        <f>AG140-AE140</f>
        <v>0</v>
      </c>
      <c r="AJ140" s="221"/>
      <c r="AK140" s="210"/>
      <c r="AL140" s="65">
        <v>0</v>
      </c>
      <c r="AM140" s="23"/>
      <c r="AN140" s="22">
        <v>0</v>
      </c>
      <c r="AO140" s="23"/>
      <c r="AP140" s="220"/>
      <c r="AQ140" s="221"/>
      <c r="AR140" s="210"/>
      <c r="AS140" s="65">
        <v>0</v>
      </c>
      <c r="AT140" s="23"/>
      <c r="AU140" s="22">
        <v>0</v>
      </c>
      <c r="AV140" s="23"/>
      <c r="AW140" s="220"/>
      <c r="AX140" s="221"/>
      <c r="AY140" s="210"/>
      <c r="AZ140" s="208">
        <f t="shared" si="342"/>
        <v>0</v>
      </c>
      <c r="BA140" s="23"/>
      <c r="BB140" s="218">
        <f t="shared" si="343"/>
        <v>0</v>
      </c>
      <c r="BC140" s="23"/>
      <c r="BD140" s="220"/>
      <c r="BE140" s="212"/>
      <c r="BF140" s="210"/>
      <c r="BG140" s="65">
        <v>0</v>
      </c>
      <c r="BH140" s="23"/>
      <c r="BI140" s="65">
        <v>0</v>
      </c>
      <c r="BJ140" s="23"/>
      <c r="BK140" s="220">
        <f t="shared" si="370"/>
        <v>0</v>
      </c>
      <c r="BL140" s="212"/>
      <c r="BM140" s="210"/>
      <c r="BN140" s="65">
        <v>10.5</v>
      </c>
      <c r="BO140" s="52"/>
      <c r="BP140" s="65">
        <v>0</v>
      </c>
      <c r="BQ140" s="52"/>
      <c r="BR140" s="222">
        <f t="shared" si="344"/>
        <v>10.5</v>
      </c>
      <c r="BS140" s="216"/>
      <c r="BT140" s="210"/>
      <c r="BU140" s="65">
        <v>0</v>
      </c>
      <c r="BV140" s="52"/>
      <c r="BW140" s="65">
        <v>0</v>
      </c>
      <c r="BX140" s="52"/>
      <c r="BY140" s="222">
        <f t="shared" si="345"/>
        <v>0</v>
      </c>
      <c r="BZ140" s="216"/>
      <c r="CA140" s="210"/>
      <c r="CB140" s="65">
        <v>1400</v>
      </c>
      <c r="CC140" s="52"/>
      <c r="CD140" s="65">
        <v>0</v>
      </c>
      <c r="CE140" s="52"/>
      <c r="CF140" s="222">
        <f t="shared" si="346"/>
        <v>1400</v>
      </c>
      <c r="CG140" s="216"/>
      <c r="CH140" s="210"/>
      <c r="CI140" s="208">
        <f t="shared" si="347"/>
        <v>1410.5</v>
      </c>
      <c r="CJ140" s="52"/>
      <c r="CK140" s="208">
        <f t="shared" si="360"/>
        <v>0</v>
      </c>
      <c r="CL140" s="52"/>
      <c r="CM140" s="222">
        <f t="shared" si="348"/>
        <v>1410.5</v>
      </c>
      <c r="CN140" s="216"/>
      <c r="CO140" s="210"/>
      <c r="CP140" s="65"/>
      <c r="CQ140" s="51"/>
      <c r="CR140" s="65">
        <v>0</v>
      </c>
      <c r="CS140" s="51"/>
      <c r="CT140" s="222">
        <f t="shared" si="349"/>
        <v>0</v>
      </c>
      <c r="CU140" s="223"/>
      <c r="CV140" s="210"/>
      <c r="CW140" s="65">
        <f>1300</f>
        <v>1300</v>
      </c>
      <c r="CX140" s="52"/>
      <c r="CY140" s="65">
        <v>0</v>
      </c>
      <c r="CZ140" s="52"/>
      <c r="DA140" s="222">
        <f t="shared" si="350"/>
        <v>1300</v>
      </c>
      <c r="DB140" s="216"/>
      <c r="DC140" s="210"/>
      <c r="DD140" s="65"/>
      <c r="DE140" s="52"/>
      <c r="DF140" s="65">
        <v>0</v>
      </c>
      <c r="DG140" s="52"/>
      <c r="DH140" s="222">
        <f t="shared" si="351"/>
        <v>0</v>
      </c>
      <c r="DI140" s="216"/>
      <c r="DJ140" s="210"/>
      <c r="DK140" s="65">
        <v>0</v>
      </c>
      <c r="DL140" s="52"/>
      <c r="DM140" s="65">
        <v>0</v>
      </c>
      <c r="DN140" s="52"/>
      <c r="DO140" s="222">
        <f t="shared" si="352"/>
        <v>0</v>
      </c>
      <c r="DP140" s="216"/>
      <c r="DQ140" s="210"/>
      <c r="DR140" s="208">
        <f t="shared" si="353"/>
        <v>1300</v>
      </c>
      <c r="DS140" s="52"/>
      <c r="DT140" s="208">
        <f t="shared" si="354"/>
        <v>0</v>
      </c>
      <c r="DU140" s="52"/>
      <c r="DV140" s="222">
        <f t="shared" si="355"/>
        <v>1300</v>
      </c>
      <c r="DW140" s="216"/>
      <c r="DX140" s="210"/>
      <c r="DY140" s="208">
        <f t="shared" si="356"/>
        <v>3680.5</v>
      </c>
      <c r="DZ140" s="52"/>
      <c r="EA140" s="208">
        <f t="shared" si="361"/>
        <v>0</v>
      </c>
      <c r="EB140" s="33"/>
      <c r="EC140" s="212"/>
      <c r="ED140" s="212"/>
    </row>
    <row r="141" spans="1:134" ht="17.100000000000001" thickBot="1">
      <c r="A141" s="11" t="s">
        <v>147</v>
      </c>
      <c r="B141" s="9"/>
      <c r="C141" s="69">
        <f>SUM(C124:C140)</f>
        <v>0</v>
      </c>
      <c r="D141" s="32" t="e">
        <f>C141/C12</f>
        <v>#DIV/0!</v>
      </c>
      <c r="E141" s="24">
        <f>SUM(E124:E140)</f>
        <v>13233.770917762235</v>
      </c>
      <c r="F141" s="32">
        <f>E141/E12</f>
        <v>5.24433745908848E-2</v>
      </c>
      <c r="G141" s="34">
        <f>E141-C141</f>
        <v>13233.770917762235</v>
      </c>
      <c r="H141" s="31">
        <f>G141/E141</f>
        <v>1</v>
      </c>
      <c r="I141" s="210"/>
      <c r="J141" s="69">
        <f>SUM(J124:J140)</f>
        <v>8944.93</v>
      </c>
      <c r="K141" s="32">
        <f>J141/J12</f>
        <v>6.2315117020276083E-2</v>
      </c>
      <c r="L141" s="69">
        <f>SUM(L124:L140)</f>
        <v>13275.461137762239</v>
      </c>
      <c r="M141" s="32">
        <f>L141/L12</f>
        <v>5.2216677871113407E-2</v>
      </c>
      <c r="N141" s="63"/>
      <c r="O141" s="31">
        <f>N141/L141</f>
        <v>0</v>
      </c>
      <c r="P141" s="210"/>
      <c r="Q141" s="69">
        <f>SUM(Q124:Q140)</f>
        <v>8018.14</v>
      </c>
      <c r="R141" s="32">
        <f>Q141/Q12</f>
        <v>6.6052232910374667E-2</v>
      </c>
      <c r="S141" s="24">
        <f>SUM(S124:S140)</f>
        <v>14124.080381762236</v>
      </c>
      <c r="T141" s="32">
        <f>S141/S12</f>
        <v>4.8236076361366488E-2</v>
      </c>
      <c r="U141" s="63"/>
      <c r="V141" s="31">
        <f>U141/S141</f>
        <v>0</v>
      </c>
      <c r="W141" s="210"/>
      <c r="X141" s="24">
        <f>SUM(X124:X140)</f>
        <v>16963.07</v>
      </c>
      <c r="Y141" s="32">
        <f>X141/X12</f>
        <v>6.4027434715914586E-2</v>
      </c>
      <c r="Z141" s="24">
        <f>SUM(Z124:Z140)</f>
        <v>40633.31243728671</v>
      </c>
      <c r="AA141" s="32">
        <f>Z141/Z12</f>
        <v>5.0830176046748374E-2</v>
      </c>
      <c r="AB141" s="63"/>
      <c r="AC141" s="31">
        <f>AB141/Z141</f>
        <v>0</v>
      </c>
      <c r="AD141" s="210"/>
      <c r="AE141" s="69">
        <f>SUM(AE124:AE140)</f>
        <v>7287.12</v>
      </c>
      <c r="AF141" s="32" t="e">
        <f>AE141/AE12</f>
        <v>#DIV/0!</v>
      </c>
      <c r="AG141" s="69">
        <f>SUM(AG124:AG140)</f>
        <v>14617.532197762237</v>
      </c>
      <c r="AH141" s="32">
        <f>AG141/AG12</f>
        <v>4.6369361381537258E-2</v>
      </c>
      <c r="AI141" s="34">
        <f>AG141-AE141</f>
        <v>7330.4121977622372</v>
      </c>
      <c r="AJ141" s="31">
        <f>AI141/AG141</f>
        <v>0.50148083127769216</v>
      </c>
      <c r="AK141" s="210"/>
      <c r="AL141" s="69">
        <f>SUM(AL124:AL140)</f>
        <v>5342.05</v>
      </c>
      <c r="AM141" s="32" t="e">
        <f>AL141/AL12</f>
        <v>#DIV/0!</v>
      </c>
      <c r="AN141" s="69">
        <f>SUM(AN124:AN140)</f>
        <v>14644.493417762238</v>
      </c>
      <c r="AO141" s="32">
        <f>AN141/AN12</f>
        <v>4.6274991588410884E-2</v>
      </c>
      <c r="AP141" s="34">
        <f>AN141-AL141</f>
        <v>9302.4434177622388</v>
      </c>
      <c r="AQ141" s="31">
        <f>AP141/AN141</f>
        <v>0.63521783597371473</v>
      </c>
      <c r="AR141" s="210"/>
      <c r="AS141" s="69">
        <f>SUM(AS124:AS140)</f>
        <v>3380.75</v>
      </c>
      <c r="AT141" s="32" t="e">
        <f>AS141/AS12</f>
        <v>#DIV/0!</v>
      </c>
      <c r="AU141" s="69">
        <f>SUM(AU124:AU140)</f>
        <v>14792.823885762238</v>
      </c>
      <c r="AV141" s="32">
        <f>AU141/AU12</f>
        <v>4.5768603652930138E-2</v>
      </c>
      <c r="AW141" s="34">
        <f>AU141-AS141</f>
        <v>11412.073885762238</v>
      </c>
      <c r="AX141" s="31">
        <f>AW141/AU141</f>
        <v>0.77146013323028229</v>
      </c>
      <c r="AY141" s="210"/>
      <c r="AZ141" s="69">
        <f>SUM(AZ124:AZ140)</f>
        <v>16009.92</v>
      </c>
      <c r="BA141" s="32" t="e">
        <f>AZ141/AZ12</f>
        <v>#DIV/0!</v>
      </c>
      <c r="BB141" s="69">
        <f>SUM(BB124:BB140)</f>
        <v>44054.849501286706</v>
      </c>
      <c r="BC141" s="32">
        <f>BB141/BB12</f>
        <v>4.6134749132081709E-2</v>
      </c>
      <c r="BD141" s="34">
        <f>BB141-AZ141</f>
        <v>28044.929501286708</v>
      </c>
      <c r="BE141" s="31">
        <f>BD141/BB141</f>
        <v>0.63659119980576939</v>
      </c>
      <c r="BF141" s="210"/>
      <c r="BG141" s="69">
        <f>SUM(BG124:BG140)</f>
        <v>10864.43</v>
      </c>
      <c r="BH141" s="32" t="e">
        <f>BG141/BG12</f>
        <v>#DIV/0!</v>
      </c>
      <c r="BI141" s="69">
        <f>SUM(BI124:BI140)</f>
        <v>14909.692307692307</v>
      </c>
      <c r="BJ141" s="32" t="e">
        <f>BI141/BI12</f>
        <v>#DIV/0!</v>
      </c>
      <c r="BK141" s="34">
        <f t="shared" si="370"/>
        <v>4045.2623076923064</v>
      </c>
      <c r="BL141" s="31">
        <f>BK141/BI141</f>
        <v>0.27131762508641766</v>
      </c>
      <c r="BM141" s="210"/>
      <c r="BN141" s="69">
        <f>SUM(BN124:BN140)</f>
        <v>7208.38</v>
      </c>
      <c r="BO141" s="38" t="e">
        <f>BN141/BN12</f>
        <v>#DIV/0!</v>
      </c>
      <c r="BP141" s="69">
        <f>SUM(BP124:BP140)</f>
        <v>4409.6923076923076</v>
      </c>
      <c r="BQ141" s="38" t="e">
        <f>BP141/BP12</f>
        <v>#DIV/0!</v>
      </c>
      <c r="BR141" s="69">
        <f>SUM(BR124:BR140)</f>
        <v>2798.6876923076925</v>
      </c>
      <c r="BS141" s="40">
        <f>BR141/BP141</f>
        <v>0.63466734117154522</v>
      </c>
      <c r="BT141" s="210"/>
      <c r="BU141" s="69">
        <f>SUM(BU124:BU140)</f>
        <v>7684.6149999999989</v>
      </c>
      <c r="BV141" s="38">
        <f>BU141/BU12</f>
        <v>0.8998272853947844</v>
      </c>
      <c r="BW141" s="69">
        <f>SUM(BW124:BW140)</f>
        <v>5147.1625762237763</v>
      </c>
      <c r="BX141" s="38" t="e">
        <f>BW141/BW12</f>
        <v>#DIV/0!</v>
      </c>
      <c r="BY141" s="69">
        <f>SUM(BY124:BY140)</f>
        <v>2537.4524237762239</v>
      </c>
      <c r="BZ141" s="40">
        <f>BY141/BW141</f>
        <v>0.49298081927651677</v>
      </c>
      <c r="CA141" s="210"/>
      <c r="CB141" s="69">
        <f>SUM(CB124:CB140)</f>
        <v>7275.8649999999998</v>
      </c>
      <c r="CC141" s="38">
        <f>CB141/CB12</f>
        <v>0.10007650300131921</v>
      </c>
      <c r="CD141" s="69">
        <f>SUM(CD124:CD140)</f>
        <v>7760.1493146853136</v>
      </c>
      <c r="CE141" s="38">
        <f>CD141/CD12</f>
        <v>6.5333220922101004E-2</v>
      </c>
      <c r="CF141" s="69">
        <f>SUM(CF124:CF140)</f>
        <v>-484.28431468531471</v>
      </c>
      <c r="CG141" s="40">
        <f>CF141/CD141</f>
        <v>-6.2406571709754943E-2</v>
      </c>
      <c r="CH141" s="210"/>
      <c r="CI141" s="69">
        <f>SUM(CI124:CI140)</f>
        <v>33033.289999999994</v>
      </c>
      <c r="CJ141" s="38">
        <f>CI141/CI12</f>
        <v>0.40659794865116583</v>
      </c>
      <c r="CK141" s="69">
        <f>SUM(CK124:CK140)</f>
        <v>32226.696506293709</v>
      </c>
      <c r="CL141" s="38">
        <f>CK141/CK12</f>
        <v>0.27131873332009049</v>
      </c>
      <c r="CM141" s="69">
        <f>SUM(CM124:CM140)</f>
        <v>806.59349370629297</v>
      </c>
      <c r="CN141" s="40">
        <f>CM141/CK141</f>
        <v>2.5028736456086009E-2</v>
      </c>
      <c r="CO141" s="210"/>
      <c r="CP141" s="69">
        <f>SUM(CP124:CP140)</f>
        <v>20544.23</v>
      </c>
      <c r="CQ141" s="38">
        <f>CP141/CP12</f>
        <v>9.2557936817300498E-2</v>
      </c>
      <c r="CR141" s="69">
        <f>SUM(CR124:CR140)</f>
        <v>12036.231594405594</v>
      </c>
      <c r="CS141" s="38">
        <f>CR141/CR12</f>
        <v>5.0666923144040116E-2</v>
      </c>
      <c r="CT141" s="69">
        <f>SUM(CT124:CT140)</f>
        <v>8507.998405594406</v>
      </c>
      <c r="CU141" s="40">
        <f>CT141/CR141</f>
        <v>0.70686562807157183</v>
      </c>
      <c r="CV141" s="210"/>
      <c r="CW141" s="69">
        <f>SUM(CW124:CW140)</f>
        <v>13326.289999999997</v>
      </c>
      <c r="CX141" s="38">
        <f>CW141/CW12</f>
        <v>5.112430158783806E-2</v>
      </c>
      <c r="CY141" s="69">
        <f>SUM(CY124:CY140)</f>
        <v>12036.231594405594</v>
      </c>
      <c r="CZ141" s="38">
        <f>CY141/CY12</f>
        <v>5.0666923144040116E-2</v>
      </c>
      <c r="DA141" s="69">
        <f>SUM(DA124:DA140)</f>
        <v>1290.058405594405</v>
      </c>
      <c r="DB141" s="40">
        <f>DA141/CY141</f>
        <v>0.10718125482015654</v>
      </c>
      <c r="DC141" s="210"/>
      <c r="DD141" s="69">
        <f>SUM(DD124:DD140)</f>
        <v>14688.369999999999</v>
      </c>
      <c r="DE141" s="38">
        <f>DD141/DD12</f>
        <v>6.4556755289033194E-2</v>
      </c>
      <c r="DF141" s="69">
        <f>SUM(DF124:DF140)</f>
        <v>12783.231594405594</v>
      </c>
      <c r="DG141" s="38">
        <f>DF141/DF12</f>
        <v>4.7085286784481227E-2</v>
      </c>
      <c r="DH141" s="69">
        <f>SUM(DH124:DH140)</f>
        <v>1905.1384055944056</v>
      </c>
      <c r="DI141" s="40">
        <f>DH141/DF141</f>
        <v>0.14903417743195416</v>
      </c>
      <c r="DJ141" s="210"/>
      <c r="DK141" s="69">
        <f>SUM(DK124:DK140)</f>
        <v>10742.57</v>
      </c>
      <c r="DL141" s="38">
        <f>DK141/DK12</f>
        <v>7.2270706238127216E-2</v>
      </c>
      <c r="DM141" s="69">
        <f>SUM(DM124:DM140)</f>
        <v>12783.231594405594</v>
      </c>
      <c r="DN141" s="38">
        <f>DM141/DM12</f>
        <v>4.7085286784481227E-2</v>
      </c>
      <c r="DO141" s="69">
        <f>SUM(DO124:DO140)</f>
        <v>-2040.6615944055936</v>
      </c>
      <c r="DP141" s="40">
        <f>DO141/DM141</f>
        <v>-0.15963581503902827</v>
      </c>
      <c r="DQ141" s="210"/>
      <c r="DR141" s="69">
        <f>SUM(DR124:DR140)</f>
        <v>59301.46</v>
      </c>
      <c r="DS141" s="38">
        <f>DR141/DR12</f>
        <v>6.9051922973020805E-2</v>
      </c>
      <c r="DT141" s="69">
        <f>SUM(DT124:DT140)</f>
        <v>49638.926377622374</v>
      </c>
      <c r="DU141" s="38">
        <f>DT141/DT12</f>
        <v>4.8756722245315631E-2</v>
      </c>
      <c r="DV141" s="69">
        <f>SUM(DV124:DV140)</f>
        <v>9662.5336223776212</v>
      </c>
      <c r="DW141" s="40">
        <f>DV141/DT141</f>
        <v>0.19465637811887826</v>
      </c>
      <c r="DX141" s="210"/>
      <c r="DY141" s="69">
        <f>SUM(DY124:DY140)</f>
        <v>125307.74000000002</v>
      </c>
      <c r="DZ141" s="32">
        <f>DY141/DY12</f>
        <v>0.10399217914251058</v>
      </c>
      <c r="EA141" s="69">
        <f>SUM(EA124:EA140)</f>
        <v>166553.78482248954</v>
      </c>
      <c r="EB141" s="32">
        <f>EA141/EA12</f>
        <v>5.7607499048562091E-2</v>
      </c>
      <c r="EC141" s="34">
        <f>EA141-DY141</f>
        <v>41246.044822489523</v>
      </c>
      <c r="ED141" s="31">
        <f>EC141/EA141</f>
        <v>0.24764399600074488</v>
      </c>
    </row>
    <row r="142" spans="1:134" ht="17.100000000000001" thickTop="1">
      <c r="A142" s="9"/>
      <c r="B142" s="9"/>
      <c r="C142" s="45"/>
      <c r="D142" s="33"/>
      <c r="E142" s="25"/>
      <c r="F142" s="33"/>
      <c r="G142" s="32"/>
      <c r="H142" s="33"/>
      <c r="I142" s="210"/>
      <c r="J142" s="25"/>
      <c r="K142" s="33"/>
      <c r="L142" s="25"/>
      <c r="M142" s="33"/>
      <c r="N142" s="59"/>
      <c r="O142" s="33"/>
      <c r="P142" s="210"/>
      <c r="Q142" s="45"/>
      <c r="R142" s="23"/>
      <c r="S142" s="25"/>
      <c r="T142" s="33"/>
      <c r="U142" s="59"/>
      <c r="V142" s="33"/>
      <c r="W142" s="210"/>
      <c r="X142" s="45"/>
      <c r="Y142" s="33"/>
      <c r="Z142" s="25"/>
      <c r="AA142" s="23"/>
      <c r="AB142" s="32"/>
      <c r="AC142" s="33"/>
      <c r="AD142" s="210"/>
      <c r="AE142" s="45"/>
      <c r="AF142" s="23"/>
      <c r="AG142" s="25"/>
      <c r="AH142" s="23"/>
      <c r="AI142" s="20"/>
      <c r="AJ142" s="73"/>
      <c r="AK142" s="210"/>
      <c r="AL142" s="45"/>
      <c r="AM142" s="23"/>
      <c r="AN142" s="25"/>
      <c r="AO142" s="23"/>
      <c r="AP142" s="20"/>
      <c r="AQ142" s="73"/>
      <c r="AR142" s="210"/>
      <c r="AS142" s="45"/>
      <c r="AT142" s="23"/>
      <c r="AU142" s="25"/>
      <c r="AV142" s="23"/>
      <c r="AW142" s="20"/>
      <c r="AX142" s="73"/>
      <c r="AY142" s="210"/>
      <c r="AZ142" s="45"/>
      <c r="BA142" s="23"/>
      <c r="BB142" s="25"/>
      <c r="BC142" s="23"/>
      <c r="BD142" s="20"/>
      <c r="BE142" s="33"/>
      <c r="BF142" s="210"/>
      <c r="BG142" s="45"/>
      <c r="BH142" s="23"/>
      <c r="BI142" s="45"/>
      <c r="BJ142" s="23"/>
      <c r="BK142" s="20"/>
      <c r="BL142" s="33"/>
      <c r="BM142" s="210"/>
      <c r="BN142" s="45"/>
      <c r="BO142" s="52"/>
      <c r="BP142" s="45"/>
      <c r="BQ142" s="52"/>
      <c r="BR142" s="44"/>
      <c r="BS142" s="52"/>
      <c r="BT142" s="210"/>
      <c r="BU142" s="45"/>
      <c r="BV142" s="52"/>
      <c r="BW142" s="45"/>
      <c r="BX142" s="52"/>
      <c r="BY142" s="44"/>
      <c r="BZ142" s="81"/>
      <c r="CA142" s="210"/>
      <c r="CB142" s="45"/>
      <c r="CC142" s="52"/>
      <c r="CD142" s="45"/>
      <c r="CE142" s="52"/>
      <c r="CF142" s="44"/>
      <c r="CG142" s="81"/>
      <c r="CH142" s="210"/>
      <c r="CI142" s="45"/>
      <c r="CJ142" s="52"/>
      <c r="CK142" s="45"/>
      <c r="CL142" s="52"/>
      <c r="CM142" s="44"/>
      <c r="CN142" s="81"/>
      <c r="CO142" s="210"/>
      <c r="CP142" s="45"/>
      <c r="CQ142" s="51"/>
      <c r="CR142" s="45"/>
      <c r="CS142" s="51"/>
      <c r="CT142" s="44"/>
      <c r="CU142" s="68"/>
      <c r="CV142" s="210"/>
      <c r="CW142" s="45"/>
      <c r="CX142" s="52"/>
      <c r="CY142" s="45"/>
      <c r="CZ142" s="52"/>
      <c r="DA142" s="44"/>
      <c r="DB142" s="81"/>
      <c r="DC142" s="210"/>
      <c r="DD142" s="45"/>
      <c r="DE142" s="52"/>
      <c r="DF142" s="45"/>
      <c r="DG142" s="52"/>
      <c r="DH142" s="44"/>
      <c r="DI142" s="81"/>
      <c r="DJ142" s="210"/>
      <c r="DK142" s="45"/>
      <c r="DL142" s="52"/>
      <c r="DM142" s="45"/>
      <c r="DN142" s="52"/>
      <c r="DO142" s="44"/>
      <c r="DP142" s="81"/>
      <c r="DQ142" s="210"/>
      <c r="DR142" s="45"/>
      <c r="DS142" s="52"/>
      <c r="DT142" s="45"/>
      <c r="DU142" s="52"/>
      <c r="DV142" s="44"/>
      <c r="DW142" s="81"/>
      <c r="DX142" s="210"/>
      <c r="DY142" s="45">
        <f>+DY141-115045.56</f>
        <v>10262.180000000022</v>
      </c>
      <c r="DZ142" s="52"/>
      <c r="EA142" s="45"/>
      <c r="EB142" s="33"/>
      <c r="EC142" s="32"/>
      <c r="ED142" s="33"/>
    </row>
    <row r="143" spans="1:134">
      <c r="A143" s="9" t="s">
        <v>148</v>
      </c>
      <c r="B143" s="9"/>
      <c r="C143" s="65"/>
      <c r="D143" s="33"/>
      <c r="E143" s="22"/>
      <c r="F143" s="33"/>
      <c r="G143" s="212"/>
      <c r="H143" s="212"/>
      <c r="I143" s="210"/>
      <c r="J143" s="22"/>
      <c r="K143" s="33"/>
      <c r="L143" s="22"/>
      <c r="M143" s="33"/>
      <c r="N143" s="231"/>
      <c r="O143" s="212"/>
      <c r="P143" s="210"/>
      <c r="Q143" s="65"/>
      <c r="R143" s="23"/>
      <c r="S143" s="22"/>
      <c r="T143" s="33"/>
      <c r="U143" s="231"/>
      <c r="V143" s="212"/>
      <c r="W143" s="210"/>
      <c r="X143" s="208"/>
      <c r="Y143" s="33"/>
      <c r="Z143" s="218"/>
      <c r="AA143" s="23"/>
      <c r="AB143" s="212"/>
      <c r="AC143" s="212"/>
      <c r="AD143" s="210"/>
      <c r="AE143" s="65"/>
      <c r="AF143" s="23"/>
      <c r="AG143" s="22"/>
      <c r="AH143" s="23"/>
      <c r="AI143" s="220"/>
      <c r="AJ143" s="221"/>
      <c r="AK143" s="210"/>
      <c r="AL143" s="65"/>
      <c r="AM143" s="23"/>
      <c r="AN143" s="22"/>
      <c r="AO143" s="23"/>
      <c r="AP143" s="220"/>
      <c r="AQ143" s="221"/>
      <c r="AR143" s="210"/>
      <c r="AS143" s="65"/>
      <c r="AT143" s="23"/>
      <c r="AU143" s="22"/>
      <c r="AV143" s="23"/>
      <c r="AW143" s="220"/>
      <c r="AX143" s="221"/>
      <c r="AY143" s="210"/>
      <c r="AZ143" s="208"/>
      <c r="BA143" s="23"/>
      <c r="BB143" s="218"/>
      <c r="BC143" s="23"/>
      <c r="BD143" s="220"/>
      <c r="BE143" s="212"/>
      <c r="BF143" s="210"/>
      <c r="BG143" s="65"/>
      <c r="BH143" s="23"/>
      <c r="BI143" s="65"/>
      <c r="BJ143" s="23"/>
      <c r="BK143" s="220"/>
      <c r="BL143" s="212"/>
      <c r="BM143" s="210"/>
      <c r="BN143" s="65"/>
      <c r="BO143" s="52"/>
      <c r="BP143" s="65"/>
      <c r="BQ143" s="52"/>
      <c r="BR143" s="222"/>
      <c r="BS143" s="216"/>
      <c r="BT143" s="210"/>
      <c r="BU143" s="65"/>
      <c r="BV143" s="52"/>
      <c r="BW143" s="65"/>
      <c r="BX143" s="52"/>
      <c r="BY143" s="222"/>
      <c r="BZ143" s="216"/>
      <c r="CA143" s="210"/>
      <c r="CB143" s="65"/>
      <c r="CC143" s="52"/>
      <c r="CD143" s="65"/>
      <c r="CE143" s="52"/>
      <c r="CF143" s="222"/>
      <c r="CG143" s="216"/>
      <c r="CH143" s="210"/>
      <c r="CI143" s="208"/>
      <c r="CJ143" s="52"/>
      <c r="CK143" s="208"/>
      <c r="CL143" s="52"/>
      <c r="CM143" s="222"/>
      <c r="CN143" s="216"/>
      <c r="CO143" s="210"/>
      <c r="CP143" s="65"/>
      <c r="CQ143" s="51"/>
      <c r="CR143" s="65"/>
      <c r="CS143" s="51"/>
      <c r="CT143" s="222"/>
      <c r="CU143" s="223"/>
      <c r="CV143" s="210"/>
      <c r="CW143" s="65"/>
      <c r="CX143" s="52"/>
      <c r="CY143" s="65"/>
      <c r="CZ143" s="52"/>
      <c r="DA143" s="222"/>
      <c r="DB143" s="216"/>
      <c r="DC143" s="210"/>
      <c r="DD143" s="65"/>
      <c r="DE143" s="52"/>
      <c r="DF143" s="65"/>
      <c r="DG143" s="52"/>
      <c r="DH143" s="222"/>
      <c r="DI143" s="216"/>
      <c r="DJ143" s="210"/>
      <c r="DK143" s="65"/>
      <c r="DL143" s="52"/>
      <c r="DM143" s="65"/>
      <c r="DN143" s="52"/>
      <c r="DO143" s="222"/>
      <c r="DP143" s="216"/>
      <c r="DQ143" s="210"/>
      <c r="DR143" s="208"/>
      <c r="DS143" s="52"/>
      <c r="DT143" s="208"/>
      <c r="DU143" s="52"/>
      <c r="DV143" s="222"/>
      <c r="DW143" s="216"/>
      <c r="DX143" s="210"/>
      <c r="DY143" s="208"/>
      <c r="DZ143" s="52"/>
      <c r="EA143" s="208"/>
      <c r="EB143" s="33"/>
      <c r="EC143" s="212"/>
      <c r="ED143" s="212"/>
    </row>
    <row r="144" spans="1:134">
      <c r="A144" s="232" t="s">
        <v>149</v>
      </c>
      <c r="B144" s="9"/>
      <c r="C144" s="65"/>
      <c r="D144" s="33"/>
      <c r="E144" s="68">
        <v>2930.9230769230771</v>
      </c>
      <c r="F144" s="33"/>
      <c r="G144" s="212"/>
      <c r="H144" s="212"/>
      <c r="I144" s="210"/>
      <c r="J144" s="22">
        <f>2931*0.75</f>
        <v>2198.25</v>
      </c>
      <c r="K144" s="33"/>
      <c r="L144" s="68">
        <v>2930.9230769230771</v>
      </c>
      <c r="M144" s="33"/>
      <c r="N144" s="231"/>
      <c r="O144" s="212"/>
      <c r="P144" s="210"/>
      <c r="Q144" s="65">
        <v>2600</v>
      </c>
      <c r="R144" s="23"/>
      <c r="S144" s="68">
        <v>2930.9230769230771</v>
      </c>
      <c r="T144" s="33"/>
      <c r="U144" s="231"/>
      <c r="V144" s="212"/>
      <c r="W144" s="210"/>
      <c r="X144" s="208">
        <f t="shared" ref="X144:X145" si="371">C144+J144+Q144</f>
        <v>4798.25</v>
      </c>
      <c r="Y144" s="33"/>
      <c r="Z144" s="218">
        <f t="shared" ref="Z144:Z145" si="372">E144+L144+S144</f>
        <v>8792.7692307692305</v>
      </c>
      <c r="AA144" s="23"/>
      <c r="AB144" s="212"/>
      <c r="AC144" s="212"/>
      <c r="AD144" s="210"/>
      <c r="AE144" s="65">
        <v>0</v>
      </c>
      <c r="AF144" s="23"/>
      <c r="AG144" s="22">
        <v>2930.9230769230771</v>
      </c>
      <c r="AH144" s="23"/>
      <c r="AI144" s="220"/>
      <c r="AJ144" s="221"/>
      <c r="AK144" s="210"/>
      <c r="AL144" s="65">
        <v>-2377.3200000000002</v>
      </c>
      <c r="AM144" s="23"/>
      <c r="AN144" s="22">
        <v>2930.9230769230771</v>
      </c>
      <c r="AO144" s="23"/>
      <c r="AP144" s="220"/>
      <c r="AQ144" s="221"/>
      <c r="AR144" s="210"/>
      <c r="AS144" s="65">
        <v>0</v>
      </c>
      <c r="AT144" s="23"/>
      <c r="AU144" s="22">
        <v>2930.9230769230771</v>
      </c>
      <c r="AV144" s="23"/>
      <c r="AW144" s="220"/>
      <c r="AX144" s="221"/>
      <c r="AY144" s="210"/>
      <c r="AZ144" s="208">
        <f t="shared" ref="AZ144" si="373">AE144+AL144+AS144</f>
        <v>-2377.3200000000002</v>
      </c>
      <c r="BA144" s="23"/>
      <c r="BB144" s="218">
        <f t="shared" ref="BB144:BB145" si="374">AG144+AN144+AU144</f>
        <v>8792.7692307692305</v>
      </c>
      <c r="BC144" s="23"/>
      <c r="BD144" s="220"/>
      <c r="BE144" s="212"/>
      <c r="BF144" s="210"/>
      <c r="BG144" s="65">
        <v>0</v>
      </c>
      <c r="BH144" s="23"/>
      <c r="BI144" s="65">
        <v>0</v>
      </c>
      <c r="BJ144" s="23"/>
      <c r="BK144" s="220"/>
      <c r="BL144" s="212"/>
      <c r="BM144" s="210"/>
      <c r="BN144" s="65">
        <v>0</v>
      </c>
      <c r="BO144" s="52"/>
      <c r="BP144" s="65">
        <v>0</v>
      </c>
      <c r="BQ144" s="52"/>
      <c r="BR144" s="222">
        <f t="shared" ref="BR144:BR145" si="375">BN144-BP144</f>
        <v>0</v>
      </c>
      <c r="BS144" s="216"/>
      <c r="BT144" s="210"/>
      <c r="BU144" s="65">
        <v>0</v>
      </c>
      <c r="BV144" s="52"/>
      <c r="BW144" s="65">
        <v>0</v>
      </c>
      <c r="BX144" s="52"/>
      <c r="BY144" s="222">
        <f>BU144-BW144</f>
        <v>0</v>
      </c>
      <c r="BZ144" s="216"/>
      <c r="CA144" s="210"/>
      <c r="CB144" s="65">
        <v>0</v>
      </c>
      <c r="CC144" s="52"/>
      <c r="CD144" s="65">
        <v>0</v>
      </c>
      <c r="CE144" s="52"/>
      <c r="CF144" s="222">
        <f>CB144-CD144</f>
        <v>0</v>
      </c>
      <c r="CG144" s="216"/>
      <c r="CH144" s="210"/>
      <c r="CI144" s="208">
        <f t="shared" ref="CI144:CI145" si="376">BG144+BN144+BU144+CB144</f>
        <v>0</v>
      </c>
      <c r="CJ144" s="52"/>
      <c r="CK144" s="208">
        <f>BI144+BP144+BW144+CD144</f>
        <v>0</v>
      </c>
      <c r="CL144" s="52"/>
      <c r="CM144" s="222">
        <f t="shared" ref="CM144:CM145" si="377">CI144-CK144</f>
        <v>0</v>
      </c>
      <c r="CN144" s="216"/>
      <c r="CO144" s="210"/>
      <c r="CP144" s="65">
        <v>0</v>
      </c>
      <c r="CQ144" s="51"/>
      <c r="CR144" s="65">
        <v>0</v>
      </c>
      <c r="CS144" s="51"/>
      <c r="CT144" s="222">
        <f t="shared" ref="CT144:CT145" si="378">CP144-CR144</f>
        <v>0</v>
      </c>
      <c r="CU144" s="223"/>
      <c r="CV144" s="210"/>
      <c r="CW144" s="65">
        <v>0</v>
      </c>
      <c r="CX144" s="52"/>
      <c r="CY144" s="65">
        <v>0</v>
      </c>
      <c r="CZ144" s="52"/>
      <c r="DA144" s="222">
        <f t="shared" ref="DA144:DA145" si="379">CW144-CY144</f>
        <v>0</v>
      </c>
      <c r="DB144" s="216"/>
      <c r="DC144" s="210"/>
      <c r="DD144" s="65">
        <v>0</v>
      </c>
      <c r="DE144" s="52"/>
      <c r="DF144" s="65">
        <v>0</v>
      </c>
      <c r="DG144" s="52"/>
      <c r="DH144" s="222">
        <f t="shared" ref="DH144:DH145" si="380">DD144-DF144</f>
        <v>0</v>
      </c>
      <c r="DI144" s="216"/>
      <c r="DJ144" s="210"/>
      <c r="DK144" s="65">
        <v>0</v>
      </c>
      <c r="DL144" s="52"/>
      <c r="DM144" s="65">
        <v>0</v>
      </c>
      <c r="DN144" s="52"/>
      <c r="DO144" s="222">
        <f t="shared" ref="DO144:DO145" si="381">DK144-DM144</f>
        <v>0</v>
      </c>
      <c r="DP144" s="216"/>
      <c r="DQ144" s="210"/>
      <c r="DR144" s="208">
        <f t="shared" ref="DR144:DR145" si="382">CP144+CW144+DD144+DK144</f>
        <v>0</v>
      </c>
      <c r="DS144" s="52"/>
      <c r="DT144" s="208">
        <f>CR144+CY144+DF144+DM144</f>
        <v>0</v>
      </c>
      <c r="DU144" s="52"/>
      <c r="DV144" s="222">
        <f t="shared" ref="DV144:DV145" si="383">DR144-DT144</f>
        <v>0</v>
      </c>
      <c r="DW144" s="216"/>
      <c r="DX144" s="210"/>
      <c r="DY144" s="208">
        <f t="shared" ref="DY144" si="384">X144+AZ144+CI144+DR144</f>
        <v>2420.9299999999998</v>
      </c>
      <c r="DZ144" s="52"/>
      <c r="EA144" s="208">
        <f>Z144+BB144+CK144+DT144</f>
        <v>17585.538461538461</v>
      </c>
      <c r="EB144" s="33"/>
      <c r="EC144" s="212"/>
      <c r="ED144" s="212"/>
    </row>
    <row r="145" spans="1:134">
      <c r="A145" s="232" t="s">
        <v>150</v>
      </c>
      <c r="B145" s="9"/>
      <c r="C145" s="65"/>
      <c r="D145" s="33"/>
      <c r="E145" s="68">
        <v>2930.7692307692309</v>
      </c>
      <c r="F145" s="33"/>
      <c r="G145" s="212"/>
      <c r="H145" s="212"/>
      <c r="I145" s="210"/>
      <c r="J145" s="22">
        <v>2464.98</v>
      </c>
      <c r="K145" s="33"/>
      <c r="L145" s="68">
        <v>2930.7692307692309</v>
      </c>
      <c r="M145" s="33"/>
      <c r="N145" s="231"/>
      <c r="O145" s="212"/>
      <c r="P145" s="210"/>
      <c r="Q145" s="65">
        <v>9748</v>
      </c>
      <c r="R145" s="23"/>
      <c r="S145" s="68">
        <v>2930.7692307692309</v>
      </c>
      <c r="T145" s="33"/>
      <c r="U145" s="231"/>
      <c r="V145" s="212"/>
      <c r="W145" s="210"/>
      <c r="X145" s="208">
        <f t="shared" si="371"/>
        <v>12212.98</v>
      </c>
      <c r="Y145" s="33"/>
      <c r="Z145" s="218">
        <f t="shared" si="372"/>
        <v>8792.3076923076933</v>
      </c>
      <c r="AA145" s="23"/>
      <c r="AB145" s="212"/>
      <c r="AC145" s="212"/>
      <c r="AD145" s="210"/>
      <c r="AE145" s="65">
        <v>595</v>
      </c>
      <c r="AF145" s="23"/>
      <c r="AG145" s="22">
        <v>2930.7692307692309</v>
      </c>
      <c r="AH145" s="23"/>
      <c r="AI145" s="220"/>
      <c r="AJ145" s="221"/>
      <c r="AK145" s="210"/>
      <c r="AL145" s="65">
        <v>4764.47</v>
      </c>
      <c r="AM145" s="23"/>
      <c r="AN145" s="22">
        <v>2930.7692307692309</v>
      </c>
      <c r="AO145" s="23"/>
      <c r="AP145" s="220"/>
      <c r="AQ145" s="221"/>
      <c r="AR145" s="210"/>
      <c r="AS145" s="65">
        <v>2573.8200000000002</v>
      </c>
      <c r="AT145" s="23"/>
      <c r="AU145" s="22">
        <v>2930.7692307692309</v>
      </c>
      <c r="AV145" s="23"/>
      <c r="AW145" s="220"/>
      <c r="AX145" s="221"/>
      <c r="AY145" s="210"/>
      <c r="AZ145" s="208">
        <f>AE145+AL145+AS145</f>
        <v>7933.2900000000009</v>
      </c>
      <c r="BA145" s="23"/>
      <c r="BB145" s="218">
        <f t="shared" si="374"/>
        <v>8792.3076923076933</v>
      </c>
      <c r="BC145" s="23"/>
      <c r="BD145" s="220"/>
      <c r="BE145" s="212"/>
      <c r="BF145" s="210"/>
      <c r="BG145" s="65">
        <v>2051.04</v>
      </c>
      <c r="BH145" s="23"/>
      <c r="BI145" s="65">
        <v>0</v>
      </c>
      <c r="BJ145" s="23"/>
      <c r="BK145" s="220"/>
      <c r="BL145" s="212"/>
      <c r="BM145" s="210"/>
      <c r="BN145" s="65">
        <f>800+1777.39</f>
        <v>2577.3900000000003</v>
      </c>
      <c r="BO145" s="52"/>
      <c r="BP145" s="65">
        <v>0</v>
      </c>
      <c r="BQ145" s="52"/>
      <c r="BR145" s="222">
        <f t="shared" si="375"/>
        <v>2577.3900000000003</v>
      </c>
      <c r="BS145" s="216"/>
      <c r="BT145" s="210"/>
      <c r="BU145" s="65">
        <v>5157.32</v>
      </c>
      <c r="BV145" s="52"/>
      <c r="BW145" s="65">
        <v>0</v>
      </c>
      <c r="BX145" s="52"/>
      <c r="BY145" s="222">
        <f>BU145-BW145</f>
        <v>5157.32</v>
      </c>
      <c r="BZ145" s="216"/>
      <c r="CA145" s="210"/>
      <c r="CB145" s="65">
        <v>2130.7399999999998</v>
      </c>
      <c r="CC145" s="52"/>
      <c r="CD145" s="65">
        <v>0</v>
      </c>
      <c r="CE145" s="52"/>
      <c r="CF145" s="222">
        <f>CB145-CD145</f>
        <v>2130.7399999999998</v>
      </c>
      <c r="CG145" s="216"/>
      <c r="CH145" s="210"/>
      <c r="CI145" s="208">
        <f t="shared" si="376"/>
        <v>11916.49</v>
      </c>
      <c r="CJ145" s="52"/>
      <c r="CK145" s="208">
        <f>BI145+BP145+BW145+CD145</f>
        <v>0</v>
      </c>
      <c r="CL145" s="52"/>
      <c r="CM145" s="222">
        <f t="shared" si="377"/>
        <v>11916.49</v>
      </c>
      <c r="CN145" s="216"/>
      <c r="CO145" s="210"/>
      <c r="CP145" s="65">
        <v>4823.4399999999996</v>
      </c>
      <c r="CQ145" s="51"/>
      <c r="CR145" s="65">
        <v>2930.7692307692309</v>
      </c>
      <c r="CS145" s="51"/>
      <c r="CT145" s="222">
        <f t="shared" si="378"/>
        <v>1892.6707692307687</v>
      </c>
      <c r="CU145" s="223"/>
      <c r="CV145" s="210"/>
      <c r="CW145" s="65">
        <v>3224.75</v>
      </c>
      <c r="CX145" s="52"/>
      <c r="CY145" s="65">
        <v>2930.7692307692309</v>
      </c>
      <c r="CZ145" s="52"/>
      <c r="DA145" s="222">
        <f t="shared" si="379"/>
        <v>293.98076923076906</v>
      </c>
      <c r="DB145" s="216"/>
      <c r="DC145" s="210"/>
      <c r="DD145" s="65">
        <v>2486.29</v>
      </c>
      <c r="DE145" s="52"/>
      <c r="DF145" s="65">
        <v>2930.7692307692309</v>
      </c>
      <c r="DG145" s="52"/>
      <c r="DH145" s="222">
        <f t="shared" si="380"/>
        <v>-444.47923076923098</v>
      </c>
      <c r="DI145" s="216"/>
      <c r="DJ145" s="210"/>
      <c r="DK145" s="65">
        <v>8114.58</v>
      </c>
      <c r="DL145" s="52"/>
      <c r="DM145" s="65">
        <v>2930.7692307692309</v>
      </c>
      <c r="DN145" s="52"/>
      <c r="DO145" s="222">
        <f t="shared" si="381"/>
        <v>5183.8107692307694</v>
      </c>
      <c r="DP145" s="216"/>
      <c r="DQ145" s="210"/>
      <c r="DR145" s="208">
        <f t="shared" si="382"/>
        <v>18649.059999999998</v>
      </c>
      <c r="DS145" s="52"/>
      <c r="DT145" s="208">
        <f>CR145+CY145+DF145+DM145</f>
        <v>11723.076923076924</v>
      </c>
      <c r="DU145" s="52"/>
      <c r="DV145" s="222">
        <f t="shared" si="383"/>
        <v>6925.9830769230739</v>
      </c>
      <c r="DW145" s="216"/>
      <c r="DX145" s="210"/>
      <c r="DY145" s="208">
        <f>X145+AZ145+CI145+DR145</f>
        <v>50711.82</v>
      </c>
      <c r="DZ145" s="52"/>
      <c r="EA145" s="208">
        <f>Z145+BB145+CK145+DT145</f>
        <v>29307.692307692312</v>
      </c>
      <c r="EB145" s="33"/>
      <c r="EC145" s="212"/>
      <c r="ED145" s="212"/>
    </row>
    <row r="146" spans="1:134" ht="17.100000000000001" thickBot="1">
      <c r="A146" s="11" t="s">
        <v>148</v>
      </c>
      <c r="B146" s="9"/>
      <c r="C146" s="24">
        <f>SUM(C144:C145)</f>
        <v>0</v>
      </c>
      <c r="D146" s="32" t="e">
        <f>C146/C12</f>
        <v>#DIV/0!</v>
      </c>
      <c r="E146" s="24">
        <f>SUM(E144:E145)</f>
        <v>5861.6923076923085</v>
      </c>
      <c r="F146" s="32">
        <f>E146/E12</f>
        <v>2.3228974367103274E-2</v>
      </c>
      <c r="G146" s="34">
        <f>E146-C146</f>
        <v>5861.6923076923085</v>
      </c>
      <c r="H146" s="31">
        <f>G146/E146</f>
        <v>1</v>
      </c>
      <c r="I146" s="210"/>
      <c r="J146" s="24">
        <f>SUM(J144:J145)</f>
        <v>4663.2299999999996</v>
      </c>
      <c r="K146" s="32">
        <f>J146/J12</f>
        <v>3.2486528473946917E-2</v>
      </c>
      <c r="L146" s="24">
        <f>SUM(L144:L145)</f>
        <v>5861.6923076923085</v>
      </c>
      <c r="M146" s="32">
        <f>L146/L12</f>
        <v>2.3055929721319368E-2</v>
      </c>
      <c r="N146" s="63"/>
      <c r="O146" s="31">
        <f>N146/L146</f>
        <v>0</v>
      </c>
      <c r="P146" s="210"/>
      <c r="Q146" s="69">
        <f>SUM(Q144:Q145)</f>
        <v>12348</v>
      </c>
      <c r="R146" s="32">
        <f>Q146/Q12</f>
        <v>0.10172096919950341</v>
      </c>
      <c r="S146" s="24">
        <f>SUM(S144:S145)</f>
        <v>5861.6923076923085</v>
      </c>
      <c r="T146" s="32">
        <f>S146/S12</f>
        <v>2.0018651134680328E-2</v>
      </c>
      <c r="U146" s="63"/>
      <c r="V146" s="31">
        <f>U146/S146</f>
        <v>0</v>
      </c>
      <c r="W146" s="210"/>
      <c r="X146" s="24">
        <f>SUM(X144:X145)</f>
        <v>17011.23</v>
      </c>
      <c r="Y146" s="32">
        <f>X146/X12</f>
        <v>6.4209215564305741E-2</v>
      </c>
      <c r="Z146" s="24">
        <f>SUM(Z144:Z145)</f>
        <v>17585.076923076922</v>
      </c>
      <c r="AA146" s="32">
        <f>Z146/Z12</f>
        <v>2.1998023350303538E-2</v>
      </c>
      <c r="AB146" s="63"/>
      <c r="AC146" s="31">
        <f>AB146/Z146</f>
        <v>0</v>
      </c>
      <c r="AD146" s="210"/>
      <c r="AE146" s="69">
        <f>SUM(AE144:AE145)</f>
        <v>595</v>
      </c>
      <c r="AF146" s="32" t="e">
        <f>AE146/AE12</f>
        <v>#DIV/0!</v>
      </c>
      <c r="AG146" s="24">
        <f>SUM(AG144:AG145)</f>
        <v>5861.6923076923085</v>
      </c>
      <c r="AH146" s="32">
        <f>AG146/AG12</f>
        <v>1.8594310260138944E-2</v>
      </c>
      <c r="AI146" s="63"/>
      <c r="AJ146" s="31">
        <f>AI146/AG146</f>
        <v>0</v>
      </c>
      <c r="AK146" s="210"/>
      <c r="AL146" s="69">
        <f>SUM(AL144:AL145)</f>
        <v>2387.15</v>
      </c>
      <c r="AM146" s="32" t="e">
        <f>AL146/AL12</f>
        <v>#DIV/0!</v>
      </c>
      <c r="AN146" s="24">
        <f>SUM(AN144:AN145)</f>
        <v>5861.6923076923085</v>
      </c>
      <c r="AO146" s="32">
        <f>AN146/AN12</f>
        <v>1.8522304220050165E-2</v>
      </c>
      <c r="AP146" s="63"/>
      <c r="AQ146" s="31">
        <f>AP146/AN146</f>
        <v>0</v>
      </c>
      <c r="AR146" s="210"/>
      <c r="AS146" s="69">
        <f>SUM(AS144:AS145)</f>
        <v>2573.8200000000002</v>
      </c>
      <c r="AT146" s="32" t="e">
        <f>AS146/AS12</f>
        <v>#DIV/0!</v>
      </c>
      <c r="AU146" s="24">
        <f>SUM(AU144:AU145)</f>
        <v>5861.6923076923085</v>
      </c>
      <c r="AV146" s="32">
        <f>AU146/AU12</f>
        <v>1.8135920094635452E-2</v>
      </c>
      <c r="AW146" s="63"/>
      <c r="AX146" s="31">
        <f>AW146/AU146</f>
        <v>0</v>
      </c>
      <c r="AY146" s="210"/>
      <c r="AZ146" s="24">
        <f>SUM(AZ144:AZ145)</f>
        <v>5555.9700000000012</v>
      </c>
      <c r="BA146" s="32" t="e">
        <f>AZ146/AZ12</f>
        <v>#DIV/0!</v>
      </c>
      <c r="BB146" s="24">
        <f>SUM(BB144:BB145)</f>
        <v>17585.076923076922</v>
      </c>
      <c r="BC146" s="32">
        <f>BB146/BB12</f>
        <v>1.8415296420223114E-2</v>
      </c>
      <c r="BD146" s="63"/>
      <c r="BE146" s="31">
        <f>BD146/BB146</f>
        <v>0</v>
      </c>
      <c r="BF146" s="210"/>
      <c r="BG146" s="69">
        <f>SUM(BG144:BG145)</f>
        <v>2051.04</v>
      </c>
      <c r="BH146" s="32" t="e">
        <f>BG146/BG12</f>
        <v>#DIV/0!</v>
      </c>
      <c r="BI146" s="69">
        <f>SUM(BI144:BI145)</f>
        <v>0</v>
      </c>
      <c r="BJ146" s="32" t="e">
        <f>BI146/BI12</f>
        <v>#DIV/0!</v>
      </c>
      <c r="BK146" s="63"/>
      <c r="BL146" s="31" t="e">
        <f>BK146/BI146</f>
        <v>#DIV/0!</v>
      </c>
      <c r="BM146" s="210"/>
      <c r="BN146" s="69">
        <f>SUM(BN144:BN145)</f>
        <v>2577.3900000000003</v>
      </c>
      <c r="BO146" s="38" t="e">
        <f>BN146/BN12</f>
        <v>#DIV/0!</v>
      </c>
      <c r="BP146" s="69">
        <f>SUM(BP144:BP145)</f>
        <v>0</v>
      </c>
      <c r="BQ146" s="38" t="e">
        <f>BP146/BP12</f>
        <v>#DIV/0!</v>
      </c>
      <c r="BR146" s="69">
        <f>SUM(BR144:BR145)</f>
        <v>2577.3900000000003</v>
      </c>
      <c r="BS146" s="40" t="e">
        <f>BR146/BP146</f>
        <v>#DIV/0!</v>
      </c>
      <c r="BT146" s="210"/>
      <c r="BU146" s="69">
        <f>SUM(BU144:BU145)</f>
        <v>5157.32</v>
      </c>
      <c r="BV146" s="38">
        <f>BU146/BU12</f>
        <v>0.60389456797929764</v>
      </c>
      <c r="BW146" s="69">
        <f>SUM(BW144:BW145)</f>
        <v>0</v>
      </c>
      <c r="BX146" s="38" t="e">
        <f>BW146/BW12</f>
        <v>#DIV/0!</v>
      </c>
      <c r="BY146" s="69">
        <f>SUM(BY144:BY145)</f>
        <v>5157.32</v>
      </c>
      <c r="BZ146" s="40" t="e">
        <f>BY146/BW146</f>
        <v>#DIV/0!</v>
      </c>
      <c r="CA146" s="210"/>
      <c r="CB146" s="69">
        <f>SUM(CB144:CB145)</f>
        <v>2130.7399999999998</v>
      </c>
      <c r="CC146" s="38">
        <f>CB146/CB12</f>
        <v>2.9307444270204416E-2</v>
      </c>
      <c r="CD146" s="69">
        <f>SUM(CD144:CD145)</f>
        <v>0</v>
      </c>
      <c r="CE146" s="38">
        <f>CD146/CD12</f>
        <v>0</v>
      </c>
      <c r="CF146" s="69">
        <f>SUM(CF144:CF145)</f>
        <v>2130.7399999999998</v>
      </c>
      <c r="CG146" s="40" t="e">
        <f>CF146/CD146</f>
        <v>#DIV/0!</v>
      </c>
      <c r="CH146" s="210"/>
      <c r="CI146" s="69">
        <f>SUM(CI144:CI145)</f>
        <v>11916.49</v>
      </c>
      <c r="CJ146" s="38">
        <f>CI146/CI12</f>
        <v>0.14667689440325599</v>
      </c>
      <c r="CK146" s="69">
        <f>SUM(CK144:CK145)</f>
        <v>0</v>
      </c>
      <c r="CL146" s="38">
        <f>CK146/CK12</f>
        <v>0</v>
      </c>
      <c r="CM146" s="69">
        <f>SUM(CM144:CM145)</f>
        <v>11916.49</v>
      </c>
      <c r="CN146" s="40" t="e">
        <f>CM146/CK146</f>
        <v>#DIV/0!</v>
      </c>
      <c r="CO146" s="210"/>
      <c r="CP146" s="69">
        <f>SUM(CP144:CP145)</f>
        <v>4823.4399999999996</v>
      </c>
      <c r="CQ146" s="38">
        <f>CP146/CP12</f>
        <v>2.1731048316828611E-2</v>
      </c>
      <c r="CR146" s="69">
        <f>SUM(CR144:CR145)</f>
        <v>2930.7692307692309</v>
      </c>
      <c r="CS146" s="38">
        <f>CR146/CR12</f>
        <v>1.2337171996368145E-2</v>
      </c>
      <c r="CT146" s="69">
        <f>SUM(CT144:CT145)</f>
        <v>1892.6707692307687</v>
      </c>
      <c r="CU146" s="40">
        <f>CT146/CR146</f>
        <v>0.6457931758530181</v>
      </c>
      <c r="CV146" s="210"/>
      <c r="CW146" s="69">
        <f>SUM(CW144:CW145)</f>
        <v>3224.75</v>
      </c>
      <c r="CX146" s="38">
        <f>CW146/CW12</f>
        <v>1.2371266987689809E-2</v>
      </c>
      <c r="CY146" s="69">
        <f>SUM(CY144:CY145)</f>
        <v>2930.7692307692309</v>
      </c>
      <c r="CZ146" s="38">
        <f>CY146/CY12</f>
        <v>1.2337171996368145E-2</v>
      </c>
      <c r="DA146" s="69">
        <f>SUM(DA144:DA145)</f>
        <v>293.98076923076906</v>
      </c>
      <c r="DB146" s="40">
        <f>DA146/CY146</f>
        <v>0.10030839895013116</v>
      </c>
      <c r="DC146" s="210"/>
      <c r="DD146" s="69">
        <f>SUM(DD144:DD145)</f>
        <v>2486.29</v>
      </c>
      <c r="DE146" s="38">
        <f>DD146/DD12</f>
        <v>1.0927476303195681E-2</v>
      </c>
      <c r="DF146" s="69">
        <f>SUM(DF144:DF145)</f>
        <v>2930.7692307692309</v>
      </c>
      <c r="DG146" s="38">
        <f>DF146/DF12</f>
        <v>1.0795087979967038E-2</v>
      </c>
      <c r="DH146" s="69">
        <f>SUM(DH144:DH145)</f>
        <v>-444.47923076923098</v>
      </c>
      <c r="DI146" s="40">
        <f>DH146/DF146</f>
        <v>-0.1516595800524935</v>
      </c>
      <c r="DJ146" s="210"/>
      <c r="DK146" s="69">
        <f>SUM(DK144:DK145)</f>
        <v>8114.58</v>
      </c>
      <c r="DL146" s="38">
        <f>DK146/DK12</f>
        <v>5.4590887229571915E-2</v>
      </c>
      <c r="DM146" s="69">
        <f>SUM(DM144:DM145)</f>
        <v>2930.7692307692309</v>
      </c>
      <c r="DN146" s="38">
        <f>DM146/DM12</f>
        <v>1.0795087979967038E-2</v>
      </c>
      <c r="DO146" s="69">
        <f>SUM(DO144:DO145)</f>
        <v>5183.8107692307694</v>
      </c>
      <c r="DP146" s="40">
        <f>DO146/DM146</f>
        <v>1.7687543307086613</v>
      </c>
      <c r="DQ146" s="210"/>
      <c r="DR146" s="69">
        <f>SUM(DR144:DR145)</f>
        <v>18649.059999999998</v>
      </c>
      <c r="DS146" s="38">
        <f>DR146/DR12</f>
        <v>2.1715375214020758E-2</v>
      </c>
      <c r="DT146" s="69">
        <f>SUM(DT144:DT145)</f>
        <v>11723.076923076924</v>
      </c>
      <c r="DU146" s="38">
        <f>DT146/DT12</f>
        <v>1.1514729409147804E-2</v>
      </c>
      <c r="DV146" s="69">
        <f>SUM(DV144:DV145)</f>
        <v>6925.9830769230739</v>
      </c>
      <c r="DW146" s="40">
        <f>DV146/DT146</f>
        <v>0.59079908136482906</v>
      </c>
      <c r="DX146" s="210"/>
      <c r="DY146" s="69">
        <f>SUM(DY144:DY145)</f>
        <v>53132.75</v>
      </c>
      <c r="DZ146" s="32">
        <f>DY146/DY12</f>
        <v>4.4094566355870973E-2</v>
      </c>
      <c r="EA146" s="24">
        <f>SUM(EA144:EA145)</f>
        <v>46893.230769230773</v>
      </c>
      <c r="EB146" s="32">
        <f>EA146/EA12</f>
        <v>1.6219395733345698E-2</v>
      </c>
      <c r="EC146" s="63"/>
      <c r="ED146" s="31">
        <f>EC146/EA146</f>
        <v>0</v>
      </c>
    </row>
    <row r="147" spans="1:134" ht="17.100000000000001" thickTop="1">
      <c r="A147" s="9"/>
      <c r="B147" s="9"/>
      <c r="C147" s="65"/>
      <c r="D147" s="33"/>
      <c r="E147" s="22"/>
      <c r="F147" s="33"/>
      <c r="G147" s="212"/>
      <c r="H147" s="212"/>
      <c r="I147" s="210"/>
      <c r="J147" s="22"/>
      <c r="K147" s="33"/>
      <c r="L147" s="22"/>
      <c r="M147" s="33"/>
      <c r="N147" s="212"/>
      <c r="O147" s="212"/>
      <c r="P147" s="210"/>
      <c r="Q147" s="65"/>
      <c r="R147" s="23"/>
      <c r="S147" s="22"/>
      <c r="T147" s="33"/>
      <c r="U147" s="212"/>
      <c r="V147" s="212"/>
      <c r="W147" s="210"/>
      <c r="X147" s="208"/>
      <c r="Y147" s="33"/>
      <c r="Z147" s="218"/>
      <c r="AA147" s="23"/>
      <c r="AB147" s="212"/>
      <c r="AC147" s="212"/>
      <c r="AD147" s="210"/>
      <c r="AE147" s="65"/>
      <c r="AF147" s="23"/>
      <c r="AG147" s="22"/>
      <c r="AH147" s="23"/>
      <c r="AI147" s="220"/>
      <c r="AJ147" s="221"/>
      <c r="AK147" s="210"/>
      <c r="AL147" s="65"/>
      <c r="AM147" s="23"/>
      <c r="AN147" s="22"/>
      <c r="AO147" s="23"/>
      <c r="AP147" s="220"/>
      <c r="AQ147" s="221"/>
      <c r="AR147" s="210"/>
      <c r="AS147" s="65"/>
      <c r="AT147" s="23"/>
      <c r="AU147" s="22"/>
      <c r="AV147" s="23"/>
      <c r="AW147" s="220"/>
      <c r="AX147" s="221"/>
      <c r="AY147" s="210"/>
      <c r="AZ147" s="208"/>
      <c r="BA147" s="23"/>
      <c r="BB147" s="218"/>
      <c r="BC147" s="23"/>
      <c r="BD147" s="220"/>
      <c r="BE147" s="212"/>
      <c r="BF147" s="210"/>
      <c r="BG147" s="65"/>
      <c r="BH147" s="23"/>
      <c r="BI147" s="65"/>
      <c r="BJ147" s="23"/>
      <c r="BK147" s="220"/>
      <c r="BL147" s="212"/>
      <c r="BM147" s="210"/>
      <c r="BN147" s="65"/>
      <c r="BO147" s="52"/>
      <c r="BP147" s="65"/>
      <c r="BQ147" s="52"/>
      <c r="BR147" s="222"/>
      <c r="BS147" s="216"/>
      <c r="BT147" s="210"/>
      <c r="BU147" s="65"/>
      <c r="BV147" s="52"/>
      <c r="BW147" s="65"/>
      <c r="BX147" s="52"/>
      <c r="BY147" s="222"/>
      <c r="BZ147" s="216"/>
      <c r="CA147" s="210"/>
      <c r="CB147" s="65"/>
      <c r="CC147" s="52"/>
      <c r="CD147" s="65"/>
      <c r="CE147" s="52"/>
      <c r="CF147" s="222"/>
      <c r="CG147" s="216"/>
      <c r="CH147" s="210"/>
      <c r="CI147" s="208"/>
      <c r="CJ147" s="52"/>
      <c r="CK147" s="208"/>
      <c r="CL147" s="52"/>
      <c r="CM147" s="222"/>
      <c r="CN147" s="216"/>
      <c r="CO147" s="210"/>
      <c r="CP147" s="65"/>
      <c r="CQ147" s="51"/>
      <c r="CR147" s="65"/>
      <c r="CS147" s="51"/>
      <c r="CT147" s="222"/>
      <c r="CU147" s="223"/>
      <c r="CV147" s="210"/>
      <c r="CW147" s="65"/>
      <c r="CX147" s="52"/>
      <c r="CY147" s="65"/>
      <c r="CZ147" s="52"/>
      <c r="DA147" s="222"/>
      <c r="DB147" s="216"/>
      <c r="DC147" s="210"/>
      <c r="DD147" s="65"/>
      <c r="DE147" s="52"/>
      <c r="DF147" s="65"/>
      <c r="DG147" s="52"/>
      <c r="DH147" s="222"/>
      <c r="DI147" s="216"/>
      <c r="DJ147" s="210"/>
      <c r="DK147" s="65"/>
      <c r="DL147" s="52"/>
      <c r="DM147" s="65"/>
      <c r="DN147" s="52"/>
      <c r="DO147" s="222"/>
      <c r="DP147" s="216"/>
      <c r="DQ147" s="210"/>
      <c r="DR147" s="208"/>
      <c r="DS147" s="52"/>
      <c r="DT147" s="208"/>
      <c r="DU147" s="52"/>
      <c r="DV147" s="222"/>
      <c r="DW147" s="216"/>
      <c r="DX147" s="210"/>
      <c r="DY147" s="208"/>
      <c r="DZ147" s="52"/>
      <c r="EA147" s="208"/>
      <c r="EB147" s="33"/>
      <c r="EC147" s="212"/>
      <c r="ED147" s="212"/>
    </row>
    <row r="148" spans="1:134">
      <c r="A148" s="9" t="s">
        <v>151</v>
      </c>
      <c r="B148" s="9"/>
      <c r="C148" s="65"/>
      <c r="D148" s="33"/>
      <c r="E148" s="22"/>
      <c r="F148" s="33"/>
      <c r="G148" s="212">
        <f>E148-C148</f>
        <v>0</v>
      </c>
      <c r="H148" s="212"/>
      <c r="I148" s="210"/>
      <c r="J148" s="22"/>
      <c r="K148" s="33"/>
      <c r="L148" s="22"/>
      <c r="M148" s="33"/>
      <c r="N148" s="212">
        <f>L148-J148</f>
        <v>0</v>
      </c>
      <c r="O148" s="212"/>
      <c r="P148" s="210"/>
      <c r="Q148" s="65"/>
      <c r="R148" s="23"/>
      <c r="S148" s="22"/>
      <c r="T148" s="33"/>
      <c r="U148" s="212">
        <f>S148-Q148</f>
        <v>0</v>
      </c>
      <c r="V148" s="212"/>
      <c r="W148" s="210"/>
      <c r="X148" s="208"/>
      <c r="Y148" s="33"/>
      <c r="Z148" s="218"/>
      <c r="AA148" s="23"/>
      <c r="AB148" s="212">
        <f>Z148-X148</f>
        <v>0</v>
      </c>
      <c r="AC148" s="212"/>
      <c r="AD148" s="210"/>
      <c r="AE148" s="65"/>
      <c r="AF148" s="23"/>
      <c r="AG148" s="22"/>
      <c r="AH148" s="23"/>
      <c r="AI148" s="220">
        <f>AG148-AE148</f>
        <v>0</v>
      </c>
      <c r="AJ148" s="221"/>
      <c r="AK148" s="210"/>
      <c r="AL148" s="65"/>
      <c r="AM148" s="23"/>
      <c r="AN148" s="22"/>
      <c r="AO148" s="23"/>
      <c r="AP148" s="220">
        <f>AN148-AL148</f>
        <v>0</v>
      </c>
      <c r="AQ148" s="221"/>
      <c r="AR148" s="210"/>
      <c r="AS148" s="65"/>
      <c r="AT148" s="23"/>
      <c r="AU148" s="22"/>
      <c r="AV148" s="23"/>
      <c r="AW148" s="220">
        <f>AU148-AS148</f>
        <v>0</v>
      </c>
      <c r="AX148" s="221"/>
      <c r="AY148" s="210"/>
      <c r="AZ148" s="208"/>
      <c r="BA148" s="23"/>
      <c r="BB148" s="218"/>
      <c r="BC148" s="23"/>
      <c r="BD148" s="220">
        <f>BB148-AZ148</f>
        <v>0</v>
      </c>
      <c r="BE148" s="212"/>
      <c r="BF148" s="210"/>
      <c r="BG148" s="65"/>
      <c r="BH148" s="23"/>
      <c r="BI148" s="65"/>
      <c r="BJ148" s="23"/>
      <c r="BK148" s="220">
        <f>BI148-BG148</f>
        <v>0</v>
      </c>
      <c r="BL148" s="212"/>
      <c r="BM148" s="210"/>
      <c r="BN148" s="65"/>
      <c r="BO148" s="52"/>
      <c r="BP148" s="65"/>
      <c r="BQ148" s="52"/>
      <c r="BR148" s="222">
        <f>BP148-BN148</f>
        <v>0</v>
      </c>
      <c r="BS148" s="216"/>
      <c r="BT148" s="210"/>
      <c r="BU148" s="65"/>
      <c r="BV148" s="52"/>
      <c r="BW148" s="65"/>
      <c r="BX148" s="52"/>
      <c r="BY148" s="222">
        <f>BW148-BU148</f>
        <v>0</v>
      </c>
      <c r="BZ148" s="216"/>
      <c r="CA148" s="210"/>
      <c r="CB148" s="65"/>
      <c r="CC148" s="52"/>
      <c r="CD148" s="65"/>
      <c r="CE148" s="52"/>
      <c r="CF148" s="222">
        <f>CD148-CB148</f>
        <v>0</v>
      </c>
      <c r="CG148" s="216"/>
      <c r="CH148" s="210"/>
      <c r="CI148" s="208"/>
      <c r="CJ148" s="52"/>
      <c r="CK148" s="208"/>
      <c r="CL148" s="52"/>
      <c r="CM148" s="222">
        <f t="shared" ref="CM148" si="385">CK148-CI148</f>
        <v>0</v>
      </c>
      <c r="CN148" s="216"/>
      <c r="CO148" s="210"/>
      <c r="CP148" s="65"/>
      <c r="CQ148" s="51"/>
      <c r="CR148" s="65"/>
      <c r="CS148" s="51"/>
      <c r="CT148" s="222">
        <f>CR148-CP148</f>
        <v>0</v>
      </c>
      <c r="CU148" s="223"/>
      <c r="CV148" s="210"/>
      <c r="CW148" s="65"/>
      <c r="CX148" s="52"/>
      <c r="CY148" s="65"/>
      <c r="CZ148" s="52"/>
      <c r="DA148" s="222">
        <f>CY148-CW148</f>
        <v>0</v>
      </c>
      <c r="DB148" s="216"/>
      <c r="DC148" s="210"/>
      <c r="DD148" s="65"/>
      <c r="DE148" s="52"/>
      <c r="DF148" s="65"/>
      <c r="DG148" s="52"/>
      <c r="DH148" s="222">
        <f>DF148-DD148</f>
        <v>0</v>
      </c>
      <c r="DI148" s="216"/>
      <c r="DJ148" s="210"/>
      <c r="DK148" s="65"/>
      <c r="DL148" s="52"/>
      <c r="DM148" s="65"/>
      <c r="DN148" s="52"/>
      <c r="DO148" s="222">
        <f>DM148-DK148</f>
        <v>0</v>
      </c>
      <c r="DP148" s="216"/>
      <c r="DQ148" s="210"/>
      <c r="DR148" s="208"/>
      <c r="DS148" s="52"/>
      <c r="DT148" s="208"/>
      <c r="DU148" s="52"/>
      <c r="DV148" s="222">
        <f>DT148-DR148</f>
        <v>0</v>
      </c>
      <c r="DW148" s="216"/>
      <c r="DX148" s="210"/>
      <c r="DY148" s="208"/>
      <c r="DZ148" s="52"/>
      <c r="EA148" s="208"/>
      <c r="EB148" s="33"/>
      <c r="EC148" s="212">
        <f>EA148-DY148</f>
        <v>0</v>
      </c>
      <c r="ED148" s="212"/>
    </row>
    <row r="149" spans="1:134">
      <c r="A149" s="10" t="s">
        <v>152</v>
      </c>
      <c r="B149" s="9"/>
      <c r="C149" s="65"/>
      <c r="D149" s="33"/>
      <c r="E149" s="68">
        <v>19250</v>
      </c>
      <c r="F149" s="33"/>
      <c r="G149" s="212"/>
      <c r="H149" s="212"/>
      <c r="I149" s="210"/>
      <c r="J149" s="22">
        <v>15218.25</v>
      </c>
      <c r="K149" s="33"/>
      <c r="L149" s="68">
        <v>19250</v>
      </c>
      <c r="M149" s="33"/>
      <c r="N149" s="212"/>
      <c r="O149" s="212"/>
      <c r="P149" s="210"/>
      <c r="Q149" s="65">
        <v>20291.400000000001</v>
      </c>
      <c r="R149" s="23"/>
      <c r="S149" s="68">
        <v>19250</v>
      </c>
      <c r="T149" s="33"/>
      <c r="U149" s="212"/>
      <c r="V149" s="212"/>
      <c r="W149" s="210"/>
      <c r="X149" s="208">
        <f t="shared" ref="X149:X152" si="386">C149+J149+Q149</f>
        <v>35509.65</v>
      </c>
      <c r="Y149" s="33"/>
      <c r="Z149" s="218">
        <f t="shared" ref="Z149:Z152" si="387">E149+L149+S149</f>
        <v>57750</v>
      </c>
      <c r="AA149" s="23"/>
      <c r="AB149" s="212"/>
      <c r="AC149" s="212"/>
      <c r="AD149" s="210"/>
      <c r="AE149" s="65">
        <v>20291.400000000001</v>
      </c>
      <c r="AF149" s="23"/>
      <c r="AG149" s="68">
        <v>19395</v>
      </c>
      <c r="AH149" s="23"/>
      <c r="AI149" s="220"/>
      <c r="AJ149" s="221"/>
      <c r="AK149" s="210"/>
      <c r="AL149" s="65">
        <v>24706.07</v>
      </c>
      <c r="AM149" s="23"/>
      <c r="AN149" s="68">
        <v>19828</v>
      </c>
      <c r="AO149" s="23"/>
      <c r="AP149" s="220"/>
      <c r="AQ149" s="221"/>
      <c r="AR149" s="210"/>
      <c r="AS149" s="65">
        <v>20291.400000000001</v>
      </c>
      <c r="AT149" s="23"/>
      <c r="AU149" s="68">
        <v>19828</v>
      </c>
      <c r="AV149" s="23"/>
      <c r="AW149" s="220"/>
      <c r="AX149" s="221"/>
      <c r="AY149" s="210"/>
      <c r="AZ149" s="208">
        <f t="shared" ref="AZ149:AZ152" si="388">AE149+AL149+AS149</f>
        <v>65288.87</v>
      </c>
      <c r="BA149" s="23"/>
      <c r="BB149" s="218">
        <f t="shared" ref="BB149:BB152" si="389">AG149+AN149+AU149</f>
        <v>59051</v>
      </c>
      <c r="BC149" s="23"/>
      <c r="BD149" s="220"/>
      <c r="BE149" s="212"/>
      <c r="BF149" s="210"/>
      <c r="BG149" s="65">
        <v>20291.400000000001</v>
      </c>
      <c r="BH149" s="23"/>
      <c r="BI149" s="68">
        <v>13654</v>
      </c>
      <c r="BJ149" s="23"/>
      <c r="BK149" s="220"/>
      <c r="BL149" s="212"/>
      <c r="BM149" s="210"/>
      <c r="BN149" s="65">
        <v>-20291.400000000001</v>
      </c>
      <c r="BO149" s="52"/>
      <c r="BP149" s="68">
        <v>0</v>
      </c>
      <c r="BQ149" s="52"/>
      <c r="BR149" s="222">
        <f t="shared" ref="BR149:BR152" si="390">BN149-BP149</f>
        <v>-20291.400000000001</v>
      </c>
      <c r="BS149" s="216"/>
      <c r="BT149" s="210"/>
      <c r="BU149" s="65">
        <v>0</v>
      </c>
      <c r="BV149" s="52"/>
      <c r="BW149" s="68">
        <v>0</v>
      </c>
      <c r="BX149" s="52"/>
      <c r="BY149" s="222">
        <f>BU149-BW149</f>
        <v>0</v>
      </c>
      <c r="BZ149" s="216"/>
      <c r="CA149" s="210"/>
      <c r="CB149" s="65">
        <v>0</v>
      </c>
      <c r="CC149" s="52"/>
      <c r="CD149" s="68">
        <v>509</v>
      </c>
      <c r="CE149" s="52"/>
      <c r="CF149" s="222">
        <f>CB149-CD149</f>
        <v>-509</v>
      </c>
      <c r="CG149" s="216"/>
      <c r="CH149" s="210"/>
      <c r="CI149" s="208">
        <f t="shared" ref="CI149:CI152" si="391">BG149+BN149+BU149+CB149</f>
        <v>0</v>
      </c>
      <c r="CJ149" s="52"/>
      <c r="CK149" s="208">
        <f>BI149+BP149+BW149+CD149</f>
        <v>14163</v>
      </c>
      <c r="CL149" s="52"/>
      <c r="CM149" s="222">
        <f t="shared" ref="CM149:CM152" si="392">CI149-CK149</f>
        <v>-14163</v>
      </c>
      <c r="CN149" s="216"/>
      <c r="CO149" s="210"/>
      <c r="CP149" s="65">
        <v>0</v>
      </c>
      <c r="CQ149" s="51"/>
      <c r="CR149" s="68">
        <v>1018</v>
      </c>
      <c r="CS149" s="51"/>
      <c r="CT149" s="222">
        <f t="shared" ref="CT149:CT152" si="393">CP149-CR149</f>
        <v>-1018</v>
      </c>
      <c r="CU149" s="223"/>
      <c r="CV149" s="210"/>
      <c r="CW149" s="65">
        <v>0</v>
      </c>
      <c r="CX149" s="52"/>
      <c r="CY149" s="68">
        <v>7127</v>
      </c>
      <c r="CZ149" s="52"/>
      <c r="DA149" s="222">
        <f t="shared" ref="DA149:DA152" si="394">CW149-CY149</f>
        <v>-7127</v>
      </c>
      <c r="DB149" s="216"/>
      <c r="DC149" s="210"/>
      <c r="DD149" s="65">
        <v>0</v>
      </c>
      <c r="DE149" s="52"/>
      <c r="DF149" s="68">
        <v>8145</v>
      </c>
      <c r="DG149" s="52"/>
      <c r="DH149" s="222">
        <f t="shared" ref="DH149:DH152" si="395">DD149-DF149</f>
        <v>-8145</v>
      </c>
      <c r="DI149" s="216"/>
      <c r="DJ149" s="210"/>
      <c r="DK149" s="65">
        <v>0</v>
      </c>
      <c r="DL149" s="52"/>
      <c r="DM149" s="68">
        <v>8145</v>
      </c>
      <c r="DN149" s="52"/>
      <c r="DO149" s="222">
        <f t="shared" ref="DO149:DO152" si="396">DK149-DM149</f>
        <v>-8145</v>
      </c>
      <c r="DP149" s="216"/>
      <c r="DQ149" s="210"/>
      <c r="DR149" s="208">
        <f t="shared" ref="DR149:DR152" si="397">CP149+CW149+DD149+DK149</f>
        <v>0</v>
      </c>
      <c r="DS149" s="52"/>
      <c r="DT149" s="208">
        <f t="shared" ref="DT149:DT152" si="398">CR149+CY149+DF149+DM149</f>
        <v>24435</v>
      </c>
      <c r="DU149" s="52"/>
      <c r="DV149" s="222">
        <f t="shared" ref="DV149:DV152" si="399">DR149-DT149</f>
        <v>-24435</v>
      </c>
      <c r="DW149" s="216"/>
      <c r="DX149" s="210"/>
      <c r="DY149" s="208">
        <f>X149+AZ149+CI149+DR149</f>
        <v>100798.52</v>
      </c>
      <c r="DZ149" s="52"/>
      <c r="EA149" s="208">
        <f>Z149+BB149+CK149+DT149</f>
        <v>155399</v>
      </c>
      <c r="EB149" s="33"/>
      <c r="EC149" s="212"/>
      <c r="ED149" s="212"/>
    </row>
    <row r="150" spans="1:134">
      <c r="A150" s="10" t="s">
        <v>153</v>
      </c>
      <c r="B150" s="9"/>
      <c r="C150" s="65"/>
      <c r="D150" s="33"/>
      <c r="E150" s="72">
        <v>0</v>
      </c>
      <c r="F150" s="33"/>
      <c r="G150" s="212">
        <f t="shared" ref="G150" si="400">E150-C150</f>
        <v>0</v>
      </c>
      <c r="H150" s="212"/>
      <c r="I150" s="210"/>
      <c r="J150" s="22">
        <v>0</v>
      </c>
      <c r="K150" s="33"/>
      <c r="L150" s="72">
        <v>0</v>
      </c>
      <c r="M150" s="33"/>
      <c r="N150" s="212"/>
      <c r="O150" s="212"/>
      <c r="P150" s="210"/>
      <c r="Q150" s="65">
        <v>0</v>
      </c>
      <c r="R150" s="23"/>
      <c r="S150" s="68"/>
      <c r="T150" s="33"/>
      <c r="U150" s="212"/>
      <c r="V150" s="212"/>
      <c r="W150" s="210"/>
      <c r="X150" s="208">
        <f t="shared" si="386"/>
        <v>0</v>
      </c>
      <c r="Y150" s="33"/>
      <c r="Z150" s="218">
        <f t="shared" si="387"/>
        <v>0</v>
      </c>
      <c r="AA150" s="23"/>
      <c r="AB150" s="212"/>
      <c r="AC150" s="212"/>
      <c r="AD150" s="210"/>
      <c r="AE150" s="65">
        <v>0</v>
      </c>
      <c r="AF150" s="23"/>
      <c r="AG150" s="68">
        <v>1900</v>
      </c>
      <c r="AH150" s="23"/>
      <c r="AI150" s="220"/>
      <c r="AJ150" s="221"/>
      <c r="AK150" s="210"/>
      <c r="AL150" s="65">
        <v>0</v>
      </c>
      <c r="AM150" s="23"/>
      <c r="AN150" s="68">
        <v>1900</v>
      </c>
      <c r="AO150" s="23"/>
      <c r="AP150" s="220"/>
      <c r="AQ150" s="221"/>
      <c r="AR150" s="210"/>
      <c r="AS150" s="65">
        <v>0</v>
      </c>
      <c r="AT150" s="23"/>
      <c r="AU150" s="68">
        <v>1900</v>
      </c>
      <c r="AV150" s="23"/>
      <c r="AW150" s="220"/>
      <c r="AX150" s="221"/>
      <c r="AY150" s="210"/>
      <c r="AZ150" s="208">
        <f t="shared" si="388"/>
        <v>0</v>
      </c>
      <c r="BA150" s="23"/>
      <c r="BB150" s="218">
        <f t="shared" si="389"/>
        <v>5700</v>
      </c>
      <c r="BC150" s="23"/>
      <c r="BD150" s="220"/>
      <c r="BE150" s="212"/>
      <c r="BF150" s="210"/>
      <c r="BG150" s="65">
        <v>0</v>
      </c>
      <c r="BH150" s="23"/>
      <c r="BI150" s="68">
        <v>0</v>
      </c>
      <c r="BJ150" s="23"/>
      <c r="BK150" s="220"/>
      <c r="BL150" s="212"/>
      <c r="BM150" s="210"/>
      <c r="BN150" s="65">
        <v>0</v>
      </c>
      <c r="BO150" s="52"/>
      <c r="BP150" s="68">
        <v>0</v>
      </c>
      <c r="BQ150" s="52"/>
      <c r="BR150" s="222">
        <f t="shared" si="390"/>
        <v>0</v>
      </c>
      <c r="BS150" s="216"/>
      <c r="BT150" s="210"/>
      <c r="BU150" s="65">
        <v>0</v>
      </c>
      <c r="BV150" s="52"/>
      <c r="BW150" s="68">
        <v>0</v>
      </c>
      <c r="BX150" s="52"/>
      <c r="BY150" s="222">
        <f>BU150-BW150</f>
        <v>0</v>
      </c>
      <c r="BZ150" s="216"/>
      <c r="CA150" s="210"/>
      <c r="CB150" s="65">
        <v>0</v>
      </c>
      <c r="CC150" s="52"/>
      <c r="CD150" s="68">
        <v>0</v>
      </c>
      <c r="CE150" s="52"/>
      <c r="CF150" s="222">
        <f>CB150-CD150</f>
        <v>0</v>
      </c>
      <c r="CG150" s="216"/>
      <c r="CH150" s="210"/>
      <c r="CI150" s="208">
        <f t="shared" si="391"/>
        <v>0</v>
      </c>
      <c r="CJ150" s="52"/>
      <c r="CK150" s="208">
        <f t="shared" ref="CK150:CK152" si="401">BI150+BP150+BW150+CD150</f>
        <v>0</v>
      </c>
      <c r="CL150" s="52"/>
      <c r="CM150" s="222">
        <f t="shared" si="392"/>
        <v>0</v>
      </c>
      <c r="CN150" s="216"/>
      <c r="CO150" s="210"/>
      <c r="CP150" s="65">
        <v>6150.73</v>
      </c>
      <c r="CQ150" s="51"/>
      <c r="CR150" s="68">
        <v>0</v>
      </c>
      <c r="CS150" s="51"/>
      <c r="CT150" s="222">
        <f t="shared" si="393"/>
        <v>6150.73</v>
      </c>
      <c r="CU150" s="223"/>
      <c r="CV150" s="210"/>
      <c r="CW150" s="65">
        <v>8256.58</v>
      </c>
      <c r="CX150" s="52"/>
      <c r="CY150" s="68">
        <v>0</v>
      </c>
      <c r="CZ150" s="52"/>
      <c r="DA150" s="222">
        <f t="shared" si="394"/>
        <v>8256.58</v>
      </c>
      <c r="DB150" s="216"/>
      <c r="DC150" s="210"/>
      <c r="DD150" s="65">
        <v>6452.05</v>
      </c>
      <c r="DE150" s="52"/>
      <c r="DF150" s="68">
        <v>0</v>
      </c>
      <c r="DG150" s="52"/>
      <c r="DH150" s="222">
        <f t="shared" si="395"/>
        <v>6452.05</v>
      </c>
      <c r="DI150" s="216"/>
      <c r="DJ150" s="210"/>
      <c r="DK150" s="65">
        <v>1491.28</v>
      </c>
      <c r="DL150" s="52"/>
      <c r="DM150" s="68">
        <v>0</v>
      </c>
      <c r="DN150" s="52"/>
      <c r="DO150" s="222">
        <f t="shared" si="396"/>
        <v>1491.28</v>
      </c>
      <c r="DP150" s="216"/>
      <c r="DQ150" s="210"/>
      <c r="DR150" s="208">
        <f t="shared" si="397"/>
        <v>22350.639999999999</v>
      </c>
      <c r="DS150" s="52"/>
      <c r="DT150" s="208">
        <f t="shared" si="398"/>
        <v>0</v>
      </c>
      <c r="DU150" s="52"/>
      <c r="DV150" s="222">
        <f t="shared" si="399"/>
        <v>22350.639999999999</v>
      </c>
      <c r="DW150" s="216"/>
      <c r="DX150" s="210"/>
      <c r="DY150" s="208">
        <f>X150+AZ150+CI150+DR150</f>
        <v>22350.639999999999</v>
      </c>
      <c r="DZ150" s="52"/>
      <c r="EA150" s="208">
        <f t="shared" ref="EA150:EA152" si="402">Z150+BB150+CK150+DT150</f>
        <v>5700</v>
      </c>
      <c r="EB150" s="33"/>
      <c r="EC150" s="212"/>
      <c r="ED150" s="212"/>
    </row>
    <row r="151" spans="1:134">
      <c r="A151" s="10" t="s">
        <v>154</v>
      </c>
      <c r="B151" s="9"/>
      <c r="C151" s="65"/>
      <c r="D151" s="33"/>
      <c r="E151" s="68">
        <v>7647</v>
      </c>
      <c r="F151" s="33"/>
      <c r="G151" s="212"/>
      <c r="H151" s="212"/>
      <c r="I151" s="210"/>
      <c r="J151" s="22">
        <v>6605.25</v>
      </c>
      <c r="K151" s="33"/>
      <c r="L151" s="73">
        <v>7647</v>
      </c>
      <c r="M151" s="33"/>
      <c r="N151" s="212"/>
      <c r="O151" s="212"/>
      <c r="P151" s="210"/>
      <c r="Q151" s="65">
        <v>8807</v>
      </c>
      <c r="R151" s="23"/>
      <c r="S151" s="73">
        <v>7647</v>
      </c>
      <c r="T151" s="33"/>
      <c r="U151" s="212"/>
      <c r="V151" s="212"/>
      <c r="W151" s="210"/>
      <c r="X151" s="208">
        <f t="shared" si="386"/>
        <v>15412.25</v>
      </c>
      <c r="Y151" s="33"/>
      <c r="Z151" s="218">
        <f t="shared" si="387"/>
        <v>22941</v>
      </c>
      <c r="AA151" s="23"/>
      <c r="AB151" s="212"/>
      <c r="AC151" s="212"/>
      <c r="AD151" s="210"/>
      <c r="AE151" s="65">
        <v>7907</v>
      </c>
      <c r="AF151" s="23"/>
      <c r="AG151" s="73">
        <v>7647</v>
      </c>
      <c r="AH151" s="23"/>
      <c r="AI151" s="220"/>
      <c r="AJ151" s="221"/>
      <c r="AK151" s="210"/>
      <c r="AL151" s="65">
        <v>7907</v>
      </c>
      <c r="AM151" s="23"/>
      <c r="AN151" s="73">
        <v>7647</v>
      </c>
      <c r="AO151" s="23"/>
      <c r="AP151" s="220"/>
      <c r="AQ151" s="221"/>
      <c r="AR151" s="210"/>
      <c r="AS151" s="65">
        <v>7907</v>
      </c>
      <c r="AT151" s="23"/>
      <c r="AU151" s="73">
        <v>7647</v>
      </c>
      <c r="AV151" s="23"/>
      <c r="AW151" s="220"/>
      <c r="AX151" s="221"/>
      <c r="AY151" s="210"/>
      <c r="AZ151" s="208">
        <f t="shared" si="388"/>
        <v>23721</v>
      </c>
      <c r="BA151" s="23"/>
      <c r="BB151" s="218">
        <f t="shared" si="389"/>
        <v>22941</v>
      </c>
      <c r="BC151" s="23"/>
      <c r="BD151" s="220"/>
      <c r="BE151" s="212"/>
      <c r="BF151" s="210"/>
      <c r="BG151" s="65">
        <v>7907</v>
      </c>
      <c r="BH151" s="23"/>
      <c r="BI151" s="68">
        <v>0</v>
      </c>
      <c r="BJ151" s="23"/>
      <c r="BK151" s="220"/>
      <c r="BL151" s="212"/>
      <c r="BM151" s="210"/>
      <c r="BN151" s="65">
        <v>-7907</v>
      </c>
      <c r="BO151" s="52"/>
      <c r="BP151" s="68">
        <v>0</v>
      </c>
      <c r="BQ151" s="52"/>
      <c r="BR151" s="222">
        <f t="shared" si="390"/>
        <v>-7907</v>
      </c>
      <c r="BS151" s="216"/>
      <c r="BT151" s="210"/>
      <c r="BU151" s="65">
        <v>0</v>
      </c>
      <c r="BV151" s="52"/>
      <c r="BW151" s="68">
        <v>0</v>
      </c>
      <c r="BX151" s="52"/>
      <c r="BY151" s="222">
        <f>BU151-BW151</f>
        <v>0</v>
      </c>
      <c r="BZ151" s="216"/>
      <c r="CA151" s="210"/>
      <c r="CB151" s="65">
        <v>0</v>
      </c>
      <c r="CC151" s="52"/>
      <c r="CD151" s="68">
        <v>0</v>
      </c>
      <c r="CE151" s="52"/>
      <c r="CF151" s="222">
        <f>CB151-CD151</f>
        <v>0</v>
      </c>
      <c r="CG151" s="216"/>
      <c r="CH151" s="210"/>
      <c r="CI151" s="208">
        <f t="shared" si="391"/>
        <v>0</v>
      </c>
      <c r="CJ151" s="52"/>
      <c r="CK151" s="208">
        <f t="shared" si="401"/>
        <v>0</v>
      </c>
      <c r="CL151" s="52"/>
      <c r="CM151" s="222">
        <f t="shared" si="392"/>
        <v>0</v>
      </c>
      <c r="CN151" s="216"/>
      <c r="CO151" s="210"/>
      <c r="CP151" s="65">
        <v>0</v>
      </c>
      <c r="CQ151" s="51"/>
      <c r="CR151" s="68">
        <v>0</v>
      </c>
      <c r="CS151" s="51"/>
      <c r="CT151" s="222">
        <f t="shared" si="393"/>
        <v>0</v>
      </c>
      <c r="CU151" s="223"/>
      <c r="CV151" s="210"/>
      <c r="CW151" s="65">
        <v>0</v>
      </c>
      <c r="CX151" s="52"/>
      <c r="CY151" s="68">
        <v>0</v>
      </c>
      <c r="CZ151" s="52"/>
      <c r="DA151" s="222">
        <f t="shared" si="394"/>
        <v>0</v>
      </c>
      <c r="DB151" s="216"/>
      <c r="DC151" s="210"/>
      <c r="DD151" s="65">
        <v>0</v>
      </c>
      <c r="DE151" s="52"/>
      <c r="DF151" s="68">
        <v>0</v>
      </c>
      <c r="DG151" s="52"/>
      <c r="DH151" s="222">
        <f t="shared" si="395"/>
        <v>0</v>
      </c>
      <c r="DI151" s="216"/>
      <c r="DJ151" s="210"/>
      <c r="DK151" s="65">
        <v>0</v>
      </c>
      <c r="DL151" s="52"/>
      <c r="DM151" s="68">
        <v>0</v>
      </c>
      <c r="DN151" s="52"/>
      <c r="DO151" s="222">
        <f t="shared" si="396"/>
        <v>0</v>
      </c>
      <c r="DP151" s="216"/>
      <c r="DQ151" s="210"/>
      <c r="DR151" s="208">
        <f t="shared" si="397"/>
        <v>0</v>
      </c>
      <c r="DS151" s="52"/>
      <c r="DT151" s="208">
        <f t="shared" si="398"/>
        <v>0</v>
      </c>
      <c r="DU151" s="52"/>
      <c r="DV151" s="222">
        <f t="shared" si="399"/>
        <v>0</v>
      </c>
      <c r="DW151" s="216"/>
      <c r="DX151" s="210"/>
      <c r="DY151" s="208">
        <f>X151+AZ151+CI151+DR151</f>
        <v>39133.25</v>
      </c>
      <c r="DZ151" s="52"/>
      <c r="EA151" s="208">
        <f t="shared" si="402"/>
        <v>45882</v>
      </c>
      <c r="EB151" s="33"/>
      <c r="EC151" s="212"/>
      <c r="ED151" s="212"/>
    </row>
    <row r="152" spans="1:134">
      <c r="A152" s="10" t="s">
        <v>155</v>
      </c>
      <c r="B152" s="9"/>
      <c r="C152" s="65"/>
      <c r="D152" s="33"/>
      <c r="E152" s="68">
        <v>38.46153846153846</v>
      </c>
      <c r="F152" s="33"/>
      <c r="G152" s="212"/>
      <c r="H152" s="212"/>
      <c r="I152" s="210"/>
      <c r="J152" s="22">
        <v>0</v>
      </c>
      <c r="K152" s="33"/>
      <c r="L152" s="73">
        <v>38.46153846153846</v>
      </c>
      <c r="M152" s="33"/>
      <c r="N152" s="212"/>
      <c r="O152" s="212"/>
      <c r="P152" s="210"/>
      <c r="Q152" s="65">
        <v>0</v>
      </c>
      <c r="R152" s="23"/>
      <c r="S152" s="73">
        <v>38.46153846153846</v>
      </c>
      <c r="T152" s="33"/>
      <c r="U152" s="212"/>
      <c r="V152" s="212"/>
      <c r="W152" s="210"/>
      <c r="X152" s="208">
        <f t="shared" si="386"/>
        <v>0</v>
      </c>
      <c r="Y152" s="33"/>
      <c r="Z152" s="218">
        <f t="shared" si="387"/>
        <v>115.38461538461539</v>
      </c>
      <c r="AA152" s="23"/>
      <c r="AB152" s="212"/>
      <c r="AC152" s="212"/>
      <c r="AD152" s="210"/>
      <c r="AE152" s="65">
        <v>0</v>
      </c>
      <c r="AF152" s="23"/>
      <c r="AG152" s="73">
        <v>38.46153846153846</v>
      </c>
      <c r="AH152" s="23"/>
      <c r="AI152" s="220"/>
      <c r="AJ152" s="221"/>
      <c r="AK152" s="210"/>
      <c r="AL152" s="65">
        <v>0</v>
      </c>
      <c r="AM152" s="23"/>
      <c r="AN152" s="73">
        <v>38.46153846153846</v>
      </c>
      <c r="AO152" s="23"/>
      <c r="AP152" s="220"/>
      <c r="AQ152" s="221"/>
      <c r="AR152" s="210"/>
      <c r="AS152" s="65">
        <v>0</v>
      </c>
      <c r="AT152" s="23"/>
      <c r="AU152" s="73">
        <v>38.46153846153846</v>
      </c>
      <c r="AV152" s="23"/>
      <c r="AW152" s="220"/>
      <c r="AX152" s="221"/>
      <c r="AY152" s="210"/>
      <c r="AZ152" s="208">
        <f t="shared" si="388"/>
        <v>0</v>
      </c>
      <c r="BA152" s="23"/>
      <c r="BB152" s="218">
        <f t="shared" si="389"/>
        <v>115.38461538461539</v>
      </c>
      <c r="BC152" s="23"/>
      <c r="BD152" s="220"/>
      <c r="BE152" s="212"/>
      <c r="BF152" s="210"/>
      <c r="BG152" s="65">
        <v>0</v>
      </c>
      <c r="BH152" s="23"/>
      <c r="BI152" s="68">
        <v>0</v>
      </c>
      <c r="BJ152" s="23"/>
      <c r="BK152" s="220"/>
      <c r="BL152" s="212"/>
      <c r="BM152" s="210"/>
      <c r="BN152" s="65"/>
      <c r="BO152" s="52"/>
      <c r="BP152" s="68">
        <v>0</v>
      </c>
      <c r="BQ152" s="52"/>
      <c r="BR152" s="222">
        <f t="shared" si="390"/>
        <v>0</v>
      </c>
      <c r="BS152" s="216"/>
      <c r="BT152" s="210"/>
      <c r="BU152" s="65">
        <v>0</v>
      </c>
      <c r="BV152" s="52"/>
      <c r="BW152" s="68">
        <v>0</v>
      </c>
      <c r="BX152" s="52"/>
      <c r="BY152" s="222">
        <f>BU152-BW152</f>
        <v>0</v>
      </c>
      <c r="BZ152" s="216"/>
      <c r="CA152" s="210"/>
      <c r="CB152" s="65">
        <v>0</v>
      </c>
      <c r="CC152" s="52"/>
      <c r="CD152" s="68">
        <v>38.46153846153846</v>
      </c>
      <c r="CE152" s="52"/>
      <c r="CF152" s="222">
        <f>CB152-CD152</f>
        <v>-38.46153846153846</v>
      </c>
      <c r="CG152" s="216"/>
      <c r="CH152" s="210"/>
      <c r="CI152" s="208">
        <f t="shared" si="391"/>
        <v>0</v>
      </c>
      <c r="CJ152" s="52"/>
      <c r="CK152" s="208">
        <f t="shared" si="401"/>
        <v>38.46153846153846</v>
      </c>
      <c r="CL152" s="52"/>
      <c r="CM152" s="222">
        <f t="shared" si="392"/>
        <v>-38.46153846153846</v>
      </c>
      <c r="CN152" s="216"/>
      <c r="CO152" s="210"/>
      <c r="CP152" s="65">
        <v>0</v>
      </c>
      <c r="CQ152" s="51"/>
      <c r="CR152" s="68">
        <v>38.46153846153846</v>
      </c>
      <c r="CS152" s="51"/>
      <c r="CT152" s="222">
        <f t="shared" si="393"/>
        <v>-38.46153846153846</v>
      </c>
      <c r="CU152" s="223"/>
      <c r="CV152" s="210"/>
      <c r="CW152" s="65">
        <v>0</v>
      </c>
      <c r="CX152" s="52"/>
      <c r="CY152" s="68">
        <v>38.46153846153846</v>
      </c>
      <c r="CZ152" s="52"/>
      <c r="DA152" s="222">
        <f t="shared" si="394"/>
        <v>-38.46153846153846</v>
      </c>
      <c r="DB152" s="216"/>
      <c r="DC152" s="210"/>
      <c r="DD152" s="65">
        <v>0</v>
      </c>
      <c r="DE152" s="52"/>
      <c r="DF152" s="68">
        <v>38.46153846153846</v>
      </c>
      <c r="DG152" s="52"/>
      <c r="DH152" s="222">
        <f t="shared" si="395"/>
        <v>-38.46153846153846</v>
      </c>
      <c r="DI152" s="216"/>
      <c r="DJ152" s="210"/>
      <c r="DK152" s="65">
        <v>92.4</v>
      </c>
      <c r="DL152" s="52"/>
      <c r="DM152" s="68">
        <v>38.46153846153846</v>
      </c>
      <c r="DN152" s="52"/>
      <c r="DO152" s="222">
        <f t="shared" si="396"/>
        <v>53.938461538461546</v>
      </c>
      <c r="DP152" s="216"/>
      <c r="DQ152" s="210"/>
      <c r="DR152" s="208">
        <f t="shared" si="397"/>
        <v>92.4</v>
      </c>
      <c r="DS152" s="52"/>
      <c r="DT152" s="208">
        <f t="shared" si="398"/>
        <v>153.84615384615384</v>
      </c>
      <c r="DU152" s="52"/>
      <c r="DV152" s="222">
        <f t="shared" si="399"/>
        <v>-61.446153846153834</v>
      </c>
      <c r="DW152" s="216"/>
      <c r="DX152" s="210"/>
      <c r="DY152" s="208">
        <f>X152+AZ152+CI152+DR152</f>
        <v>92.4</v>
      </c>
      <c r="DZ152" s="52"/>
      <c r="EA152" s="208">
        <f t="shared" si="402"/>
        <v>423.07692307692309</v>
      </c>
      <c r="EB152" s="33"/>
      <c r="EC152" s="212"/>
      <c r="ED152" s="212"/>
    </row>
    <row r="153" spans="1:134" ht="17.100000000000001" thickBot="1">
      <c r="A153" s="11" t="s">
        <v>156</v>
      </c>
      <c r="B153" s="9"/>
      <c r="C153" s="24">
        <f>SUM(C149:C152)</f>
        <v>0</v>
      </c>
      <c r="D153" s="54" t="e">
        <f>+C153/C12</f>
        <v>#DIV/0!</v>
      </c>
      <c r="E153" s="24">
        <f>SUM(E149:E152)</f>
        <v>26935.461538461539</v>
      </c>
      <c r="F153" s="32">
        <f>+E153/E12</f>
        <v>0.10674104214271606</v>
      </c>
      <c r="G153" s="34"/>
      <c r="H153" s="31">
        <f>G153/E153</f>
        <v>0</v>
      </c>
      <c r="I153" s="210"/>
      <c r="J153" s="24">
        <f>SUM(J149:J152)</f>
        <v>21823.5</v>
      </c>
      <c r="K153" s="54">
        <f>+J153/J12</f>
        <v>0.15203405239526693</v>
      </c>
      <c r="L153" s="24">
        <f>SUM(L149:L152)</f>
        <v>26935.461538461539</v>
      </c>
      <c r="M153" s="32">
        <f>+L153/L12</f>
        <v>0.10594587290552623</v>
      </c>
      <c r="N153" s="34"/>
      <c r="O153" s="31">
        <f>N153/L153</f>
        <v>0</v>
      </c>
      <c r="P153" s="210"/>
      <c r="Q153" s="69">
        <f>SUM(Q149:Q152)</f>
        <v>29098.400000000001</v>
      </c>
      <c r="R153" s="54">
        <f>+Q153/Q12</f>
        <v>0.23970824831185863</v>
      </c>
      <c r="S153" s="24">
        <f>SUM(S149:S152)</f>
        <v>26935.461538461539</v>
      </c>
      <c r="T153" s="32">
        <f>+S153/S12</f>
        <v>9.198906721570034E-2</v>
      </c>
      <c r="U153" s="34"/>
      <c r="V153" s="31">
        <f>U153/S153</f>
        <v>0</v>
      </c>
      <c r="W153" s="210"/>
      <c r="X153" s="24">
        <f>SUM(X149:X151)</f>
        <v>50921.9</v>
      </c>
      <c r="Y153" s="32">
        <f>+X153/X12</f>
        <v>0.19220569318291625</v>
      </c>
      <c r="Z153" s="24">
        <f>SUM(Z149:Z152)</f>
        <v>80806.38461538461</v>
      </c>
      <c r="AA153" s="32">
        <f>+Z153/Z12</f>
        <v>0.10108461529048629</v>
      </c>
      <c r="AB153" s="34"/>
      <c r="AC153" s="31">
        <f>AB153/Z153</f>
        <v>0</v>
      </c>
      <c r="AD153" s="210"/>
      <c r="AE153" s="69">
        <f>SUM(AE149:AE152)</f>
        <v>28198.400000000001</v>
      </c>
      <c r="AF153" s="54" t="e">
        <f>+AE153/AE12</f>
        <v>#DIV/0!</v>
      </c>
      <c r="AG153" s="24">
        <f>SUM(AG149:AG152)</f>
        <v>28980.461538461539</v>
      </c>
      <c r="AH153" s="32">
        <f>+AG153/AG12</f>
        <v>9.1931078098557856E-2</v>
      </c>
      <c r="AI153" s="34"/>
      <c r="AJ153" s="31">
        <f>AI153/AG153</f>
        <v>0</v>
      </c>
      <c r="AK153" s="210"/>
      <c r="AL153" s="69">
        <f>SUM(AL149:AL152)</f>
        <v>32613.07</v>
      </c>
      <c r="AM153" s="54" t="e">
        <f>+AL153/AL12</f>
        <v>#DIV/0!</v>
      </c>
      <c r="AN153" s="24">
        <f>SUM(AN149:AN152)</f>
        <v>29413.461538461539</v>
      </c>
      <c r="AO153" s="32">
        <f>+AN153/AN12</f>
        <v>9.2943309573786534E-2</v>
      </c>
      <c r="AP153" s="34"/>
      <c r="AQ153" s="31">
        <f>AP153/AN153</f>
        <v>0</v>
      </c>
      <c r="AR153" s="210"/>
      <c r="AS153" s="69">
        <f>SUM(AS149:AS152)</f>
        <v>28198.400000000001</v>
      </c>
      <c r="AT153" s="54" t="e">
        <f>+AS153/AS12</f>
        <v>#DIV/0!</v>
      </c>
      <c r="AU153" s="24">
        <f>SUM(AU149:AU152)</f>
        <v>29413.461538461539</v>
      </c>
      <c r="AV153" s="32">
        <f>+AU153/AU12</f>
        <v>9.1004467680457599E-2</v>
      </c>
      <c r="AW153" s="34"/>
      <c r="AX153" s="31">
        <f>AW153/AU153</f>
        <v>0</v>
      </c>
      <c r="AY153" s="210"/>
      <c r="AZ153" s="24">
        <f>SUM(AZ149:AZ152)</f>
        <v>89009.87</v>
      </c>
      <c r="BA153" s="54" t="e">
        <f>+AZ153/AZ12</f>
        <v>#DIV/0!</v>
      </c>
      <c r="BB153" s="24">
        <f>SUM(BB149:BB152)</f>
        <v>87807.38461538461</v>
      </c>
      <c r="BC153" s="32">
        <f>+BB153/BB12</f>
        <v>9.195291113312426E-2</v>
      </c>
      <c r="BD153" s="34"/>
      <c r="BE153" s="31">
        <f>BD153/BB153</f>
        <v>0</v>
      </c>
      <c r="BF153" s="210"/>
      <c r="BG153" s="69">
        <f>SUM(BG149:BG152)</f>
        <v>28198.400000000001</v>
      </c>
      <c r="BH153" s="54" t="e">
        <f>+BG153/BG12</f>
        <v>#DIV/0!</v>
      </c>
      <c r="BI153" s="69">
        <f>SUM(BI149:BI152)</f>
        <v>13654</v>
      </c>
      <c r="BJ153" s="32" t="e">
        <f>+BI153/BI12</f>
        <v>#DIV/0!</v>
      </c>
      <c r="BK153" s="34"/>
      <c r="BL153" s="31">
        <f>BK153/BI153</f>
        <v>0</v>
      </c>
      <c r="BM153" s="210"/>
      <c r="BN153" s="69">
        <f>SUM(BN149:BN152)</f>
        <v>-28198.400000000001</v>
      </c>
      <c r="BO153" s="38" t="e">
        <f>+BN153/BN12</f>
        <v>#DIV/0!</v>
      </c>
      <c r="BP153" s="69">
        <f>SUM(BP149:BP152)</f>
        <v>0</v>
      </c>
      <c r="BQ153" s="38" t="e">
        <f>+BP153/BP12</f>
        <v>#DIV/0!</v>
      </c>
      <c r="BR153" s="69">
        <f>SUM(BR149:BR152)</f>
        <v>-28198.400000000001</v>
      </c>
      <c r="BS153" s="40" t="e">
        <f>BR153/BP153</f>
        <v>#DIV/0!</v>
      </c>
      <c r="BT153" s="210"/>
      <c r="BU153" s="69">
        <f>SUM(BU149:BU152)</f>
        <v>0</v>
      </c>
      <c r="BV153" s="38">
        <f>+BU153/BU12</f>
        <v>0</v>
      </c>
      <c r="BW153" s="69">
        <f>SUM(BW149:BW152)</f>
        <v>0</v>
      </c>
      <c r="BX153" s="38" t="e">
        <f>+BW153/BW12</f>
        <v>#DIV/0!</v>
      </c>
      <c r="BY153" s="69">
        <f>SUM(BY149:BY152)</f>
        <v>0</v>
      </c>
      <c r="BZ153" s="40" t="e">
        <f>BY153/BW153</f>
        <v>#DIV/0!</v>
      </c>
      <c r="CA153" s="210"/>
      <c r="CB153" s="69">
        <f>SUM(CB149:CB152)</f>
        <v>0</v>
      </c>
      <c r="CC153" s="38">
        <f>+CB153/CB12</f>
        <v>0</v>
      </c>
      <c r="CD153" s="69">
        <f>SUM(CD149:CD152)</f>
        <v>547.46153846153845</v>
      </c>
      <c r="CE153" s="38">
        <f>+CD153/CD12</f>
        <v>4.6091156481969592E-3</v>
      </c>
      <c r="CF153" s="69">
        <f>SUM(CF149:CF152)</f>
        <v>-547.46153846153845</v>
      </c>
      <c r="CG153" s="40">
        <f>CF153/CD153</f>
        <v>-1</v>
      </c>
      <c r="CH153" s="210"/>
      <c r="CI153" s="69">
        <f>SUM(CI149:CI152)</f>
        <v>0</v>
      </c>
      <c r="CJ153" s="38">
        <f>+CI153/CI12</f>
        <v>0</v>
      </c>
      <c r="CK153" s="69">
        <f>SUM(CK149:CK152)</f>
        <v>14201.461538461539</v>
      </c>
      <c r="CL153" s="38">
        <f>+CK153/CK12</f>
        <v>0.11956306334894963</v>
      </c>
      <c r="CM153" s="69">
        <f>SUM(CM149:CM152)</f>
        <v>-14201.461538461539</v>
      </c>
      <c r="CN153" s="40">
        <f>CM153/CK153</f>
        <v>-1</v>
      </c>
      <c r="CO153" s="210"/>
      <c r="CP153" s="69">
        <f>SUM(CP149:CP152)</f>
        <v>6150.73</v>
      </c>
      <c r="CQ153" s="38">
        <f>+CP153/CP12</f>
        <v>2.771088907787124E-2</v>
      </c>
      <c r="CR153" s="69">
        <f>SUM(CR149:CR152)</f>
        <v>1056.4615384615386</v>
      </c>
      <c r="CS153" s="38">
        <f>+CR153/CR12</f>
        <v>4.4472105038876669E-3</v>
      </c>
      <c r="CT153" s="69">
        <f>SUM(CT149:CT152)</f>
        <v>5094.2684615384615</v>
      </c>
      <c r="CU153" s="40">
        <f>CT153/CR153</f>
        <v>4.8220103393039171</v>
      </c>
      <c r="CV153" s="210"/>
      <c r="CW153" s="69">
        <f>SUM(CW149:CW152)</f>
        <v>8256.58</v>
      </c>
      <c r="CX153" s="38">
        <f>+CW153/CW12</f>
        <v>3.1675123834473962E-2</v>
      </c>
      <c r="CY153" s="69">
        <f>SUM(CY149:CY152)</f>
        <v>7165.4615384615381</v>
      </c>
      <c r="CZ153" s="38">
        <f>+CY153/CY12</f>
        <v>3.0163252195109944E-2</v>
      </c>
      <c r="DA153" s="69">
        <f>SUM(DA149:DA152)</f>
        <v>1091.1184615384614</v>
      </c>
      <c r="DB153" s="40">
        <f>DA153/CY153</f>
        <v>0.15227469377677103</v>
      </c>
      <c r="DC153" s="210"/>
      <c r="DD153" s="69">
        <f>SUM(DD149:DD152)</f>
        <v>6452.05</v>
      </c>
      <c r="DE153" s="38">
        <f>+DD153/DD12</f>
        <v>2.835736116142272E-2</v>
      </c>
      <c r="DF153" s="69">
        <f>SUM(DF149:DF152)</f>
        <v>8183.4615384615381</v>
      </c>
      <c r="DG153" s="38">
        <f>+DF153/DF12</f>
        <v>3.0142662329364651E-2</v>
      </c>
      <c r="DH153" s="69">
        <f>SUM(DH149:DH152)</f>
        <v>-1731.4115384615384</v>
      </c>
      <c r="DI153" s="40">
        <f>DH153/DF153</f>
        <v>-0.21157447008506838</v>
      </c>
      <c r="DJ153" s="210"/>
      <c r="DK153" s="69">
        <f>SUM(DK149:DK152)</f>
        <v>1583.68</v>
      </c>
      <c r="DL153" s="38">
        <f>+DK153/DK12</f>
        <v>1.0654217012800225E-2</v>
      </c>
      <c r="DM153" s="69">
        <f>SUM(DM149:DM152)</f>
        <v>8183.4615384615381</v>
      </c>
      <c r="DN153" s="38">
        <f>+DM153/DM12</f>
        <v>3.0142662329364651E-2</v>
      </c>
      <c r="DO153" s="69">
        <f>SUM(DO149:DO152)</f>
        <v>-6599.7815384615387</v>
      </c>
      <c r="DP153" s="40">
        <f>DO153/DM153</f>
        <v>-0.80647798091836265</v>
      </c>
      <c r="DQ153" s="210"/>
      <c r="DR153" s="69">
        <f>SUM(DR149:DR152)</f>
        <v>22443.040000000001</v>
      </c>
      <c r="DS153" s="38">
        <f>+DR153/DR12</f>
        <v>2.6133168885899692E-2</v>
      </c>
      <c r="DT153" s="69">
        <f>SUM(DT149:DT152)</f>
        <v>24588.846153846152</v>
      </c>
      <c r="DU153" s="38">
        <f>+DT153/DT12</f>
        <v>2.4151842711818507E-2</v>
      </c>
      <c r="DV153" s="69">
        <f>SUM(DV149:DV152)</f>
        <v>-2145.8061538461543</v>
      </c>
      <c r="DW153" s="40">
        <f>DV153/DT153</f>
        <v>-8.7267460230561103E-2</v>
      </c>
      <c r="DX153" s="210"/>
      <c r="DY153" s="69">
        <f>SUM(DY149:DY152)</f>
        <v>162374.81</v>
      </c>
      <c r="DZ153" s="32">
        <f>+DY153/DY12</f>
        <v>0.13475392924452323</v>
      </c>
      <c r="EA153" s="24">
        <f>SUM(EA149:EA152)</f>
        <v>207404.07692307694</v>
      </c>
      <c r="EB153" s="32">
        <f>+EA153/EA12</f>
        <v>7.1736767655854114E-2</v>
      </c>
      <c r="EC153" s="34"/>
      <c r="ED153" s="31">
        <f>EC153/EA153</f>
        <v>0</v>
      </c>
    </row>
    <row r="154" spans="1:134" ht="17.100000000000001" thickTop="1">
      <c r="A154" s="53"/>
      <c r="B154" s="9"/>
      <c r="C154" s="65"/>
      <c r="D154" s="33"/>
      <c r="E154" s="22"/>
      <c r="F154" s="33"/>
      <c r="G154" s="212"/>
      <c r="H154" s="212"/>
      <c r="I154" s="210"/>
      <c r="J154" s="22"/>
      <c r="K154" s="33"/>
      <c r="L154" s="22"/>
      <c r="M154" s="33"/>
      <c r="N154" s="212"/>
      <c r="O154" s="212"/>
      <c r="P154" s="210"/>
      <c r="Q154" s="65"/>
      <c r="R154" s="23"/>
      <c r="S154" s="22"/>
      <c r="T154" s="33"/>
      <c r="U154" s="212"/>
      <c r="V154" s="212"/>
      <c r="W154" s="210"/>
      <c r="X154" s="208"/>
      <c r="Y154" s="33"/>
      <c r="Z154" s="218"/>
      <c r="AA154" s="23"/>
      <c r="AB154" s="212"/>
      <c r="AC154" s="212"/>
      <c r="AD154" s="210"/>
      <c r="AE154" s="65"/>
      <c r="AF154" s="23"/>
      <c r="AG154" s="22"/>
      <c r="AH154" s="23"/>
      <c r="AI154" s="220"/>
      <c r="AJ154" s="221"/>
      <c r="AK154" s="210"/>
      <c r="AL154" s="65"/>
      <c r="AM154" s="23"/>
      <c r="AN154" s="22"/>
      <c r="AO154" s="23"/>
      <c r="AP154" s="220"/>
      <c r="AQ154" s="221"/>
      <c r="AR154" s="210"/>
      <c r="AS154" s="65"/>
      <c r="AT154" s="23"/>
      <c r="AU154" s="22"/>
      <c r="AV154" s="23"/>
      <c r="AW154" s="220"/>
      <c r="AX154" s="221"/>
      <c r="AY154" s="210"/>
      <c r="AZ154" s="208"/>
      <c r="BA154" s="23"/>
      <c r="BB154" s="218"/>
      <c r="BC154" s="23"/>
      <c r="BD154" s="220"/>
      <c r="BE154" s="212"/>
      <c r="BF154" s="210"/>
      <c r="BG154" s="65"/>
      <c r="BH154" s="23"/>
      <c r="BI154" s="65"/>
      <c r="BJ154" s="23"/>
      <c r="BK154" s="220"/>
      <c r="BL154" s="212"/>
      <c r="BM154" s="210"/>
      <c r="BN154" s="65"/>
      <c r="BO154" s="52"/>
      <c r="BP154" s="65"/>
      <c r="BQ154" s="52"/>
      <c r="BR154" s="222"/>
      <c r="BS154" s="216"/>
      <c r="BT154" s="210"/>
      <c r="BU154" s="65"/>
      <c r="BV154" s="52"/>
      <c r="BW154" s="65"/>
      <c r="BX154" s="52"/>
      <c r="BY154" s="222"/>
      <c r="BZ154" s="216"/>
      <c r="CA154" s="210"/>
      <c r="CB154" s="65"/>
      <c r="CC154" s="52"/>
      <c r="CD154" s="65"/>
      <c r="CE154" s="52"/>
      <c r="CF154" s="222"/>
      <c r="CG154" s="216"/>
      <c r="CH154" s="210"/>
      <c r="CI154" s="208"/>
      <c r="CJ154" s="52"/>
      <c r="CK154" s="208"/>
      <c r="CL154" s="52"/>
      <c r="CM154" s="222"/>
      <c r="CN154" s="216"/>
      <c r="CO154" s="210"/>
      <c r="CP154" s="65"/>
      <c r="CQ154" s="51"/>
      <c r="CR154" s="65"/>
      <c r="CS154" s="51"/>
      <c r="CT154" s="222"/>
      <c r="CU154" s="223"/>
      <c r="CV154" s="210"/>
      <c r="CW154" s="65"/>
      <c r="CX154" s="52"/>
      <c r="CY154" s="65"/>
      <c r="CZ154" s="52"/>
      <c r="DA154" s="222"/>
      <c r="DB154" s="216"/>
      <c r="DC154" s="210"/>
      <c r="DD154" s="65"/>
      <c r="DE154" s="52"/>
      <c r="DF154" s="65"/>
      <c r="DG154" s="52"/>
      <c r="DH154" s="222"/>
      <c r="DI154" s="216"/>
      <c r="DJ154" s="210"/>
      <c r="DK154" s="65"/>
      <c r="DL154" s="52"/>
      <c r="DM154" s="65"/>
      <c r="DN154" s="52"/>
      <c r="DO154" s="222"/>
      <c r="DP154" s="216"/>
      <c r="DQ154" s="210"/>
      <c r="DR154" s="208"/>
      <c r="DS154" s="52"/>
      <c r="DT154" s="208"/>
      <c r="DU154" s="52"/>
      <c r="DV154" s="222"/>
      <c r="DW154" s="216"/>
      <c r="DX154" s="210"/>
      <c r="DY154" s="208"/>
      <c r="DZ154" s="52"/>
      <c r="EA154" s="208"/>
      <c r="EB154" s="33"/>
      <c r="EC154" s="212"/>
      <c r="ED154" s="212"/>
    </row>
    <row r="155" spans="1:134">
      <c r="A155" s="9"/>
      <c r="B155" s="9"/>
      <c r="C155" s="65"/>
      <c r="D155" s="33"/>
      <c r="E155" s="22"/>
      <c r="F155" s="33"/>
      <c r="G155" s="212"/>
      <c r="H155" s="212"/>
      <c r="I155" s="210"/>
      <c r="J155" s="22"/>
      <c r="K155" s="33"/>
      <c r="L155" s="22"/>
      <c r="M155" s="33"/>
      <c r="N155" s="212"/>
      <c r="O155" s="212"/>
      <c r="P155" s="210"/>
      <c r="Q155" s="65"/>
      <c r="R155" s="23"/>
      <c r="S155" s="22"/>
      <c r="T155" s="33"/>
      <c r="U155" s="212"/>
      <c r="V155" s="212"/>
      <c r="W155" s="210"/>
      <c r="X155" s="65"/>
      <c r="Y155" s="33"/>
      <c r="Z155" s="22"/>
      <c r="AA155" s="23"/>
      <c r="AB155" s="212"/>
      <c r="AC155" s="212"/>
      <c r="AD155" s="210"/>
      <c r="AE155" s="65"/>
      <c r="AF155" s="23"/>
      <c r="AG155" s="22"/>
      <c r="AH155" s="23"/>
      <c r="AI155" s="220"/>
      <c r="AJ155" s="221"/>
      <c r="AK155" s="210"/>
      <c r="AL155" s="65"/>
      <c r="AM155" s="23"/>
      <c r="AN155" s="22"/>
      <c r="AO155" s="23"/>
      <c r="AP155" s="220"/>
      <c r="AQ155" s="221"/>
      <c r="AR155" s="210"/>
      <c r="AS155" s="65"/>
      <c r="AT155" s="23"/>
      <c r="AU155" s="22"/>
      <c r="AV155" s="23"/>
      <c r="AW155" s="220"/>
      <c r="AX155" s="221"/>
      <c r="AY155" s="210"/>
      <c r="AZ155" s="65"/>
      <c r="BA155" s="23"/>
      <c r="BB155" s="22"/>
      <c r="BC155" s="23"/>
      <c r="BD155" s="220"/>
      <c r="BE155" s="212"/>
      <c r="BF155" s="210"/>
      <c r="BG155" s="65"/>
      <c r="BH155" s="23"/>
      <c r="BI155" s="65"/>
      <c r="BJ155" s="23"/>
      <c r="BK155" s="220"/>
      <c r="BL155" s="212"/>
      <c r="BM155" s="210"/>
      <c r="BN155" s="65"/>
      <c r="BO155" s="52"/>
      <c r="BP155" s="65"/>
      <c r="BQ155" s="52"/>
      <c r="BR155" s="222"/>
      <c r="BS155" s="216"/>
      <c r="BT155" s="210"/>
      <c r="BU155" s="65"/>
      <c r="BV155" s="52"/>
      <c r="BW155" s="65"/>
      <c r="BX155" s="52"/>
      <c r="BY155" s="222"/>
      <c r="BZ155" s="216"/>
      <c r="CA155" s="210"/>
      <c r="CB155" s="65"/>
      <c r="CC155" s="52"/>
      <c r="CD155" s="65"/>
      <c r="CE155" s="52"/>
      <c r="CF155" s="222"/>
      <c r="CG155" s="216"/>
      <c r="CH155" s="210"/>
      <c r="CI155" s="65"/>
      <c r="CJ155" s="52"/>
      <c r="CK155" s="65"/>
      <c r="CL155" s="52"/>
      <c r="CM155" s="222"/>
      <c r="CN155" s="216"/>
      <c r="CO155" s="210"/>
      <c r="CP155" s="65"/>
      <c r="CQ155" s="51"/>
      <c r="CR155" s="65"/>
      <c r="CS155" s="51"/>
      <c r="CT155" s="222"/>
      <c r="CU155" s="223"/>
      <c r="CV155" s="210"/>
      <c r="CW155" s="65"/>
      <c r="CX155" s="52"/>
      <c r="CY155" s="65"/>
      <c r="CZ155" s="52"/>
      <c r="DA155" s="222"/>
      <c r="DB155" s="216"/>
      <c r="DC155" s="210"/>
      <c r="DD155" s="65"/>
      <c r="DE155" s="52"/>
      <c r="DF155" s="65"/>
      <c r="DG155" s="52"/>
      <c r="DH155" s="222"/>
      <c r="DI155" s="216"/>
      <c r="DJ155" s="210"/>
      <c r="DK155" s="65"/>
      <c r="DL155" s="52"/>
      <c r="DM155" s="65"/>
      <c r="DN155" s="52"/>
      <c r="DO155" s="222"/>
      <c r="DP155" s="216"/>
      <c r="DQ155" s="210"/>
      <c r="DR155" s="65"/>
      <c r="DS155" s="52"/>
      <c r="DT155" s="65"/>
      <c r="DU155" s="52"/>
      <c r="DV155" s="222"/>
      <c r="DW155" s="216"/>
      <c r="DX155" s="210"/>
      <c r="DY155" s="65"/>
      <c r="DZ155" s="52"/>
      <c r="EA155" s="65"/>
      <c r="EB155" s="33"/>
      <c r="EC155" s="212"/>
      <c r="ED155" s="212"/>
    </row>
    <row r="156" spans="1:134" ht="17.100000000000001" thickBot="1">
      <c r="A156" s="13" t="s">
        <v>157</v>
      </c>
      <c r="B156" s="7"/>
      <c r="C156" s="69">
        <f>+C153+C143+C141+C121+C112+C104+C94+C82+C58+C36+C26</f>
        <v>0</v>
      </c>
      <c r="D156" s="32" t="e">
        <f>C156/C12</f>
        <v>#DIV/0!</v>
      </c>
      <c r="E156" s="69">
        <f>+E153+E146+E141+E121+E112+E104+E94+E82+E58+E36+E26</f>
        <v>175891.58495995597</v>
      </c>
      <c r="F156" s="32">
        <f>F148+F143+F141+F121+F112+F94+F82+F58+F36+F26</f>
        <v>0.56349440095188363</v>
      </c>
      <c r="G156" s="32">
        <f>G148+G143+G141+G121+G112+G94+G82+G58+G36+G26</f>
        <v>142194.43111380213</v>
      </c>
      <c r="H156" s="32">
        <f>H148+H143+H141+H121+H112+H94+H82+H58+H36+H26</f>
        <v>8</v>
      </c>
      <c r="I156" s="210"/>
      <c r="J156" s="69">
        <f>+J153+J146+J141+J121+J112+J104+J94+J82+J58+J36+J28</f>
        <v>143931.32</v>
      </c>
      <c r="K156" s="32">
        <f>J156/J12</f>
        <v>1.0027017593969774</v>
      </c>
      <c r="L156" s="69">
        <f>+L153+L146+L141+L121+L112+L104+L94+L82+L58+L36+L26</f>
        <v>183399.130210362</v>
      </c>
      <c r="M156" s="32">
        <f>M148+M143+M141+M121+M112+M94+M82+M58+M36+M26</f>
        <v>0.58882624078823853</v>
      </c>
      <c r="N156" s="32">
        <f>N148+N143+N141+N121+N112+N94+N82+N58+N36+N26</f>
        <v>27926.855226445929</v>
      </c>
      <c r="O156" s="32">
        <f>O148+O143+O141+O121+O112+O94+O82+O58+O36+O26</f>
        <v>1.9112316827248599</v>
      </c>
      <c r="P156" s="210"/>
      <c r="Q156" s="69">
        <f>+Q153+Q146+Q141+Q121+Q112+Q104+Q94+Q82+Q58+Q36+Q28</f>
        <v>166505.62</v>
      </c>
      <c r="R156" s="32">
        <f>Q156/Q12</f>
        <v>1.3716482866508115</v>
      </c>
      <c r="S156" s="69">
        <f>+S153+S146+S141+S121+S112+S104+S94+S82+S58+S36+S26</f>
        <v>188833.09920312322</v>
      </c>
      <c r="T156" s="32">
        <f>T148+T143+T141+T121+T112+T94+T82+T58+T36+T26</f>
        <v>0.52981497586874349</v>
      </c>
      <c r="U156" s="32">
        <f>U148+U143+U141+U121+U112+U94+U82+U58+U36+U26</f>
        <v>24549.404975207111</v>
      </c>
      <c r="V156" s="32">
        <f>V148+V143+V141+V121+V112+V94+V82+V58+V36+V26</f>
        <v>1.0536367951585668</v>
      </c>
      <c r="W156" s="55">
        <f>W148+W143+W141+W121+W112+W94+W82+W58+W36+W26</f>
        <v>0</v>
      </c>
      <c r="X156" s="69">
        <f>+X153+X146+X141+X121+X112+X104+X94+X82+X58+X36+X28</f>
        <v>310436.94</v>
      </c>
      <c r="Y156" s="32">
        <f>X156/X12</f>
        <v>1.171750214392695</v>
      </c>
      <c r="Z156" s="69">
        <f>+Z153+Z146+Z141+Z121+Z112+Z104+Z94+Z82+Z58+Z36+Z28</f>
        <v>547373.81437344116</v>
      </c>
      <c r="AA156" s="32">
        <f>AA148+AA143+AA141+AA121+AA112+AA94+AA82+AA58+AA36+AA26</f>
        <v>0.5582761827791034</v>
      </c>
      <c r="AB156" s="32">
        <f>AB148+AB143+AB141+AB121+AB112+AB94+AB82+AB58+AB36+AB26</f>
        <v>180686.92039769294</v>
      </c>
      <c r="AC156" s="32">
        <f>AC148+AC143+AC141+AC121+AC112+AC94+AC82+AC58+AC36+AC26</f>
        <v>3.2216281537880613</v>
      </c>
      <c r="AD156" s="210"/>
      <c r="AE156" s="69">
        <f>+AE153+AE146+AE141+AE121+AE112+AE104+AE94+AE82+AE58+AE36+AE28</f>
        <v>45978.41</v>
      </c>
      <c r="AF156" s="32" t="e">
        <f>AE156/AE12</f>
        <v>#DIV/0!</v>
      </c>
      <c r="AG156" s="69">
        <f>+AG153+AG146+AG141+AG121+AG112+AG104+AG94+AG82+AG58+AG36+AG28</f>
        <v>198056.67834930925</v>
      </c>
      <c r="AH156" s="32">
        <f>AH148+AH143+AH141+AH121+AH112+AH94+AH82+AH58+AH36+AH26</f>
        <v>0.50308949009502935</v>
      </c>
      <c r="AI156" s="32">
        <f>AI148+AI143+AI141+AI121+AI112+AI94+AI82+AI58+AI36+AI26</f>
        <v>141409.5145031554</v>
      </c>
      <c r="AJ156" s="32">
        <f>AJ148+AJ143+AJ141+AJ121+AJ112+AJ94+AJ82+AJ58+AJ36+AJ26</f>
        <v>6.6510336706150888</v>
      </c>
      <c r="AK156" s="210"/>
      <c r="AL156" s="69">
        <f>+AL153+AL146+AL141+AL121+AL112+AL104+AL94+AL82+AL58+AL36+AL28</f>
        <v>43691.15</v>
      </c>
      <c r="AM156" s="32" t="e">
        <f>AL156/AL12</f>
        <v>#DIV/0!</v>
      </c>
      <c r="AN156" s="69">
        <f>+AN153+AN146+AN141+AN121+AN112+AN104+AN94+AN82+AN58+AN36+AN28</f>
        <v>203627.51930050482</v>
      </c>
      <c r="AO156" s="32">
        <f>AO148+AO143+AO141+AO121+AO112+AO94+AO82+AO58+AO36+AO26</f>
        <v>0.51251007003091198</v>
      </c>
      <c r="AP156" s="32">
        <f>AP148+AP143+AP141+AP121+AP112+AP94+AP82+AP58+AP36+AP26</f>
        <v>154541.43545435095</v>
      </c>
      <c r="AQ156" s="32">
        <f>AQ148+AQ143+AQ141+AQ121+AQ112+AQ94+AQ82+AQ58+AQ36+AQ26</f>
        <v>7.5376364518514585</v>
      </c>
      <c r="AR156" s="210"/>
      <c r="AS156" s="69">
        <f>+AS153+AS146+AS141+AS121+AS112+AS104+AS94+AS82+AS58+AS36+AS28</f>
        <v>44029.170000000006</v>
      </c>
      <c r="AT156" s="32" t="e">
        <f>AS156/AS12</f>
        <v>#DIV/0!</v>
      </c>
      <c r="AU156" s="69">
        <f>+AU153+AU146+AU141+AU121+AU112+AU104+AU94+AU82+AU58+AU36+AU28</f>
        <v>206866.89872795955</v>
      </c>
      <c r="AV156" s="32">
        <f>AV148+AV143+AV141+AV121+AV112+AV94+AV82+AV58+AV36+AV26</f>
        <v>0.50707669958148727</v>
      </c>
      <c r="AW156" s="32">
        <f>AW148+AW143+AW141+AW121+AW112+AW94+AW82+AW58+AW36+AW26</f>
        <v>151674.79488180572</v>
      </c>
      <c r="AX156" s="32">
        <f>AX148+AX143+AX141+AX121+AX112+AX94+AX82+AX58+AX36+AX26</f>
        <v>7.0554158937723077</v>
      </c>
      <c r="AY156" s="55">
        <f>AY148+AY143+AY141+AY121+AY112+AY94+AY82+AY58+AY36+AY26</f>
        <v>0</v>
      </c>
      <c r="AZ156" s="69">
        <f>+AZ153+AZ146+AZ141+AZ121+AZ112+AZ104+AZ94+AZ82+AZ58+AZ36+AZ28</f>
        <v>133698.72999999998</v>
      </c>
      <c r="BA156" s="32" t="e">
        <f>AZ156/AZ12</f>
        <v>#DIV/0!</v>
      </c>
      <c r="BB156" s="69">
        <f>+BB153+BB146+BB141+BB121+BB112+BB104+BB94+BB82+BB58+BB36+BB28</f>
        <v>608551.09637777368</v>
      </c>
      <c r="BC156" s="32">
        <f>BC148+BC143+BC141+BC121+BC112+BC94+BC82+BC58+BC36+BC26</f>
        <v>0.50756108535425648</v>
      </c>
      <c r="BD156" s="32">
        <f>BD148+BD143+BD141+BD121+BD112+BD94+BD82+BD58+BD36+BD26</f>
        <v>447625.74483931216</v>
      </c>
      <c r="BE156" s="32">
        <f>BE148+BE143+BE141+BE121+BE112+BE94+BE82+BE58+BE36+BE26</f>
        <v>7.082190555761847</v>
      </c>
      <c r="BF156" s="55">
        <f>BF148+BF143+BF141+BF121+BF112+BF94+BF82+BF58+BF36+BF26</f>
        <v>0</v>
      </c>
      <c r="BG156" s="69">
        <f>+BG153+BG146+BG141+BG121+BG112+BG104+BG94+BG82+BG58+BG36+BG28</f>
        <v>58619.930000000008</v>
      </c>
      <c r="BH156" s="32" t="e">
        <f>BG156/BG12</f>
        <v>#DIV/0!</v>
      </c>
      <c r="BI156" s="69">
        <f>+BI153+BI146+BI141+BI121+BI112+BI104+BI94+BI82+BI58+BI36+BI28</f>
        <v>39868.692307692305</v>
      </c>
      <c r="BJ156" s="32" t="e">
        <f>BJ148+BJ143+BJ141+BJ121+BJ112+BJ94+BJ82+BJ58+BJ36+BJ26</f>
        <v>#DIV/0!</v>
      </c>
      <c r="BK156" s="69">
        <f>BK148+BK143+BK141+BK121+BK112+BK94+BK82+BK58+BK36+BK26</f>
        <v>-2155.7976923076944</v>
      </c>
      <c r="BL156" s="32" t="e">
        <f>BL148+BL143+BL141+BL121+BL112+BL94+BL82+BL58+BL36+BL26</f>
        <v>#DIV/0!</v>
      </c>
      <c r="BM156" s="55">
        <f>BM148+BM143+BM141+BM121+BM112+BM94+BM82+BM58+BM36+BM26</f>
        <v>0</v>
      </c>
      <c r="BN156" s="69">
        <f>+BN153+BN146+BN141+BN121+BN112+BN104+BN94+BN82+BN58+BN36+BN28</f>
        <v>31579.34</v>
      </c>
      <c r="BO156" s="38" t="e">
        <f>BN156/BN12</f>
        <v>#DIV/0!</v>
      </c>
      <c r="BP156" s="69">
        <f>+BP153+BP146+BP141+BP121+BP112+BP104+BP94+BP82+BP58+BP36+BP28</f>
        <v>64402.692307692312</v>
      </c>
      <c r="BQ156" s="38" t="e">
        <f>BQ148+BQ143+BQ141+BQ121+BQ112+BQ94+BQ82+BQ58+BQ36+BQ26</f>
        <v>#DIV/0!</v>
      </c>
      <c r="BR156" s="69">
        <f>+BR153+BR146+BR141+BR121+BR112+BR104+BR94+BR82+BR58+BR36+BR28</f>
        <v>-32823.352307692308</v>
      </c>
      <c r="BS156" s="38" t="e">
        <f>BS148+BS143+BS141+BS121+BS112+BS94+BS82+BS58+BS36+BS26</f>
        <v>#DIV/0!</v>
      </c>
      <c r="BT156" s="55">
        <f>BT148+BT143+BT141+BT121+BT112+BT94+BT82+BT58+BT36+BT26</f>
        <v>0</v>
      </c>
      <c r="BU156" s="69">
        <f>+BU153+BU146+BU141+BU121+BU112+BU104+BU94+BU82+BU58+BU36+BU26+BU27</f>
        <v>109713.07499999998</v>
      </c>
      <c r="BV156" s="38">
        <f>BU156/BU12</f>
        <v>12.846813854638702</v>
      </c>
      <c r="BW156" s="69">
        <f>+BW153+BW146+BW141+BW121+BW112+BW104+BW94+BW82+BW58+BW36+BW28</f>
        <v>101023.16257622378</v>
      </c>
      <c r="BX156" s="38" t="e">
        <f>BX148+BX143+BX141+BX121+BX112+BX94+BX82+BX58+BX36+BX26</f>
        <v>#DIV/0!</v>
      </c>
      <c r="BY156" s="69">
        <f>+BY153+BY146+BY141+BY121+BY112+BY104+BY94+BY82+BY58+BY36+BY28</f>
        <v>-4574.727576223775</v>
      </c>
      <c r="BZ156" s="38" t="e">
        <f>BZ148+BZ143+BZ141+BZ121+BZ112+BZ94+BZ82+BZ58+BZ36+BZ26</f>
        <v>#DIV/0!</v>
      </c>
      <c r="CA156" s="210"/>
      <c r="CB156" s="69">
        <f>+CB153+CB146+CB141+CB121+CB112+CB104+CB94+CB82+CB58+CB36+CB28</f>
        <v>95140.315000000002</v>
      </c>
      <c r="CC156" s="38">
        <f>CB156/CB12</f>
        <v>1.3086155418831926</v>
      </c>
      <c r="CD156" s="69">
        <f>+CD153+CD146+CD141+CD121+CD112+CD104+CD94+CD82+CD58+CD36+CD28</f>
        <v>83240.533930069927</v>
      </c>
      <c r="CE156" s="38">
        <f>CE148+CE143+CE141+CE121+CE112+CE94+CE82+CE58+CE36+CE26</f>
        <v>0.67261675050605652</v>
      </c>
      <c r="CF156" s="69">
        <f>+CF153+CF146+CF141+CF121+CF112+CF104+CF94+CF82+CF58+CF36+CF28</f>
        <v>11899.781069930068</v>
      </c>
      <c r="CG156" s="38">
        <f>CG148+CG143+CG141+CG121+CG112+CG94+CG82+CG58+CG36+CG26</f>
        <v>0.47214714997775176</v>
      </c>
      <c r="CH156" s="210"/>
      <c r="CI156" s="69">
        <f>+CI153+CI146+CI141+CI121+CI112+CI104+CI94+CI82+CI58+CI36+CI28</f>
        <v>295052.66000000003</v>
      </c>
      <c r="CJ156" s="38">
        <f>CI156/CI12</f>
        <v>3.631724430114891</v>
      </c>
      <c r="CK156" s="69">
        <f>+CK153+CK146+CK141+CK121+CK112+CK104+CK94+CK82+CK58+CK36+CK28</f>
        <v>288535.08112167835</v>
      </c>
      <c r="CL156" s="38">
        <f>CL148+CL143+CL141+CL121+CL112+CL94+CL82+CL58+CL36+CL26</f>
        <v>2.2641618783210427</v>
      </c>
      <c r="CM156" s="69">
        <f>+CM153+CM146+CM141+CM121+CM112+CM104+CM94+CM82+CM58+CM36+CM28</f>
        <v>-6747.0611216783182</v>
      </c>
      <c r="CN156" s="38">
        <f>CN148+CN143+CN141+CN121+CN112+CN94+CN82+CN58+CN36+CN26</f>
        <v>1.0446310985171841</v>
      </c>
      <c r="CO156" s="210"/>
      <c r="CP156" s="69">
        <f>+CP153+CP143+CP141+CP121+CP112+CP104+CP94+CP82+CP58+CP36+CP146+CP28</f>
        <v>217073.12000000002</v>
      </c>
      <c r="CQ156" s="38">
        <f>CP156/CP12</f>
        <v>0.97797971136880235</v>
      </c>
      <c r="CR156" s="69">
        <f>+CR153+CR146+CR141+CR121+CR112+CR104+CR94+CR82+CR58+CR36+CR28</f>
        <v>156515.83479132867</v>
      </c>
      <c r="CS156" s="38">
        <f>CS148+CS143+CS141+CS121+CS112+CS94+CS82+CS58+CS36+CS26</f>
        <v>0.61849670823762781</v>
      </c>
      <c r="CT156" s="69">
        <f>+CT153+CT146+CT141+CT121+CT112+CT104+CT94+CT82+CT58+CT36+CT28</f>
        <v>60057.285208671332</v>
      </c>
      <c r="CU156" s="38">
        <f>CU148+CU143+CU141+CU121+CU112+CU94+CU82+CU58+CU36+CU26</f>
        <v>2.0155592989566076</v>
      </c>
      <c r="CV156" s="210"/>
      <c r="CW156" s="69">
        <f>+CW153+CW141+CW121+CW112+CW104+CW94+CW82+CW58+CW36+CW146+CW28</f>
        <v>202006.77</v>
      </c>
      <c r="CX156" s="38">
        <f>CW156/CW12</f>
        <v>0.77496850453239718</v>
      </c>
      <c r="CY156" s="69">
        <f>+CY153+CY146+CY141+CY121+CY112+CY104+CY94+CY82+CY58+CY36+CY28</f>
        <v>163966.83479132867</v>
      </c>
      <c r="CZ156" s="38">
        <f>CZ148+CZ143+CZ141+CZ121+CZ112+CZ94+CZ82+CZ58+CZ36+CZ26</f>
        <v>0.62414590253286761</v>
      </c>
      <c r="DA156" s="69">
        <f>+DA153+DA146+DA141+DA121+DA112+DA104+DA94+DA82+DA58+DA36+DA28</f>
        <v>35731.905208671335</v>
      </c>
      <c r="DB156" s="38">
        <f>DB148+DB143+DB141+DB121+DB112+DB94+DB82+DB58+DB36+DB26</f>
        <v>0.51603310149542247</v>
      </c>
      <c r="DC156" s="210"/>
      <c r="DD156" s="69">
        <f>+DD153+DD146+DD141+DD121+DD112+DD104+DD94+DD82+DD58+DD36+DD28</f>
        <v>184981.2</v>
      </c>
      <c r="DE156" s="38">
        <f>DD156/DD12</f>
        <v>0.81300961655185078</v>
      </c>
      <c r="DF156" s="69">
        <f>+DF153+DF146+DF141+DF121+DF112+DF104+DF94+DF82+DF58+DF36+DF28</f>
        <v>178869.68094517483</v>
      </c>
      <c r="DG156" s="38">
        <f>DG148+DG143+DG141+DG121+DG112+DG94+DG82+DG58+DG36+DG26</f>
        <v>0.58287180855330034</v>
      </c>
      <c r="DH156" s="69">
        <f>+DH153+DH146+DH141+DH121+DH112+DH104+DH94+DH82+DH58+DH36+DH28</f>
        <v>4693.4590548251736</v>
      </c>
      <c r="DI156" s="38">
        <f>DI148+DI143+DI141+DI121+DI112+DI94+DI82+DI58+DI36+DI26</f>
        <v>-0.49022095486033884</v>
      </c>
      <c r="DJ156" s="210"/>
      <c r="DK156" s="69">
        <f>+DK153+DK146+DK141+DK121+DK112+DK104+DK94+DK82+DK58+DK36+DK28</f>
        <v>133096.05000000002</v>
      </c>
      <c r="DL156" s="38">
        <f>DK156/DK12</f>
        <v>0.89540450106493075</v>
      </c>
      <c r="DM156" s="69">
        <f>+DM153+DM146+DM141+DM121+DM112+DM104+DM94+DM82+DM58+DM36+DM28</f>
        <v>179140.83479132864</v>
      </c>
      <c r="DN156" s="38">
        <f>DN148+DN143+DN141+DN121+DN112+DN94+DN82+DN58+DN36+DN26</f>
        <v>0.58387056669317916</v>
      </c>
      <c r="DO156" s="69">
        <f>+DO153+DO146+DO141+DO121+DO112+DO104+DO94+DO82+DO58+DO36+DO28</f>
        <v>-48070.484791328665</v>
      </c>
      <c r="DP156" s="38">
        <f>DP148+DP143+DP141+DP121+DP112+DP94+DP82+DP58+DP36+DP26</f>
        <v>-2.1497699947686035</v>
      </c>
      <c r="DQ156" s="210"/>
      <c r="DR156" s="69">
        <f>+DR153+DR143+DR141+DR121+DR112+DR104+DR94+DR82+DR58+DR36+DR28+DR146</f>
        <v>737157.14000000013</v>
      </c>
      <c r="DS156" s="38">
        <f>DR156/DR12</f>
        <v>0.85836197035102224</v>
      </c>
      <c r="DT156" s="69">
        <f>+DT153+DT146+DT141+DT121+DT112+DT104+DT94+DT82+DT58+DT36+DT28</f>
        <v>678493.18531916081</v>
      </c>
      <c r="DU156" s="38">
        <f>DU148+DU143+DU141+DU121+DU112+DU94+DU82+DU58+DU36+DU26</f>
        <v>0.60108129724979986</v>
      </c>
      <c r="DV156" s="69">
        <f>+DV153+DV146+DV141+DV121+DV112+DV104+DV94+DV82+DV58+DV36+DV28</f>
        <v>52437.324680839156</v>
      </c>
      <c r="DW156" s="38">
        <f>DW148+DW143+DW141+DW121+DW112+DW94+DW82+DW58+DW36+DW26</f>
        <v>-5.945099952799808E-2</v>
      </c>
      <c r="DX156" s="210"/>
      <c r="DY156" s="69">
        <f>+DY153+DY146+DY141+DY121+DY112+DY104+DY94+DY82+DY58+DY36+DY28</f>
        <v>1476345.4700000002</v>
      </c>
      <c r="DZ156" s="32">
        <f>DY156/DY12</f>
        <v>1.2252106900377739</v>
      </c>
      <c r="EA156" s="69">
        <f>+EA153+EA146+EA141+EA121+EA112+EA104+EA94+EA82+EA58+EA36+EA26</f>
        <v>2113173.1771920538</v>
      </c>
      <c r="EB156" s="32">
        <f>EB148+EB143+EB141+EB121+EB112+EB94+EB82+EB58+EB36+EB26</f>
        <v>0.62581693117517967</v>
      </c>
      <c r="EC156" s="32">
        <f>EC148+EC143+EC141+EC121+EC112+EC94+EC82+EC58+EC36+EC26</f>
        <v>610041.9987305156</v>
      </c>
      <c r="ED156" s="32">
        <f>ED148+ED143+ED141+ED121+ED112+ED94+ED82+ED58+ED36+ED26</f>
        <v>2.714215044310992</v>
      </c>
    </row>
    <row r="157" spans="1:134" ht="17.100000000000001" thickTop="1">
      <c r="A157" s="7"/>
      <c r="B157" s="7"/>
      <c r="C157" s="68"/>
      <c r="D157" s="33"/>
      <c r="E157" s="73"/>
      <c r="F157" s="33"/>
      <c r="G157" s="212"/>
      <c r="H157" s="212"/>
      <c r="I157" s="210"/>
      <c r="J157" s="73"/>
      <c r="K157" s="33"/>
      <c r="L157" s="73"/>
      <c r="M157" s="33"/>
      <c r="N157" s="212"/>
      <c r="O157" s="212"/>
      <c r="P157" s="210"/>
      <c r="Q157" s="68"/>
      <c r="R157" s="23"/>
      <c r="S157" s="73"/>
      <c r="T157" s="33"/>
      <c r="U157" s="212"/>
      <c r="V157" s="212"/>
      <c r="W157" s="210"/>
      <c r="X157" s="68"/>
      <c r="Y157" s="33"/>
      <c r="Z157" s="73"/>
      <c r="AA157" s="23"/>
      <c r="AB157" s="212"/>
      <c r="AC157" s="212"/>
      <c r="AD157" s="210"/>
      <c r="AE157" s="68"/>
      <c r="AF157" s="23"/>
      <c r="AG157" s="73"/>
      <c r="AH157" s="33"/>
      <c r="AI157" s="212"/>
      <c r="AJ157" s="212"/>
      <c r="AK157" s="210"/>
      <c r="AL157" s="68"/>
      <c r="AM157" s="23"/>
      <c r="AN157" s="73"/>
      <c r="AO157" s="33"/>
      <c r="AP157" s="212"/>
      <c r="AQ157" s="212"/>
      <c r="AR157" s="210"/>
      <c r="AS157" s="68"/>
      <c r="AT157" s="23"/>
      <c r="AU157" s="73"/>
      <c r="AV157" s="33"/>
      <c r="AW157" s="212"/>
      <c r="AX157" s="212"/>
      <c r="AY157" s="210"/>
      <c r="AZ157" s="68"/>
      <c r="BA157" s="23"/>
      <c r="BB157" s="73"/>
      <c r="BC157" s="33"/>
      <c r="BD157" s="212"/>
      <c r="BE157" s="212"/>
      <c r="BF157" s="210"/>
      <c r="BG157" s="68"/>
      <c r="BH157" s="23"/>
      <c r="BI157" s="68"/>
      <c r="BJ157" s="33"/>
      <c r="BK157" s="212"/>
      <c r="BL157" s="212"/>
      <c r="BM157" s="210"/>
      <c r="BN157" s="68"/>
      <c r="BO157" s="52"/>
      <c r="BP157" s="68"/>
      <c r="BQ157" s="52"/>
      <c r="BR157" s="216"/>
      <c r="BS157" s="216"/>
      <c r="BT157" s="210"/>
      <c r="BU157" s="68"/>
      <c r="BV157" s="52"/>
      <c r="BW157" s="68"/>
      <c r="BX157" s="52"/>
      <c r="BY157" s="216"/>
      <c r="BZ157" s="216"/>
      <c r="CA157" s="210"/>
      <c r="CB157" s="68"/>
      <c r="CC157" s="52"/>
      <c r="CD157" s="68"/>
      <c r="CE157" s="52"/>
      <c r="CF157" s="216"/>
      <c r="CG157" s="216"/>
      <c r="CH157" s="210"/>
      <c r="CI157" s="68"/>
      <c r="CJ157" s="52"/>
      <c r="CK157" s="68"/>
      <c r="CL157" s="52"/>
      <c r="CM157" s="216"/>
      <c r="CN157" s="216"/>
      <c r="CO157" s="210"/>
      <c r="CP157" s="68"/>
      <c r="CQ157" s="51"/>
      <c r="CR157" s="68"/>
      <c r="CS157" s="52"/>
      <c r="CT157" s="216"/>
      <c r="CU157" s="216"/>
      <c r="CV157" s="210"/>
      <c r="CW157" s="68"/>
      <c r="CX157" s="52"/>
      <c r="CY157" s="68"/>
      <c r="CZ157" s="52"/>
      <c r="DA157" s="216"/>
      <c r="DB157" s="216"/>
      <c r="DC157" s="210"/>
      <c r="DD157" s="68"/>
      <c r="DE157" s="52"/>
      <c r="DF157" s="68"/>
      <c r="DG157" s="52"/>
      <c r="DH157" s="216"/>
      <c r="DI157" s="216"/>
      <c r="DJ157" s="210"/>
      <c r="DK157" s="68"/>
      <c r="DL157" s="52"/>
      <c r="DM157" s="68"/>
      <c r="DN157" s="52"/>
      <c r="DO157" s="216"/>
      <c r="DP157" s="216"/>
      <c r="DQ157" s="210"/>
      <c r="DR157" s="68"/>
      <c r="DS157" s="52"/>
      <c r="DT157" s="68"/>
      <c r="DU157" s="52"/>
      <c r="DV157" s="216"/>
      <c r="DW157" s="216"/>
      <c r="DX157" s="210"/>
      <c r="DY157" s="68"/>
      <c r="DZ157" s="33"/>
      <c r="EA157" s="73"/>
      <c r="EB157" s="33"/>
      <c r="EC157" s="212"/>
      <c r="ED157" s="212"/>
    </row>
    <row r="158" spans="1:134" ht="17.100000000000001" thickBot="1">
      <c r="A158" s="13" t="s">
        <v>158</v>
      </c>
      <c r="B158" s="7"/>
      <c r="C158" s="67">
        <f>+C24-C156</f>
        <v>0</v>
      </c>
      <c r="D158" s="31" t="e">
        <f>C158/C12</f>
        <v>#DIV/0!</v>
      </c>
      <c r="E158" s="67">
        <f>+E24-E156</f>
        <v>8051.4150400440267</v>
      </c>
      <c r="F158" s="31">
        <f>E158/E12</f>
        <v>3.1906504771439095E-2</v>
      </c>
      <c r="G158" s="35">
        <f>C158-E158</f>
        <v>-8051.4150400440267</v>
      </c>
      <c r="H158" s="31">
        <f>G158/E158</f>
        <v>-1</v>
      </c>
      <c r="I158" s="210"/>
      <c r="J158" s="67">
        <f>+J24-J156</f>
        <v>-34265.080000000016</v>
      </c>
      <c r="K158" s="31">
        <f>J158/J12</f>
        <v>-0.23870868412711141</v>
      </c>
      <c r="L158" s="67">
        <f>+L24-L156</f>
        <v>7178.3690917955828</v>
      </c>
      <c r="M158" s="31">
        <f>L158/L12</f>
        <v>2.8234844923016339E-2</v>
      </c>
      <c r="N158" s="35">
        <f>J158-L158</f>
        <v>-41443.449091795599</v>
      </c>
      <c r="O158" s="31">
        <f>N158/L158</f>
        <v>-5.7733795186378494</v>
      </c>
      <c r="P158" s="210"/>
      <c r="Q158" s="67">
        <f>+Q24-Q156</f>
        <v>-67160.989999999991</v>
      </c>
      <c r="R158" s="31">
        <f>Q158/Q12</f>
        <v>-0.55326214732735313</v>
      </c>
      <c r="S158" s="67">
        <f>+S24-S156</f>
        <v>30659.283216353011</v>
      </c>
      <c r="T158" s="31">
        <f>S158/S12</f>
        <v>0.10470653567777616</v>
      </c>
      <c r="U158" s="35">
        <f>Q158-S158</f>
        <v>-97820.273216353002</v>
      </c>
      <c r="V158" s="31">
        <f>U158/S158</f>
        <v>-3.1905596920210368</v>
      </c>
      <c r="W158" s="210"/>
      <c r="X158" s="67">
        <f>+X24-X156</f>
        <v>-101426.07000000004</v>
      </c>
      <c r="Y158" s="31">
        <f>X158/X12</f>
        <v>-0.3828346564281575</v>
      </c>
      <c r="Z158" s="67">
        <f>+Z24-Z156</f>
        <v>51854.067348192795</v>
      </c>
      <c r="AA158" s="31">
        <f>Z158/Z12</f>
        <v>6.4866761136360571E-2</v>
      </c>
      <c r="AB158" s="35">
        <f>X158-Z158</f>
        <v>-153280.13734819283</v>
      </c>
      <c r="AC158" s="31">
        <f>AB158/Z158</f>
        <v>-2.9559906326911292</v>
      </c>
      <c r="AD158" s="210"/>
      <c r="AE158" s="67">
        <f>+AE24-AE156</f>
        <v>-47259.170000000006</v>
      </c>
      <c r="AF158" s="31" t="e">
        <f>AE158/AE12</f>
        <v>#DIV/0!</v>
      </c>
      <c r="AG158" s="67">
        <f>+AG24-AG156</f>
        <v>31734.154519061034</v>
      </c>
      <c r="AH158" s="31">
        <f>AG158/AG12</f>
        <v>0.10066627246814971</v>
      </c>
      <c r="AI158" s="35">
        <f>AE158-AG158</f>
        <v>-78993.324519061047</v>
      </c>
      <c r="AJ158" s="31">
        <f>AI158/AG158</f>
        <v>-2.4892210212064709</v>
      </c>
      <c r="AK158" s="210"/>
      <c r="AL158" s="67">
        <f>+AL24-AL156</f>
        <v>-45360.959999999999</v>
      </c>
      <c r="AM158" s="31" t="e">
        <f>AL158/AL12</f>
        <v>#DIV/0!</v>
      </c>
      <c r="AN158" s="67">
        <f>+AN24-AN156</f>
        <v>27056.632656407484</v>
      </c>
      <c r="AO158" s="31">
        <f>AN158/AN12</f>
        <v>8.549598902939036E-2</v>
      </c>
      <c r="AP158" s="35">
        <f>AL158-AN158</f>
        <v>-72417.592656407476</v>
      </c>
      <c r="AQ158" s="31">
        <f>AP158/AN158</f>
        <v>-2.6765190471423179</v>
      </c>
      <c r="AR158" s="210"/>
      <c r="AS158" s="67">
        <f>+AS24-AS156</f>
        <v>-44212.700000000004</v>
      </c>
      <c r="AT158" s="31" t="e">
        <f>AS158/AS12</f>
        <v>#DIV/0!</v>
      </c>
      <c r="AU158" s="67">
        <f>+AU24-AU156</f>
        <v>28731.958070824621</v>
      </c>
      <c r="AV158" s="31">
        <f>AU158/AU12</f>
        <v>8.8895914077761595E-2</v>
      </c>
      <c r="AW158" s="35">
        <f>AS158-AU158</f>
        <v>-72944.658070824633</v>
      </c>
      <c r="AX158" s="31">
        <f>AW158/AU158</f>
        <v>-2.5387987094723994</v>
      </c>
      <c r="AY158" s="210"/>
      <c r="AZ158" s="67">
        <f>+AZ24-AZ156</f>
        <v>-136832.82999999999</v>
      </c>
      <c r="BA158" s="31" t="e">
        <f>AZ158/AZ12</f>
        <v>#DIV/0!</v>
      </c>
      <c r="BB158" s="67">
        <f>+BB24-BB156</f>
        <v>87522.74524629314</v>
      </c>
      <c r="BC158" s="31">
        <f>BB158/BB12</f>
        <v>9.1654833485945705E-2</v>
      </c>
      <c r="BD158" s="35">
        <f>AZ158-BB158</f>
        <v>-224355.57524629313</v>
      </c>
      <c r="BE158" s="31">
        <f>BD158/BB158</f>
        <v>-2.563397373047954</v>
      </c>
      <c r="BF158" s="210"/>
      <c r="BG158" s="67">
        <f>+BG24-BG156</f>
        <v>-59977.430000000008</v>
      </c>
      <c r="BH158" s="31" t="e">
        <f>BG158/BG12</f>
        <v>#DIV/0!</v>
      </c>
      <c r="BI158" s="67">
        <f>+BI24-BI156</f>
        <v>-39868.692307692305</v>
      </c>
      <c r="BJ158" s="31" t="e">
        <f>BI158/BI12</f>
        <v>#DIV/0!</v>
      </c>
      <c r="BK158" s="67">
        <f>BG158-BI158</f>
        <v>-20108.737692307703</v>
      </c>
      <c r="BL158" s="31">
        <f>BK158/BI158</f>
        <v>0.50437414744169828</v>
      </c>
      <c r="BM158" s="210"/>
      <c r="BN158" s="67">
        <f>+BN24-BN156</f>
        <v>-31976.21</v>
      </c>
      <c r="BO158" s="40" t="e">
        <f>BN158/BN12</f>
        <v>#DIV/0!</v>
      </c>
      <c r="BP158" s="67">
        <f>+BP24-BP156</f>
        <v>-64402.692307692312</v>
      </c>
      <c r="BQ158" s="40" t="e">
        <f>BP158/BP12</f>
        <v>#DIV/0!</v>
      </c>
      <c r="BR158" s="67">
        <f>+BR24-BR156</f>
        <v>32426.482307692309</v>
      </c>
      <c r="BS158" s="40">
        <f>BR158/BP158</f>
        <v>-0.50349575686635173</v>
      </c>
      <c r="BT158" s="210"/>
      <c r="BU158" s="67">
        <f>+BU24-BU156</f>
        <v>-101172.97499999998</v>
      </c>
      <c r="BV158" s="40">
        <f>BU158/BU12</f>
        <v>-11.846813854638702</v>
      </c>
      <c r="BW158" s="67">
        <f>+BW24-BW156</f>
        <v>-101023.16257622378</v>
      </c>
      <c r="BX158" s="40" t="e">
        <f>BW158/BW12</f>
        <v>#DIV/0!</v>
      </c>
      <c r="BY158" s="67">
        <f>+BY24-BY156</f>
        <v>13114.827576223775</v>
      </c>
      <c r="BZ158" s="40">
        <f>BY158/BW158</f>
        <v>-0.12982000604394467</v>
      </c>
      <c r="CA158" s="210"/>
      <c r="CB158" s="67">
        <f>+CB24-CB156</f>
        <v>-39538.165000000008</v>
      </c>
      <c r="CC158" s="40">
        <f>CB158/CB12</f>
        <v>-0.54383104803197346</v>
      </c>
      <c r="CD158" s="67">
        <f>+CD24-CD156</f>
        <v>6584.466069930073</v>
      </c>
      <c r="CE158" s="40">
        <f>CD158/CD12</f>
        <v>5.543506432108701E-2</v>
      </c>
      <c r="CF158" s="67">
        <f>+CF24-CF156</f>
        <v>-46122.631069930067</v>
      </c>
      <c r="CG158" s="40">
        <f>CF158/CD158</f>
        <v>-7.0047640279540371</v>
      </c>
      <c r="CH158" s="210"/>
      <c r="CI158" s="67">
        <f>+CI24-CI156</f>
        <v>-232664.78000000003</v>
      </c>
      <c r="CJ158" s="40">
        <f>CI158/CI12</f>
        <v>-2.8638086691145457</v>
      </c>
      <c r="CK158" s="67">
        <f>+CK24-CK156</f>
        <v>-198710.08112167835</v>
      </c>
      <c r="CL158" s="40">
        <f>CK158/CK12</f>
        <v>-1.6729535867052683</v>
      </c>
      <c r="CM158" s="67">
        <f>+CM24-CM156</f>
        <v>-20690.058878321684</v>
      </c>
      <c r="CN158" s="40">
        <f>CM158/CK158</f>
        <v>0.10412183801410815</v>
      </c>
      <c r="CO158" s="210"/>
      <c r="CP158" s="67">
        <f>+CP24-CP156</f>
        <v>-53054.460000000021</v>
      </c>
      <c r="CQ158" s="40">
        <f>CP158/CP12</f>
        <v>-0.23902630356825241</v>
      </c>
      <c r="CR158" s="67">
        <f>+CR24-CR156</f>
        <v>23136.165208671329</v>
      </c>
      <c r="CS158" s="40">
        <f>CR158/CR12</f>
        <v>9.7392468338713095E-2</v>
      </c>
      <c r="CT158" s="67">
        <f>+CT24-CT156</f>
        <v>-75690.625208671321</v>
      </c>
      <c r="CU158" s="40">
        <f>CT158/CR158</f>
        <v>-3.2715285582548841</v>
      </c>
      <c r="CV158" s="210"/>
      <c r="CW158" s="67">
        <f>+CW24-CW156</f>
        <v>-10048.839999999997</v>
      </c>
      <c r="CX158" s="40">
        <f>CW158/CW12</f>
        <v>-3.8550858998860939E-2</v>
      </c>
      <c r="CY158" s="67">
        <f>+CY24-CY156</f>
        <v>15685.165208671329</v>
      </c>
      <c r="CZ158" s="40">
        <f>CY158/CY12</f>
        <v>6.6027232352250956E-2</v>
      </c>
      <c r="DA158" s="67">
        <f>+DA24-DA156</f>
        <v>-23425.975208671342</v>
      </c>
      <c r="DB158" s="40">
        <f>DA158/CY158</f>
        <v>-1.4935115376228623</v>
      </c>
      <c r="DC158" s="210"/>
      <c r="DD158" s="67">
        <f>+DD24-DD156</f>
        <v>-17554.130000000034</v>
      </c>
      <c r="DE158" s="40">
        <f>DD158/DD12</f>
        <v>-7.7152037613559474E-2</v>
      </c>
      <c r="DF158" s="67">
        <f>+DF24-DF156</f>
        <v>26444.319054825173</v>
      </c>
      <c r="DG158" s="40">
        <f>DF158/DF12</f>
        <v>9.7404035694830304E-2</v>
      </c>
      <c r="DH158" s="67">
        <f>+DH24-DH156</f>
        <v>-42580.38905482518</v>
      </c>
      <c r="DI158" s="40">
        <f>DH158/DF158</f>
        <v>-1.6101904143020742</v>
      </c>
      <c r="DJ158" s="210"/>
      <c r="DK158" s="67">
        <f>+DK24-DK156</f>
        <v>-23663.590000000026</v>
      </c>
      <c r="DL158" s="40">
        <f>DK158/DK12</f>
        <v>-0.15919694834936954</v>
      </c>
      <c r="DM158" s="67">
        <f>+DM24-DM156</f>
        <v>26173.165208671358</v>
      </c>
      <c r="DN158" s="40">
        <f>DM158/DM12</f>
        <v>9.6405277554951582E-2</v>
      </c>
      <c r="DO158" s="67">
        <f>+DO24-DO156</f>
        <v>-47811.055208671329</v>
      </c>
      <c r="DP158" s="40">
        <f>DO158/DM158</f>
        <v>-1.82672041487864</v>
      </c>
      <c r="DQ158" s="210"/>
      <c r="DR158" s="67">
        <f>+DR24-DR156</f>
        <v>-104321.02000000014</v>
      </c>
      <c r="DS158" s="40">
        <f>DR158/DR12</f>
        <v>-0.1214736877895919</v>
      </c>
      <c r="DT158" s="67">
        <f>+DT24-DT156</f>
        <v>91438.81468083919</v>
      </c>
      <c r="DU158" s="40">
        <f>DT158/DT12</f>
        <v>8.9813725138188805E-2</v>
      </c>
      <c r="DV158" s="67">
        <f>+DV24-DV156</f>
        <v>-233939.04468083923</v>
      </c>
      <c r="DW158" s="40">
        <f>DV158/DT158</f>
        <v>-2.5584216669626261</v>
      </c>
      <c r="DX158" s="210"/>
      <c r="DY158" s="67">
        <f>+DY24-DY156</f>
        <v>-575244.70000000019</v>
      </c>
      <c r="DZ158" s="31">
        <f>DY158/DY12</f>
        <v>-0.47739229750037598</v>
      </c>
      <c r="EA158" s="67">
        <f>+EA24-EA156</f>
        <v>41885.546153647359</v>
      </c>
      <c r="EB158" s="31">
        <f>EA158/EA12</f>
        <v>1.4487341508128431E-2</v>
      </c>
      <c r="EC158" s="35">
        <f>DY158-EA158</f>
        <v>-617130.24615364755</v>
      </c>
      <c r="ED158" s="31">
        <f>EC158/EA158</f>
        <v>-14.733728047614543</v>
      </c>
    </row>
    <row r="159" spans="1:134" ht="17.100000000000001" thickTop="1">
      <c r="A159" s="8"/>
      <c r="B159" s="8"/>
      <c r="C159" s="65"/>
      <c r="D159" s="33"/>
      <c r="E159" s="22"/>
      <c r="F159" s="33"/>
      <c r="G159" s="33"/>
      <c r="H159" s="33"/>
      <c r="I159" s="210"/>
      <c r="J159" s="22"/>
      <c r="K159" s="33"/>
      <c r="L159" s="22"/>
      <c r="M159" s="33"/>
      <c r="N159" s="33"/>
      <c r="O159" s="33"/>
      <c r="P159" s="210"/>
      <c r="Q159" s="65"/>
      <c r="R159" s="23"/>
      <c r="S159" s="22"/>
      <c r="T159" s="33"/>
      <c r="U159" s="33"/>
      <c r="V159" s="33"/>
      <c r="W159" s="210"/>
      <c r="X159" s="65"/>
      <c r="Y159" s="33"/>
      <c r="Z159" s="22"/>
      <c r="AA159" s="23"/>
      <c r="AB159" s="33"/>
      <c r="AC159" s="33"/>
      <c r="AD159" s="210"/>
      <c r="AE159" s="65"/>
      <c r="AF159" s="23"/>
      <c r="AG159" s="22"/>
      <c r="AH159" s="23"/>
      <c r="AI159" s="73"/>
      <c r="AJ159" s="73"/>
      <c r="AK159" s="210"/>
      <c r="AL159" s="65"/>
      <c r="AM159" s="23"/>
      <c r="AN159" s="22"/>
      <c r="AO159" s="23"/>
      <c r="AP159" s="73"/>
      <c r="AQ159" s="73"/>
      <c r="AR159" s="210"/>
      <c r="AS159" s="65"/>
      <c r="AT159" s="23"/>
      <c r="AU159" s="22"/>
      <c r="AV159" s="23"/>
      <c r="AW159" s="73"/>
      <c r="AX159" s="73"/>
      <c r="AY159" s="210"/>
      <c r="AZ159" s="65"/>
      <c r="BA159" s="23"/>
      <c r="BB159" s="22"/>
      <c r="BC159" s="23"/>
      <c r="BD159" s="73"/>
      <c r="BE159" s="33"/>
      <c r="BF159" s="210"/>
      <c r="BG159" s="65"/>
      <c r="BH159" s="23"/>
      <c r="BI159" s="65"/>
      <c r="BJ159" s="23"/>
      <c r="BK159" s="73"/>
      <c r="BL159" s="33"/>
      <c r="BM159" s="210"/>
      <c r="BN159" s="65"/>
      <c r="BO159" s="52"/>
      <c r="BP159" s="65"/>
      <c r="BQ159" s="52"/>
      <c r="BR159" s="68"/>
      <c r="BS159" s="52"/>
      <c r="BT159" s="210"/>
      <c r="BU159" s="65"/>
      <c r="BV159" s="52"/>
      <c r="BW159" s="65"/>
      <c r="BX159" s="52"/>
      <c r="BY159" s="68"/>
      <c r="BZ159" s="81"/>
      <c r="CA159" s="210"/>
      <c r="CB159" s="65"/>
      <c r="CC159" s="52"/>
      <c r="CD159" s="65"/>
      <c r="CE159" s="52"/>
      <c r="CF159" s="68"/>
      <c r="CG159" s="81"/>
      <c r="CH159" s="210"/>
      <c r="CI159" s="65"/>
      <c r="CJ159" s="52"/>
      <c r="CK159" s="65"/>
      <c r="CL159" s="52"/>
      <c r="CM159" s="68"/>
      <c r="CN159" s="81"/>
      <c r="CO159" s="210"/>
      <c r="CP159" s="65"/>
      <c r="CQ159" s="51"/>
      <c r="CR159" s="65"/>
      <c r="CS159" s="51"/>
      <c r="CT159" s="68"/>
      <c r="CU159" s="68"/>
      <c r="CV159" s="210"/>
      <c r="CW159" s="65"/>
      <c r="CX159" s="52"/>
      <c r="CY159" s="65"/>
      <c r="CZ159" s="52"/>
      <c r="DA159" s="68"/>
      <c r="DB159" s="81"/>
      <c r="DC159" s="210"/>
      <c r="DD159" s="65"/>
      <c r="DE159" s="52"/>
      <c r="DF159" s="65"/>
      <c r="DG159" s="52"/>
      <c r="DH159" s="68"/>
      <c r="DI159" s="81"/>
      <c r="DJ159" s="210"/>
      <c r="DK159" s="65"/>
      <c r="DL159" s="52"/>
      <c r="DM159" s="65"/>
      <c r="DN159" s="52"/>
      <c r="DO159" s="68"/>
      <c r="DP159" s="81"/>
      <c r="DQ159" s="210"/>
      <c r="DR159" s="65"/>
      <c r="DS159" s="52"/>
      <c r="DT159" s="65"/>
      <c r="DU159" s="52"/>
      <c r="DV159" s="68"/>
      <c r="DW159" s="81"/>
      <c r="DX159" s="210"/>
      <c r="DY159" s="65"/>
      <c r="DZ159" s="52"/>
      <c r="EA159" s="65"/>
      <c r="EB159" s="52"/>
      <c r="EC159" s="68"/>
      <c r="ED159" s="81"/>
    </row>
    <row r="160" spans="1:134">
      <c r="A160" s="7" t="s">
        <v>159</v>
      </c>
      <c r="B160" s="8"/>
      <c r="C160" s="65">
        <v>0</v>
      </c>
      <c r="D160" s="56" t="e">
        <f>+C160/C12</f>
        <v>#DIV/0!</v>
      </c>
      <c r="E160" s="22">
        <v>0</v>
      </c>
      <c r="F160" s="33">
        <f>+E160/E12</f>
        <v>0</v>
      </c>
      <c r="G160" s="212">
        <f>E160-C160</f>
        <v>0</v>
      </c>
      <c r="H160" s="58" t="e">
        <f>G160/E160</f>
        <v>#DIV/0!</v>
      </c>
      <c r="I160" s="210"/>
      <c r="J160" s="65">
        <v>0</v>
      </c>
      <c r="K160" s="56">
        <f>+J160/J12</f>
        <v>0</v>
      </c>
      <c r="L160" s="22">
        <v>0</v>
      </c>
      <c r="M160" s="33">
        <f>+L160/L12</f>
        <v>0</v>
      </c>
      <c r="N160" s="212">
        <f>L160-J160</f>
        <v>0</v>
      </c>
      <c r="O160" s="58" t="e">
        <f>N160/L160</f>
        <v>#DIV/0!</v>
      </c>
      <c r="P160" s="210"/>
      <c r="Q160" s="65">
        <v>0</v>
      </c>
      <c r="R160" s="56">
        <f>+Q160/Q12</f>
        <v>0</v>
      </c>
      <c r="S160" s="22">
        <v>0</v>
      </c>
      <c r="T160" s="33">
        <f>+S160/S12</f>
        <v>0</v>
      </c>
      <c r="U160" s="212">
        <f>S160-Q160</f>
        <v>0</v>
      </c>
      <c r="V160" s="31" t="e">
        <f>U160/S160</f>
        <v>#DIV/0!</v>
      </c>
      <c r="W160" s="210"/>
      <c r="X160" s="65">
        <v>0</v>
      </c>
      <c r="Y160" s="33">
        <f>+X160/X12</f>
        <v>0</v>
      </c>
      <c r="Z160" s="22">
        <v>0</v>
      </c>
      <c r="AA160" s="33">
        <f>+Z160/Z12</f>
        <v>0</v>
      </c>
      <c r="AB160" s="212">
        <f>Z160-X160</f>
        <v>0</v>
      </c>
      <c r="AC160" s="31" t="e">
        <f>AB160/Z160</f>
        <v>#DIV/0!</v>
      </c>
      <c r="AD160" s="210"/>
      <c r="AE160" s="65">
        <v>0</v>
      </c>
      <c r="AF160" s="56" t="e">
        <f>+AE160/AE12</f>
        <v>#DIV/0!</v>
      </c>
      <c r="AG160" s="22">
        <v>0</v>
      </c>
      <c r="AH160" s="33">
        <f>+AG160/AG12</f>
        <v>0</v>
      </c>
      <c r="AI160" s="212">
        <f>AG160-AE160</f>
        <v>0</v>
      </c>
      <c r="AJ160" s="31" t="e">
        <f>AI160/AG160</f>
        <v>#DIV/0!</v>
      </c>
      <c r="AK160" s="210"/>
      <c r="AL160" s="65">
        <v>0</v>
      </c>
      <c r="AM160" s="56" t="e">
        <f>+AL160/AL12</f>
        <v>#DIV/0!</v>
      </c>
      <c r="AN160" s="22">
        <v>0</v>
      </c>
      <c r="AO160" s="33">
        <f>+AN160/AN12</f>
        <v>0</v>
      </c>
      <c r="AP160" s="212">
        <f>AN160-AL160</f>
        <v>0</v>
      </c>
      <c r="AQ160" s="31" t="e">
        <f>AP160/AN160</f>
        <v>#DIV/0!</v>
      </c>
      <c r="AR160" s="210"/>
      <c r="AS160" s="65">
        <v>0</v>
      </c>
      <c r="AT160" s="56" t="e">
        <f>+AS160/AS12</f>
        <v>#DIV/0!</v>
      </c>
      <c r="AU160" s="22">
        <v>0</v>
      </c>
      <c r="AV160" s="33">
        <f>+AU160/AU12</f>
        <v>0</v>
      </c>
      <c r="AW160" s="212">
        <f>AU160-AS160</f>
        <v>0</v>
      </c>
      <c r="AX160" s="31" t="e">
        <f>AW160/AU160</f>
        <v>#DIV/0!</v>
      </c>
      <c r="AY160" s="210"/>
      <c r="AZ160" s="65">
        <v>0</v>
      </c>
      <c r="BA160" s="56" t="e">
        <f>+AZ160/AZ12</f>
        <v>#DIV/0!</v>
      </c>
      <c r="BB160" s="22">
        <v>0</v>
      </c>
      <c r="BC160" s="33">
        <f>+BB160/BB12</f>
        <v>0</v>
      </c>
      <c r="BD160" s="212">
        <f>BB160-AZ160</f>
        <v>0</v>
      </c>
      <c r="BE160" s="31" t="e">
        <f>BD160/BB160</f>
        <v>#DIV/0!</v>
      </c>
      <c r="BF160" s="210"/>
      <c r="BG160" s="65">
        <v>0</v>
      </c>
      <c r="BH160" s="56" t="e">
        <f>+BG160/BG12</f>
        <v>#DIV/0!</v>
      </c>
      <c r="BI160" s="65">
        <v>0</v>
      </c>
      <c r="BJ160" s="33" t="e">
        <f>+BI160/BI12</f>
        <v>#DIV/0!</v>
      </c>
      <c r="BK160" s="212">
        <f>BI160-BG160</f>
        <v>0</v>
      </c>
      <c r="BL160" s="31" t="e">
        <f>BK160/BI160</f>
        <v>#DIV/0!</v>
      </c>
      <c r="BM160" s="210"/>
      <c r="BN160" s="65">
        <v>0</v>
      </c>
      <c r="BO160" s="52" t="e">
        <f>+BN160/BN12</f>
        <v>#DIV/0!</v>
      </c>
      <c r="BP160" s="65">
        <v>0</v>
      </c>
      <c r="BQ160" s="52" t="e">
        <f>+BP160/BP12</f>
        <v>#DIV/0!</v>
      </c>
      <c r="BR160" s="216">
        <f>BP160-BN160</f>
        <v>0</v>
      </c>
      <c r="BS160" s="40" t="e">
        <f>BR160/BP160</f>
        <v>#DIV/0!</v>
      </c>
      <c r="BT160" s="210"/>
      <c r="BU160" s="65">
        <v>0</v>
      </c>
      <c r="BV160" s="52">
        <f>+BU160/BU12</f>
        <v>0</v>
      </c>
      <c r="BW160" s="65">
        <v>0</v>
      </c>
      <c r="BX160" s="52" t="e">
        <f>+BW160/BW12</f>
        <v>#DIV/0!</v>
      </c>
      <c r="BY160" s="216">
        <f>BW160-BU160</f>
        <v>0</v>
      </c>
      <c r="BZ160" s="40" t="e">
        <f>BY160/BW160</f>
        <v>#DIV/0!</v>
      </c>
      <c r="CA160" s="210"/>
      <c r="CB160" s="65">
        <v>0</v>
      </c>
      <c r="CC160" s="52">
        <f>+CB160/CB12</f>
        <v>0</v>
      </c>
      <c r="CD160" s="65">
        <v>0</v>
      </c>
      <c r="CE160" s="52">
        <f>+CD160/CD12</f>
        <v>0</v>
      </c>
      <c r="CF160" s="216">
        <f>CD160-CB160</f>
        <v>0</v>
      </c>
      <c r="CG160" s="40" t="e">
        <f>CF160/CD160</f>
        <v>#DIV/0!</v>
      </c>
      <c r="CH160" s="210"/>
      <c r="CI160" s="208">
        <f t="shared" ref="CI160" si="403">BG160+BN160+BU160+CB160</f>
        <v>0</v>
      </c>
      <c r="CJ160" s="52">
        <f>+CI160/CI12</f>
        <v>0</v>
      </c>
      <c r="CK160" s="208">
        <f t="shared" ref="CK160" si="404">BI160+BP160+BW160+CD160</f>
        <v>0</v>
      </c>
      <c r="CL160" s="52">
        <f>+CK160/CK12</f>
        <v>0</v>
      </c>
      <c r="CM160" s="216">
        <f>CK160-CI160</f>
        <v>0</v>
      </c>
      <c r="CN160" s="40" t="e">
        <f>CM160/CK160</f>
        <v>#DIV/0!</v>
      </c>
      <c r="CO160" s="210"/>
      <c r="CP160" s="65">
        <v>0</v>
      </c>
      <c r="CQ160" s="83">
        <f>+CP160/CP12</f>
        <v>0</v>
      </c>
      <c r="CR160" s="65">
        <v>0</v>
      </c>
      <c r="CS160" s="52">
        <f>+CR160/CR12</f>
        <v>0</v>
      </c>
      <c r="CT160" s="216">
        <f>CR160-CP160</f>
        <v>0</v>
      </c>
      <c r="CU160" s="40" t="e">
        <f>CT160/CR160</f>
        <v>#DIV/0!</v>
      </c>
      <c r="CV160" s="210"/>
      <c r="CW160" s="65">
        <v>6024</v>
      </c>
      <c r="CX160" s="52">
        <f>+CW160/CW12</f>
        <v>2.3110167403316041E-2</v>
      </c>
      <c r="CY160" s="65">
        <v>0</v>
      </c>
      <c r="CZ160" s="52">
        <f>+CY160/CY12</f>
        <v>0</v>
      </c>
      <c r="DA160" s="216">
        <f>CY160-CW160</f>
        <v>-6024</v>
      </c>
      <c r="DB160" s="40" t="e">
        <f>DA160/CY160</f>
        <v>#DIV/0!</v>
      </c>
      <c r="DC160" s="210"/>
      <c r="DD160" s="65">
        <v>292800</v>
      </c>
      <c r="DE160" s="52">
        <f>+DD160/DD12</f>
        <v>1.2868832926069347</v>
      </c>
      <c r="DF160" s="65">
        <v>0</v>
      </c>
      <c r="DG160" s="52">
        <f>+DF160/DF12</f>
        <v>0</v>
      </c>
      <c r="DH160" s="216">
        <f>DF160-DD160</f>
        <v>-292800</v>
      </c>
      <c r="DI160" s="40" t="e">
        <f>DH160/DF160</f>
        <v>#DIV/0!</v>
      </c>
      <c r="DJ160" s="210"/>
      <c r="DK160" s="65">
        <v>0</v>
      </c>
      <c r="DL160" s="52">
        <f>+DK160/DK12</f>
        <v>0</v>
      </c>
      <c r="DM160" s="65">
        <v>0</v>
      </c>
      <c r="DN160" s="52">
        <f>+DM160/DM12</f>
        <v>0</v>
      </c>
      <c r="DO160" s="216">
        <f>DM160-DK160</f>
        <v>0</v>
      </c>
      <c r="DP160" s="40" t="e">
        <f>DO160/DM160</f>
        <v>#DIV/0!</v>
      </c>
      <c r="DQ160" s="210"/>
      <c r="DR160" s="65">
        <f>CW160+DD160+DK160</f>
        <v>298824</v>
      </c>
      <c r="DS160" s="52">
        <f>+DR160/DR12</f>
        <v>0.34795723124675126</v>
      </c>
      <c r="DT160" s="65">
        <v>0</v>
      </c>
      <c r="DU160" s="52">
        <f>+DT160/DT12</f>
        <v>0</v>
      </c>
      <c r="DV160" s="216">
        <f>DT160-DR160</f>
        <v>-298824</v>
      </c>
      <c r="DW160" s="40" t="e">
        <f>DV160/DT160</f>
        <v>#DIV/0!</v>
      </c>
      <c r="DX160" s="210"/>
      <c r="DY160" s="208">
        <f>X160+AZ160+CI160+DR160</f>
        <v>298824</v>
      </c>
      <c r="DZ160" s="33">
        <f>+DY160/DY12</f>
        <v>0.24799233423315731</v>
      </c>
      <c r="EA160" s="22">
        <v>0</v>
      </c>
      <c r="EB160" s="33">
        <f>+EA160/EA12</f>
        <v>0</v>
      </c>
      <c r="EC160" s="212">
        <f>EA160-DY160</f>
        <v>-298824</v>
      </c>
      <c r="ED160" s="31" t="e">
        <f>EC160/EA160</f>
        <v>#DIV/0!</v>
      </c>
    </row>
    <row r="161" spans="1:136">
      <c r="A161" s="8"/>
      <c r="B161" s="8"/>
      <c r="C161" s="65"/>
      <c r="D161" s="33"/>
      <c r="E161" s="22"/>
      <c r="F161" s="33"/>
      <c r="G161" s="33"/>
      <c r="H161" s="33"/>
      <c r="I161" s="210"/>
      <c r="J161" s="22"/>
      <c r="K161" s="33"/>
      <c r="L161" s="22"/>
      <c r="M161" s="33"/>
      <c r="N161" s="33"/>
      <c r="O161" s="33"/>
      <c r="P161" s="210"/>
      <c r="Q161" s="65"/>
      <c r="R161" s="23"/>
      <c r="S161" s="22"/>
      <c r="T161" s="33"/>
      <c r="U161" s="33"/>
      <c r="V161" s="33"/>
      <c r="W161" s="210"/>
      <c r="X161" s="65"/>
      <c r="Y161" s="33"/>
      <c r="Z161" s="22"/>
      <c r="AA161" s="23"/>
      <c r="AB161" s="33"/>
      <c r="AC161" s="33"/>
      <c r="AD161" s="210"/>
      <c r="AE161" s="65"/>
      <c r="AF161" s="23"/>
      <c r="AG161" s="22"/>
      <c r="AH161" s="23"/>
      <c r="AI161" s="73"/>
      <c r="AJ161" s="73"/>
      <c r="AK161" s="210"/>
      <c r="AL161" s="65"/>
      <c r="AM161" s="23"/>
      <c r="AN161" s="22"/>
      <c r="AO161" s="23"/>
      <c r="AP161" s="73"/>
      <c r="AQ161" s="73"/>
      <c r="AR161" s="210"/>
      <c r="AS161" s="65"/>
      <c r="AT161" s="23"/>
      <c r="AU161" s="22"/>
      <c r="AV161" s="23"/>
      <c r="AW161" s="73"/>
      <c r="AX161" s="73"/>
      <c r="AY161" s="210"/>
      <c r="AZ161" s="65"/>
      <c r="BA161" s="23"/>
      <c r="BB161" s="22"/>
      <c r="BC161" s="23"/>
      <c r="BD161" s="73"/>
      <c r="BE161" s="33"/>
      <c r="BF161" s="210"/>
      <c r="BG161" s="65"/>
      <c r="BH161" s="23"/>
      <c r="BI161" s="65"/>
      <c r="BJ161" s="23"/>
      <c r="BK161" s="73"/>
      <c r="BL161" s="33"/>
      <c r="BM161" s="210"/>
      <c r="BN161" s="65"/>
      <c r="BO161" s="52"/>
      <c r="BP161" s="65"/>
      <c r="BQ161" s="52"/>
      <c r="BR161" s="68"/>
      <c r="BS161" s="52"/>
      <c r="BT161" s="210"/>
      <c r="BU161" s="65"/>
      <c r="BV161" s="52"/>
      <c r="BW161" s="65"/>
      <c r="BX161" s="52"/>
      <c r="BY161" s="68"/>
      <c r="BZ161" s="81"/>
      <c r="CA161" s="210"/>
      <c r="CB161" s="65"/>
      <c r="CC161" s="52"/>
      <c r="CD161" s="65"/>
      <c r="CE161" s="52"/>
      <c r="CF161" s="68"/>
      <c r="CG161" s="81"/>
      <c r="CH161" s="210"/>
      <c r="CI161" s="65"/>
      <c r="CJ161" s="52"/>
      <c r="CK161" s="65"/>
      <c r="CL161" s="52"/>
      <c r="CM161" s="68"/>
      <c r="CN161" s="81"/>
      <c r="CO161" s="210"/>
      <c r="CP161" s="65"/>
      <c r="CQ161" s="51"/>
      <c r="CR161" s="65"/>
      <c r="CS161" s="51"/>
      <c r="CT161" s="68"/>
      <c r="CU161" s="68"/>
      <c r="CV161" s="210"/>
      <c r="CW161" s="65"/>
      <c r="CX161" s="52"/>
      <c r="CY161" s="65"/>
      <c r="CZ161" s="52"/>
      <c r="DA161" s="68"/>
      <c r="DB161" s="81"/>
      <c r="DC161" s="210"/>
      <c r="DD161" s="65"/>
      <c r="DE161" s="52"/>
      <c r="DF161" s="65"/>
      <c r="DG161" s="52"/>
      <c r="DH161" s="68"/>
      <c r="DI161" s="81"/>
      <c r="DJ161" s="210"/>
      <c r="DK161" s="65"/>
      <c r="DL161" s="52"/>
      <c r="DM161" s="65"/>
      <c r="DN161" s="52"/>
      <c r="DO161" s="68"/>
      <c r="DP161" s="81"/>
      <c r="DQ161" s="210"/>
      <c r="DR161" s="65"/>
      <c r="DS161" s="52"/>
      <c r="DT161" s="65"/>
      <c r="DU161" s="52"/>
      <c r="DV161" s="68"/>
      <c r="DW161" s="81"/>
      <c r="DX161" s="210"/>
      <c r="DY161" s="65"/>
      <c r="DZ161" s="52"/>
      <c r="EA161" s="65"/>
      <c r="EB161" s="33"/>
      <c r="EC161" s="33"/>
      <c r="ED161" s="33"/>
      <c r="EE161" s="210"/>
      <c r="EF161" s="210"/>
    </row>
    <row r="162" spans="1:136">
      <c r="A162" s="7" t="s">
        <v>160</v>
      </c>
      <c r="B162" s="7"/>
      <c r="C162" s="65"/>
      <c r="D162" s="33"/>
      <c r="E162" s="22"/>
      <c r="F162" s="33"/>
      <c r="G162" s="212"/>
      <c r="H162" s="212"/>
      <c r="I162" s="210"/>
      <c r="J162" s="22"/>
      <c r="K162" s="33"/>
      <c r="L162" s="22"/>
      <c r="M162" s="33"/>
      <c r="N162" s="212"/>
      <c r="O162" s="212"/>
      <c r="P162" s="210"/>
      <c r="Q162" s="65"/>
      <c r="R162" s="23"/>
      <c r="S162" s="22"/>
      <c r="T162" s="33"/>
      <c r="U162" s="212"/>
      <c r="V162" s="212"/>
      <c r="W162" s="210"/>
      <c r="X162" s="65"/>
      <c r="Y162" s="33"/>
      <c r="Z162" s="22"/>
      <c r="AA162" s="23"/>
      <c r="AB162" s="212"/>
      <c r="AC162" s="212"/>
      <c r="AD162" s="210"/>
      <c r="AE162" s="65"/>
      <c r="AF162" s="23"/>
      <c r="AG162" s="22"/>
      <c r="AH162" s="23"/>
      <c r="AI162" s="220"/>
      <c r="AJ162" s="220"/>
      <c r="AK162" s="210"/>
      <c r="AL162" s="65"/>
      <c r="AM162" s="23"/>
      <c r="AN162" s="22"/>
      <c r="AO162" s="23"/>
      <c r="AP162" s="220"/>
      <c r="AQ162" s="220"/>
      <c r="AR162" s="210"/>
      <c r="AS162" s="65"/>
      <c r="AT162" s="23"/>
      <c r="AU162" s="22"/>
      <c r="AV162" s="23"/>
      <c r="AW162" s="220"/>
      <c r="AX162" s="220"/>
      <c r="AY162" s="210"/>
      <c r="AZ162" s="65"/>
      <c r="BA162" s="23"/>
      <c r="BB162" s="22"/>
      <c r="BC162" s="23"/>
      <c r="BD162" s="220"/>
      <c r="BE162" s="212"/>
      <c r="BF162" s="210"/>
      <c r="BG162" s="65"/>
      <c r="BH162" s="23"/>
      <c r="BI162" s="65"/>
      <c r="BJ162" s="23"/>
      <c r="BK162" s="220"/>
      <c r="BL162" s="212"/>
      <c r="BM162" s="210"/>
      <c r="BN162" s="65"/>
      <c r="BO162" s="52"/>
      <c r="BP162" s="65"/>
      <c r="BQ162" s="52"/>
      <c r="BR162" s="222"/>
      <c r="BS162" s="216"/>
      <c r="BT162" s="210"/>
      <c r="BU162" s="65"/>
      <c r="BV162" s="52"/>
      <c r="BW162" s="65"/>
      <c r="BX162" s="52"/>
      <c r="BY162" s="222"/>
      <c r="BZ162" s="213"/>
      <c r="CA162" s="210"/>
      <c r="CB162" s="65"/>
      <c r="CC162" s="52"/>
      <c r="CD162" s="65"/>
      <c r="CE162" s="52"/>
      <c r="CF162" s="222"/>
      <c r="CG162" s="213"/>
      <c r="CH162" s="210"/>
      <c r="CI162" s="65"/>
      <c r="CJ162" s="52"/>
      <c r="CK162" s="65"/>
      <c r="CL162" s="52"/>
      <c r="CM162" s="222"/>
      <c r="CN162" s="213"/>
      <c r="CO162" s="210"/>
      <c r="CP162" s="65"/>
      <c r="CQ162" s="51"/>
      <c r="CR162" s="65"/>
      <c r="CS162" s="51"/>
      <c r="CT162" s="222"/>
      <c r="CU162" s="222"/>
      <c r="CV162" s="210"/>
      <c r="CW162" s="65"/>
      <c r="CX162" s="52"/>
      <c r="CY162" s="65"/>
      <c r="CZ162" s="52"/>
      <c r="DA162" s="222"/>
      <c r="DB162" s="213"/>
      <c r="DC162" s="210"/>
      <c r="DD162" s="65"/>
      <c r="DE162" s="52"/>
      <c r="DF162" s="65"/>
      <c r="DG162" s="52"/>
      <c r="DH162" s="222"/>
      <c r="DI162" s="213"/>
      <c r="DJ162" s="210"/>
      <c r="DK162" s="65"/>
      <c r="DL162" s="52"/>
      <c r="DM162" s="65"/>
      <c r="DN162" s="52"/>
      <c r="DO162" s="222"/>
      <c r="DP162" s="213"/>
      <c r="DQ162" s="210"/>
      <c r="DR162" s="65"/>
      <c r="DS162" s="52"/>
      <c r="DT162" s="65"/>
      <c r="DU162" s="52"/>
      <c r="DV162" s="222"/>
      <c r="DW162" s="213"/>
      <c r="DX162" s="210"/>
      <c r="DY162" s="210"/>
      <c r="DZ162" s="52"/>
      <c r="EA162" s="65"/>
      <c r="EB162" s="33"/>
      <c r="EC162" s="212"/>
      <c r="ED162" s="212"/>
      <c r="EE162" s="210"/>
      <c r="EF162" s="210"/>
    </row>
    <row r="163" spans="1:136">
      <c r="A163" s="14" t="s">
        <v>161</v>
      </c>
      <c r="B163" s="14"/>
      <c r="C163" s="65"/>
      <c r="D163" s="33"/>
      <c r="E163" s="68">
        <v>0</v>
      </c>
      <c r="F163" s="33"/>
      <c r="G163" s="212">
        <f>E163-C163</f>
        <v>0</v>
      </c>
      <c r="H163" s="212"/>
      <c r="I163" s="210"/>
      <c r="J163" s="22">
        <v>0</v>
      </c>
      <c r="K163" s="33"/>
      <c r="L163" s="68">
        <v>0</v>
      </c>
      <c r="M163" s="33"/>
      <c r="N163" s="212"/>
      <c r="O163" s="212"/>
      <c r="P163" s="210"/>
      <c r="Q163" s="65">
        <v>0</v>
      </c>
      <c r="R163" s="23"/>
      <c r="S163" s="68">
        <v>0</v>
      </c>
      <c r="T163" s="33"/>
      <c r="U163" s="212">
        <f>S163-Q163</f>
        <v>0</v>
      </c>
      <c r="V163" s="212"/>
      <c r="W163" s="210"/>
      <c r="X163" s="208">
        <f t="shared" ref="X163:X168" si="405">C163+J163+Q163</f>
        <v>0</v>
      </c>
      <c r="Y163" s="33"/>
      <c r="Z163" s="220">
        <f>+E163+L163+S163</f>
        <v>0</v>
      </c>
      <c r="AA163" s="23"/>
      <c r="AB163" s="212">
        <f>Z163-X163</f>
        <v>0</v>
      </c>
      <c r="AC163" s="212"/>
      <c r="AD163" s="210"/>
      <c r="AE163" s="208">
        <v>0</v>
      </c>
      <c r="AF163" s="23"/>
      <c r="AG163" s="68">
        <v>0</v>
      </c>
      <c r="AH163" s="23"/>
      <c r="AI163" s="220">
        <f>AG163-AE163</f>
        <v>0</v>
      </c>
      <c r="AJ163" s="221"/>
      <c r="AK163" s="210"/>
      <c r="AL163" s="65">
        <v>0</v>
      </c>
      <c r="AM163" s="23"/>
      <c r="AN163" s="68">
        <v>0</v>
      </c>
      <c r="AO163" s="23"/>
      <c r="AP163" s="220">
        <f>AN163-AL163</f>
        <v>0</v>
      </c>
      <c r="AQ163" s="221"/>
      <c r="AR163" s="210"/>
      <c r="AS163" s="65">
        <v>0</v>
      </c>
      <c r="AT163" s="23"/>
      <c r="AU163" s="68">
        <v>0</v>
      </c>
      <c r="AV163" s="23"/>
      <c r="AW163" s="220">
        <f>AU163-AS163</f>
        <v>0</v>
      </c>
      <c r="AX163" s="221"/>
      <c r="AY163" s="210"/>
      <c r="AZ163" s="208">
        <f t="shared" ref="AZ163:AZ168" si="406">AE163+AL163+AS163</f>
        <v>0</v>
      </c>
      <c r="BA163" s="23"/>
      <c r="BB163" s="218">
        <f>AG163+AN163+AU163</f>
        <v>0</v>
      </c>
      <c r="BC163" s="23"/>
      <c r="BD163" s="220">
        <f>BB163-AZ163</f>
        <v>0</v>
      </c>
      <c r="BE163" s="212"/>
      <c r="BF163" s="210"/>
      <c r="BG163" s="65">
        <v>0</v>
      </c>
      <c r="BH163" s="23"/>
      <c r="BI163" s="68">
        <v>0</v>
      </c>
      <c r="BJ163" s="23"/>
      <c r="BK163" s="220">
        <f t="shared" ref="BK163:BK166" si="407">BI163-BG163</f>
        <v>0</v>
      </c>
      <c r="BL163" s="212"/>
      <c r="BM163" s="210"/>
      <c r="BN163" s="65">
        <v>0</v>
      </c>
      <c r="BO163" s="52"/>
      <c r="BP163" s="68">
        <v>0</v>
      </c>
      <c r="BQ163" s="52"/>
      <c r="BR163" s="222">
        <f t="shared" ref="BR163:BR168" si="408">BN163-BP163</f>
        <v>0</v>
      </c>
      <c r="BS163" s="216"/>
      <c r="BT163" s="210"/>
      <c r="BU163" s="65">
        <v>0</v>
      </c>
      <c r="BV163" s="52"/>
      <c r="BW163" s="68">
        <v>0</v>
      </c>
      <c r="BX163" s="52"/>
      <c r="BY163" s="222">
        <f t="shared" ref="BY163:BY168" si="409">BU163-BW163</f>
        <v>0</v>
      </c>
      <c r="BZ163" s="216"/>
      <c r="CA163" s="210"/>
      <c r="CB163" s="65">
        <v>0</v>
      </c>
      <c r="CC163" s="52"/>
      <c r="CD163" s="68">
        <v>0</v>
      </c>
      <c r="CE163" s="52"/>
      <c r="CF163" s="222">
        <f t="shared" ref="CF163:CF168" si="410">CB163-CD163</f>
        <v>0</v>
      </c>
      <c r="CG163" s="216"/>
      <c r="CH163" s="210"/>
      <c r="CI163" s="208">
        <f>BG163+BN163+BU163+CB163</f>
        <v>0</v>
      </c>
      <c r="CJ163" s="52"/>
      <c r="CK163" s="208">
        <f>BI163+BP163+BW163+CD163</f>
        <v>0</v>
      </c>
      <c r="CL163" s="52"/>
      <c r="CM163" s="222">
        <f t="shared" ref="CM163:CM168" si="411">CI163-CK163</f>
        <v>0</v>
      </c>
      <c r="CN163" s="216"/>
      <c r="CO163" s="210"/>
      <c r="CP163" s="65">
        <v>0</v>
      </c>
      <c r="CQ163" s="51"/>
      <c r="CR163" s="68">
        <v>0</v>
      </c>
      <c r="CS163" s="51"/>
      <c r="CT163" s="222">
        <f t="shared" ref="CT163:CT168" si="412">CR163-CP163</f>
        <v>0</v>
      </c>
      <c r="CU163" s="223"/>
      <c r="CV163" s="210"/>
      <c r="CW163" s="65">
        <v>0</v>
      </c>
      <c r="CX163" s="52"/>
      <c r="CY163" s="68">
        <v>0</v>
      </c>
      <c r="CZ163" s="52"/>
      <c r="DA163" s="222">
        <f t="shared" ref="DA163:DA168" si="413">CW163-CY163</f>
        <v>0</v>
      </c>
      <c r="DB163" s="216"/>
      <c r="DC163" s="210"/>
      <c r="DD163" s="65">
        <v>0</v>
      </c>
      <c r="DE163" s="52"/>
      <c r="DF163" s="68">
        <v>0</v>
      </c>
      <c r="DG163" s="52"/>
      <c r="DH163" s="222">
        <f t="shared" ref="DH163:DH168" si="414">DD163-DF163</f>
        <v>0</v>
      </c>
      <c r="DI163" s="216"/>
      <c r="DJ163" s="210"/>
      <c r="DK163" s="65">
        <v>0</v>
      </c>
      <c r="DL163" s="52"/>
      <c r="DM163" s="68">
        <v>0</v>
      </c>
      <c r="DN163" s="52"/>
      <c r="DO163" s="222">
        <f t="shared" ref="DO163:DO168" si="415">DK163-DM163</f>
        <v>0</v>
      </c>
      <c r="DP163" s="216"/>
      <c r="DQ163" s="210"/>
      <c r="DR163" s="208">
        <f>CP163+CW163+DD163+DK163</f>
        <v>0</v>
      </c>
      <c r="DS163" s="52"/>
      <c r="DT163" s="208">
        <f>CR163+CY163+DF163+DM163</f>
        <v>0</v>
      </c>
      <c r="DU163" s="52"/>
      <c r="DV163" s="222">
        <f t="shared" ref="DV163:DV168" si="416">DR163-DT163</f>
        <v>0</v>
      </c>
      <c r="DW163" s="216"/>
      <c r="DX163" s="210"/>
      <c r="DY163" s="208">
        <f t="shared" ref="DY163:DY168" si="417">X163+AZ163+CI163+DR163</f>
        <v>0</v>
      </c>
      <c r="DZ163" s="52"/>
      <c r="EA163" s="208">
        <f>Z163+BB163+CK163+DT163</f>
        <v>0</v>
      </c>
      <c r="EB163" s="33"/>
      <c r="EC163" s="212">
        <f>EA163-DY163</f>
        <v>0</v>
      </c>
      <c r="ED163" s="212"/>
      <c r="EE163" s="210"/>
      <c r="EF163" s="210"/>
    </row>
    <row r="164" spans="1:136">
      <c r="A164" s="14" t="s">
        <v>162</v>
      </c>
      <c r="B164" s="14"/>
      <c r="C164" s="65"/>
      <c r="D164" s="33"/>
      <c r="E164" s="72">
        <v>0</v>
      </c>
      <c r="F164" s="33"/>
      <c r="G164" s="212">
        <f t="shared" ref="G164" si="418">E164-C164</f>
        <v>0</v>
      </c>
      <c r="H164" s="212"/>
      <c r="I164" s="210"/>
      <c r="J164" s="22">
        <v>0</v>
      </c>
      <c r="K164" s="33"/>
      <c r="L164" s="72">
        <v>0</v>
      </c>
      <c r="M164" s="33"/>
      <c r="N164" s="212"/>
      <c r="O164" s="212"/>
      <c r="P164" s="210"/>
      <c r="Q164" s="65">
        <v>118.3</v>
      </c>
      <c r="R164" s="23"/>
      <c r="S164" s="68"/>
      <c r="T164" s="33"/>
      <c r="U164" s="212">
        <f t="shared" ref="U164:U168" si="419">S164-Q164</f>
        <v>-118.3</v>
      </c>
      <c r="V164" s="212"/>
      <c r="W164" s="210"/>
      <c r="X164" s="208">
        <f t="shared" si="405"/>
        <v>118.3</v>
      </c>
      <c r="Y164" s="33"/>
      <c r="Z164" s="220">
        <f t="shared" ref="Z164:Z165" si="420">+E164+L164+S164</f>
        <v>0</v>
      </c>
      <c r="AA164" s="23"/>
      <c r="AB164" s="212">
        <f t="shared" ref="AB164:AB168" si="421">Z164-X164</f>
        <v>-118.3</v>
      </c>
      <c r="AC164" s="212"/>
      <c r="AD164" s="210"/>
      <c r="AE164" s="208">
        <v>0</v>
      </c>
      <c r="AF164" s="23"/>
      <c r="AG164" s="68"/>
      <c r="AH164" s="23"/>
      <c r="AI164" s="220">
        <f t="shared" ref="AI164:AI167" si="422">AG164-AE164</f>
        <v>0</v>
      </c>
      <c r="AJ164" s="221"/>
      <c r="AK164" s="210"/>
      <c r="AL164" s="65">
        <v>-446.58</v>
      </c>
      <c r="AM164" s="23"/>
      <c r="AN164" s="68">
        <v>0</v>
      </c>
      <c r="AO164" s="23"/>
      <c r="AP164" s="220">
        <f t="shared" ref="AP164:AP166" si="423">AN164-AL164</f>
        <v>446.58</v>
      </c>
      <c r="AQ164" s="221"/>
      <c r="AR164" s="210"/>
      <c r="AS164" s="65">
        <v>0</v>
      </c>
      <c r="AT164" s="23"/>
      <c r="AU164" s="68"/>
      <c r="AV164" s="23"/>
      <c r="AW164" s="220">
        <f t="shared" ref="AW164:AW168" si="424">AU164-AS164</f>
        <v>0</v>
      </c>
      <c r="AX164" s="221"/>
      <c r="AY164" s="210"/>
      <c r="AZ164" s="208">
        <f t="shared" si="406"/>
        <v>-446.58</v>
      </c>
      <c r="BA164" s="23"/>
      <c r="BB164" s="218">
        <f t="shared" ref="BB164:BB168" si="425">AG164+AN164+AU164</f>
        <v>0</v>
      </c>
      <c r="BC164" s="23"/>
      <c r="BD164" s="220">
        <f t="shared" ref="BD164:BD168" si="426">BB164-AZ164</f>
        <v>446.58</v>
      </c>
      <c r="BE164" s="212"/>
      <c r="BF164" s="210"/>
      <c r="BG164" s="65">
        <v>0</v>
      </c>
      <c r="BH164" s="23"/>
      <c r="BI164" s="68"/>
      <c r="BJ164" s="23"/>
      <c r="BK164" s="220">
        <f t="shared" si="407"/>
        <v>0</v>
      </c>
      <c r="BL164" s="212"/>
      <c r="BM164" s="210"/>
      <c r="BN164" s="65">
        <v>1054.7</v>
      </c>
      <c r="BO164" s="52"/>
      <c r="BP164" s="68"/>
      <c r="BQ164" s="52"/>
      <c r="BR164" s="222">
        <f t="shared" si="408"/>
        <v>1054.7</v>
      </c>
      <c r="BS164" s="216"/>
      <c r="BT164" s="210"/>
      <c r="BU164" s="65">
        <v>0</v>
      </c>
      <c r="BV164" s="52"/>
      <c r="BW164" s="68"/>
      <c r="BX164" s="52"/>
      <c r="BY164" s="222">
        <f t="shared" si="409"/>
        <v>0</v>
      </c>
      <c r="BZ164" s="216"/>
      <c r="CA164" s="210"/>
      <c r="CB164" s="65">
        <v>0</v>
      </c>
      <c r="CC164" s="52"/>
      <c r="CD164" s="68"/>
      <c r="CE164" s="52"/>
      <c r="CF164" s="222">
        <f t="shared" si="410"/>
        <v>0</v>
      </c>
      <c r="CG164" s="216"/>
      <c r="CH164" s="210"/>
      <c r="CI164" s="208">
        <f t="shared" ref="CI164:CI168" si="427">BG164+BN164+BU164+CB164</f>
        <v>1054.7</v>
      </c>
      <c r="CJ164" s="52"/>
      <c r="CK164" s="208">
        <f t="shared" ref="CK164:CK168" si="428">BI164+BP164+BW164+CD164</f>
        <v>0</v>
      </c>
      <c r="CL164" s="52"/>
      <c r="CM164" s="222">
        <f t="shared" si="411"/>
        <v>1054.7</v>
      </c>
      <c r="CN164" s="216"/>
      <c r="CO164" s="210"/>
      <c r="CP164" s="65">
        <v>-384</v>
      </c>
      <c r="CQ164" s="51"/>
      <c r="CR164" s="68"/>
      <c r="CS164" s="51"/>
      <c r="CT164" s="222">
        <f t="shared" si="412"/>
        <v>384</v>
      </c>
      <c r="CU164" s="223"/>
      <c r="CV164" s="210"/>
      <c r="CW164" s="65">
        <v>0</v>
      </c>
      <c r="CX164" s="52"/>
      <c r="CY164" s="68">
        <v>0</v>
      </c>
      <c r="CZ164" s="52"/>
      <c r="DA164" s="222">
        <f t="shared" si="413"/>
        <v>0</v>
      </c>
      <c r="DB164" s="216"/>
      <c r="DC164" s="210"/>
      <c r="DD164" s="65">
        <v>0</v>
      </c>
      <c r="DE164" s="52"/>
      <c r="DF164" s="68">
        <v>0</v>
      </c>
      <c r="DG164" s="52"/>
      <c r="DH164" s="222">
        <f t="shared" si="414"/>
        <v>0</v>
      </c>
      <c r="DI164" s="216"/>
      <c r="DJ164" s="210"/>
      <c r="DK164" s="65">
        <v>4340</v>
      </c>
      <c r="DL164" s="52"/>
      <c r="DM164" s="68">
        <v>0</v>
      </c>
      <c r="DN164" s="52"/>
      <c r="DO164" s="222">
        <f t="shared" si="415"/>
        <v>4340</v>
      </c>
      <c r="DP164" s="216"/>
      <c r="DQ164" s="210"/>
      <c r="DR164" s="208">
        <f t="shared" ref="DR164:DR168" si="429">CP164+CW164+DD164+DK164</f>
        <v>3956</v>
      </c>
      <c r="DS164" s="52"/>
      <c r="DT164" s="208">
        <f t="shared" ref="DT164:DT168" si="430">CR164+CY164+DF164+DM164</f>
        <v>0</v>
      </c>
      <c r="DU164" s="52"/>
      <c r="DV164" s="222">
        <f t="shared" si="416"/>
        <v>3956</v>
      </c>
      <c r="DW164" s="216"/>
      <c r="DX164" s="210"/>
      <c r="DY164" s="208">
        <f t="shared" si="417"/>
        <v>4682.42</v>
      </c>
      <c r="DZ164" s="52"/>
      <c r="EA164" s="208">
        <f t="shared" ref="EA164:EA168" si="431">Z164+BB164+CK164+DT164</f>
        <v>0</v>
      </c>
      <c r="EB164" s="33"/>
      <c r="EC164" s="212"/>
      <c r="ED164" s="212"/>
      <c r="EE164" s="210"/>
      <c r="EF164" s="210"/>
    </row>
    <row r="165" spans="1:136">
      <c r="A165" s="14" t="s">
        <v>163</v>
      </c>
      <c r="B165" s="14"/>
      <c r="C165" s="65"/>
      <c r="D165" s="33"/>
      <c r="E165" s="68">
        <v>0</v>
      </c>
      <c r="F165" s="33"/>
      <c r="G165" s="212">
        <f t="shared" ref="G165:G168" si="432">E165-C165</f>
        <v>0</v>
      </c>
      <c r="H165" s="212"/>
      <c r="I165" s="210"/>
      <c r="J165" s="22">
        <v>375</v>
      </c>
      <c r="K165" s="33"/>
      <c r="L165" s="68">
        <v>0</v>
      </c>
      <c r="M165" s="33"/>
      <c r="N165" s="212"/>
      <c r="O165" s="212"/>
      <c r="P165" s="210"/>
      <c r="Q165" s="65">
        <v>270</v>
      </c>
      <c r="R165" s="23"/>
      <c r="S165" s="68">
        <v>0</v>
      </c>
      <c r="T165" s="33"/>
      <c r="U165" s="212">
        <f t="shared" si="419"/>
        <v>-270</v>
      </c>
      <c r="V165" s="212"/>
      <c r="W165" s="210"/>
      <c r="X165" s="208">
        <f t="shared" si="405"/>
        <v>645</v>
      </c>
      <c r="Y165" s="33"/>
      <c r="Z165" s="220">
        <f t="shared" si="420"/>
        <v>0</v>
      </c>
      <c r="AA165" s="23"/>
      <c r="AB165" s="212">
        <f t="shared" si="421"/>
        <v>-645</v>
      </c>
      <c r="AC165" s="212"/>
      <c r="AD165" s="210"/>
      <c r="AE165" s="208">
        <v>0</v>
      </c>
      <c r="AF165" s="23"/>
      <c r="AG165" s="68">
        <v>0</v>
      </c>
      <c r="AH165" s="23"/>
      <c r="AI165" s="220">
        <f t="shared" si="422"/>
        <v>0</v>
      </c>
      <c r="AJ165" s="221"/>
      <c r="AK165" s="210"/>
      <c r="AL165" s="65">
        <v>0</v>
      </c>
      <c r="AM165" s="23"/>
      <c r="AN165" s="68">
        <v>0</v>
      </c>
      <c r="AO165" s="23"/>
      <c r="AP165" s="220">
        <f t="shared" si="423"/>
        <v>0</v>
      </c>
      <c r="AQ165" s="221"/>
      <c r="AR165" s="210"/>
      <c r="AS165" s="65">
        <v>0</v>
      </c>
      <c r="AT165" s="23"/>
      <c r="AU165" s="68">
        <v>0</v>
      </c>
      <c r="AV165" s="23"/>
      <c r="AW165" s="220">
        <f t="shared" si="424"/>
        <v>0</v>
      </c>
      <c r="AX165" s="221"/>
      <c r="AY165" s="210"/>
      <c r="AZ165" s="208">
        <f t="shared" si="406"/>
        <v>0</v>
      </c>
      <c r="BA165" s="23"/>
      <c r="BB165" s="218">
        <f t="shared" si="425"/>
        <v>0</v>
      </c>
      <c r="BC165" s="23"/>
      <c r="BD165" s="220">
        <f t="shared" si="426"/>
        <v>0</v>
      </c>
      <c r="BE165" s="212"/>
      <c r="BF165" s="210"/>
      <c r="BG165" s="65">
        <v>0</v>
      </c>
      <c r="BH165" s="23"/>
      <c r="BI165" s="68">
        <v>0</v>
      </c>
      <c r="BJ165" s="23"/>
      <c r="BK165" s="220">
        <f t="shared" si="407"/>
        <v>0</v>
      </c>
      <c r="BL165" s="212"/>
      <c r="BM165" s="210"/>
      <c r="BN165" s="65">
        <v>8014.93</v>
      </c>
      <c r="BO165" s="52"/>
      <c r="BP165" s="68">
        <v>0</v>
      </c>
      <c r="BQ165" s="52"/>
      <c r="BR165" s="222">
        <f t="shared" si="408"/>
        <v>8014.93</v>
      </c>
      <c r="BS165" s="216"/>
      <c r="BT165" s="210"/>
      <c r="BU165" s="65">
        <v>9180.93</v>
      </c>
      <c r="BV165" s="52"/>
      <c r="BW165" s="68">
        <v>0</v>
      </c>
      <c r="BX165" s="52"/>
      <c r="BY165" s="222">
        <f t="shared" si="409"/>
        <v>9180.93</v>
      </c>
      <c r="BZ165" s="216"/>
      <c r="CA165" s="210"/>
      <c r="CB165" s="65">
        <v>287.77</v>
      </c>
      <c r="CC165" s="52"/>
      <c r="CD165" s="68">
        <v>0</v>
      </c>
      <c r="CE165" s="52"/>
      <c r="CF165" s="222">
        <f t="shared" si="410"/>
        <v>287.77</v>
      </c>
      <c r="CG165" s="216"/>
      <c r="CH165" s="210"/>
      <c r="CI165" s="208">
        <f t="shared" si="427"/>
        <v>17483.63</v>
      </c>
      <c r="CJ165" s="52"/>
      <c r="CK165" s="208">
        <f t="shared" si="428"/>
        <v>0</v>
      </c>
      <c r="CL165" s="52"/>
      <c r="CM165" s="222">
        <f t="shared" si="411"/>
        <v>17483.63</v>
      </c>
      <c r="CN165" s="216"/>
      <c r="CO165" s="210"/>
      <c r="CP165" s="65">
        <v>1662.18</v>
      </c>
      <c r="CQ165" s="51"/>
      <c r="CR165" s="68">
        <v>0</v>
      </c>
      <c r="CS165" s="51"/>
      <c r="CT165" s="222">
        <f t="shared" si="412"/>
        <v>-1662.18</v>
      </c>
      <c r="CU165" s="223"/>
      <c r="CV165" s="210"/>
      <c r="CW165" s="65">
        <v>2754.43</v>
      </c>
      <c r="CX165" s="52"/>
      <c r="CY165" s="68">
        <v>0</v>
      </c>
      <c r="CZ165" s="52"/>
      <c r="DA165" s="222">
        <f t="shared" si="413"/>
        <v>2754.43</v>
      </c>
      <c r="DB165" s="216"/>
      <c r="DC165" s="210"/>
      <c r="DD165" s="65">
        <v>2233.89</v>
      </c>
      <c r="DE165" s="52"/>
      <c r="DF165" s="68">
        <v>0</v>
      </c>
      <c r="DG165" s="52"/>
      <c r="DH165" s="222">
        <f t="shared" si="414"/>
        <v>2233.89</v>
      </c>
      <c r="DI165" s="216"/>
      <c r="DJ165" s="210"/>
      <c r="DK165" s="65">
        <v>-15949.79</v>
      </c>
      <c r="DL165" s="52"/>
      <c r="DM165" s="68">
        <v>0</v>
      </c>
      <c r="DN165" s="52"/>
      <c r="DO165" s="222">
        <f t="shared" si="415"/>
        <v>-15949.79</v>
      </c>
      <c r="DP165" s="216"/>
      <c r="DQ165" s="210"/>
      <c r="DR165" s="208">
        <f t="shared" si="429"/>
        <v>-9299.2900000000009</v>
      </c>
      <c r="DS165" s="52"/>
      <c r="DT165" s="208">
        <f t="shared" si="430"/>
        <v>0</v>
      </c>
      <c r="DU165" s="52"/>
      <c r="DV165" s="222">
        <f t="shared" si="416"/>
        <v>-9299.2900000000009</v>
      </c>
      <c r="DW165" s="216"/>
      <c r="DX165" s="210"/>
      <c r="DY165" s="208">
        <f t="shared" si="417"/>
        <v>8829.34</v>
      </c>
      <c r="DZ165" s="52"/>
      <c r="EA165" s="208">
        <f t="shared" si="431"/>
        <v>0</v>
      </c>
      <c r="EB165" s="33"/>
      <c r="EC165" s="212"/>
      <c r="ED165" s="212"/>
      <c r="EE165" s="210"/>
      <c r="EF165" s="210"/>
    </row>
    <row r="166" spans="1:136">
      <c r="A166" s="14" t="s">
        <v>164</v>
      </c>
      <c r="B166" s="14"/>
      <c r="C166" s="65"/>
      <c r="D166" s="33"/>
      <c r="E166" s="68">
        <v>0</v>
      </c>
      <c r="F166" s="33"/>
      <c r="G166" s="212">
        <f t="shared" si="432"/>
        <v>0</v>
      </c>
      <c r="H166" s="212"/>
      <c r="I166" s="210"/>
      <c r="J166" s="22">
        <v>0</v>
      </c>
      <c r="K166" s="33"/>
      <c r="L166" s="68">
        <v>0</v>
      </c>
      <c r="M166" s="33"/>
      <c r="N166" s="212"/>
      <c r="O166" s="212"/>
      <c r="P166" s="210"/>
      <c r="Q166" s="65">
        <v>0</v>
      </c>
      <c r="R166" s="23"/>
      <c r="S166" s="68">
        <v>0</v>
      </c>
      <c r="T166" s="33"/>
      <c r="U166" s="212">
        <f t="shared" si="419"/>
        <v>0</v>
      </c>
      <c r="V166" s="212"/>
      <c r="W166" s="210"/>
      <c r="X166" s="208">
        <f t="shared" si="405"/>
        <v>0</v>
      </c>
      <c r="Y166" s="33"/>
      <c r="Z166" s="220">
        <f t="shared" ref="Z166:Z168" si="433">+E166+L166+S166</f>
        <v>0</v>
      </c>
      <c r="AA166" s="23"/>
      <c r="AB166" s="212">
        <f t="shared" si="421"/>
        <v>0</v>
      </c>
      <c r="AC166" s="212"/>
      <c r="AD166" s="210"/>
      <c r="AE166" s="208">
        <v>0</v>
      </c>
      <c r="AF166" s="23"/>
      <c r="AG166" s="68">
        <v>0</v>
      </c>
      <c r="AH166" s="23"/>
      <c r="AI166" s="220">
        <f t="shared" si="422"/>
        <v>0</v>
      </c>
      <c r="AJ166" s="221"/>
      <c r="AK166" s="210"/>
      <c r="AL166" s="65">
        <v>0</v>
      </c>
      <c r="AM166" s="23"/>
      <c r="AN166" s="68">
        <v>0</v>
      </c>
      <c r="AO166" s="23"/>
      <c r="AP166" s="220">
        <f t="shared" si="423"/>
        <v>0</v>
      </c>
      <c r="AQ166" s="221"/>
      <c r="AR166" s="210"/>
      <c r="AS166" s="65">
        <v>0</v>
      </c>
      <c r="AT166" s="23"/>
      <c r="AU166" s="68">
        <v>0</v>
      </c>
      <c r="AV166" s="23"/>
      <c r="AW166" s="220">
        <f t="shared" si="424"/>
        <v>0</v>
      </c>
      <c r="AX166" s="221"/>
      <c r="AY166" s="210"/>
      <c r="AZ166" s="208">
        <f t="shared" si="406"/>
        <v>0</v>
      </c>
      <c r="BA166" s="23"/>
      <c r="BB166" s="218">
        <f t="shared" si="425"/>
        <v>0</v>
      </c>
      <c r="BC166" s="23"/>
      <c r="BD166" s="220">
        <f t="shared" si="426"/>
        <v>0</v>
      </c>
      <c r="BE166" s="212"/>
      <c r="BF166" s="210"/>
      <c r="BG166" s="65">
        <v>0</v>
      </c>
      <c r="BH166" s="23"/>
      <c r="BI166" s="68">
        <v>0</v>
      </c>
      <c r="BJ166" s="23"/>
      <c r="BK166" s="220">
        <f t="shared" si="407"/>
        <v>0</v>
      </c>
      <c r="BL166" s="212"/>
      <c r="BM166" s="210"/>
      <c r="BN166" s="65">
        <v>0</v>
      </c>
      <c r="BO166" s="52"/>
      <c r="BP166" s="68">
        <v>0</v>
      </c>
      <c r="BQ166" s="52"/>
      <c r="BR166" s="222">
        <f t="shared" si="408"/>
        <v>0</v>
      </c>
      <c r="BS166" s="216"/>
      <c r="BT166" s="210"/>
      <c r="BU166" s="65">
        <v>0</v>
      </c>
      <c r="BV166" s="52"/>
      <c r="BW166" s="68">
        <v>0</v>
      </c>
      <c r="BX166" s="52"/>
      <c r="BY166" s="222">
        <f t="shared" si="409"/>
        <v>0</v>
      </c>
      <c r="BZ166" s="216"/>
      <c r="CA166" s="210"/>
      <c r="CB166" s="65">
        <v>0</v>
      </c>
      <c r="CC166" s="52"/>
      <c r="CD166" s="68">
        <v>0</v>
      </c>
      <c r="CE166" s="52"/>
      <c r="CF166" s="222">
        <f t="shared" si="410"/>
        <v>0</v>
      </c>
      <c r="CG166" s="216"/>
      <c r="CH166" s="210"/>
      <c r="CI166" s="208">
        <f t="shared" si="427"/>
        <v>0</v>
      </c>
      <c r="CJ166" s="52"/>
      <c r="CK166" s="208">
        <f t="shared" si="428"/>
        <v>0</v>
      </c>
      <c r="CL166" s="52"/>
      <c r="CM166" s="222">
        <f t="shared" si="411"/>
        <v>0</v>
      </c>
      <c r="CN166" s="216"/>
      <c r="CO166" s="210"/>
      <c r="CP166" s="65"/>
      <c r="CQ166" s="51"/>
      <c r="CR166" s="68">
        <v>0</v>
      </c>
      <c r="CS166" s="51"/>
      <c r="CT166" s="222">
        <f t="shared" si="412"/>
        <v>0</v>
      </c>
      <c r="CU166" s="223"/>
      <c r="CV166" s="210"/>
      <c r="CW166" s="65">
        <v>0</v>
      </c>
      <c r="CX166" s="52"/>
      <c r="CY166" s="68">
        <v>0</v>
      </c>
      <c r="CZ166" s="52"/>
      <c r="DA166" s="222">
        <f t="shared" si="413"/>
        <v>0</v>
      </c>
      <c r="DB166" s="216"/>
      <c r="DC166" s="210"/>
      <c r="DD166" s="65">
        <v>0</v>
      </c>
      <c r="DE166" s="52"/>
      <c r="DF166" s="68">
        <v>0</v>
      </c>
      <c r="DG166" s="52"/>
      <c r="DH166" s="222">
        <f t="shared" si="414"/>
        <v>0</v>
      </c>
      <c r="DI166" s="216"/>
      <c r="DJ166" s="210"/>
      <c r="DK166" s="65">
        <v>0</v>
      </c>
      <c r="DL166" s="52"/>
      <c r="DM166" s="68">
        <v>0</v>
      </c>
      <c r="DN166" s="52"/>
      <c r="DO166" s="222">
        <f t="shared" si="415"/>
        <v>0</v>
      </c>
      <c r="DP166" s="216"/>
      <c r="DQ166" s="210"/>
      <c r="DR166" s="208">
        <f t="shared" si="429"/>
        <v>0</v>
      </c>
      <c r="DS166" s="52"/>
      <c r="DT166" s="208">
        <f t="shared" si="430"/>
        <v>0</v>
      </c>
      <c r="DU166" s="52"/>
      <c r="DV166" s="222">
        <f t="shared" si="416"/>
        <v>0</v>
      </c>
      <c r="DW166" s="216"/>
      <c r="DX166" s="210"/>
      <c r="DY166" s="208">
        <f t="shared" si="417"/>
        <v>0</v>
      </c>
      <c r="DZ166" s="52"/>
      <c r="EA166" s="208">
        <f t="shared" si="431"/>
        <v>0</v>
      </c>
      <c r="EB166" s="33"/>
      <c r="EC166" s="212"/>
      <c r="ED166" s="212"/>
      <c r="EE166" s="210"/>
      <c r="EF166" s="210"/>
    </row>
    <row r="167" spans="1:136">
      <c r="A167" s="14" t="s">
        <v>165</v>
      </c>
      <c r="B167" s="14"/>
      <c r="C167" s="65"/>
      <c r="D167" s="33"/>
      <c r="E167" s="68">
        <v>8284.9230769230762</v>
      </c>
      <c r="F167" s="33"/>
      <c r="G167" s="212">
        <f t="shared" si="432"/>
        <v>8284.9230769230762</v>
      </c>
      <c r="H167" s="212"/>
      <c r="I167" s="210"/>
      <c r="J167" s="22">
        <v>6213.75</v>
      </c>
      <c r="K167" s="33"/>
      <c r="L167" s="68">
        <v>8284.9230769230762</v>
      </c>
      <c r="M167" s="33"/>
      <c r="N167" s="212"/>
      <c r="O167" s="212"/>
      <c r="P167" s="210"/>
      <c r="Q167" s="65">
        <v>8285</v>
      </c>
      <c r="R167" s="23"/>
      <c r="S167" s="68">
        <v>8284.9230769230762</v>
      </c>
      <c r="T167" s="33"/>
      <c r="U167" s="212">
        <f t="shared" si="419"/>
        <v>-7.6923076923776534E-2</v>
      </c>
      <c r="V167" s="212"/>
      <c r="W167" s="210"/>
      <c r="X167" s="208">
        <f t="shared" si="405"/>
        <v>14498.75</v>
      </c>
      <c r="Y167" s="33"/>
      <c r="Z167" s="220">
        <f t="shared" si="433"/>
        <v>24854.769230769227</v>
      </c>
      <c r="AA167" s="23"/>
      <c r="AB167" s="212">
        <f t="shared" si="421"/>
        <v>10356.019230769227</v>
      </c>
      <c r="AC167" s="212"/>
      <c r="AD167" s="210"/>
      <c r="AE167" s="208">
        <v>8285</v>
      </c>
      <c r="AF167" s="23"/>
      <c r="AG167" s="68">
        <v>8284.9230769230762</v>
      </c>
      <c r="AH167" s="23"/>
      <c r="AI167" s="220">
        <f t="shared" si="422"/>
        <v>-7.6923076923776534E-2</v>
      </c>
      <c r="AJ167" s="221"/>
      <c r="AK167" s="210"/>
      <c r="AL167" s="208">
        <v>8285</v>
      </c>
      <c r="AM167" s="23"/>
      <c r="AN167" s="68">
        <v>8284.9230769230762</v>
      </c>
      <c r="AO167" s="23"/>
      <c r="AP167" s="220">
        <f t="shared" ref="AP167:AP168" si="434">AN167-AL167</f>
        <v>-7.6923076923776534E-2</v>
      </c>
      <c r="AQ167" s="221"/>
      <c r="AR167" s="210"/>
      <c r="AS167" s="208">
        <v>8285</v>
      </c>
      <c r="AT167" s="23"/>
      <c r="AU167" s="68">
        <v>8284.9230769230762</v>
      </c>
      <c r="AV167" s="23"/>
      <c r="AW167" s="220">
        <f t="shared" si="424"/>
        <v>-7.6923076923776534E-2</v>
      </c>
      <c r="AX167" s="221"/>
      <c r="AY167" s="210"/>
      <c r="AZ167" s="208">
        <f t="shared" si="406"/>
        <v>24855</v>
      </c>
      <c r="BA167" s="23"/>
      <c r="BB167" s="218">
        <f t="shared" si="425"/>
        <v>24854.769230769227</v>
      </c>
      <c r="BC167" s="23"/>
      <c r="BD167" s="220">
        <f t="shared" si="426"/>
        <v>-0.23076923077314859</v>
      </c>
      <c r="BE167" s="212"/>
      <c r="BF167" s="210"/>
      <c r="BG167" s="65">
        <v>8285</v>
      </c>
      <c r="BH167" s="23"/>
      <c r="BI167" s="68">
        <v>8284.9230769230762</v>
      </c>
      <c r="BJ167" s="23"/>
      <c r="BK167" s="220">
        <f t="shared" ref="BK167:BK168" si="435">BI167-BG167</f>
        <v>-7.6923076923776534E-2</v>
      </c>
      <c r="BL167" s="212"/>
      <c r="BM167" s="210"/>
      <c r="BN167" s="65">
        <v>8285</v>
      </c>
      <c r="BO167" s="52"/>
      <c r="BP167" s="68">
        <v>8284.9230769230762</v>
      </c>
      <c r="BQ167" s="52"/>
      <c r="BR167" s="222">
        <f t="shared" si="408"/>
        <v>7.6923076923776534E-2</v>
      </c>
      <c r="BS167" s="216"/>
      <c r="BT167" s="210"/>
      <c r="BU167" s="65">
        <f>8285/2</f>
        <v>4142.5</v>
      </c>
      <c r="BV167" s="52"/>
      <c r="BW167" s="68">
        <v>4142</v>
      </c>
      <c r="BX167" s="52"/>
      <c r="BY167" s="222">
        <f t="shared" si="409"/>
        <v>0.5</v>
      </c>
      <c r="BZ167" s="216"/>
      <c r="CA167" s="210"/>
      <c r="CB167" s="65">
        <f>8285/2</f>
        <v>4142.5</v>
      </c>
      <c r="CC167" s="52"/>
      <c r="CD167" s="68">
        <v>4142</v>
      </c>
      <c r="CE167" s="52"/>
      <c r="CF167" s="222">
        <f t="shared" si="410"/>
        <v>0.5</v>
      </c>
      <c r="CG167" s="216"/>
      <c r="CH167" s="210"/>
      <c r="CI167" s="208">
        <f t="shared" si="427"/>
        <v>24855</v>
      </c>
      <c r="CJ167" s="52"/>
      <c r="CK167" s="208">
        <f>BI167+BP167+BW167+CD167</f>
        <v>24853.846153846152</v>
      </c>
      <c r="CL167" s="52"/>
      <c r="CM167" s="222">
        <f t="shared" si="411"/>
        <v>1.1538461538475531</v>
      </c>
      <c r="CN167" s="216"/>
      <c r="CO167" s="210"/>
      <c r="CP167" s="65">
        <v>8285</v>
      </c>
      <c r="CQ167" s="51"/>
      <c r="CR167" s="68">
        <v>8284.9230769230762</v>
      </c>
      <c r="CS167" s="51"/>
      <c r="CT167" s="222">
        <f t="shared" si="412"/>
        <v>-7.6923076923776534E-2</v>
      </c>
      <c r="CU167" s="223"/>
      <c r="CV167" s="210"/>
      <c r="CW167" s="65">
        <f>8285</f>
        <v>8285</v>
      </c>
      <c r="CX167" s="52"/>
      <c r="CY167" s="68">
        <v>8284.9230769230762</v>
      </c>
      <c r="CZ167" s="52"/>
      <c r="DA167" s="222">
        <f t="shared" si="413"/>
        <v>7.6923076923776534E-2</v>
      </c>
      <c r="DB167" s="216"/>
      <c r="DC167" s="210"/>
      <c r="DD167" s="65">
        <v>8285</v>
      </c>
      <c r="DE167" s="52"/>
      <c r="DF167" s="68">
        <v>8284.9230769230762</v>
      </c>
      <c r="DG167" s="52"/>
      <c r="DH167" s="222">
        <f t="shared" si="414"/>
        <v>7.6923076923776534E-2</v>
      </c>
      <c r="DI167" s="216"/>
      <c r="DJ167" s="210"/>
      <c r="DK167" s="65">
        <v>8285</v>
      </c>
      <c r="DL167" s="52"/>
      <c r="DM167" s="68">
        <v>8284.9230769230762</v>
      </c>
      <c r="DN167" s="52"/>
      <c r="DO167" s="222">
        <f t="shared" si="415"/>
        <v>7.6923076923776534E-2</v>
      </c>
      <c r="DP167" s="216"/>
      <c r="DQ167" s="210"/>
      <c r="DR167" s="208">
        <f t="shared" si="429"/>
        <v>33140</v>
      </c>
      <c r="DS167" s="52"/>
      <c r="DT167" s="208">
        <f t="shared" si="430"/>
        <v>33139.692307692305</v>
      </c>
      <c r="DU167" s="52"/>
      <c r="DV167" s="222">
        <f t="shared" si="416"/>
        <v>0.30769230769510614</v>
      </c>
      <c r="DW167" s="216"/>
      <c r="DX167" s="210"/>
      <c r="DY167" s="208">
        <f t="shared" si="417"/>
        <v>97348.75</v>
      </c>
      <c r="DZ167" s="52"/>
      <c r="EA167" s="208">
        <f t="shared" si="431"/>
        <v>107703.07692307691</v>
      </c>
      <c r="EB167" s="33"/>
      <c r="EC167" s="212"/>
      <c r="ED167" s="212"/>
      <c r="EE167" s="210"/>
      <c r="EF167" s="210"/>
    </row>
    <row r="168" spans="1:136">
      <c r="A168" s="14" t="s">
        <v>166</v>
      </c>
      <c r="B168" s="14"/>
      <c r="C168" s="68"/>
      <c r="D168" s="33"/>
      <c r="E168" s="72">
        <v>0</v>
      </c>
      <c r="F168" s="33"/>
      <c r="G168" s="212">
        <f t="shared" si="432"/>
        <v>0</v>
      </c>
      <c r="H168" s="212"/>
      <c r="I168" s="210"/>
      <c r="J168" s="22">
        <v>0</v>
      </c>
      <c r="K168" s="33"/>
      <c r="L168" s="72">
        <v>0</v>
      </c>
      <c r="M168" s="33"/>
      <c r="N168" s="212"/>
      <c r="O168" s="212"/>
      <c r="P168" s="210"/>
      <c r="Q168" s="68">
        <f>452.54+6871.02</f>
        <v>7323.56</v>
      </c>
      <c r="R168" s="23"/>
      <c r="S168" s="68"/>
      <c r="T168" s="33"/>
      <c r="U168" s="212">
        <f t="shared" si="419"/>
        <v>-7323.56</v>
      </c>
      <c r="V168" s="212"/>
      <c r="W168" s="210"/>
      <c r="X168" s="208">
        <f t="shared" si="405"/>
        <v>7323.56</v>
      </c>
      <c r="Y168" s="33"/>
      <c r="Z168" s="220">
        <f t="shared" si="433"/>
        <v>0</v>
      </c>
      <c r="AA168" s="23"/>
      <c r="AB168" s="212">
        <f t="shared" si="421"/>
        <v>-7323.56</v>
      </c>
      <c r="AC168" s="212"/>
      <c r="AD168" s="210"/>
      <c r="AE168" s="208">
        <v>0</v>
      </c>
      <c r="AF168" s="23"/>
      <c r="AG168" s="68"/>
      <c r="AH168" s="23"/>
      <c r="AI168" s="220">
        <f t="shared" ref="AI168" si="436">AG168-AE168</f>
        <v>0</v>
      </c>
      <c r="AJ168" s="221"/>
      <c r="AK168" s="210"/>
      <c r="AL168" s="65">
        <v>0</v>
      </c>
      <c r="AM168" s="23"/>
      <c r="AN168" s="68">
        <v>0</v>
      </c>
      <c r="AO168" s="23"/>
      <c r="AP168" s="220">
        <f t="shared" si="434"/>
        <v>0</v>
      </c>
      <c r="AQ168" s="221"/>
      <c r="AR168" s="210"/>
      <c r="AS168" s="68">
        <v>0</v>
      </c>
      <c r="AT168" s="23"/>
      <c r="AU168" s="68"/>
      <c r="AV168" s="23"/>
      <c r="AW168" s="220">
        <f t="shared" si="424"/>
        <v>0</v>
      </c>
      <c r="AX168" s="221"/>
      <c r="AY168" s="210"/>
      <c r="AZ168" s="208">
        <f t="shared" si="406"/>
        <v>0</v>
      </c>
      <c r="BA168" s="23"/>
      <c r="BB168" s="218">
        <f t="shared" si="425"/>
        <v>0</v>
      </c>
      <c r="BC168" s="23"/>
      <c r="BD168" s="220">
        <f t="shared" si="426"/>
        <v>0</v>
      </c>
      <c r="BE168" s="212"/>
      <c r="BF168" s="210"/>
      <c r="BG168" s="68">
        <v>0</v>
      </c>
      <c r="BH168" s="23"/>
      <c r="BI168" s="68"/>
      <c r="BJ168" s="23"/>
      <c r="BK168" s="220">
        <f t="shared" si="435"/>
        <v>0</v>
      </c>
      <c r="BL168" s="212"/>
      <c r="BM168" s="210"/>
      <c r="BN168" s="68">
        <v>0</v>
      </c>
      <c r="BO168" s="52"/>
      <c r="BP168" s="68"/>
      <c r="BQ168" s="52"/>
      <c r="BR168" s="222">
        <f t="shared" si="408"/>
        <v>0</v>
      </c>
      <c r="BS168" s="216"/>
      <c r="BT168" s="210"/>
      <c r="BU168" s="68">
        <v>3348.41</v>
      </c>
      <c r="BV168" s="52"/>
      <c r="BW168" s="68"/>
      <c r="BX168" s="52"/>
      <c r="BY168" s="222">
        <f t="shared" si="409"/>
        <v>3348.41</v>
      </c>
      <c r="BZ168" s="216"/>
      <c r="CA168" s="210"/>
      <c r="CB168" s="68">
        <v>0</v>
      </c>
      <c r="CC168" s="52"/>
      <c r="CD168" s="68"/>
      <c r="CE168" s="52"/>
      <c r="CF168" s="222">
        <f t="shared" si="410"/>
        <v>0</v>
      </c>
      <c r="CG168" s="216"/>
      <c r="CH168" s="210"/>
      <c r="CI168" s="208">
        <f t="shared" si="427"/>
        <v>3348.41</v>
      </c>
      <c r="CJ168" s="52"/>
      <c r="CK168" s="208">
        <f t="shared" si="428"/>
        <v>0</v>
      </c>
      <c r="CL168" s="52"/>
      <c r="CM168" s="222">
        <f t="shared" si="411"/>
        <v>3348.41</v>
      </c>
      <c r="CN168" s="216"/>
      <c r="CO168" s="210"/>
      <c r="CP168" s="68"/>
      <c r="CQ168" s="51"/>
      <c r="CR168" s="68">
        <v>0</v>
      </c>
      <c r="CS168" s="51"/>
      <c r="CT168" s="222">
        <f t="shared" si="412"/>
        <v>0</v>
      </c>
      <c r="CU168" s="223"/>
      <c r="CV168" s="210"/>
      <c r="CW168" s="68">
        <v>0</v>
      </c>
      <c r="CX168" s="52"/>
      <c r="CY168" s="68">
        <v>0</v>
      </c>
      <c r="CZ168" s="52"/>
      <c r="DA168" s="222">
        <f t="shared" si="413"/>
        <v>0</v>
      </c>
      <c r="DB168" s="216"/>
      <c r="DC168" s="210"/>
      <c r="DD168" s="68">
        <v>1412.13</v>
      </c>
      <c r="DE168" s="52"/>
      <c r="DF168" s="68">
        <v>0</v>
      </c>
      <c r="DG168" s="52"/>
      <c r="DH168" s="222">
        <f t="shared" si="414"/>
        <v>1412.13</v>
      </c>
      <c r="DI168" s="216"/>
      <c r="DJ168" s="210"/>
      <c r="DK168" s="68">
        <v>0</v>
      </c>
      <c r="DL168" s="52"/>
      <c r="DM168" s="68">
        <v>0</v>
      </c>
      <c r="DN168" s="52"/>
      <c r="DO168" s="222">
        <f t="shared" si="415"/>
        <v>0</v>
      </c>
      <c r="DP168" s="216"/>
      <c r="DQ168" s="210"/>
      <c r="DR168" s="208">
        <f t="shared" si="429"/>
        <v>1412.13</v>
      </c>
      <c r="DS168" s="52"/>
      <c r="DT168" s="208">
        <f t="shared" si="430"/>
        <v>0</v>
      </c>
      <c r="DU168" s="52"/>
      <c r="DV168" s="222">
        <f t="shared" si="416"/>
        <v>1412.13</v>
      </c>
      <c r="DW168" s="216"/>
      <c r="DX168" s="210"/>
      <c r="DY168" s="208">
        <f t="shared" si="417"/>
        <v>12084.100000000002</v>
      </c>
      <c r="DZ168" s="52"/>
      <c r="EA168" s="208">
        <f t="shared" si="431"/>
        <v>0</v>
      </c>
      <c r="EB168" s="33"/>
      <c r="EC168" s="212">
        <f>EA168-DY168</f>
        <v>-12084.100000000002</v>
      </c>
      <c r="ED168" s="212"/>
      <c r="EE168" s="210"/>
      <c r="EF168" s="225">
        <v>-65818</v>
      </c>
    </row>
    <row r="169" spans="1:136" ht="17.100000000000001" thickBot="1">
      <c r="A169" s="13" t="s">
        <v>167</v>
      </c>
      <c r="B169" s="7"/>
      <c r="C169" s="67">
        <f>SUM(C163:C168)</f>
        <v>0</v>
      </c>
      <c r="D169" s="31" t="e">
        <f>C169/C12</f>
        <v>#DIV/0!</v>
      </c>
      <c r="E169" s="71">
        <f>SUM(E163:E168)</f>
        <v>8284.9230769230762</v>
      </c>
      <c r="F169" s="31">
        <f>E169/E12</f>
        <v>3.283186078100956E-2</v>
      </c>
      <c r="G169" s="34">
        <f>E169-C169</f>
        <v>8284.9230769230762</v>
      </c>
      <c r="H169" s="31">
        <f>G169/E169</f>
        <v>1</v>
      </c>
      <c r="I169" s="210"/>
      <c r="J169" s="67">
        <f>SUM(J163:J168)</f>
        <v>6588.75</v>
      </c>
      <c r="K169" s="31">
        <f>J169/J12</f>
        <v>4.5900719990804181E-2</v>
      </c>
      <c r="L169" s="71">
        <f>SUM(L163:L168)</f>
        <v>8284.9230769230762</v>
      </c>
      <c r="M169" s="31">
        <f>L169/L12</f>
        <v>3.2587279267013734E-2</v>
      </c>
      <c r="N169" s="34">
        <f>L169-J169</f>
        <v>1696.1730769230762</v>
      </c>
      <c r="O169" s="31">
        <f>N169/L169</f>
        <v>0.20473009358983876</v>
      </c>
      <c r="P169" s="210"/>
      <c r="Q169" s="67">
        <f>SUM(Q163:Q168)</f>
        <v>15996.86</v>
      </c>
      <c r="R169" s="31">
        <f>Q169/Q12</f>
        <v>0.13177972978205121</v>
      </c>
      <c r="S169" s="71">
        <f>SUM(S163:S168)</f>
        <v>8284.9230769230762</v>
      </c>
      <c r="T169" s="31">
        <f>S169/S12</f>
        <v>2.8294385997868949E-2</v>
      </c>
      <c r="U169" s="34">
        <f>S169-Q169</f>
        <v>-7711.9369230769244</v>
      </c>
      <c r="V169" s="31">
        <f>U169/S169</f>
        <v>-0.93083989452573745</v>
      </c>
      <c r="W169" s="210"/>
      <c r="X169" s="67">
        <f>SUM(X163:X168)</f>
        <v>22585.61</v>
      </c>
      <c r="Y169" s="31">
        <f>X169/X12</f>
        <v>8.524982033288242E-2</v>
      </c>
      <c r="Z169" s="71">
        <f>SUM(Z163:Z168)</f>
        <v>24854.769230769227</v>
      </c>
      <c r="AA169" s="31">
        <f>Z169/Z12</f>
        <v>3.1092033108331696E-2</v>
      </c>
      <c r="AB169" s="34">
        <f>Z169-X169</f>
        <v>2269.1592307692263</v>
      </c>
      <c r="AC169" s="31">
        <f>AB169/Z169</f>
        <v>9.1296733021367038E-2</v>
      </c>
      <c r="AD169" s="210"/>
      <c r="AE169" s="67">
        <f>SUM(AE163:AE168)</f>
        <v>8285</v>
      </c>
      <c r="AF169" s="19" t="e">
        <f>AE169/AE12</f>
        <v>#DIV/0!</v>
      </c>
      <c r="AG169" s="71">
        <f>SUM(AG163:AG168)</f>
        <v>8284.9230769230762</v>
      </c>
      <c r="AH169" s="19">
        <f>AG169/AG12</f>
        <v>2.6281220863730668E-2</v>
      </c>
      <c r="AI169" s="71">
        <f>AG169-AE169</f>
        <v>-7.6923076923776534E-2</v>
      </c>
      <c r="AJ169" s="19">
        <f>AI169/AG169</f>
        <v>-9.2847062319792671E-6</v>
      </c>
      <c r="AK169" s="210"/>
      <c r="AL169" s="67">
        <f>SUM(AL163:AL168)</f>
        <v>7838.42</v>
      </c>
      <c r="AM169" s="19" t="e">
        <f>AL169/AL12</f>
        <v>#DIV/0!</v>
      </c>
      <c r="AN169" s="71">
        <f>SUM(AN163:AN168)</f>
        <v>8284.9230769230762</v>
      </c>
      <c r="AO169" s="19">
        <f>AN169/AN12</f>
        <v>2.6179447438601119E-2</v>
      </c>
      <c r="AP169" s="71">
        <f>AN169-AL169</f>
        <v>446.50307692307615</v>
      </c>
      <c r="AQ169" s="19">
        <f>AP169/AN169</f>
        <v>5.3893448711282689E-2</v>
      </c>
      <c r="AR169" s="210"/>
      <c r="AS169" s="67">
        <f>SUM(AS163:AS168)</f>
        <v>8285</v>
      </c>
      <c r="AT169" s="19" t="e">
        <f>AS169/AS12</f>
        <v>#DIV/0!</v>
      </c>
      <c r="AU169" s="71">
        <f>SUM(AU163:AU168)</f>
        <v>8284.9230769230762</v>
      </c>
      <c r="AV169" s="19">
        <f>AU169/AU12</f>
        <v>2.563333164316706E-2</v>
      </c>
      <c r="AW169" s="71">
        <f>AU169-AS169</f>
        <v>-7.6923076923776534E-2</v>
      </c>
      <c r="AX169" s="19">
        <f>AW169/AU169</f>
        <v>-9.2847062319792671E-6</v>
      </c>
      <c r="AY169" s="210"/>
      <c r="AZ169" s="67">
        <f>SUM(AZ163:AZ168)</f>
        <v>24408.42</v>
      </c>
      <c r="BA169" s="19" t="e">
        <f>AZ169/AZ12</f>
        <v>#DIV/0!</v>
      </c>
      <c r="BB169" s="71">
        <f>SUM(BB163:BB168)</f>
        <v>24854.769230769227</v>
      </c>
      <c r="BC169" s="19">
        <f>BB169/BB12</f>
        <v>2.6028202483448074E-2</v>
      </c>
      <c r="BD169" s="71">
        <f>BB169-AZ169</f>
        <v>446.3492307692286</v>
      </c>
      <c r="BE169" s="31">
        <f>BD169/BB169</f>
        <v>1.7958293099606244E-2</v>
      </c>
      <c r="BF169" s="210"/>
      <c r="BG169" s="67">
        <f>SUM(BG163:BG168)</f>
        <v>8285</v>
      </c>
      <c r="BH169" s="19" t="e">
        <f>BG169/BG12</f>
        <v>#DIV/0!</v>
      </c>
      <c r="BI169" s="67">
        <f>SUM(BI163:BI168)</f>
        <v>8284.9230769230762</v>
      </c>
      <c r="BJ169" s="19" t="e">
        <f>BI169/BI12</f>
        <v>#DIV/0!</v>
      </c>
      <c r="BK169" s="71">
        <f>BI169-BG169</f>
        <v>-7.6923076923776534E-2</v>
      </c>
      <c r="BL169" s="31">
        <f>BK169/BI169</f>
        <v>-9.2847062319792671E-6</v>
      </c>
      <c r="BM169" s="210"/>
      <c r="BN169" s="67">
        <f>SUM(BN163:BN168)</f>
        <v>17354.63</v>
      </c>
      <c r="BO169" s="40" t="e">
        <f>BN169/BN12</f>
        <v>#DIV/0!</v>
      </c>
      <c r="BP169" s="67">
        <f>SUM(BP163:BP168)</f>
        <v>8284.9230769230762</v>
      </c>
      <c r="BQ169" s="40" t="e">
        <f>BP169/BP12</f>
        <v>#DIV/0!</v>
      </c>
      <c r="BR169" s="67">
        <f>SUM(BR163:BR168)</f>
        <v>9069.7069230769248</v>
      </c>
      <c r="BS169" s="40">
        <f>BR169/BP169</f>
        <v>1.0947243370719753</v>
      </c>
      <c r="BT169" s="210"/>
      <c r="BU169" s="67">
        <f>SUM(BU163:BU168)</f>
        <v>16671.84</v>
      </c>
      <c r="BV169" s="40">
        <f>BU169/BU12</f>
        <v>1.95218322970457</v>
      </c>
      <c r="BW169" s="67">
        <f>SUM(BW163:BW168)</f>
        <v>4142</v>
      </c>
      <c r="BX169" s="40" t="e">
        <f>BW169/BW12</f>
        <v>#DIV/0!</v>
      </c>
      <c r="BY169" s="67">
        <f>SUM(BY163:BY168)</f>
        <v>12529.84</v>
      </c>
      <c r="BZ169" s="40">
        <f>BY169/BW169</f>
        <v>3.0250700144857556</v>
      </c>
      <c r="CA169" s="210"/>
      <c r="CB169" s="67">
        <f>SUM(CB163:CB168)</f>
        <v>4430.2700000000004</v>
      </c>
      <c r="CC169" s="40">
        <f>CB169/CB12</f>
        <v>6.0936524928878487E-2</v>
      </c>
      <c r="CD169" s="67">
        <f>SUM(CD163:CD168)</f>
        <v>4142</v>
      </c>
      <c r="CE169" s="40">
        <f>CD169/CD12</f>
        <v>3.4871777601912811E-2</v>
      </c>
      <c r="CF169" s="67">
        <f>SUM(CF163:CF168)</f>
        <v>288.27</v>
      </c>
      <c r="CG169" s="40">
        <f>CF169/CD169</f>
        <v>6.9596813133751809E-2</v>
      </c>
      <c r="CH169" s="210"/>
      <c r="CI169" s="67">
        <f>SUM(CI163:CI168)</f>
        <v>46741.740000000005</v>
      </c>
      <c r="CJ169" s="40">
        <f>CI169/CI12</f>
        <v>0.57533160034577691</v>
      </c>
      <c r="CK169" s="67">
        <f>SUM(CK163:CK168)</f>
        <v>24853.846153846152</v>
      </c>
      <c r="CL169" s="40">
        <f>CK169/CK12</f>
        <v>0.20924620850533054</v>
      </c>
      <c r="CM169" s="67">
        <f>SUM(CM163:CM168)</f>
        <v>21887.893846153849</v>
      </c>
      <c r="CN169" s="40">
        <f>CM169/CK169</f>
        <v>0.8806642525533892</v>
      </c>
      <c r="CO169" s="210"/>
      <c r="CP169" s="67">
        <f>SUM(CP163:CP168)</f>
        <v>9563.18</v>
      </c>
      <c r="CQ169" s="42">
        <f>CP169/CP12</f>
        <v>4.3085002952774176E-2</v>
      </c>
      <c r="CR169" s="67">
        <f>SUM(CR163:CR168)</f>
        <v>8284.9230769230762</v>
      </c>
      <c r="CS169" s="42">
        <f>CR169/CR12</f>
        <v>3.4875663325376234E-2</v>
      </c>
      <c r="CT169" s="67">
        <f>SUM(CT163:CT168)</f>
        <v>-1278.2569230769238</v>
      </c>
      <c r="CU169" s="42">
        <f>CT169/CR169</f>
        <v>-0.15428712025551522</v>
      </c>
      <c r="CV169" s="210"/>
      <c r="CW169" s="67">
        <f>SUM(CW163:CW168)</f>
        <v>11039.43</v>
      </c>
      <c r="CX169" s="40">
        <f>CW169/CW12</f>
        <v>4.2351108123703386E-2</v>
      </c>
      <c r="CY169" s="67">
        <f>SUM(CY163:CY168)</f>
        <v>8284.9230769230762</v>
      </c>
      <c r="CZ169" s="40">
        <f>CY169/CY12</f>
        <v>3.4875663325376234E-2</v>
      </c>
      <c r="DA169" s="67">
        <f>SUM(DA163:DA168)</f>
        <v>2754.5069230769236</v>
      </c>
      <c r="DB169" s="40">
        <f>DA169/CY169</f>
        <v>0.33247223872836673</v>
      </c>
      <c r="DC169" s="210"/>
      <c r="DD169" s="67">
        <f>SUM(DD163:DD168)</f>
        <v>11931.02</v>
      </c>
      <c r="DE169" s="40">
        <f>DD169/DD12</f>
        <v>5.2437945019669363E-2</v>
      </c>
      <c r="DF169" s="67">
        <f>SUM(DF163:DF168)</f>
        <v>8284.9230769230762</v>
      </c>
      <c r="DG169" s="40">
        <f>DF169/DF12</f>
        <v>3.0516382041846972E-2</v>
      </c>
      <c r="DH169" s="67">
        <f>SUM(DH163:DH168)</f>
        <v>3646.0969230769238</v>
      </c>
      <c r="DI169" s="40">
        <f>DH169/DF169</f>
        <v>0.44008820470920312</v>
      </c>
      <c r="DJ169" s="210"/>
      <c r="DK169" s="67">
        <f>SUM(DK163:DK168)</f>
        <v>-3324.7900000000009</v>
      </c>
      <c r="DL169" s="40">
        <f>DK169/DK12</f>
        <v>-2.2367545326068442E-2</v>
      </c>
      <c r="DM169" s="67">
        <f>SUM(DM163:DM168)</f>
        <v>8284.9230769230762</v>
      </c>
      <c r="DN169" s="40">
        <f>DM169/DM12</f>
        <v>3.0516382041846972E-2</v>
      </c>
      <c r="DO169" s="67">
        <f>SUM(DO163:DO168)</f>
        <v>-11609.713076923077</v>
      </c>
      <c r="DP169" s="40">
        <f>DO169/DM169</f>
        <v>-1.4013060796256407</v>
      </c>
      <c r="DQ169" s="210"/>
      <c r="DR169" s="67">
        <f>SUM(DR163:DR168)</f>
        <v>29208.84</v>
      </c>
      <c r="DS169" s="40">
        <f>DR169/DR12</f>
        <v>3.4011415061472164E-2</v>
      </c>
      <c r="DT169" s="67">
        <f>SUM(DT163:DT168)</f>
        <v>33139.692307692305</v>
      </c>
      <c r="DU169" s="40">
        <f>DT169/DT12</f>
        <v>3.2550719587476504E-2</v>
      </c>
      <c r="DV169" s="67">
        <f>DT169-DR169</f>
        <v>3930.8523076923047</v>
      </c>
      <c r="DW169" s="40">
        <f>DV169/DT169</f>
        <v>0.11861462898313889</v>
      </c>
      <c r="DX169" s="210"/>
      <c r="DY169" s="67">
        <f>SUM(DY163:DY168)</f>
        <v>122944.61</v>
      </c>
      <c r="DZ169" s="40">
        <f>DY169/DY12</f>
        <v>0.10203103102590547</v>
      </c>
      <c r="EA169" s="67">
        <f>SUM(EA163:EA168)</f>
        <v>107703.07692307691</v>
      </c>
      <c r="EB169" s="40">
        <f>EA169/EA12</f>
        <v>3.7252260031112643E-2</v>
      </c>
      <c r="EC169" s="67">
        <f>EA169-DY169</f>
        <v>-15241.533076923093</v>
      </c>
      <c r="ED169" s="40">
        <f>EC169/EA169</f>
        <v>-0.14151436999157244</v>
      </c>
      <c r="EE169" s="210"/>
      <c r="EF169" s="210"/>
    </row>
    <row r="170" spans="1:136" ht="17.100000000000001" thickTop="1">
      <c r="A170" s="7"/>
      <c r="B170" s="7"/>
      <c r="C170" s="75"/>
      <c r="D170" s="212"/>
      <c r="E170" s="70"/>
      <c r="F170" s="212"/>
      <c r="G170" s="31"/>
      <c r="H170" s="212"/>
      <c r="I170" s="210"/>
      <c r="J170" s="70"/>
      <c r="K170" s="212"/>
      <c r="L170" s="70"/>
      <c r="M170" s="212"/>
      <c r="N170" s="31"/>
      <c r="O170" s="212"/>
      <c r="P170" s="210"/>
      <c r="Q170" s="75"/>
      <c r="R170" s="221"/>
      <c r="S170" s="70"/>
      <c r="T170" s="212"/>
      <c r="U170" s="31"/>
      <c r="V170" s="212"/>
      <c r="W170" s="210"/>
      <c r="X170" s="75"/>
      <c r="Y170" s="212"/>
      <c r="Z170" s="70"/>
      <c r="AA170" s="221"/>
      <c r="AB170" s="31"/>
      <c r="AC170" s="212"/>
      <c r="AD170" s="210"/>
      <c r="AE170" s="75"/>
      <c r="AF170" s="221"/>
      <c r="AG170" s="70"/>
      <c r="AH170" s="221"/>
      <c r="AI170" s="70"/>
      <c r="AJ170" s="221"/>
      <c r="AK170" s="210"/>
      <c r="AL170" s="75"/>
      <c r="AM170" s="221"/>
      <c r="AN170" s="70"/>
      <c r="AO170" s="221"/>
      <c r="AP170" s="70"/>
      <c r="AQ170" s="221"/>
      <c r="AR170" s="210"/>
      <c r="AS170" s="75"/>
      <c r="AT170" s="221"/>
      <c r="AU170" s="70"/>
      <c r="AV170" s="221"/>
      <c r="AW170" s="70"/>
      <c r="AX170" s="221"/>
      <c r="AY170" s="210"/>
      <c r="AZ170" s="75"/>
      <c r="BA170" s="221"/>
      <c r="BB170" s="70"/>
      <c r="BC170" s="221"/>
      <c r="BD170" s="70"/>
      <c r="BE170" s="212"/>
      <c r="BF170" s="210"/>
      <c r="BG170" s="75"/>
      <c r="BH170" s="221"/>
      <c r="BI170" s="75"/>
      <c r="BJ170" s="221"/>
      <c r="BK170" s="70"/>
      <c r="BL170" s="212"/>
      <c r="BM170" s="210"/>
      <c r="BN170" s="75"/>
      <c r="BO170" s="216"/>
      <c r="BP170" s="75"/>
      <c r="BQ170" s="216"/>
      <c r="BR170" s="75"/>
      <c r="BS170" s="216"/>
      <c r="BT170" s="210"/>
      <c r="BU170" s="75"/>
      <c r="BV170" s="216"/>
      <c r="BW170" s="75"/>
      <c r="BX170" s="216"/>
      <c r="BY170" s="75"/>
      <c r="BZ170" s="216"/>
      <c r="CA170" s="210"/>
      <c r="CB170" s="75"/>
      <c r="CC170" s="216"/>
      <c r="CD170" s="75"/>
      <c r="CE170" s="216"/>
      <c r="CF170" s="75"/>
      <c r="CG170" s="216"/>
      <c r="CH170" s="210"/>
      <c r="CI170" s="75"/>
      <c r="CJ170" s="216"/>
      <c r="CK170" s="75"/>
      <c r="CL170" s="216"/>
      <c r="CM170" s="75"/>
      <c r="CN170" s="216"/>
      <c r="CO170" s="210"/>
      <c r="CP170" s="75"/>
      <c r="CQ170" s="223"/>
      <c r="CR170" s="75"/>
      <c r="CS170" s="223"/>
      <c r="CT170" s="75"/>
      <c r="CU170" s="223"/>
      <c r="CV170" s="210"/>
      <c r="CW170" s="75"/>
      <c r="CX170" s="216"/>
      <c r="CY170" s="75"/>
      <c r="CZ170" s="216"/>
      <c r="DA170" s="75"/>
      <c r="DB170" s="216"/>
      <c r="DC170" s="210"/>
      <c r="DD170" s="75"/>
      <c r="DE170" s="216"/>
      <c r="DF170" s="75"/>
      <c r="DG170" s="216"/>
      <c r="DH170" s="75"/>
      <c r="DI170" s="216"/>
      <c r="DJ170" s="210"/>
      <c r="DK170" s="75"/>
      <c r="DL170" s="216"/>
      <c r="DM170" s="75"/>
      <c r="DN170" s="216"/>
      <c r="DO170" s="75"/>
      <c r="DP170" s="216"/>
      <c r="DQ170" s="210"/>
      <c r="DR170" s="75"/>
      <c r="DS170" s="216"/>
      <c r="DT170" s="75"/>
      <c r="DU170" s="216"/>
      <c r="DV170" s="75"/>
      <c r="DW170" s="216"/>
      <c r="DX170" s="210"/>
      <c r="DY170" s="75"/>
      <c r="DZ170" s="216"/>
      <c r="EA170" s="75"/>
      <c r="EB170" s="216"/>
      <c r="EC170" s="75"/>
      <c r="ED170" s="216"/>
      <c r="EE170" s="210"/>
      <c r="EF170" s="210"/>
    </row>
    <row r="171" spans="1:136" ht="17.100000000000001" thickBot="1">
      <c r="A171" s="13" t="s">
        <v>168</v>
      </c>
      <c r="B171" s="7"/>
      <c r="C171" s="69">
        <f>C158-C169</f>
        <v>0</v>
      </c>
      <c r="D171" s="38" t="e">
        <f>C171/C12</f>
        <v>#DIV/0!</v>
      </c>
      <c r="E171" s="69">
        <f>E158-E169</f>
        <v>-233.50803687904954</v>
      </c>
      <c r="F171" s="38">
        <f>E171/E12</f>
        <v>-9.2535600957046552E-4</v>
      </c>
      <c r="G171" s="39">
        <f>C171-E171</f>
        <v>233.50803687904954</v>
      </c>
      <c r="H171" s="40">
        <f>G171/E171</f>
        <v>-1</v>
      </c>
      <c r="I171" s="210"/>
      <c r="J171" s="69">
        <f>J158-J169</f>
        <v>-40853.830000000016</v>
      </c>
      <c r="K171" s="38">
        <f>J171/J12</f>
        <v>-0.28460940411791558</v>
      </c>
      <c r="L171" s="69">
        <f>L158-L169</f>
        <v>-1106.5539851274934</v>
      </c>
      <c r="M171" s="38">
        <f>L171/L12</f>
        <v>-4.3524343439973979E-3</v>
      </c>
      <c r="N171" s="39">
        <f>J171-L171</f>
        <v>-39747.276014872521</v>
      </c>
      <c r="O171" s="40">
        <f>N171/L171</f>
        <v>35.919870651672703</v>
      </c>
      <c r="P171" s="210"/>
      <c r="Q171" s="69">
        <f>Q158-Q169</f>
        <v>-83157.849999999991</v>
      </c>
      <c r="R171" s="41">
        <f>Q171/Q12</f>
        <v>-0.68504187710940434</v>
      </c>
      <c r="S171" s="69">
        <f>S158-S169</f>
        <v>22374.360139429933</v>
      </c>
      <c r="T171" s="38">
        <f>S171/S12</f>
        <v>7.6412149679907199E-2</v>
      </c>
      <c r="U171" s="39">
        <f>Q171-S171</f>
        <v>-105532.21013942992</v>
      </c>
      <c r="V171" s="40">
        <f>U171/S171</f>
        <v>-4.7166582410306521</v>
      </c>
      <c r="W171" s="210"/>
      <c r="X171" s="69">
        <f>X158-X169</f>
        <v>-124011.68000000004</v>
      </c>
      <c r="Y171" s="41">
        <f>X171/X12</f>
        <v>-0.46808447676103992</v>
      </c>
      <c r="Z171" s="69">
        <f>Z158-Z169</f>
        <v>26999.298117423568</v>
      </c>
      <c r="AA171" s="38">
        <f>Z171/Z12</f>
        <v>3.3774728028028882E-2</v>
      </c>
      <c r="AB171" s="39">
        <f>X171-Z171</f>
        <v>-151010.9781174236</v>
      </c>
      <c r="AC171" s="40">
        <f>AB171/Z171</f>
        <v>-5.5931445869687648</v>
      </c>
      <c r="AD171" s="210"/>
      <c r="AE171" s="69">
        <f>AE158-AE169</f>
        <v>-55544.170000000006</v>
      </c>
      <c r="AF171" s="41" t="e">
        <f>AE171/AE12</f>
        <v>#DIV/0!</v>
      </c>
      <c r="AG171" s="69">
        <f>AG158-AG169</f>
        <v>23449.231442137956</v>
      </c>
      <c r="AH171" s="41">
        <f>AG171/AG12</f>
        <v>7.4385051604419036E-2</v>
      </c>
      <c r="AI171" s="67">
        <f>AE171-AG171</f>
        <v>-78993.401442137954</v>
      </c>
      <c r="AJ171" s="42">
        <f>AI171/AG171</f>
        <v>-3.3686989544650006</v>
      </c>
      <c r="AK171" s="210"/>
      <c r="AL171" s="69">
        <f>AL158-AL169+AL160</f>
        <v>-53199.38</v>
      </c>
      <c r="AM171" s="41" t="e">
        <f>AL171/AL12</f>
        <v>#DIV/0!</v>
      </c>
      <c r="AN171" s="69">
        <f>AN158-AN169+AN160</f>
        <v>18771.709579484406</v>
      </c>
      <c r="AO171" s="41">
        <f>AN171/AN12</f>
        <v>5.931654159078923E-2</v>
      </c>
      <c r="AP171" s="67">
        <f>AL171-AN171</f>
        <v>-71971.089579484396</v>
      </c>
      <c r="AQ171" s="42">
        <f>AP171/AN171</f>
        <v>-3.8340189141931735</v>
      </c>
      <c r="AR171" s="210"/>
      <c r="AS171" s="69">
        <f>AS158-AS169</f>
        <v>-52497.700000000004</v>
      </c>
      <c r="AT171" s="41" t="e">
        <f>AS171/AS12</f>
        <v>#DIV/0!</v>
      </c>
      <c r="AU171" s="69">
        <f>AU158-AU169</f>
        <v>20447.034993901543</v>
      </c>
      <c r="AV171" s="41">
        <f>AU171/AU12</f>
        <v>6.3262582434594525E-2</v>
      </c>
      <c r="AW171" s="67">
        <f>AS171-AU171</f>
        <v>-72944.73499390154</v>
      </c>
      <c r="AX171" s="42">
        <f>AW171/AU171</f>
        <v>-3.5674969508125636</v>
      </c>
      <c r="AY171" s="210"/>
      <c r="AZ171" s="69">
        <f>AZ158-AZ169</f>
        <v>-161241.25</v>
      </c>
      <c r="BA171" s="41" t="e">
        <f>AZ171/AZ12</f>
        <v>#DIV/0!</v>
      </c>
      <c r="BB171" s="69">
        <f>BB158-BB169</f>
        <v>62667.976015523913</v>
      </c>
      <c r="BC171" s="41">
        <f>BB171/BB12</f>
        <v>6.5626631002497632E-2</v>
      </c>
      <c r="BD171" s="67">
        <f>AZ171-BB171</f>
        <v>-223909.22601552392</v>
      </c>
      <c r="BE171" s="40">
        <f>BD171/BB171</f>
        <v>-3.5729449114497944</v>
      </c>
      <c r="BF171" s="210"/>
      <c r="BG171" s="69">
        <f>BG158-BG169</f>
        <v>-68262.430000000008</v>
      </c>
      <c r="BH171" s="41" t="e">
        <f>BG171/BG12</f>
        <v>#DIV/0!</v>
      </c>
      <c r="BI171" s="69">
        <f>BI158-BI169</f>
        <v>-48153.615384615383</v>
      </c>
      <c r="BJ171" s="41" t="e">
        <f>BI171/BI12</f>
        <v>#DIV/0!</v>
      </c>
      <c r="BK171" s="67">
        <f>BG171-BI171</f>
        <v>-20108.814615384625</v>
      </c>
      <c r="BL171" s="40">
        <f>BK171/BI171</f>
        <v>0.41759719295779396</v>
      </c>
      <c r="BM171" s="210"/>
      <c r="BN171" s="69">
        <f>BN158-BN169</f>
        <v>-49330.84</v>
      </c>
      <c r="BO171" s="38" t="e">
        <f>BN171/BN12</f>
        <v>#DIV/0!</v>
      </c>
      <c r="BP171" s="69">
        <f>BP158-BP169</f>
        <v>-72687.61538461539</v>
      </c>
      <c r="BQ171" s="38" t="e">
        <f>BP171/BP12</f>
        <v>#DIV/0!</v>
      </c>
      <c r="BR171" s="67">
        <f>BN171-BP171</f>
        <v>23356.775384615394</v>
      </c>
      <c r="BS171" s="40">
        <f>BR171/BP171</f>
        <v>-0.32133087955942141</v>
      </c>
      <c r="BT171" s="210"/>
      <c r="BU171" s="69">
        <f>BU158-BU169</f>
        <v>-117844.81499999997</v>
      </c>
      <c r="BV171" s="38">
        <f>BU171/BU12</f>
        <v>-13.79899708434327</v>
      </c>
      <c r="BW171" s="69">
        <f>BW158-BW169</f>
        <v>-105165.16257622378</v>
      </c>
      <c r="BX171" s="38" t="e">
        <f>BW171/BW12</f>
        <v>#DIV/0!</v>
      </c>
      <c r="BY171" s="67">
        <f>BU171-BW171</f>
        <v>-12679.652423776191</v>
      </c>
      <c r="BZ171" s="40">
        <f>BY171/BW171</f>
        <v>0.12056894234900241</v>
      </c>
      <c r="CA171" s="210"/>
      <c r="CB171" s="69">
        <f>CB158-CB169</f>
        <v>-43968.435000000012</v>
      </c>
      <c r="CC171" s="38">
        <f>CB171/CB12</f>
        <v>-0.60476757296085204</v>
      </c>
      <c r="CD171" s="69">
        <f>CD158-CD169</f>
        <v>2442.466069930073</v>
      </c>
      <c r="CE171" s="38">
        <f>CD171/CD12</f>
        <v>2.0563286719174199E-2</v>
      </c>
      <c r="CF171" s="67">
        <f>CB171-CD171</f>
        <v>-46410.901069930085</v>
      </c>
      <c r="CG171" s="40">
        <f>CF171/CD171</f>
        <v>-19.001656416565417</v>
      </c>
      <c r="CH171" s="210"/>
      <c r="CI171" s="69">
        <f>CI158-CI169</f>
        <v>-279406.52</v>
      </c>
      <c r="CJ171" s="38">
        <f>CI171/CI12</f>
        <v>-3.4391402694603226</v>
      </c>
      <c r="CK171" s="69">
        <f>CK158-CK169</f>
        <v>-223563.9272755245</v>
      </c>
      <c r="CL171" s="38">
        <f>CK171/CK12</f>
        <v>-1.8821997952105989</v>
      </c>
      <c r="CM171" s="69">
        <f>CM158-CM169</f>
        <v>-42577.95272447553</v>
      </c>
      <c r="CN171" s="40">
        <f>CM171/CK171</f>
        <v>0.19045090701060033</v>
      </c>
      <c r="CO171" s="210"/>
      <c r="CP171" s="69">
        <f>CP158-CP169</f>
        <v>-62617.640000000021</v>
      </c>
      <c r="CQ171" s="41">
        <f>CP171/CP12</f>
        <v>-0.28211130652102662</v>
      </c>
      <c r="CR171" s="69">
        <f>CR158-CR169</f>
        <v>14851.242131748253</v>
      </c>
      <c r="CS171" s="41">
        <f>CR171/CR12</f>
        <v>6.2516805013336868E-2</v>
      </c>
      <c r="CT171" s="67">
        <f>CP171-CR171</f>
        <v>-77468.88213174828</v>
      </c>
      <c r="CU171" s="42">
        <f>CT171/CR171</f>
        <v>-5.2163234189104708</v>
      </c>
      <c r="CV171" s="210"/>
      <c r="CW171" s="69">
        <f>CW158-CW169+CW160</f>
        <v>-15064.269999999997</v>
      </c>
      <c r="CX171" s="38">
        <f>CW171/CW12</f>
        <v>-5.7791799719248284E-2</v>
      </c>
      <c r="CY171" s="69">
        <f>CY158-CY169</f>
        <v>7400.2421317482531</v>
      </c>
      <c r="CZ171" s="38">
        <f>CY171/CY12</f>
        <v>3.1151569026874729E-2</v>
      </c>
      <c r="DA171" s="67">
        <f>CW171-CY171</f>
        <v>-22464.512131748248</v>
      </c>
      <c r="DB171" s="40">
        <f>DA171/CY171</f>
        <v>-3.0356455548085117</v>
      </c>
      <c r="DC171" s="210"/>
      <c r="DD171" s="69">
        <f>DD158-DD169+DD160</f>
        <v>263314.84999999998</v>
      </c>
      <c r="DE171" s="38">
        <f>DD171/DD12</f>
        <v>1.1572933099737059</v>
      </c>
      <c r="DF171" s="69">
        <f>DF158-DF169</f>
        <v>18159.395977902095</v>
      </c>
      <c r="DG171" s="38">
        <f>DF171/DF12</f>
        <v>6.6887653652983325E-2</v>
      </c>
      <c r="DH171" s="67">
        <f>DD171-DF171</f>
        <v>245155.45402209787</v>
      </c>
      <c r="DI171" s="40">
        <f>DH171/DF171</f>
        <v>13.500198702667422</v>
      </c>
      <c r="DJ171" s="210"/>
      <c r="DK171" s="69">
        <f>DK158-DK169</f>
        <v>-20338.800000000025</v>
      </c>
      <c r="DL171" s="38">
        <f>DK171/DK12</f>
        <v>-0.1368294030233011</v>
      </c>
      <c r="DM171" s="69">
        <f>DM158-DM169</f>
        <v>17888.24213174828</v>
      </c>
      <c r="DN171" s="38">
        <f>DM171/DM12</f>
        <v>6.5888895513104603E-2</v>
      </c>
      <c r="DO171" s="67">
        <f>DK171-DM171</f>
        <v>-38227.042131748305</v>
      </c>
      <c r="DP171" s="40">
        <f>DO171/DM171</f>
        <v>-2.1369926597707698</v>
      </c>
      <c r="DQ171" s="210"/>
      <c r="DR171" s="69">
        <f>DR158-DR169+DR160</f>
        <v>165294.13999999987</v>
      </c>
      <c r="DS171" s="38">
        <f>DR171/DR12</f>
        <v>0.1924721283956872</v>
      </c>
      <c r="DT171" s="69">
        <f>DT158-DT169</f>
        <v>58299.122373146885</v>
      </c>
      <c r="DU171" s="38">
        <f>DT171/DT12</f>
        <v>5.7263005550712294E-2</v>
      </c>
      <c r="DV171" s="69">
        <f>DV158-DV169</f>
        <v>-237869.89698853155</v>
      </c>
      <c r="DW171" s="40">
        <f>DV171/DT171</f>
        <v>-4.0801625703047737</v>
      </c>
      <c r="DX171" s="210"/>
      <c r="DY171" s="69">
        <f>DY158-DY169+DY160</f>
        <v>-399365.31000000017</v>
      </c>
      <c r="DZ171" s="38">
        <f>DY171/DY12</f>
        <v>-0.33143099429312411</v>
      </c>
      <c r="EA171" s="69">
        <f>EA158-EA169</f>
        <v>-65817.530769429548</v>
      </c>
      <c r="EB171" s="38">
        <f>EA171/EA12</f>
        <v>-2.2764918522984214E-2</v>
      </c>
      <c r="EC171" s="67">
        <f>DY171-EA171</f>
        <v>-333547.77923057065</v>
      </c>
      <c r="ED171" s="40">
        <f>EC171/EA171</f>
        <v>5.0677650062419923</v>
      </c>
      <c r="EE171" s="210"/>
      <c r="EF171" s="224">
        <v>-399365</v>
      </c>
    </row>
    <row r="172" spans="1:136" ht="17.100000000000001" thickTop="1">
      <c r="A172" s="7"/>
      <c r="B172" s="7"/>
      <c r="C172" s="7"/>
      <c r="D172" s="211"/>
      <c r="E172" s="7"/>
      <c r="F172" s="212"/>
      <c r="G172" s="212"/>
      <c r="H172" s="212"/>
      <c r="I172" s="210"/>
      <c r="J172" s="7"/>
      <c r="K172" s="211"/>
      <c r="L172" s="7"/>
      <c r="M172" s="212"/>
      <c r="N172" s="212"/>
      <c r="O172" s="212"/>
      <c r="P172" s="210"/>
      <c r="Q172" s="7"/>
      <c r="R172" s="210"/>
      <c r="S172" s="7"/>
      <c r="T172" s="212"/>
      <c r="U172" s="212"/>
      <c r="V172" s="212"/>
      <c r="W172" s="210"/>
      <c r="X172" s="7"/>
      <c r="Y172" s="211"/>
      <c r="Z172" s="7"/>
      <c r="AA172" s="221"/>
      <c r="AB172" s="212"/>
      <c r="AC172" s="212"/>
      <c r="AD172" s="210"/>
      <c r="AE172" s="7"/>
      <c r="AF172" s="210"/>
      <c r="AG172" s="210"/>
      <c r="AH172" s="210"/>
      <c r="AI172" s="210"/>
      <c r="AJ172" s="210"/>
      <c r="AK172" s="210"/>
      <c r="AL172" s="7"/>
      <c r="AM172" s="210"/>
      <c r="AN172" s="36"/>
      <c r="AO172" s="210"/>
      <c r="AP172" s="7"/>
      <c r="AQ172" s="210"/>
      <c r="AR172" s="210"/>
      <c r="AS172" s="7"/>
      <c r="AT172" s="210"/>
      <c r="AU172" s="7"/>
      <c r="AV172" s="210"/>
      <c r="AW172" s="210"/>
      <c r="AX172" s="210"/>
      <c r="AY172" s="210"/>
      <c r="AZ172" s="7"/>
      <c r="BA172" s="210"/>
      <c r="BB172" s="7"/>
      <c r="BC172" s="210"/>
      <c r="BD172" s="210"/>
      <c r="BE172" s="212"/>
      <c r="BF172" s="210"/>
      <c r="BG172" s="7"/>
      <c r="BH172" s="210"/>
      <c r="BI172" s="7"/>
      <c r="BJ172" s="210"/>
      <c r="BK172" s="210"/>
      <c r="BL172" s="212"/>
      <c r="BM172" s="210"/>
      <c r="BN172" s="7"/>
      <c r="BO172" s="213"/>
      <c r="BP172" s="7"/>
      <c r="BQ172" s="213"/>
      <c r="BR172" s="210"/>
      <c r="BS172" s="216"/>
      <c r="BT172" s="210"/>
      <c r="BU172" s="7"/>
      <c r="BV172" s="213"/>
      <c r="BW172" s="7"/>
      <c r="BX172" s="213"/>
      <c r="BY172" s="210"/>
      <c r="BZ172" s="213"/>
      <c r="CA172" s="210"/>
      <c r="CB172" s="7"/>
      <c r="CC172" s="213"/>
      <c r="CD172" s="7"/>
      <c r="CE172" s="213"/>
      <c r="CF172" s="210"/>
      <c r="CG172" s="213"/>
      <c r="CH172" s="210"/>
      <c r="CI172" s="7"/>
      <c r="CJ172" s="213"/>
      <c r="CK172" s="7"/>
      <c r="CL172" s="213"/>
      <c r="CM172" s="210"/>
      <c r="CN172" s="213"/>
      <c r="CO172" s="210"/>
      <c r="CP172" s="7"/>
      <c r="CQ172" s="210"/>
      <c r="CR172" s="7"/>
      <c r="CS172" s="210"/>
      <c r="CT172" s="210"/>
      <c r="CU172" s="210"/>
      <c r="CV172" s="210"/>
      <c r="CW172" s="7"/>
      <c r="CX172" s="213"/>
      <c r="CY172" s="7"/>
      <c r="CZ172" s="213"/>
      <c r="DA172" s="210"/>
      <c r="DB172" s="213"/>
      <c r="DC172" s="210"/>
      <c r="DD172" s="7"/>
      <c r="DE172" s="213"/>
      <c r="DF172" s="7"/>
      <c r="DG172" s="213"/>
      <c r="DH172" s="210"/>
      <c r="DI172" s="213"/>
      <c r="DJ172" s="210"/>
      <c r="DK172" s="7"/>
      <c r="DL172" s="213"/>
      <c r="DM172" s="7"/>
      <c r="DN172" s="213"/>
      <c r="DO172" s="210"/>
      <c r="DP172" s="213"/>
      <c r="DQ172" s="210"/>
      <c r="DR172" s="7"/>
      <c r="DS172" s="213"/>
      <c r="DT172" s="7"/>
      <c r="DU172" s="213"/>
      <c r="DV172" s="210"/>
      <c r="DW172" s="213"/>
      <c r="DX172" s="210"/>
      <c r="DY172" s="7"/>
      <c r="DZ172" s="213"/>
      <c r="EA172" s="7"/>
      <c r="EB172" s="213"/>
      <c r="EC172" s="210"/>
      <c r="ED172" s="213"/>
      <c r="EE172" s="210"/>
      <c r="EF172" s="210"/>
    </row>
    <row r="173" spans="1:136" ht="17.100000000000001" thickBot="1">
      <c r="A173" s="13" t="s">
        <v>169</v>
      </c>
      <c r="B173" s="7"/>
      <c r="C173" s="69">
        <f>+C171+C167</f>
        <v>0</v>
      </c>
      <c r="D173" s="38" t="e">
        <f>C173/C12</f>
        <v>#DIV/0!</v>
      </c>
      <c r="E173" s="69">
        <f>+E171+E167</f>
        <v>8051.4150400440267</v>
      </c>
      <c r="F173" s="38">
        <f>E173/E12</f>
        <v>3.1906504771439095E-2</v>
      </c>
      <c r="G173" s="39">
        <f>C173-E173</f>
        <v>-8051.4150400440267</v>
      </c>
      <c r="H173" s="40">
        <f>G173/E173</f>
        <v>-1</v>
      </c>
      <c r="I173" s="210"/>
      <c r="J173" s="69">
        <f>+J171+J167</f>
        <v>-34640.080000000016</v>
      </c>
      <c r="K173" s="38">
        <f>J173/J12</f>
        <v>-0.24132113261833532</v>
      </c>
      <c r="L173" s="69">
        <f>+L171+L167</f>
        <v>7178.3690917955828</v>
      </c>
      <c r="M173" s="38">
        <f>L173/L12</f>
        <v>2.8234844923016339E-2</v>
      </c>
      <c r="N173" s="39">
        <f>J173-L173</f>
        <v>-41818.449091795599</v>
      </c>
      <c r="O173" s="40">
        <f>N173/L173</f>
        <v>-5.8256197970638501</v>
      </c>
      <c r="P173" s="210"/>
      <c r="Q173" s="69">
        <f>+Q171+Q167</f>
        <v>-74872.849999999991</v>
      </c>
      <c r="R173" s="38">
        <f>Q173/Q12</f>
        <v>-0.61679129160423052</v>
      </c>
      <c r="S173" s="69">
        <f>+S171+S168</f>
        <v>22374.360139429933</v>
      </c>
      <c r="T173" s="38">
        <f>S173/S12</f>
        <v>7.6412149679907199E-2</v>
      </c>
      <c r="U173" s="39">
        <f>Q173-S173</f>
        <v>-97247.210139429924</v>
      </c>
      <c r="V173" s="40">
        <f>U173/S173</f>
        <v>-4.3463683221963034</v>
      </c>
      <c r="W173" s="210"/>
      <c r="X173" s="69">
        <f>+X171+X167</f>
        <v>-109512.93000000004</v>
      </c>
      <c r="Y173" s="38">
        <f>X173/X12</f>
        <v>-0.41335866539037608</v>
      </c>
      <c r="Z173" s="69">
        <f>+Z171+Z167</f>
        <v>51854.067348192795</v>
      </c>
      <c r="AA173" s="38">
        <f>Z173/Z12</f>
        <v>6.4866761136360571E-2</v>
      </c>
      <c r="AB173" s="39">
        <f>X173-Z173</f>
        <v>-161366.99734819285</v>
      </c>
      <c r="AC173" s="40">
        <f>AB173/Z173</f>
        <v>-3.1119448405972876</v>
      </c>
      <c r="AD173" s="210"/>
      <c r="AE173" s="69">
        <f>+AE171+AE168</f>
        <v>-55544.170000000006</v>
      </c>
      <c r="AF173" s="38" t="e">
        <f>AE173/AE12</f>
        <v>#DIV/0!</v>
      </c>
      <c r="AG173" s="69">
        <f>+AG171+AG168</f>
        <v>23449.231442137956</v>
      </c>
      <c r="AH173" s="38" t="e">
        <f>AG173/AG14</f>
        <v>#DIV/0!</v>
      </c>
      <c r="AI173" s="39">
        <f>AE173-AG173</f>
        <v>-78993.401442137954</v>
      </c>
      <c r="AJ173" s="40">
        <f>AI173/AG173</f>
        <v>-3.3686989544650006</v>
      </c>
      <c r="AK173" s="210"/>
      <c r="AL173" s="69">
        <f>+AL171+AL168</f>
        <v>-53199.38</v>
      </c>
      <c r="AM173" s="38" t="e">
        <f>AL173/AL14</f>
        <v>#DIV/0!</v>
      </c>
      <c r="AN173" s="69">
        <f>+AN171+AN168</f>
        <v>18771.709579484406</v>
      </c>
      <c r="AO173" s="38">
        <f>AN173/AN12</f>
        <v>5.931654159078923E-2</v>
      </c>
      <c r="AP173" s="39">
        <f>AL173-AN173</f>
        <v>-71971.089579484396</v>
      </c>
      <c r="AQ173" s="40">
        <f>AP173/AN173</f>
        <v>-3.8340189141931735</v>
      </c>
      <c r="AR173" s="210"/>
      <c r="AS173" s="69">
        <f>+AS171+AS168</f>
        <v>-52497.700000000004</v>
      </c>
      <c r="AT173" s="38" t="e">
        <f>AS173/AS12</f>
        <v>#DIV/0!</v>
      </c>
      <c r="AU173" s="69">
        <f>+AU171+AU168</f>
        <v>20447.034993901543</v>
      </c>
      <c r="AV173" s="38">
        <f>AU173/AU12</f>
        <v>6.3262582434594525E-2</v>
      </c>
      <c r="AW173" s="39">
        <f>AS173-AU173</f>
        <v>-72944.73499390154</v>
      </c>
      <c r="AX173" s="40">
        <f>AW173/AU173</f>
        <v>-3.5674969508125636</v>
      </c>
      <c r="AY173" s="210"/>
      <c r="AZ173" s="69">
        <f>+AZ171+AZ167</f>
        <v>-136386.25</v>
      </c>
      <c r="BA173" s="38" t="e">
        <f>AZ173/AZ12</f>
        <v>#DIV/0!</v>
      </c>
      <c r="BB173" s="69">
        <f>+BB171+BB167</f>
        <v>87522.74524629314</v>
      </c>
      <c r="BC173" s="38">
        <f>BB173/BB12</f>
        <v>9.1654833485945705E-2</v>
      </c>
      <c r="BD173" s="39">
        <f>AZ173-BB173</f>
        <v>-223908.99524629314</v>
      </c>
      <c r="BE173" s="40">
        <f>BD173/BB173</f>
        <v>-2.5582949279778946</v>
      </c>
      <c r="BF173" s="210"/>
      <c r="BG173" s="69">
        <f>+BG171+BG167</f>
        <v>-59977.430000000008</v>
      </c>
      <c r="BH173" s="38" t="e">
        <f>BG173/BG12</f>
        <v>#DIV/0!</v>
      </c>
      <c r="BI173" s="69">
        <f>+BI171+BI167</f>
        <v>-39868.692307692305</v>
      </c>
      <c r="BJ173" s="38" t="e">
        <f>BI173/BI12</f>
        <v>#DIV/0!</v>
      </c>
      <c r="BK173" s="39">
        <f>BG173-BI173</f>
        <v>-20108.737692307703</v>
      </c>
      <c r="BL173" s="40">
        <f>BK173/BI173</f>
        <v>0.50437414744169828</v>
      </c>
      <c r="BM173" s="210"/>
      <c r="BN173" s="69">
        <f>+BN171+BN167</f>
        <v>-41045.839999999997</v>
      </c>
      <c r="BO173" s="38" t="e">
        <f>BN173/BN12</f>
        <v>#DIV/0!</v>
      </c>
      <c r="BP173" s="69">
        <f>+BP171+BP167</f>
        <v>-64402.692307692312</v>
      </c>
      <c r="BQ173" s="38" t="e">
        <f>BP173/BP12</f>
        <v>#DIV/0!</v>
      </c>
      <c r="BR173" s="69">
        <f>+BR171+BR168</f>
        <v>23356.775384615394</v>
      </c>
      <c r="BS173" s="40">
        <f>BR173/BP173</f>
        <v>-0.36266768589464138</v>
      </c>
      <c r="BT173" s="210"/>
      <c r="BU173" s="69">
        <f>+BU171+BU167</f>
        <v>-113702.31499999997</v>
      </c>
      <c r="BV173" s="38">
        <f>BU173/BU12</f>
        <v>-13.313932506645118</v>
      </c>
      <c r="BW173" s="69">
        <f>+BW171+BW167</f>
        <v>-101023.16257622378</v>
      </c>
      <c r="BX173" s="38" t="e">
        <f>BW173/BW12</f>
        <v>#DIV/0!</v>
      </c>
      <c r="BY173" s="69">
        <f>+BY171+BY168</f>
        <v>-9331.2424237761916</v>
      </c>
      <c r="BZ173" s="40">
        <f>BY173/BW173</f>
        <v>9.2367356018334928E-2</v>
      </c>
      <c r="CA173" s="210"/>
      <c r="CB173" s="69">
        <f>+CB171+CB167</f>
        <v>-39825.935000000012</v>
      </c>
      <c r="CC173" s="38">
        <f>CB173/CB12</f>
        <v>-0.54778920493409988</v>
      </c>
      <c r="CD173" s="69">
        <f>+CD171+CD167</f>
        <v>6584.466069930073</v>
      </c>
      <c r="CE173" s="38">
        <f>CD173/CD12</f>
        <v>5.543506432108701E-2</v>
      </c>
      <c r="CF173" s="69">
        <f>+CF171+CF168</f>
        <v>-46410.901069930085</v>
      </c>
      <c r="CG173" s="40">
        <f>CF173/CD173</f>
        <v>-7.0485443431593184</v>
      </c>
      <c r="CH173" s="210"/>
      <c r="CI173" s="69">
        <f>+CI171+CI168</f>
        <v>-276058.11000000004</v>
      </c>
      <c r="CJ173" s="38">
        <f>CI173/CI12</f>
        <v>-3.3979255846001997</v>
      </c>
      <c r="CK173" s="69">
        <f>+CK171+CK167</f>
        <v>-198710.08112167835</v>
      </c>
      <c r="CL173" s="38">
        <f>CK173/CK12</f>
        <v>-1.6729535867052683</v>
      </c>
      <c r="CM173" s="69">
        <f>+CM171+CM168</f>
        <v>-39229.542724475526</v>
      </c>
      <c r="CN173" s="40">
        <f>CM173/CK173</f>
        <v>0.19742099899025087</v>
      </c>
      <c r="CO173" s="210"/>
      <c r="CP173" s="69">
        <f>+CP171+CP167</f>
        <v>-54332.640000000021</v>
      </c>
      <c r="CQ173" s="38">
        <f>CP173/CP12</f>
        <v>-0.24478488900470524</v>
      </c>
      <c r="CR173" s="69">
        <f>+CR171+CR167</f>
        <v>23136.165208671329</v>
      </c>
      <c r="CS173" s="38">
        <f>CR173/CR12</f>
        <v>9.7392468338713095E-2</v>
      </c>
      <c r="CT173" s="69">
        <f>CP173-CR173</f>
        <v>-77468.805208671343</v>
      </c>
      <c r="CU173" s="40">
        <f>CT173/CR173</f>
        <v>-3.3483857203628711</v>
      </c>
      <c r="CV173" s="210"/>
      <c r="CW173" s="69">
        <f>+CW171+CW167</f>
        <v>-6779.2699999999968</v>
      </c>
      <c r="CX173" s="38">
        <f>CW173/CW12</f>
        <v>-2.6007646841347654E-2</v>
      </c>
      <c r="CY173" s="69">
        <f>+CY171+CY167</f>
        <v>15685.165208671329</v>
      </c>
      <c r="CZ173" s="38">
        <f>CY173/CY12</f>
        <v>6.6027232352250956E-2</v>
      </c>
      <c r="DA173" s="69">
        <f>CW173-CY173</f>
        <v>-22464.435208671326</v>
      </c>
      <c r="DB173" s="40">
        <f>DA173/CY173</f>
        <v>-1.4322090274351824</v>
      </c>
      <c r="DC173" s="210"/>
      <c r="DD173" s="69">
        <f>+DD171+DD167</f>
        <v>271599.84999999998</v>
      </c>
      <c r="DE173" s="38">
        <f>DD173/DD12</f>
        <v>1.1937066572388986</v>
      </c>
      <c r="DF173" s="69">
        <f>+DF171+DF167</f>
        <v>26444.319054825173</v>
      </c>
      <c r="DG173" s="38">
        <f>DF173/DF12</f>
        <v>9.7404035694830304E-2</v>
      </c>
      <c r="DH173" s="69">
        <f>DD173-DF173</f>
        <v>245155.5309451748</v>
      </c>
      <c r="DI173" s="40">
        <f>DH173/DF173</f>
        <v>9.2706312624995508</v>
      </c>
      <c r="DJ173" s="210"/>
      <c r="DK173" s="69">
        <f>+DK171+DK167</f>
        <v>-12053.800000000025</v>
      </c>
      <c r="DL173" s="38">
        <f>DK173/DK12</f>
        <v>-8.1092014187772538E-2</v>
      </c>
      <c r="DM173" s="69">
        <f>+DM171+DM167</f>
        <v>26173.165208671358</v>
      </c>
      <c r="DN173" s="38">
        <f>DM173/DM12</f>
        <v>9.6405277554951582E-2</v>
      </c>
      <c r="DO173" s="69">
        <f>DK173-DM173</f>
        <v>-38226.965208671383</v>
      </c>
      <c r="DP173" s="40">
        <f>DO173/DM173</f>
        <v>-1.4605404009755196</v>
      </c>
      <c r="DQ173" s="210"/>
      <c r="DR173" s="69">
        <f>+DR171+DR167</f>
        <v>198434.13999999987</v>
      </c>
      <c r="DS173" s="38">
        <f>DR173/DR12</f>
        <v>0.23106107253510486</v>
      </c>
      <c r="DT173" s="69">
        <f>+DT171+DT167</f>
        <v>91438.81468083919</v>
      </c>
      <c r="DU173" s="38">
        <f>DT173/DT12</f>
        <v>8.9813725138188805E-2</v>
      </c>
      <c r="DV173" s="69">
        <f>DR173-DT173</f>
        <v>106995.32531916068</v>
      </c>
      <c r="DW173" s="40">
        <f>DV173/DT173</f>
        <v>1.1701302744640818</v>
      </c>
      <c r="DX173" s="210"/>
      <c r="DY173" s="69">
        <f>+DY171+DY167</f>
        <v>-302016.56000000017</v>
      </c>
      <c r="DZ173" s="38">
        <f>DY173/DY12</f>
        <v>-0.25064182157881715</v>
      </c>
      <c r="EA173" s="69">
        <f>+EA171+EA167</f>
        <v>41885.546153647359</v>
      </c>
      <c r="EB173" s="38">
        <f>EA173/EA12</f>
        <v>1.4487341508128431E-2</v>
      </c>
      <c r="EC173" s="69">
        <f>DY173-EA173</f>
        <v>-343902.10615364753</v>
      </c>
      <c r="ED173" s="40">
        <f>EC173/EA173</f>
        <v>-8.2105198029917723</v>
      </c>
      <c r="EE173" s="210"/>
      <c r="EF173" s="210"/>
    </row>
    <row r="174" spans="1:136" ht="17.100000000000001" thickTop="1">
      <c r="A174" s="7"/>
      <c r="B174" s="7"/>
      <c r="C174" s="7"/>
      <c r="D174" s="211"/>
      <c r="E174" s="37"/>
      <c r="F174" s="212"/>
      <c r="G174" s="212"/>
      <c r="H174" s="212"/>
      <c r="I174" s="210"/>
      <c r="J174" s="7"/>
      <c r="K174" s="211"/>
      <c r="L174" s="7"/>
      <c r="M174" s="212"/>
      <c r="N174" s="212"/>
      <c r="O174" s="212"/>
      <c r="P174" s="210"/>
      <c r="Q174" s="7"/>
      <c r="R174" s="210"/>
      <c r="S174" s="7"/>
      <c r="T174" s="212"/>
      <c r="U174" s="212"/>
      <c r="V174" s="212"/>
      <c r="W174" s="210"/>
      <c r="X174" s="7"/>
      <c r="Y174" s="211"/>
      <c r="Z174" s="7"/>
      <c r="AA174" s="221"/>
      <c r="AB174" s="212"/>
      <c r="AC174" s="212"/>
      <c r="AD174" s="210"/>
      <c r="AE174" s="7"/>
      <c r="AF174" s="210"/>
      <c r="AG174" s="7"/>
      <c r="AH174" s="210"/>
      <c r="AI174" s="210"/>
      <c r="AJ174" s="210"/>
      <c r="AK174" s="210"/>
      <c r="AL174" s="65"/>
      <c r="AM174" s="210"/>
      <c r="AN174" s="7"/>
      <c r="AO174" s="210"/>
      <c r="AP174" s="210"/>
      <c r="AQ174" s="210"/>
      <c r="AR174" s="210"/>
      <c r="AS174" s="7"/>
      <c r="AT174" s="210"/>
      <c r="AU174" s="7"/>
      <c r="AV174" s="210"/>
      <c r="AW174" s="210"/>
      <c r="AX174" s="210"/>
      <c r="AY174" s="210"/>
      <c r="AZ174" s="7"/>
      <c r="BA174" s="210"/>
      <c r="BB174" s="7"/>
      <c r="BC174" s="210"/>
      <c r="BD174" s="210"/>
      <c r="BE174" s="212"/>
      <c r="BF174" s="210"/>
      <c r="BG174" s="7"/>
      <c r="BH174" s="210"/>
      <c r="BI174" s="7"/>
      <c r="BJ174" s="210"/>
      <c r="BK174" s="210"/>
      <c r="BL174" s="212"/>
      <c r="BM174" s="210"/>
      <c r="BN174" s="7"/>
      <c r="BO174" s="213"/>
      <c r="BP174" s="7"/>
      <c r="BQ174" s="213"/>
      <c r="BR174" s="210"/>
      <c r="BS174" s="216"/>
      <c r="BT174" s="210"/>
      <c r="BU174" s="7"/>
      <c r="BV174" s="213"/>
      <c r="BW174" s="7"/>
      <c r="BX174" s="213"/>
      <c r="BY174" s="210"/>
      <c r="BZ174" s="213"/>
      <c r="CA174" s="210"/>
      <c r="CB174" s="7"/>
      <c r="CC174" s="213"/>
      <c r="CD174" s="7"/>
      <c r="CE174" s="213"/>
      <c r="CF174" s="210"/>
      <c r="CG174" s="213"/>
      <c r="CH174" s="210"/>
      <c r="CI174" s="7"/>
      <c r="CJ174" s="213"/>
      <c r="CK174" s="7"/>
      <c r="CL174" s="213"/>
      <c r="CM174" s="210"/>
      <c r="CN174" s="213"/>
      <c r="CO174" s="210"/>
      <c r="CP174" s="7"/>
      <c r="CQ174" s="210"/>
      <c r="CR174" s="7"/>
      <c r="CS174" s="210"/>
      <c r="CT174" s="210"/>
      <c r="CU174" s="210"/>
      <c r="CV174" s="210"/>
      <c r="CW174" s="7"/>
      <c r="CX174" s="213"/>
      <c r="CY174" s="7"/>
      <c r="CZ174" s="213"/>
      <c r="DA174" s="210"/>
      <c r="DB174" s="213"/>
      <c r="DC174" s="210"/>
      <c r="DD174" s="7"/>
      <c r="DE174" s="213"/>
      <c r="DF174" s="7"/>
      <c r="DG174" s="213"/>
      <c r="DH174" s="210"/>
      <c r="DI174" s="213"/>
      <c r="DJ174" s="210"/>
      <c r="DK174" s="7"/>
      <c r="DL174" s="213"/>
      <c r="DM174" s="7"/>
      <c r="DN174" s="213"/>
      <c r="DO174" s="210"/>
      <c r="DP174" s="213"/>
      <c r="DQ174" s="210"/>
      <c r="DR174" s="7"/>
      <c r="DS174" s="213"/>
      <c r="DT174" s="7"/>
      <c r="DU174" s="213"/>
      <c r="DV174" s="210"/>
      <c r="DW174" s="213"/>
      <c r="DX174" s="210"/>
      <c r="DY174" s="7"/>
      <c r="DZ174" s="213"/>
      <c r="EA174" s="7"/>
      <c r="EB174" s="212"/>
      <c r="EC174" s="212"/>
      <c r="ED174" s="212"/>
      <c r="EE174" s="210"/>
      <c r="EF174" s="210"/>
    </row>
    <row r="175" spans="1:136">
      <c r="A175" s="7" t="s">
        <v>170</v>
      </c>
      <c r="B175" s="7"/>
      <c r="C175" s="210"/>
      <c r="D175" s="211"/>
      <c r="E175" s="233"/>
      <c r="F175" s="212"/>
      <c r="G175" s="212"/>
      <c r="H175" s="212"/>
      <c r="I175" s="210"/>
      <c r="J175" s="210"/>
      <c r="K175" s="211"/>
      <c r="L175" s="210"/>
      <c r="M175" s="212"/>
      <c r="N175" s="212"/>
      <c r="O175" s="212"/>
      <c r="P175" s="210"/>
      <c r="Q175" s="210"/>
      <c r="R175" s="210"/>
      <c r="S175" s="210"/>
      <c r="T175" s="212"/>
      <c r="U175" s="212"/>
      <c r="V175" s="212"/>
      <c r="W175" s="210"/>
      <c r="X175" s="210"/>
      <c r="Y175" s="211"/>
      <c r="Z175" s="210"/>
      <c r="AA175" s="221"/>
      <c r="AB175" s="212"/>
      <c r="AC175" s="212"/>
      <c r="AD175" s="210"/>
      <c r="AE175" s="210"/>
      <c r="AF175" s="210"/>
      <c r="AG175" s="210"/>
      <c r="AH175" s="210"/>
      <c r="AI175" s="210"/>
      <c r="AJ175" s="210"/>
      <c r="AK175" s="210"/>
      <c r="AL175" s="210"/>
      <c r="AM175" s="210"/>
      <c r="AN175" s="210"/>
      <c r="AO175" s="210"/>
      <c r="AP175" s="210"/>
      <c r="AQ175" s="210"/>
      <c r="AR175" s="210"/>
      <c r="AS175" s="210"/>
      <c r="AT175" s="210"/>
      <c r="AU175" s="210"/>
      <c r="AV175" s="210"/>
      <c r="AW175" s="210"/>
      <c r="AX175" s="210"/>
      <c r="AY175" s="210"/>
      <c r="AZ175" s="210"/>
      <c r="BA175" s="210"/>
      <c r="BB175" s="210"/>
      <c r="BC175" s="210"/>
      <c r="BD175" s="210"/>
      <c r="BE175" s="212"/>
      <c r="BF175" s="210"/>
      <c r="BG175" s="210"/>
      <c r="BH175" s="210"/>
      <c r="BI175" s="210"/>
      <c r="BJ175" s="210"/>
      <c r="BK175" s="210"/>
      <c r="BL175" s="212"/>
      <c r="BM175" s="210"/>
      <c r="BN175" s="224"/>
      <c r="BO175" s="213"/>
      <c r="BP175" s="210"/>
      <c r="BQ175" s="213"/>
      <c r="BR175" s="210"/>
      <c r="BS175" s="216"/>
      <c r="BT175" s="210"/>
      <c r="BU175" s="210"/>
      <c r="BV175" s="213"/>
      <c r="BW175" s="210"/>
      <c r="BX175" s="213"/>
      <c r="BY175" s="210"/>
      <c r="BZ175" s="213"/>
      <c r="CA175" s="210"/>
      <c r="CB175" s="210"/>
      <c r="CC175" s="213"/>
      <c r="CD175" s="210"/>
      <c r="CE175" s="213"/>
      <c r="CF175" s="210"/>
      <c r="CG175" s="213"/>
      <c r="CH175" s="210"/>
      <c r="CI175" s="210"/>
      <c r="CJ175" s="213"/>
      <c r="CK175" s="210"/>
      <c r="CL175" s="213"/>
      <c r="CM175" s="210"/>
      <c r="CN175" s="213"/>
      <c r="CO175" s="210"/>
      <c r="CP175" s="210"/>
      <c r="CQ175" s="210"/>
      <c r="CR175" s="210"/>
      <c r="CS175" s="210"/>
      <c r="CT175" s="210"/>
      <c r="CU175" s="210"/>
      <c r="CV175" s="210"/>
      <c r="CW175" s="224"/>
      <c r="CX175" s="213"/>
      <c r="CY175" s="210"/>
      <c r="CZ175" s="213"/>
      <c r="DA175" s="210"/>
      <c r="DB175" s="213"/>
      <c r="DC175" s="210"/>
      <c r="DD175" s="210"/>
      <c r="DE175" s="213"/>
      <c r="DF175" s="210"/>
      <c r="DG175" s="213"/>
      <c r="DH175" s="210"/>
      <c r="DI175" s="213"/>
      <c r="DJ175" s="210"/>
      <c r="DK175" s="210"/>
      <c r="DL175" s="213"/>
      <c r="DM175" s="210"/>
      <c r="DN175" s="213"/>
      <c r="DO175" s="210"/>
      <c r="DP175" s="213"/>
      <c r="DQ175" s="210"/>
      <c r="DR175" s="210"/>
      <c r="DS175" s="213"/>
      <c r="DT175" s="210"/>
      <c r="DU175" s="213"/>
      <c r="DV175" s="210"/>
      <c r="DW175" s="213"/>
      <c r="DX175" s="210"/>
      <c r="DY175" s="224"/>
      <c r="DZ175" s="213"/>
      <c r="EA175" s="224"/>
      <c r="EB175" s="212"/>
      <c r="EC175" s="212"/>
      <c r="ED175" s="212"/>
      <c r="EE175" s="210"/>
      <c r="EF175" s="210"/>
    </row>
    <row r="176" spans="1:136">
      <c r="A176" s="7"/>
      <c r="B176" s="7"/>
      <c r="C176" s="210"/>
      <c r="D176" s="211"/>
      <c r="E176" s="210"/>
      <c r="F176" s="212"/>
      <c r="G176" s="212"/>
      <c r="H176" s="212"/>
      <c r="I176" s="210"/>
      <c r="J176" s="210"/>
      <c r="K176" s="211"/>
      <c r="L176" s="210"/>
      <c r="M176" s="212"/>
      <c r="N176" s="212"/>
      <c r="O176" s="212"/>
      <c r="P176" s="210"/>
      <c r="Q176" s="210"/>
      <c r="R176" s="210"/>
      <c r="S176" s="210"/>
      <c r="T176" s="212"/>
      <c r="U176" s="212"/>
      <c r="V176" s="212"/>
      <c r="W176" s="210"/>
      <c r="X176" s="210"/>
      <c r="Y176" s="211"/>
      <c r="Z176" s="210"/>
      <c r="AA176" s="221"/>
      <c r="AB176" s="212"/>
      <c r="AC176" s="212"/>
      <c r="AD176" s="210"/>
      <c r="AE176" s="210"/>
      <c r="AF176" s="210"/>
      <c r="AG176" s="210"/>
      <c r="AH176" s="210"/>
      <c r="AI176" s="210"/>
      <c r="AJ176" s="210"/>
      <c r="AK176" s="210"/>
      <c r="AL176" s="210"/>
      <c r="AM176" s="210"/>
      <c r="AN176" s="210"/>
      <c r="AO176" s="210"/>
      <c r="AP176" s="210"/>
      <c r="AQ176" s="210"/>
      <c r="AR176" s="210"/>
      <c r="AS176" s="210"/>
      <c r="AT176" s="210"/>
      <c r="AU176" s="210"/>
      <c r="AV176" s="210"/>
      <c r="AW176" s="210"/>
      <c r="AX176" s="210"/>
      <c r="AY176" s="210"/>
      <c r="AZ176" s="210"/>
      <c r="BA176" s="210"/>
      <c r="BB176" s="210"/>
      <c r="BC176" s="210"/>
      <c r="BD176" s="210"/>
      <c r="BE176" s="212"/>
      <c r="BF176" s="210"/>
      <c r="BG176" s="210"/>
      <c r="BH176" s="210"/>
      <c r="BI176" s="210"/>
      <c r="BJ176" s="210"/>
      <c r="BK176" s="210"/>
      <c r="BL176" s="212"/>
      <c r="BM176" s="210"/>
      <c r="BN176" s="210"/>
      <c r="BO176" s="213"/>
      <c r="BP176" s="210"/>
      <c r="BQ176" s="213"/>
      <c r="BR176" s="210"/>
      <c r="BS176" s="216"/>
      <c r="BT176" s="210"/>
      <c r="BU176" s="210"/>
      <c r="BV176" s="213"/>
      <c r="BW176" s="210"/>
      <c r="BX176" s="213"/>
      <c r="BY176" s="210"/>
      <c r="BZ176" s="213"/>
      <c r="CA176" s="210"/>
      <c r="CB176" s="210"/>
      <c r="CC176" s="213"/>
      <c r="CD176" s="210"/>
      <c r="CE176" s="213"/>
      <c r="CF176" s="210"/>
      <c r="CG176" s="213"/>
      <c r="CH176" s="210"/>
      <c r="CI176" s="210"/>
      <c r="CJ176" s="213"/>
      <c r="CK176" s="210"/>
      <c r="CL176" s="213"/>
      <c r="CM176" s="210"/>
      <c r="CN176" s="213"/>
      <c r="CO176" s="210"/>
      <c r="CP176" s="210"/>
      <c r="CQ176" s="210"/>
      <c r="CR176" s="210"/>
      <c r="CS176" s="210"/>
      <c r="CT176" s="210"/>
      <c r="CU176" s="210"/>
      <c r="CV176" s="210"/>
      <c r="CW176" s="210"/>
      <c r="CX176" s="213"/>
      <c r="CY176" s="210"/>
      <c r="CZ176" s="213"/>
      <c r="DA176" s="210"/>
      <c r="DB176" s="213"/>
      <c r="DC176" s="210"/>
      <c r="DD176" s="210"/>
      <c r="DE176" s="213"/>
      <c r="DF176" s="210"/>
      <c r="DG176" s="213"/>
      <c r="DH176" s="210"/>
      <c r="DI176" s="213"/>
      <c r="DJ176" s="210"/>
      <c r="DK176" s="210"/>
      <c r="DL176" s="213"/>
      <c r="DM176" s="210"/>
      <c r="DN176" s="213"/>
      <c r="DO176" s="210"/>
      <c r="DP176" s="213"/>
      <c r="DQ176" s="210"/>
      <c r="DR176" s="210"/>
      <c r="DS176" s="213"/>
      <c r="DT176" s="210"/>
      <c r="DU176" s="213"/>
      <c r="DV176" s="210"/>
      <c r="DW176" s="213"/>
      <c r="DX176" s="210"/>
      <c r="DY176" s="210"/>
      <c r="DZ176" s="213"/>
      <c r="EA176" s="210"/>
      <c r="EB176" s="212"/>
      <c r="EC176" s="212"/>
      <c r="ED176" s="212"/>
      <c r="EE176" s="210"/>
      <c r="EF176" s="210"/>
    </row>
    <row r="177" spans="1:133">
      <c r="A177" s="7" t="s">
        <v>34</v>
      </c>
      <c r="B177" s="7"/>
      <c r="C177" s="210"/>
      <c r="D177" s="211"/>
      <c r="E177" s="210"/>
      <c r="F177" s="212"/>
      <c r="G177" s="212"/>
      <c r="H177" s="212"/>
      <c r="I177" s="210"/>
      <c r="J177" s="210"/>
      <c r="K177" s="211"/>
      <c r="L177" s="210"/>
      <c r="M177" s="212"/>
      <c r="N177" s="212"/>
      <c r="O177" s="212"/>
      <c r="P177" s="210"/>
      <c r="Q177" s="210"/>
      <c r="R177" s="210"/>
      <c r="S177" s="210"/>
      <c r="T177" s="212"/>
      <c r="U177" s="212"/>
      <c r="V177" s="212"/>
      <c r="W177" s="210"/>
      <c r="X177" s="210"/>
      <c r="Y177" s="211"/>
      <c r="Z177" s="210"/>
      <c r="AA177" s="221"/>
      <c r="AB177" s="212"/>
      <c r="AC177" s="212"/>
      <c r="AD177" s="210"/>
      <c r="AE177" s="210"/>
      <c r="AF177" s="210"/>
      <c r="AG177" s="210"/>
      <c r="AH177" s="210"/>
      <c r="AI177" s="210"/>
      <c r="AJ177" s="210"/>
      <c r="AK177" s="210"/>
      <c r="AL177" s="210"/>
      <c r="AM177" s="210"/>
      <c r="AN177" s="210"/>
      <c r="AO177" s="210"/>
      <c r="AP177" s="210"/>
      <c r="AQ177" s="210"/>
      <c r="AR177" s="210"/>
      <c r="AS177" s="210"/>
      <c r="AT177" s="210"/>
      <c r="AU177" s="210"/>
      <c r="AV177" s="210"/>
      <c r="AW177" s="210"/>
      <c r="AX177" s="210"/>
      <c r="AY177" s="210"/>
      <c r="AZ177" s="210"/>
      <c r="BA177" s="210"/>
      <c r="BB177" s="210"/>
      <c r="BC177" s="210"/>
      <c r="BD177" s="210"/>
      <c r="BE177" s="212"/>
      <c r="BF177" s="210"/>
      <c r="BG177" s="210"/>
      <c r="BH177" s="210"/>
      <c r="BI177" s="210"/>
      <c r="BJ177" s="210"/>
      <c r="BK177" s="210"/>
      <c r="BL177" s="212"/>
      <c r="BM177" s="210"/>
      <c r="BN177" s="210"/>
      <c r="BO177" s="213"/>
      <c r="BP177" s="210"/>
      <c r="BQ177" s="213"/>
      <c r="BR177" s="210"/>
      <c r="BS177" s="216"/>
      <c r="BT177" s="210"/>
      <c r="BU177" s="210"/>
      <c r="BV177" s="213"/>
      <c r="BW177" s="210"/>
      <c r="BX177" s="213"/>
      <c r="BY177" s="210"/>
      <c r="BZ177" s="213"/>
      <c r="CA177" s="210"/>
      <c r="CB177" s="210"/>
      <c r="CC177" s="213"/>
      <c r="CD177" s="210"/>
      <c r="CE177" s="213"/>
      <c r="CF177" s="210"/>
      <c r="CG177" s="213"/>
      <c r="CH177" s="210"/>
      <c r="CI177" s="210"/>
      <c r="CJ177" s="213"/>
      <c r="CK177" s="210"/>
      <c r="CL177" s="213"/>
      <c r="CM177" s="210"/>
      <c r="CN177" s="213"/>
      <c r="CO177" s="210"/>
      <c r="CP177" s="210"/>
      <c r="CQ177" s="210"/>
      <c r="CR177" s="210"/>
      <c r="CS177" s="210"/>
      <c r="CT177" s="210"/>
      <c r="CU177" s="210"/>
      <c r="CV177" s="210"/>
      <c r="CW177" s="210"/>
      <c r="CX177" s="213"/>
      <c r="CY177" s="210"/>
      <c r="CZ177" s="213"/>
      <c r="DA177" s="210"/>
      <c r="DB177" s="213"/>
      <c r="DC177" s="210"/>
      <c r="DD177" s="210"/>
      <c r="DE177" s="213"/>
      <c r="DF177" s="210"/>
      <c r="DG177" s="213"/>
      <c r="DH177" s="210"/>
      <c r="DI177" s="213"/>
      <c r="DJ177" s="210"/>
      <c r="DK177" s="210"/>
      <c r="DL177" s="213"/>
      <c r="DM177" s="210"/>
      <c r="DN177" s="213"/>
      <c r="DO177" s="210"/>
      <c r="DP177" s="213"/>
      <c r="DQ177" s="210"/>
      <c r="DR177" s="210"/>
      <c r="DS177" s="213"/>
      <c r="DT177" s="210"/>
      <c r="DU177" s="213"/>
      <c r="DV177" s="210"/>
      <c r="DW177" s="213"/>
      <c r="DX177" s="210"/>
      <c r="DY177" s="210"/>
      <c r="DZ177" s="213"/>
      <c r="EA177" s="210"/>
      <c r="EB177" s="212"/>
      <c r="EC177" s="212"/>
    </row>
    <row r="178" spans="1:133">
      <c r="A178" s="27" t="s">
        <v>34</v>
      </c>
      <c r="B178" s="27"/>
      <c r="C178" s="223" t="e">
        <f>C15/C7</f>
        <v>#DIV/0!</v>
      </c>
      <c r="D178" s="221"/>
      <c r="E178" s="221">
        <f>E15/E7</f>
        <v>0.28000247379325272</v>
      </c>
      <c r="F178" s="221"/>
      <c r="G178" s="212"/>
      <c r="H178" s="212"/>
      <c r="I178" s="210"/>
      <c r="J178" s="223">
        <f>J15/J7</f>
        <v>0.26767704178382262</v>
      </c>
      <c r="K178" s="221"/>
      <c r="L178" s="221">
        <f>L15/L7</f>
        <v>0.28000000000000003</v>
      </c>
      <c r="M178" s="221"/>
      <c r="N178" s="212"/>
      <c r="O178" s="212"/>
      <c r="P178" s="210"/>
      <c r="Q178" s="223">
        <f>Q15/Q7</f>
        <v>0.18362160037360015</v>
      </c>
      <c r="R178" s="221"/>
      <c r="S178" s="221">
        <f>S15/S7</f>
        <v>0.28000000000000003</v>
      </c>
      <c r="T178" s="221"/>
      <c r="U178" s="212"/>
      <c r="V178" s="212"/>
      <c r="W178" s="210"/>
      <c r="X178" s="223">
        <f>X15/X7</f>
        <v>0.22981054157610592</v>
      </c>
      <c r="Y178" s="221"/>
      <c r="Z178" s="221">
        <f>Z15/Z7</f>
        <v>0.28000078089804681</v>
      </c>
      <c r="AA178" s="221"/>
      <c r="AB178" s="212"/>
      <c r="AC178" s="212"/>
      <c r="AD178" s="210"/>
      <c r="AE178" s="223" t="e">
        <f>AE15/AE7</f>
        <v>#DIV/0!</v>
      </c>
      <c r="AF178" s="221"/>
      <c r="AG178" s="221">
        <f>AG15/AG7</f>
        <v>0.28000000000000003</v>
      </c>
      <c r="AH178" s="221"/>
      <c r="AI178" s="210"/>
      <c r="AJ178" s="210"/>
      <c r="AK178" s="210"/>
      <c r="AL178" s="223" t="e">
        <f>AL15/AL7</f>
        <v>#DIV/0!</v>
      </c>
      <c r="AM178" s="221"/>
      <c r="AN178" s="221">
        <f>AN15/AN7</f>
        <v>0.28000000000000003</v>
      </c>
      <c r="AO178" s="221"/>
      <c r="AP178" s="210"/>
      <c r="AQ178" s="210"/>
      <c r="AR178" s="210"/>
      <c r="AS178" s="223" t="e">
        <f>AS15/AS7</f>
        <v>#DIV/0!</v>
      </c>
      <c r="AT178" s="221"/>
      <c r="AU178" s="221">
        <f>AU15/AU7</f>
        <v>0.28000000000000003</v>
      </c>
      <c r="AV178" s="221"/>
      <c r="AW178" s="210"/>
      <c r="AX178" s="210"/>
      <c r="AY178" s="210"/>
      <c r="AZ178" s="223" t="e">
        <f>AZ15/AZ7</f>
        <v>#DIV/0!</v>
      </c>
      <c r="BA178" s="221"/>
      <c r="BB178" s="221">
        <f>BB15/BB7</f>
        <v>0.28000000000000003</v>
      </c>
      <c r="BC178" s="221"/>
      <c r="BD178" s="210"/>
      <c r="BE178" s="212"/>
      <c r="BF178" s="210"/>
      <c r="BG178" s="234" t="e">
        <f>+BG15/BG7</f>
        <v>#DIV/0!</v>
      </c>
      <c r="BH178" s="221"/>
      <c r="BI178" s="223" t="e">
        <f>BI15/BI7</f>
        <v>#DIV/0!</v>
      </c>
      <c r="BJ178" s="221"/>
      <c r="BK178" s="210"/>
      <c r="BL178" s="212"/>
      <c r="BM178" s="210"/>
      <c r="BN178" s="223" t="e">
        <f>+BN15/BN7</f>
        <v>#DIV/0!</v>
      </c>
      <c r="BO178" s="216"/>
      <c r="BP178" s="223" t="e">
        <f>BP15/BP7</f>
        <v>#DIV/0!</v>
      </c>
      <c r="BQ178" s="216"/>
      <c r="BR178" s="210"/>
      <c r="BS178" s="216"/>
      <c r="BT178" s="210"/>
      <c r="BU178" s="223">
        <f>+BU15/BU7</f>
        <v>0</v>
      </c>
      <c r="BV178" s="216"/>
      <c r="BW178" s="223" t="e">
        <f>BW15/BW7</f>
        <v>#DIV/0!</v>
      </c>
      <c r="BX178" s="216"/>
      <c r="BY178" s="210"/>
      <c r="BZ178" s="213"/>
      <c r="CA178" s="210"/>
      <c r="CB178" s="223">
        <f>+CB15/CB7</f>
        <v>0.28859144067404169</v>
      </c>
      <c r="CC178" s="216"/>
      <c r="CD178" s="223">
        <f>CD15/CD7</f>
        <v>0.27000394166338193</v>
      </c>
      <c r="CE178" s="216"/>
      <c r="CF178" s="210"/>
      <c r="CG178" s="213"/>
      <c r="CH178" s="210"/>
      <c r="CI178" s="223">
        <f>+CI15/CI7</f>
        <v>0.26345571445111121</v>
      </c>
      <c r="CJ178" s="216"/>
      <c r="CK178" s="223">
        <f>CK15/CK7</f>
        <v>0.27000394166338193</v>
      </c>
      <c r="CL178" s="216"/>
      <c r="CM178" s="210"/>
      <c r="CN178" s="213"/>
      <c r="CO178" s="210"/>
      <c r="CP178" s="223">
        <f>+CP15/CP7</f>
        <v>0.29254847120942884</v>
      </c>
      <c r="CQ178" s="223"/>
      <c r="CR178" s="223">
        <f>CR15/CR7</f>
        <v>0.26999914596732338</v>
      </c>
      <c r="CS178" s="223"/>
      <c r="CT178" s="210"/>
      <c r="CU178" s="210"/>
      <c r="CV178" s="210"/>
      <c r="CW178" s="223">
        <f>+CW15/CW7</f>
        <v>0.2937154182688454</v>
      </c>
      <c r="CX178" s="216"/>
      <c r="CY178" s="223">
        <f>CY15/CY7</f>
        <v>0.26999914596732338</v>
      </c>
      <c r="CZ178" s="216"/>
      <c r="DA178" s="210"/>
      <c r="DB178" s="213"/>
      <c r="DC178" s="210"/>
      <c r="DD178" s="223">
        <f>+DD15/DD7</f>
        <v>0.30781569523987412</v>
      </c>
      <c r="DE178" s="216"/>
      <c r="DF178" s="223">
        <f>DF15/DF7</f>
        <v>0.27000258672721522</v>
      </c>
      <c r="DG178" s="216"/>
      <c r="DH178" s="210"/>
      <c r="DI178" s="213"/>
      <c r="DJ178" s="210"/>
      <c r="DK178" s="223">
        <f>+DK15/DK7</f>
        <v>0.27513295199913235</v>
      </c>
      <c r="DL178" s="216"/>
      <c r="DM178" s="223">
        <f>DM15/DM7</f>
        <v>0.27000258672721522</v>
      </c>
      <c r="DN178" s="216"/>
      <c r="DO178" s="210"/>
      <c r="DP178" s="213"/>
      <c r="DQ178" s="210"/>
      <c r="DR178" s="223">
        <f>+DR15/DR7</f>
        <v>0.29367406909063892</v>
      </c>
      <c r="DS178" s="216"/>
      <c r="DT178" s="223">
        <f>DT15/DT7</f>
        <v>0.27000098104137543</v>
      </c>
      <c r="DU178" s="216"/>
      <c r="DV178" s="210"/>
      <c r="DW178" s="213"/>
      <c r="DX178" s="210"/>
      <c r="DY178" s="223">
        <f>DY15/DY7</f>
        <v>0.27881951724749521</v>
      </c>
      <c r="DZ178" s="212"/>
      <c r="EA178" s="221">
        <f>EA15/EA7</f>
        <v>0.27606852181858693</v>
      </c>
      <c r="EB178" s="212"/>
      <c r="EC178" s="210"/>
    </row>
    <row r="179" spans="1:133">
      <c r="A179" s="27" t="s">
        <v>171</v>
      </c>
      <c r="B179" s="27"/>
      <c r="C179" s="223" t="e">
        <f>C16/C8</f>
        <v>#DIV/0!</v>
      </c>
      <c r="D179" s="221"/>
      <c r="E179" s="221">
        <f>E16/E8</f>
        <v>0.22497750224977503</v>
      </c>
      <c r="F179" s="221"/>
      <c r="G179" s="212"/>
      <c r="H179" s="212"/>
      <c r="I179" s="210"/>
      <c r="J179" s="223">
        <f>J16/J8</f>
        <v>0.12238660153524075</v>
      </c>
      <c r="K179" s="221"/>
      <c r="L179" s="221">
        <f>L16/L8</f>
        <v>0.22500000000000001</v>
      </c>
      <c r="M179" s="221"/>
      <c r="N179" s="212"/>
      <c r="O179" s="212"/>
      <c r="P179" s="210"/>
      <c r="Q179" s="223">
        <f>Q16/Q8</f>
        <v>-0.12867179702973569</v>
      </c>
      <c r="R179" s="221"/>
      <c r="S179" s="221">
        <f>S16/S8</f>
        <v>0.22500000000000001</v>
      </c>
      <c r="T179" s="221"/>
      <c r="U179" s="212"/>
      <c r="V179" s="212"/>
      <c r="W179" s="210"/>
      <c r="X179" s="223">
        <f>X16/X8</f>
        <v>-6.5512633528664295E-3</v>
      </c>
      <c r="Y179" s="221"/>
      <c r="Z179" s="221">
        <f>Z16/Z8</f>
        <v>0.22499289797529559</v>
      </c>
      <c r="AA179" s="221"/>
      <c r="AB179" s="212"/>
      <c r="AC179" s="212"/>
      <c r="AD179" s="210"/>
      <c r="AE179" s="223" t="e">
        <f>AE16/AE8</f>
        <v>#DIV/0!</v>
      </c>
      <c r="AF179" s="221"/>
      <c r="AG179" s="221">
        <f>AG16/AG8</f>
        <v>0.22499999999999998</v>
      </c>
      <c r="AH179" s="221"/>
      <c r="AI179" s="220"/>
      <c r="AJ179" s="210"/>
      <c r="AK179" s="210"/>
      <c r="AL179" s="223" t="e">
        <f>AL16/AL8</f>
        <v>#DIV/0!</v>
      </c>
      <c r="AM179" s="221"/>
      <c r="AN179" s="221">
        <f>AN16/AN8</f>
        <v>0.22500000000000001</v>
      </c>
      <c r="AO179" s="221"/>
      <c r="AP179" s="220"/>
      <c r="AQ179" s="210"/>
      <c r="AR179" s="210"/>
      <c r="AS179" s="223" t="e">
        <f>AS16/AS8</f>
        <v>#DIV/0!</v>
      </c>
      <c r="AT179" s="221"/>
      <c r="AU179" s="221">
        <f>AU16/AU8</f>
        <v>0.22500000000000001</v>
      </c>
      <c r="AV179" s="221"/>
      <c r="AW179" s="220"/>
      <c r="AX179" s="210"/>
      <c r="AY179" s="210"/>
      <c r="AZ179" s="223" t="e">
        <f>AZ16/AZ8</f>
        <v>#DIV/0!</v>
      </c>
      <c r="BA179" s="221"/>
      <c r="BB179" s="221">
        <f>BB16/BB8</f>
        <v>0.22499999999999998</v>
      </c>
      <c r="BC179" s="221"/>
      <c r="BD179" s="220"/>
      <c r="BE179" s="212"/>
      <c r="BF179" s="210"/>
      <c r="BG179" s="223" t="e">
        <f>+BG16/BG8</f>
        <v>#DIV/0!</v>
      </c>
      <c r="BH179" s="221"/>
      <c r="BI179" s="223" t="e">
        <f>BI16/BI8</f>
        <v>#DIV/0!</v>
      </c>
      <c r="BJ179" s="221"/>
      <c r="BK179" s="220"/>
      <c r="BL179" s="212"/>
      <c r="BM179" s="210"/>
      <c r="BN179" s="223" t="e">
        <f>+BN16/BN8</f>
        <v>#DIV/0!</v>
      </c>
      <c r="BO179" s="216"/>
      <c r="BP179" s="223" t="e">
        <f>BP16/BP8</f>
        <v>#DIV/0!</v>
      </c>
      <c r="BQ179" s="216"/>
      <c r="BR179" s="222"/>
      <c r="BS179" s="216"/>
      <c r="BT179" s="210"/>
      <c r="BU179" s="223">
        <f>+BU16/BU8</f>
        <v>0</v>
      </c>
      <c r="BV179" s="216"/>
      <c r="BW179" s="223" t="e">
        <f>BW16/BW8</f>
        <v>#DIV/0!</v>
      </c>
      <c r="BX179" s="216"/>
      <c r="BY179" s="222"/>
      <c r="BZ179" s="213"/>
      <c r="CA179" s="210"/>
      <c r="CB179" s="223">
        <f>+CB16/CB8</f>
        <v>-0.10495575221238938</v>
      </c>
      <c r="CC179" s="216"/>
      <c r="CD179" s="223">
        <f>CD16/CD8</f>
        <v>0.21903547907371998</v>
      </c>
      <c r="CE179" s="216"/>
      <c r="CF179" s="222"/>
      <c r="CG179" s="213"/>
      <c r="CH179" s="210"/>
      <c r="CI179" s="223">
        <f>+CI16/CI8</f>
        <v>3.2648519769521156E-2</v>
      </c>
      <c r="CJ179" s="216"/>
      <c r="CK179" s="223">
        <f>CK16/CK8</f>
        <v>0.21903547907371998</v>
      </c>
      <c r="CL179" s="216"/>
      <c r="CM179" s="222"/>
      <c r="CN179" s="213"/>
      <c r="CO179" s="210"/>
      <c r="CP179" s="223">
        <f>+CP16/CP8</f>
        <v>4.6394054567666626E-2</v>
      </c>
      <c r="CQ179" s="223"/>
      <c r="CR179" s="223">
        <f>CR16/CR8</f>
        <v>0.219012214551248</v>
      </c>
      <c r="CS179" s="223"/>
      <c r="CT179" s="222"/>
      <c r="CU179" s="210"/>
      <c r="CV179" s="210"/>
      <c r="CW179" s="223">
        <f>+CW16/CW8</f>
        <v>7.741579177602799E-2</v>
      </c>
      <c r="CX179" s="216"/>
      <c r="CY179" s="223">
        <f>CY16/CY8</f>
        <v>0.219012214551248</v>
      </c>
      <c r="CZ179" s="216"/>
      <c r="DA179" s="222"/>
      <c r="DB179" s="213"/>
      <c r="DC179" s="210"/>
      <c r="DD179" s="223">
        <f>+DD16/DD8</f>
        <v>0.12375111534114569</v>
      </c>
      <c r="DE179" s="216"/>
      <c r="DF179" s="223">
        <f>DF16/DF8</f>
        <v>0.21897945905753322</v>
      </c>
      <c r="DG179" s="216"/>
      <c r="DH179" s="222"/>
      <c r="DI179" s="213"/>
      <c r="DJ179" s="210"/>
      <c r="DK179" s="223">
        <f>+DK16/DK8</f>
        <v>0.18294317410006791</v>
      </c>
      <c r="DL179" s="216"/>
      <c r="DM179" s="223">
        <f>DM16/DM8</f>
        <v>0.21897945905753322</v>
      </c>
      <c r="DN179" s="216"/>
      <c r="DO179" s="222"/>
      <c r="DP179" s="213"/>
      <c r="DQ179" s="210"/>
      <c r="DR179" s="223">
        <f>+DR16/DR8</f>
        <v>8.8274274192449695E-2</v>
      </c>
      <c r="DS179" s="216"/>
      <c r="DT179" s="223">
        <f>DT16/DT8</f>
        <v>0.21899474571230296</v>
      </c>
      <c r="DU179" s="216"/>
      <c r="DV179" s="222"/>
      <c r="DW179" s="213"/>
      <c r="DX179" s="210"/>
      <c r="DY179" s="223">
        <f>DY16/DY8</f>
        <v>8.8013128293232407E-2</v>
      </c>
      <c r="DZ179" s="212"/>
      <c r="EA179" s="221">
        <f>EA16/EA8</f>
        <v>0.22263833942709388</v>
      </c>
      <c r="EB179" s="212"/>
      <c r="EC179" s="220"/>
    </row>
    <row r="180" spans="1:133">
      <c r="A180" s="5" t="s">
        <v>172</v>
      </c>
      <c r="B180" s="5"/>
      <c r="C180" s="42" t="e">
        <f>(C15+C16)/(C7+C8)</f>
        <v>#DIV/0!</v>
      </c>
      <c r="D180" s="221"/>
      <c r="E180" s="19">
        <f>(E15+E16)/(E7+E8)</f>
        <v>0.27679736278072875</v>
      </c>
      <c r="F180" s="221"/>
      <c r="G180" s="31" t="e">
        <f>(E180-C180)*(#REF!+#REF!)</f>
        <v>#DIV/0!</v>
      </c>
      <c r="H180" s="212"/>
      <c r="I180" s="210"/>
      <c r="J180" s="42">
        <f>(J15+J16)/(J7+J8)</f>
        <v>0.26117461507230078</v>
      </c>
      <c r="K180" s="221"/>
      <c r="L180" s="19">
        <f>(L15+L16)/(L7+L8)</f>
        <v>0.27679646689636811</v>
      </c>
      <c r="M180" s="221"/>
      <c r="N180" s="31" t="e">
        <f>(L180-J180)*(#REF!+#REF!)</f>
        <v>#REF!</v>
      </c>
      <c r="O180" s="212"/>
      <c r="P180" s="210"/>
      <c r="Q180" s="42">
        <f>(Q15+Q16)/(Q7+Q8)</f>
        <v>0.16585042337501474</v>
      </c>
      <c r="R180" s="221"/>
      <c r="S180" s="19">
        <f>(S15+S16)/(S7+S8)</f>
        <v>0.27679646689636811</v>
      </c>
      <c r="T180" s="221"/>
      <c r="U180" s="31" t="e">
        <f>(S180-Q180)*(#REF!+#REF!)</f>
        <v>#REF!</v>
      </c>
      <c r="V180" s="212"/>
      <c r="W180" s="210"/>
      <c r="X180" s="42">
        <f>(X15+X16)/(X7+X8)</f>
        <v>0.21792933486822946</v>
      </c>
      <c r="Y180" s="221"/>
      <c r="Z180" s="19">
        <f>(Z15+Z16)/(Z7+Z8)</f>
        <v>0.27679674969909907</v>
      </c>
      <c r="AA180" s="221"/>
      <c r="AB180" s="31" t="e">
        <f>(Z180-X180)*(#REF!+#REF!)</f>
        <v>#REF!</v>
      </c>
      <c r="AC180" s="212"/>
      <c r="AD180" s="210"/>
      <c r="AE180" s="42" t="e">
        <f>(AE15+AE16)/(AE7+AE8)</f>
        <v>#DIV/0!</v>
      </c>
      <c r="AF180" s="221"/>
      <c r="AG180" s="19">
        <f>(AG15+AG16)/(AG7+AG8)</f>
        <v>0.27679646689636811</v>
      </c>
      <c r="AH180" s="221"/>
      <c r="AI180" s="70" t="e">
        <f>(AG180-AE180)*(#REF!+#REF!)</f>
        <v>#DIV/0!</v>
      </c>
      <c r="AJ180" s="210"/>
      <c r="AK180" s="210"/>
      <c r="AL180" s="42" t="e">
        <f>(AL15+AL16)/(AL7+AL8)</f>
        <v>#DIV/0!</v>
      </c>
      <c r="AM180" s="221"/>
      <c r="AN180" s="19">
        <f>(AN15+AN16)/(AN7+AN8)</f>
        <v>0.27679646689636811</v>
      </c>
      <c r="AO180" s="221"/>
      <c r="AP180" s="70" t="e">
        <f>(AN180-AL180)*(#REF!+#REF!)</f>
        <v>#DIV/0!</v>
      </c>
      <c r="AQ180" s="210"/>
      <c r="AR180" s="210"/>
      <c r="AS180" s="42" t="e">
        <f>(AS15+AS16)/(AS7+AS8)</f>
        <v>#DIV/0!</v>
      </c>
      <c r="AT180" s="221"/>
      <c r="AU180" s="19">
        <f>(AU15+AU16)/(AU7+AU8)</f>
        <v>0.27679646689636811</v>
      </c>
      <c r="AV180" s="221"/>
      <c r="AW180" s="70" t="e">
        <f>(AU180-AS180)*(#REF!+#REF!)</f>
        <v>#DIV/0!</v>
      </c>
      <c r="AX180" s="210"/>
      <c r="AY180" s="210"/>
      <c r="AZ180" s="42" t="e">
        <f>(AZ15+AZ16)/(AZ7+AZ8)</f>
        <v>#DIV/0!</v>
      </c>
      <c r="BA180" s="221"/>
      <c r="BB180" s="19">
        <f>(BB15+BB16)/(BB7+BB8)</f>
        <v>0.27679646689636811</v>
      </c>
      <c r="BC180" s="221"/>
      <c r="BD180" s="70" t="e">
        <f>(BB180-AZ180)*(#REF!+#REF!)</f>
        <v>#DIV/0!</v>
      </c>
      <c r="BE180" s="212"/>
      <c r="BF180" s="210"/>
      <c r="BG180" s="42" t="e">
        <f>+(BG15+BG16)/(BG7+BG8)</f>
        <v>#DIV/0!</v>
      </c>
      <c r="BH180" s="19"/>
      <c r="BI180" s="42" t="e">
        <f>(BI15+BI16)/(BI7+BI8)</f>
        <v>#DIV/0!</v>
      </c>
      <c r="BJ180" s="221"/>
      <c r="BK180" s="70" t="e">
        <f>(BI180-BG180)*(#REF!+#REF!)</f>
        <v>#DIV/0!</v>
      </c>
      <c r="BL180" s="212"/>
      <c r="BM180" s="210"/>
      <c r="BN180" s="42" t="e">
        <f>+(BN15+BN16)/(BN7+BN8)</f>
        <v>#DIV/0!</v>
      </c>
      <c r="BO180" s="40"/>
      <c r="BP180" s="42" t="e">
        <f>(BP15+BP16)/(BP7+BP8)</f>
        <v>#DIV/0!</v>
      </c>
      <c r="BQ180" s="216"/>
      <c r="BR180" s="75" t="e">
        <f>(BP180-BN180)*(#REF!+#REF!)</f>
        <v>#DIV/0!</v>
      </c>
      <c r="BS180" s="216"/>
      <c r="BT180" s="210"/>
      <c r="BU180" s="42">
        <f>+(BU15+BU16)/(BU7+BU8)</f>
        <v>0</v>
      </c>
      <c r="BV180" s="40"/>
      <c r="BW180" s="42" t="e">
        <f>(BW15+BW16)/(BW7+BW8)</f>
        <v>#DIV/0!</v>
      </c>
      <c r="BX180" s="216"/>
      <c r="BY180" s="75" t="e">
        <f>(BW180-BU180)*(#REF!+#REF!)</f>
        <v>#DIV/0!</v>
      </c>
      <c r="BZ180" s="213"/>
      <c r="CA180" s="210"/>
      <c r="CB180" s="42">
        <f>+(CB15+CB16)/(CB7+CB8)</f>
        <v>0.27274653672887333</v>
      </c>
      <c r="CC180" s="40"/>
      <c r="CD180" s="42">
        <f>(CD15+CD16)/(CD7+CD8)</f>
        <v>0.26703540096761819</v>
      </c>
      <c r="CE180" s="216"/>
      <c r="CF180" s="75" t="e">
        <f>(CD180-CB180)*(#REF!+#REF!)</f>
        <v>#REF!</v>
      </c>
      <c r="CG180" s="213"/>
      <c r="CH180" s="210"/>
      <c r="CI180" s="42">
        <f>+(CI15+CI16)/(CI7+CI8)</f>
        <v>0.25359743764302811</v>
      </c>
      <c r="CJ180" s="40"/>
      <c r="CK180" s="42">
        <f>(CK15+CK16)/(CK7+CK8)</f>
        <v>0.26703540096761819</v>
      </c>
      <c r="CL180" s="216"/>
      <c r="CM180" s="75" t="e">
        <f>(CK180-CI180)*(#REF!+#REF!)</f>
        <v>#REF!</v>
      </c>
      <c r="CN180" s="213"/>
      <c r="CO180" s="210"/>
      <c r="CP180" s="42">
        <f>+(CP15+CP16)/(CP7+CP8)</f>
        <v>0.27050319673693585</v>
      </c>
      <c r="CQ180" s="42"/>
      <c r="CR180" s="42">
        <f>(CR15+CR16)/(CR7+CR8)</f>
        <v>0.26702921415048814</v>
      </c>
      <c r="CS180" s="223"/>
      <c r="CT180" s="75" t="e">
        <f>(CR180-CP180)*(#REF!+#REF!)</f>
        <v>#REF!</v>
      </c>
      <c r="CU180" s="210"/>
      <c r="CV180" s="210"/>
      <c r="CW180" s="42">
        <f>+(CW15+CW16)/(CW7+CW8)</f>
        <v>0.28359302961687621</v>
      </c>
      <c r="CX180" s="40"/>
      <c r="CY180" s="42">
        <f>(CY15+CY16)/(CY7+CY8)</f>
        <v>0.26702921415048814</v>
      </c>
      <c r="CZ180" s="216"/>
      <c r="DA180" s="75" t="e">
        <f>(CY180-CW180)*(#REF!+#REF!)</f>
        <v>#REF!</v>
      </c>
      <c r="DB180" s="213"/>
      <c r="DC180" s="210"/>
      <c r="DD180" s="42">
        <f>+(DD15+DD16)/(DD7+DD8)</f>
        <v>0.29863893914740991</v>
      </c>
      <c r="DE180" s="40"/>
      <c r="DF180" s="42">
        <f>(DF15+DF16)/(DF7+DF8)</f>
        <v>0.26703081353803515</v>
      </c>
      <c r="DG180" s="216"/>
      <c r="DH180" s="75" t="e">
        <f>(DF180-DD180)*(#REF!+#REF!)</f>
        <v>#REF!</v>
      </c>
      <c r="DI180" s="213"/>
      <c r="DJ180" s="210"/>
      <c r="DK180" s="42">
        <f>+(DK15+DK16)/(DK7+DK8)</f>
        <v>0.27167970010470793</v>
      </c>
      <c r="DL180" s="40"/>
      <c r="DM180" s="42">
        <f>(DM15+DM16)/(DM7+DM8)</f>
        <v>0.26703081353803515</v>
      </c>
      <c r="DN180" s="216"/>
      <c r="DO180" s="75" t="e">
        <f>(DM180-DK180)*(#REF!+#REF!)</f>
        <v>#REF!</v>
      </c>
      <c r="DP180" s="213"/>
      <c r="DQ180" s="210"/>
      <c r="DR180" s="42">
        <f>+(DR15+DR16)/(DR7+DR8)</f>
        <v>0.28201257007395453</v>
      </c>
      <c r="DS180" s="40"/>
      <c r="DT180" s="42">
        <f>(DT15+DT16)/(DT7+DT8)</f>
        <v>0.26703006715594846</v>
      </c>
      <c r="DU180" s="216"/>
      <c r="DV180" s="75" t="e">
        <f>(DT180-DR180)*(#REF!+#REF!)</f>
        <v>#REF!</v>
      </c>
      <c r="DW180" s="213"/>
      <c r="DX180" s="210"/>
      <c r="DY180" s="42">
        <f>(DY15+DY16)/(DY7+DY8)</f>
        <v>0.26841372063179758</v>
      </c>
      <c r="DZ180" s="212"/>
      <c r="EA180" s="19">
        <f>(EA15+EA16)/(EA7+EA8)</f>
        <v>0.27295642064288417</v>
      </c>
      <c r="EB180" s="212"/>
      <c r="EC180" s="70" t="e">
        <f>(EA180-DY180)*(#REF!+#REF!)</f>
        <v>#REF!</v>
      </c>
    </row>
    <row r="181" spans="1:133">
      <c r="A181" s="5"/>
      <c r="B181" s="5"/>
      <c r="C181" s="223"/>
      <c r="D181" s="221"/>
      <c r="E181" s="221"/>
      <c r="F181" s="221"/>
      <c r="G181" s="212"/>
      <c r="H181" s="212"/>
      <c r="I181" s="210"/>
      <c r="J181" s="223"/>
      <c r="K181" s="221"/>
      <c r="L181" s="221"/>
      <c r="M181" s="221"/>
      <c r="N181" s="212"/>
      <c r="O181" s="212"/>
      <c r="P181" s="210"/>
      <c r="Q181" s="223"/>
      <c r="R181" s="221"/>
      <c r="S181" s="221"/>
      <c r="T181" s="221"/>
      <c r="U181" s="212"/>
      <c r="V181" s="212"/>
      <c r="W181" s="210"/>
      <c r="X181" s="223"/>
      <c r="Y181" s="221"/>
      <c r="Z181" s="221"/>
      <c r="AA181" s="221"/>
      <c r="AB181" s="212"/>
      <c r="AC181" s="212"/>
      <c r="AD181" s="210"/>
      <c r="AE181" s="223"/>
      <c r="AF181" s="221"/>
      <c r="AG181" s="221"/>
      <c r="AH181" s="221"/>
      <c r="AI181" s="220"/>
      <c r="AJ181" s="210"/>
      <c r="AK181" s="210"/>
      <c r="AL181" s="223"/>
      <c r="AM181" s="221"/>
      <c r="AN181" s="221"/>
      <c r="AO181" s="221"/>
      <c r="AP181" s="220"/>
      <c r="AQ181" s="210"/>
      <c r="AR181" s="210"/>
      <c r="AS181" s="223"/>
      <c r="AT181" s="221"/>
      <c r="AU181" s="221"/>
      <c r="AV181" s="221"/>
      <c r="AW181" s="220"/>
      <c r="AX181" s="210"/>
      <c r="AY181" s="210"/>
      <c r="AZ181" s="223"/>
      <c r="BA181" s="221"/>
      <c r="BB181" s="221"/>
      <c r="BC181" s="221"/>
      <c r="BD181" s="220"/>
      <c r="BE181" s="212"/>
      <c r="BF181" s="210"/>
      <c r="BG181" s="223"/>
      <c r="BH181" s="221"/>
      <c r="BI181" s="223"/>
      <c r="BJ181" s="221"/>
      <c r="BK181" s="220"/>
      <c r="BL181" s="212"/>
      <c r="BM181" s="210"/>
      <c r="BN181" s="223"/>
      <c r="BO181" s="216"/>
      <c r="BP181" s="223"/>
      <c r="BQ181" s="216"/>
      <c r="BR181" s="222"/>
      <c r="BS181" s="216"/>
      <c r="BT181" s="210"/>
      <c r="BU181" s="223"/>
      <c r="BV181" s="216"/>
      <c r="BW181" s="223"/>
      <c r="BX181" s="216"/>
      <c r="BY181" s="222"/>
      <c r="BZ181" s="213"/>
      <c r="CA181" s="210"/>
      <c r="CB181" s="223"/>
      <c r="CC181" s="216"/>
      <c r="CD181" s="223"/>
      <c r="CE181" s="216"/>
      <c r="CF181" s="222"/>
      <c r="CG181" s="213"/>
      <c r="CH181" s="210"/>
      <c r="CI181" s="223"/>
      <c r="CJ181" s="216"/>
      <c r="CK181" s="223"/>
      <c r="CL181" s="216"/>
      <c r="CM181" s="222"/>
      <c r="CN181" s="213"/>
      <c r="CO181" s="210"/>
      <c r="CP181" s="223"/>
      <c r="CQ181" s="223"/>
      <c r="CR181" s="223"/>
      <c r="CS181" s="223"/>
      <c r="CT181" s="222"/>
      <c r="CU181" s="210"/>
      <c r="CV181" s="210"/>
      <c r="CW181" s="223"/>
      <c r="CX181" s="216"/>
      <c r="CY181" s="223"/>
      <c r="CZ181" s="216"/>
      <c r="DA181" s="222"/>
      <c r="DB181" s="213"/>
      <c r="DC181" s="210"/>
      <c r="DD181" s="223"/>
      <c r="DE181" s="216"/>
      <c r="DF181" s="223"/>
      <c r="DG181" s="216"/>
      <c r="DH181" s="222"/>
      <c r="DI181" s="213"/>
      <c r="DJ181" s="210"/>
      <c r="DK181" s="223"/>
      <c r="DL181" s="216"/>
      <c r="DM181" s="223"/>
      <c r="DN181" s="216"/>
      <c r="DO181" s="222"/>
      <c r="DP181" s="213"/>
      <c r="DQ181" s="210"/>
      <c r="DR181" s="223"/>
      <c r="DS181" s="216"/>
      <c r="DT181" s="223"/>
      <c r="DU181" s="216"/>
      <c r="DV181" s="222"/>
      <c r="DW181" s="213"/>
      <c r="DX181" s="210"/>
      <c r="DY181" s="223"/>
      <c r="DZ181" s="212"/>
      <c r="EA181" s="221"/>
      <c r="EB181" s="212"/>
      <c r="EC181" s="220"/>
    </row>
    <row r="182" spans="1:133">
      <c r="A182" s="5" t="s">
        <v>173</v>
      </c>
      <c r="B182" s="5"/>
      <c r="C182" s="223"/>
      <c r="D182" s="221"/>
      <c r="E182" s="221"/>
      <c r="F182" s="221"/>
      <c r="G182" s="212"/>
      <c r="H182" s="212"/>
      <c r="I182" s="210"/>
      <c r="J182" s="223"/>
      <c r="K182" s="221"/>
      <c r="L182" s="221"/>
      <c r="M182" s="221"/>
      <c r="N182" s="212"/>
      <c r="O182" s="212"/>
      <c r="P182" s="210"/>
      <c r="Q182" s="223"/>
      <c r="R182" s="221"/>
      <c r="S182" s="221"/>
      <c r="T182" s="221"/>
      <c r="U182" s="212"/>
      <c r="V182" s="212"/>
      <c r="W182" s="210"/>
      <c r="X182" s="223"/>
      <c r="Y182" s="221"/>
      <c r="Z182" s="221"/>
      <c r="AA182" s="221"/>
      <c r="AB182" s="212"/>
      <c r="AC182" s="212"/>
      <c r="AD182" s="210"/>
      <c r="AE182" s="223"/>
      <c r="AF182" s="221"/>
      <c r="AG182" s="221"/>
      <c r="AH182" s="221"/>
      <c r="AI182" s="220"/>
      <c r="AJ182" s="210"/>
      <c r="AK182" s="210"/>
      <c r="AL182" s="223"/>
      <c r="AM182" s="221"/>
      <c r="AN182" s="221"/>
      <c r="AO182" s="221"/>
      <c r="AP182" s="220"/>
      <c r="AQ182" s="210"/>
      <c r="AR182" s="210"/>
      <c r="AS182" s="223"/>
      <c r="AT182" s="221"/>
      <c r="AU182" s="221"/>
      <c r="AV182" s="221"/>
      <c r="AW182" s="220"/>
      <c r="AX182" s="210"/>
      <c r="AY182" s="210"/>
      <c r="AZ182" s="223"/>
      <c r="BA182" s="221"/>
      <c r="BB182" s="221"/>
      <c r="BC182" s="221"/>
      <c r="BD182" s="220"/>
      <c r="BE182" s="212"/>
      <c r="BF182" s="210"/>
      <c r="BG182" s="223"/>
      <c r="BH182" s="221"/>
      <c r="BI182" s="223"/>
      <c r="BJ182" s="221"/>
      <c r="BK182" s="220"/>
      <c r="BL182" s="212"/>
      <c r="BM182" s="210"/>
      <c r="BN182" s="223"/>
      <c r="BO182" s="216"/>
      <c r="BP182" s="223"/>
      <c r="BQ182" s="216"/>
      <c r="BR182" s="222"/>
      <c r="BS182" s="216"/>
      <c r="BT182" s="210"/>
      <c r="BU182" s="223"/>
      <c r="BV182" s="216"/>
      <c r="BW182" s="223"/>
      <c r="BX182" s="216"/>
      <c r="BY182" s="222"/>
      <c r="BZ182" s="213"/>
      <c r="CA182" s="210"/>
      <c r="CB182" s="223"/>
      <c r="CC182" s="216"/>
      <c r="CD182" s="223"/>
      <c r="CE182" s="216"/>
      <c r="CF182" s="222"/>
      <c r="CG182" s="213"/>
      <c r="CH182" s="210"/>
      <c r="CI182" s="223"/>
      <c r="CJ182" s="216"/>
      <c r="CK182" s="223"/>
      <c r="CL182" s="216"/>
      <c r="CM182" s="222"/>
      <c r="CN182" s="213"/>
      <c r="CO182" s="210"/>
      <c r="CP182" s="223"/>
      <c r="CQ182" s="223"/>
      <c r="CR182" s="223"/>
      <c r="CS182" s="223"/>
      <c r="CT182" s="222"/>
      <c r="CU182" s="210"/>
      <c r="CV182" s="210"/>
      <c r="CW182" s="223"/>
      <c r="CX182" s="216"/>
      <c r="CY182" s="223"/>
      <c r="CZ182" s="216"/>
      <c r="DA182" s="222"/>
      <c r="DB182" s="213"/>
      <c r="DC182" s="210"/>
      <c r="DD182" s="223"/>
      <c r="DE182" s="216"/>
      <c r="DF182" s="223"/>
      <c r="DG182" s="216"/>
      <c r="DH182" s="222"/>
      <c r="DI182" s="213"/>
      <c r="DJ182" s="210"/>
      <c r="DK182" s="223"/>
      <c r="DL182" s="216"/>
      <c r="DM182" s="223"/>
      <c r="DN182" s="216"/>
      <c r="DO182" s="222"/>
      <c r="DP182" s="213"/>
      <c r="DQ182" s="210"/>
      <c r="DR182" s="223"/>
      <c r="DS182" s="216"/>
      <c r="DT182" s="223"/>
      <c r="DU182" s="216"/>
      <c r="DV182" s="222"/>
      <c r="DW182" s="213"/>
      <c r="DX182" s="210"/>
      <c r="DY182" s="223"/>
      <c r="DZ182" s="212"/>
      <c r="EA182" s="221"/>
      <c r="EB182" s="212"/>
      <c r="EC182" s="220"/>
    </row>
    <row r="183" spans="1:133">
      <c r="A183" s="27" t="s">
        <v>30</v>
      </c>
      <c r="B183" s="27"/>
      <c r="C183" s="223" t="e">
        <f>C17/C7</f>
        <v>#DIV/0!</v>
      </c>
      <c r="D183" s="221"/>
      <c r="E183" s="221">
        <f>E15/E7</f>
        <v>0.28000247379325272</v>
      </c>
      <c r="F183" s="221"/>
      <c r="G183" s="212" t="e">
        <f>(E183-C183)*C7</f>
        <v>#DIV/0!</v>
      </c>
      <c r="H183" s="212"/>
      <c r="I183" s="210"/>
      <c r="J183" s="223">
        <f>J15/J7</f>
        <v>0.26767704178382262</v>
      </c>
      <c r="K183" s="221"/>
      <c r="L183" s="221">
        <f>L15/L7</f>
        <v>0.28000000000000003</v>
      </c>
      <c r="M183" s="221"/>
      <c r="N183" s="212">
        <f>(L183-J183)*J7</f>
        <v>1130.7300000000062</v>
      </c>
      <c r="O183" s="212"/>
      <c r="P183" s="210"/>
      <c r="Q183" s="223">
        <f>Q15/Q7</f>
        <v>0.18362160037360015</v>
      </c>
      <c r="R183" s="221"/>
      <c r="S183" s="221">
        <f>S15/S7</f>
        <v>0.28000000000000003</v>
      </c>
      <c r="T183" s="221"/>
      <c r="U183" s="212">
        <f>(S183-Q183)*Q7</f>
        <v>7250.0468000000019</v>
      </c>
      <c r="V183" s="212"/>
      <c r="W183" s="210"/>
      <c r="X183" s="223">
        <f>X15/X7</f>
        <v>0.22981054157610592</v>
      </c>
      <c r="Y183" s="221"/>
      <c r="Z183" s="221">
        <f>Z15/Z7</f>
        <v>0.28000078089804681</v>
      </c>
      <c r="AA183" s="221"/>
      <c r="AB183" s="212">
        <f>(Z183-X183)*X7</f>
        <v>8380.9071965501844</v>
      </c>
      <c r="AC183" s="212"/>
      <c r="AD183" s="210"/>
      <c r="AE183" s="223" t="e">
        <f>AE15/AE7</f>
        <v>#DIV/0!</v>
      </c>
      <c r="AF183" s="221"/>
      <c r="AG183" s="221">
        <f>AG15/AG7</f>
        <v>0.28000000000000003</v>
      </c>
      <c r="AH183" s="221"/>
      <c r="AI183" s="220" t="e">
        <f>(AG183-AE183)*AE7</f>
        <v>#DIV/0!</v>
      </c>
      <c r="AJ183" s="210"/>
      <c r="AK183" s="210"/>
      <c r="AL183" s="223" t="e">
        <f>AL15/AL7</f>
        <v>#DIV/0!</v>
      </c>
      <c r="AM183" s="221"/>
      <c r="AN183" s="221">
        <f>AN15/AN7</f>
        <v>0.28000000000000003</v>
      </c>
      <c r="AO183" s="221"/>
      <c r="AP183" s="220" t="e">
        <f>(AN183-AL183)*AL7</f>
        <v>#DIV/0!</v>
      </c>
      <c r="AQ183" s="210"/>
      <c r="AR183" s="210"/>
      <c r="AS183" s="223" t="e">
        <f>AS15/AS7</f>
        <v>#DIV/0!</v>
      </c>
      <c r="AT183" s="221"/>
      <c r="AU183" s="221">
        <f>AU15/AU7</f>
        <v>0.28000000000000003</v>
      </c>
      <c r="AV183" s="221"/>
      <c r="AW183" s="220" t="e">
        <f>(AU183-AS183)*AS7</f>
        <v>#DIV/0!</v>
      </c>
      <c r="AX183" s="210"/>
      <c r="AY183" s="210"/>
      <c r="AZ183" s="223" t="e">
        <f>AZ15/AZ7</f>
        <v>#DIV/0!</v>
      </c>
      <c r="BA183" s="221"/>
      <c r="BB183" s="221">
        <f>BB15/BB7</f>
        <v>0.28000000000000003</v>
      </c>
      <c r="BC183" s="221"/>
      <c r="BD183" s="220" t="e">
        <f>(BB183-AZ183)*AZ7</f>
        <v>#DIV/0!</v>
      </c>
      <c r="BE183" s="212"/>
      <c r="BF183" s="210"/>
      <c r="BG183" s="223" t="e">
        <f>+BG18/BG10</f>
        <v>#DIV/0!</v>
      </c>
      <c r="BH183" s="221"/>
      <c r="BI183" s="223" t="e">
        <f>BI15/BI7</f>
        <v>#DIV/0!</v>
      </c>
      <c r="BJ183" s="221"/>
      <c r="BK183" s="220" t="e">
        <f>(BI183-BG183)*BG7</f>
        <v>#DIV/0!</v>
      </c>
      <c r="BL183" s="212"/>
      <c r="BM183" s="210"/>
      <c r="BN183" s="223" t="e">
        <f>+BN18/BN10</f>
        <v>#DIV/0!</v>
      </c>
      <c r="BO183" s="216"/>
      <c r="BP183" s="223" t="e">
        <f>BP15/BP7</f>
        <v>#DIV/0!</v>
      </c>
      <c r="BQ183" s="216"/>
      <c r="BR183" s="222" t="e">
        <f>(BP183-BN183)*BN7</f>
        <v>#DIV/0!</v>
      </c>
      <c r="BS183" s="216"/>
      <c r="BT183" s="210"/>
      <c r="BU183" s="223">
        <f>+BU18/BU10</f>
        <v>0</v>
      </c>
      <c r="BV183" s="216"/>
      <c r="BW183" s="223" t="e">
        <f>BW15/BW7</f>
        <v>#DIV/0!</v>
      </c>
      <c r="BX183" s="216"/>
      <c r="BY183" s="222" t="e">
        <f>(BW183-BU183)*BU7</f>
        <v>#DIV/0!</v>
      </c>
      <c r="BZ183" s="213"/>
      <c r="CA183" s="210"/>
      <c r="CB183" s="223">
        <f>+CB18/CB10</f>
        <v>-0.15101873235822427</v>
      </c>
      <c r="CC183" s="216"/>
      <c r="CD183" s="223">
        <f>CD15/CD7</f>
        <v>0.27000394166338193</v>
      </c>
      <c r="CE183" s="216"/>
      <c r="CF183" s="222">
        <f>(CD183-CB183)*CB7</f>
        <v>21547.532064432005</v>
      </c>
      <c r="CG183" s="213"/>
      <c r="CH183" s="210"/>
      <c r="CI183" s="223">
        <f>+CI18/CI10</f>
        <v>-6.9983859810929208E-2</v>
      </c>
      <c r="CJ183" s="216"/>
      <c r="CK183" s="223">
        <f>CK15/CK7</f>
        <v>0.27000394166338193</v>
      </c>
      <c r="CL183" s="216"/>
      <c r="CM183" s="222">
        <f>(CK183-CI183)*CI7</f>
        <v>19175.696189366812</v>
      </c>
      <c r="CN183" s="213"/>
      <c r="CO183" s="210"/>
      <c r="CP183" s="223">
        <f>+CP18/CP10</f>
        <v>0.39910847819753326</v>
      </c>
      <c r="CQ183" s="223"/>
      <c r="CR183" s="223">
        <f>CR15/CR7</f>
        <v>0.26999914596732338</v>
      </c>
      <c r="CS183" s="223"/>
      <c r="CT183" s="222">
        <f>(CR183-CP183)*CP7</f>
        <v>-19338.481232530023</v>
      </c>
      <c r="CU183" s="210"/>
      <c r="CV183" s="210"/>
      <c r="CW183" s="223">
        <f>+CW18/CW10</f>
        <v>0.18202719205405846</v>
      </c>
      <c r="CX183" s="216"/>
      <c r="CY183" s="223">
        <f>CY15/CY7</f>
        <v>0.26999914596732338</v>
      </c>
      <c r="CZ183" s="216"/>
      <c r="DA183" s="222">
        <f>(CY183-CW183)*CW7</f>
        <v>16384.687564672138</v>
      </c>
      <c r="DB183" s="213"/>
      <c r="DC183" s="210"/>
      <c r="DD183" s="223">
        <f>+DD18/DD10</f>
        <v>0.23699479467900522</v>
      </c>
      <c r="DE183" s="216"/>
      <c r="DF183" s="223">
        <f>DF15/DF7</f>
        <v>0.27000258672721522</v>
      </c>
      <c r="DG183" s="216"/>
      <c r="DH183" s="222">
        <f>(DF183-DD183)*DD7</f>
        <v>5287.5003839950532</v>
      </c>
      <c r="DI183" s="213"/>
      <c r="DJ183" s="210"/>
      <c r="DK183" s="223">
        <f>+DK18/DK10</f>
        <v>0.21731691297208539</v>
      </c>
      <c r="DL183" s="216"/>
      <c r="DM183" s="223">
        <f>DM15/DM7</f>
        <v>0.27000258672721522</v>
      </c>
      <c r="DN183" s="216"/>
      <c r="DO183" s="222">
        <f>(DM183-DK183)*DK7</f>
        <v>5979.9024728611321</v>
      </c>
      <c r="DP183" s="213"/>
      <c r="DQ183" s="210"/>
      <c r="DR183" s="223">
        <f>+DR18/DR10</f>
        <v>0.26042449417124486</v>
      </c>
      <c r="DS183" s="216"/>
      <c r="DT183" s="223">
        <f>DT15/DT7</f>
        <v>0.27000098104137543</v>
      </c>
      <c r="DU183" s="216"/>
      <c r="DV183" s="222">
        <f>(DT183-DR183)*DR7</f>
        <v>5839.0110074574322</v>
      </c>
      <c r="DW183" s="213"/>
      <c r="DX183" s="210"/>
      <c r="DY183" s="223">
        <f>DY15/DY7</f>
        <v>0.27881951724749521</v>
      </c>
      <c r="DZ183" s="212"/>
      <c r="EA183" s="221">
        <f>EA15/EA7</f>
        <v>0.27606852181858693</v>
      </c>
      <c r="EB183" s="212"/>
      <c r="EC183" s="220">
        <f>(EA183-DY183)*DY7</f>
        <v>-2291.8753094285612</v>
      </c>
    </row>
    <row r="184" spans="1:133">
      <c r="A184" s="27" t="s">
        <v>29</v>
      </c>
      <c r="B184" s="27"/>
      <c r="C184" s="223" t="e">
        <f>C18/C8</f>
        <v>#DIV/0!</v>
      </c>
      <c r="D184" s="221"/>
      <c r="E184" s="221">
        <f>E16/E8</f>
        <v>0.22497750224977503</v>
      </c>
      <c r="F184" s="221"/>
      <c r="G184" s="212" t="e">
        <f>(E184-C184)*C8</f>
        <v>#DIV/0!</v>
      </c>
      <c r="H184" s="212"/>
      <c r="I184" s="210"/>
      <c r="J184" s="223">
        <f>J16/J8</f>
        <v>0.12238660153524075</v>
      </c>
      <c r="K184" s="221"/>
      <c r="L184" s="221">
        <f>L16/L8</f>
        <v>0.22500000000000001</v>
      </c>
      <c r="M184" s="221"/>
      <c r="N184" s="212">
        <f>(L184-J184)*J8</f>
        <v>441.13500000000005</v>
      </c>
      <c r="O184" s="212"/>
      <c r="P184" s="210"/>
      <c r="Q184" s="223">
        <f>Q16/Q8</f>
        <v>-0.12867179702973569</v>
      </c>
      <c r="R184" s="221"/>
      <c r="S184" s="221">
        <f>S16/S8</f>
        <v>0.22500000000000001</v>
      </c>
      <c r="T184" s="221"/>
      <c r="U184" s="212">
        <f>(S184-Q184)*Q8</f>
        <v>1605.3127500000001</v>
      </c>
      <c r="V184" s="212"/>
      <c r="W184" s="210"/>
      <c r="X184" s="223">
        <f>X16/X8</f>
        <v>-6.5512633528664295E-3</v>
      </c>
      <c r="Y184" s="221"/>
      <c r="Z184" s="221">
        <f>Z16/Z8</f>
        <v>0.22499289797529559</v>
      </c>
      <c r="AA184" s="221"/>
      <c r="AB184" s="212">
        <f>(Z184-X184)*X8</f>
        <v>2046.3849823766827</v>
      </c>
      <c r="AC184" s="212"/>
      <c r="AD184" s="210"/>
      <c r="AE184" s="223" t="e">
        <f>AE16/AE8</f>
        <v>#DIV/0!</v>
      </c>
      <c r="AF184" s="221"/>
      <c r="AG184" s="221">
        <f>AG16/AG8</f>
        <v>0.22499999999999998</v>
      </c>
      <c r="AH184" s="221"/>
      <c r="AI184" s="220" t="e">
        <f>(AG184-AE184)*AE8</f>
        <v>#DIV/0!</v>
      </c>
      <c r="AJ184" s="210"/>
      <c r="AK184" s="210"/>
      <c r="AL184" s="223" t="e">
        <f>AL16/AL8</f>
        <v>#DIV/0!</v>
      </c>
      <c r="AM184" s="221"/>
      <c r="AN184" s="221">
        <f>AN16/AN8</f>
        <v>0.22500000000000001</v>
      </c>
      <c r="AO184" s="221"/>
      <c r="AP184" s="220" t="e">
        <f>(AN184-AL184)*AL8</f>
        <v>#DIV/0!</v>
      </c>
      <c r="AQ184" s="210"/>
      <c r="AR184" s="210"/>
      <c r="AS184" s="223" t="e">
        <f>AS16/AS8</f>
        <v>#DIV/0!</v>
      </c>
      <c r="AT184" s="221"/>
      <c r="AU184" s="221">
        <f>AU16/AU8</f>
        <v>0.22500000000000001</v>
      </c>
      <c r="AV184" s="221"/>
      <c r="AW184" s="220" t="e">
        <f>(AU184-AS184)*AS8</f>
        <v>#DIV/0!</v>
      </c>
      <c r="AX184" s="210"/>
      <c r="AY184" s="210"/>
      <c r="AZ184" s="223" t="e">
        <f>AZ16/AZ8</f>
        <v>#DIV/0!</v>
      </c>
      <c r="BA184" s="221"/>
      <c r="BB184" s="221">
        <f>BB16/BB8</f>
        <v>0.22499999999999998</v>
      </c>
      <c r="BC184" s="221"/>
      <c r="BD184" s="220" t="e">
        <f>(BB184-AZ184)*AZ8</f>
        <v>#DIV/0!</v>
      </c>
      <c r="BE184" s="212"/>
      <c r="BF184" s="210"/>
      <c r="BG184" s="223" t="e">
        <f>+BG17/BG9</f>
        <v>#DIV/0!</v>
      </c>
      <c r="BH184" s="221"/>
      <c r="BI184" s="223" t="e">
        <f>BI16/BI8</f>
        <v>#DIV/0!</v>
      </c>
      <c r="BJ184" s="221"/>
      <c r="BK184" s="220" t="e">
        <f>(BI184-BG184)*BG8</f>
        <v>#DIV/0!</v>
      </c>
      <c r="BL184" s="212"/>
      <c r="BM184" s="210"/>
      <c r="BN184" s="223" t="e">
        <f>+BN17/BN9</f>
        <v>#DIV/0!</v>
      </c>
      <c r="BO184" s="216"/>
      <c r="BP184" s="223" t="e">
        <f>BP16/BP8</f>
        <v>#DIV/0!</v>
      </c>
      <c r="BQ184" s="216"/>
      <c r="BR184" s="222" t="e">
        <f>(BP184-BN184)*BN8</f>
        <v>#DIV/0!</v>
      </c>
      <c r="BS184" s="216"/>
      <c r="BT184" s="210"/>
      <c r="BU184" s="223">
        <f>+BU17/BU9</f>
        <v>0</v>
      </c>
      <c r="BV184" s="216"/>
      <c r="BW184" s="223" t="e">
        <f>BW16/BW8</f>
        <v>#DIV/0!</v>
      </c>
      <c r="BX184" s="216"/>
      <c r="BY184" s="222" t="e">
        <f>(BW184-BU184)*BU8</f>
        <v>#DIV/0!</v>
      </c>
      <c r="BZ184" s="213"/>
      <c r="CA184" s="210"/>
      <c r="CB184" s="223">
        <f>+CB17/CB9</f>
        <v>0.16758652025747822</v>
      </c>
      <c r="CC184" s="216"/>
      <c r="CD184" s="223">
        <f>CD16/CD8</f>
        <v>0.21903547907371998</v>
      </c>
      <c r="CE184" s="216"/>
      <c r="CF184" s="222">
        <f>(CD184-CB184)*CB8</f>
        <v>110.46091457847105</v>
      </c>
      <c r="CG184" s="213"/>
      <c r="CH184" s="210"/>
      <c r="CI184" s="223">
        <f>+CI17/CI9</f>
        <v>0.22074698950350957</v>
      </c>
      <c r="CJ184" s="216"/>
      <c r="CK184" s="223">
        <f>CK16/CK8</f>
        <v>0.21903547907371998</v>
      </c>
      <c r="CL184" s="216"/>
      <c r="CM184" s="222">
        <f>(CK184-CI184)*CI8</f>
        <v>-4.307015996565509</v>
      </c>
      <c r="CN184" s="213"/>
      <c r="CO184" s="210"/>
      <c r="CP184" s="223">
        <f>+CP17/CP9</f>
        <v>0.19546591440902711</v>
      </c>
      <c r="CQ184" s="223"/>
      <c r="CR184" s="223">
        <f>CR16/CR8</f>
        <v>0.219012214551248</v>
      </c>
      <c r="CS184" s="223"/>
      <c r="CT184" s="222">
        <f>(CR184-CP184)*CP8</f>
        <v>346.93118629548263</v>
      </c>
      <c r="CU184" s="210"/>
      <c r="CV184" s="210"/>
      <c r="CW184" s="223">
        <f>+CW17/CW9</f>
        <v>0.20974295468237497</v>
      </c>
      <c r="CX184" s="216"/>
      <c r="CY184" s="223">
        <f>CY16/CY8</f>
        <v>0.219012214551248</v>
      </c>
      <c r="CZ184" s="216"/>
      <c r="DA184" s="222">
        <f>(CY184-CW184)*CW8</f>
        <v>84.758112240974995</v>
      </c>
      <c r="DB184" s="213"/>
      <c r="DC184" s="210"/>
      <c r="DD184" s="223">
        <f>+DD17/DD9</f>
        <v>0.14827449141376922</v>
      </c>
      <c r="DE184" s="216"/>
      <c r="DF184" s="223">
        <f>DF16/DF8</f>
        <v>0.21897945905753322</v>
      </c>
      <c r="DG184" s="216"/>
      <c r="DH184" s="222">
        <f>(DF184-DD184)*DD8</f>
        <v>594.31060552965823</v>
      </c>
      <c r="DI184" s="213"/>
      <c r="DJ184" s="210"/>
      <c r="DK184" s="223">
        <f>+DK17/DK9</f>
        <v>0.20564265600872014</v>
      </c>
      <c r="DL184" s="216"/>
      <c r="DM184" s="223">
        <f>DM16/DM8</f>
        <v>0.21897945905753322</v>
      </c>
      <c r="DN184" s="216"/>
      <c r="DO184" s="222">
        <f>(DM184-DK184)*DK8</f>
        <v>58.908659066607342</v>
      </c>
      <c r="DP184" s="213"/>
      <c r="DQ184" s="210"/>
      <c r="DR184" s="223">
        <f>+DR17/DR9</f>
        <v>0.18714121989898586</v>
      </c>
      <c r="DS184" s="216"/>
      <c r="DT184" s="223">
        <f>DT16/DT8</f>
        <v>0.21899474571230296</v>
      </c>
      <c r="DU184" s="216"/>
      <c r="DV184" s="222">
        <f>(DT184-DR184)*DR8</f>
        <v>1169.0403241116444</v>
      </c>
      <c r="DW184" s="213"/>
      <c r="DX184" s="210"/>
      <c r="DY184" s="223">
        <f>DY16/DY8</f>
        <v>8.8013128293232407E-2</v>
      </c>
      <c r="DZ184" s="212"/>
      <c r="EA184" s="221">
        <f>EA16/EA8</f>
        <v>0.22263833942709388</v>
      </c>
      <c r="EB184" s="212"/>
      <c r="EC184" s="220">
        <f>(EA184-DY184)*DY8</f>
        <v>6469.4131747856018</v>
      </c>
    </row>
    <row r="185" spans="1:133">
      <c r="A185" s="27" t="s">
        <v>31</v>
      </c>
      <c r="B185" s="27"/>
      <c r="C185" s="223" t="e">
        <f>C19/C9</f>
        <v>#DIV/0!</v>
      </c>
      <c r="D185" s="221"/>
      <c r="E185" s="221">
        <f>E17/E9</f>
        <v>0.16799258229021791</v>
      </c>
      <c r="F185" s="221"/>
      <c r="G185" s="212" t="e">
        <f>(E185-C185)*C9</f>
        <v>#DIV/0!</v>
      </c>
      <c r="H185" s="212"/>
      <c r="I185" s="210"/>
      <c r="J185" s="223">
        <f>J17/J9</f>
        <v>0.13642089894670978</v>
      </c>
      <c r="K185" s="221"/>
      <c r="L185" s="221">
        <f>L17/L9</f>
        <v>0.16799999999999998</v>
      </c>
      <c r="M185" s="221"/>
      <c r="N185" s="212">
        <f>(L185-J185)*J9</f>
        <v>908.43599999999924</v>
      </c>
      <c r="O185" s="212"/>
      <c r="P185" s="210"/>
      <c r="Q185" s="223">
        <f>Q17/Q9</f>
        <v>0.1428754612456781</v>
      </c>
      <c r="R185" s="221"/>
      <c r="S185" s="221">
        <f>S17/S9</f>
        <v>0.16800000000000001</v>
      </c>
      <c r="T185" s="221"/>
      <c r="U185" s="212">
        <f>(S185-Q185)*Q9</f>
        <v>648.54600000000005</v>
      </c>
      <c r="V185" s="212"/>
      <c r="W185" s="210"/>
      <c r="X185" s="223">
        <f>X17/X9</f>
        <v>0.13947352751224115</v>
      </c>
      <c r="Y185" s="221"/>
      <c r="Z185" s="221">
        <f>Z17/Z9</f>
        <v>0.16799765845302683</v>
      </c>
      <c r="AA185" s="221"/>
      <c r="AB185" s="212">
        <f>(Z185-X185)*X9</f>
        <v>1556.8541977808177</v>
      </c>
      <c r="AC185" s="212"/>
      <c r="AD185" s="210"/>
      <c r="AE185" s="223" t="e">
        <f>AE17/AE9</f>
        <v>#DIV/0!</v>
      </c>
      <c r="AF185" s="221"/>
      <c r="AG185" s="221">
        <f>AG17/AG9</f>
        <v>0.16800000000000001</v>
      </c>
      <c r="AH185" s="221"/>
      <c r="AI185" s="220" t="e">
        <f>(AG185-AE185)*AE9</f>
        <v>#DIV/0!</v>
      </c>
      <c r="AJ185" s="210"/>
      <c r="AK185" s="210"/>
      <c r="AL185" s="223" t="e">
        <f>AL17/AL9</f>
        <v>#DIV/0!</v>
      </c>
      <c r="AM185" s="221"/>
      <c r="AN185" s="221">
        <f>AN17/AN9</f>
        <v>0.16800000000000001</v>
      </c>
      <c r="AO185" s="221"/>
      <c r="AP185" s="220" t="e">
        <f>(AN185-AL185)*AL9</f>
        <v>#DIV/0!</v>
      </c>
      <c r="AQ185" s="210"/>
      <c r="AR185" s="210"/>
      <c r="AS185" s="223" t="e">
        <f>AS17/AS9</f>
        <v>#DIV/0!</v>
      </c>
      <c r="AT185" s="221"/>
      <c r="AU185" s="221">
        <f>AU17/AU9</f>
        <v>0.16800000000000001</v>
      </c>
      <c r="AV185" s="221"/>
      <c r="AW185" s="220" t="e">
        <f>(AU185-AS185)*AS9</f>
        <v>#DIV/0!</v>
      </c>
      <c r="AX185" s="210"/>
      <c r="AY185" s="210"/>
      <c r="AZ185" s="223" t="e">
        <f>AZ17/AZ9</f>
        <v>#DIV/0!</v>
      </c>
      <c r="BA185" s="221"/>
      <c r="BB185" s="221">
        <f>BB17/BB9</f>
        <v>0.16800000000000001</v>
      </c>
      <c r="BC185" s="221"/>
      <c r="BD185" s="220" t="e">
        <f>(BB185-AZ185)*AZ9</f>
        <v>#DIV/0!</v>
      </c>
      <c r="BE185" s="212"/>
      <c r="BF185" s="210"/>
      <c r="BG185" s="223" t="e">
        <f>+BG19/BG11</f>
        <v>#DIV/0!</v>
      </c>
      <c r="BH185" s="221"/>
      <c r="BI185" s="223" t="e">
        <f>BI17/BI9</f>
        <v>#DIV/0!</v>
      </c>
      <c r="BJ185" s="221"/>
      <c r="BK185" s="220" t="e">
        <f>(BI185-BG185)*BG9</f>
        <v>#DIV/0!</v>
      </c>
      <c r="BL185" s="212"/>
      <c r="BM185" s="210"/>
      <c r="BN185" s="223" t="e">
        <f>+BN19/BN11</f>
        <v>#DIV/0!</v>
      </c>
      <c r="BO185" s="216"/>
      <c r="BP185" s="223" t="e">
        <f>BP17/BP9</f>
        <v>#DIV/0!</v>
      </c>
      <c r="BQ185" s="216"/>
      <c r="BR185" s="222" t="e">
        <f>(BP185-BN185)*BN9</f>
        <v>#DIV/0!</v>
      </c>
      <c r="BS185" s="216"/>
      <c r="BT185" s="210"/>
      <c r="BU185" s="223">
        <f>+BU19/BU11</f>
        <v>0</v>
      </c>
      <c r="BV185" s="216"/>
      <c r="BW185" s="223" t="e">
        <f>BW17/BW9</f>
        <v>#DIV/0!</v>
      </c>
      <c r="BX185" s="216"/>
      <c r="BY185" s="222" t="e">
        <f>(BW185-BU185)*BU9</f>
        <v>#DIV/0!</v>
      </c>
      <c r="BZ185" s="213"/>
      <c r="CA185" s="210"/>
      <c r="CB185" s="223">
        <f>+CB19/CB11</f>
        <v>0.15098141351959274</v>
      </c>
      <c r="CC185" s="216"/>
      <c r="CD185" s="223">
        <f>CD17/CD9</f>
        <v>0.16799306595224964</v>
      </c>
      <c r="CE185" s="216"/>
      <c r="CF185" s="222">
        <f>(CD185-CB185)*CB9</f>
        <v>224.63887037323434</v>
      </c>
      <c r="CG185" s="213"/>
      <c r="CH185" s="210"/>
      <c r="CI185" s="223">
        <f>+CI19/CI11</f>
        <v>0.13778522039757993</v>
      </c>
      <c r="CJ185" s="216"/>
      <c r="CK185" s="223">
        <f>CK17/CK9</f>
        <v>0.16799306595224964</v>
      </c>
      <c r="CL185" s="216"/>
      <c r="CM185" s="222">
        <f>(CK185-CI185)*CI9</f>
        <v>469.09763361846592</v>
      </c>
      <c r="CN185" s="213"/>
      <c r="CO185" s="210"/>
      <c r="CP185" s="223">
        <f>+CP19/CP11</f>
        <v>0.27953732152539307</v>
      </c>
      <c r="CQ185" s="223"/>
      <c r="CR185" s="223">
        <f>CR17/CR9</f>
        <v>0.16798975672215108</v>
      </c>
      <c r="CS185" s="223"/>
      <c r="CT185" s="222">
        <f>(CR185-CP185)*CP9</f>
        <v>-4290.3424374622937</v>
      </c>
      <c r="CU185" s="210"/>
      <c r="CV185" s="210"/>
      <c r="CW185" s="223">
        <f>+CW19/CW11</f>
        <v>0.1939844896248166</v>
      </c>
      <c r="CX185" s="216"/>
      <c r="CY185" s="223">
        <f>CY17/CY9</f>
        <v>0.16798975672215108</v>
      </c>
      <c r="CZ185" s="216"/>
      <c r="DA185" s="222">
        <f>(CY185-CW185)*CW9</f>
        <v>-1165.0059444987605</v>
      </c>
      <c r="DB185" s="213"/>
      <c r="DC185" s="210"/>
      <c r="DD185" s="223">
        <f>+DD19/DD11</f>
        <v>0.21225885225885224</v>
      </c>
      <c r="DE185" s="216"/>
      <c r="DF185" s="223">
        <f>DF17/DF9</f>
        <v>0.1680024820311288</v>
      </c>
      <c r="DG185" s="216"/>
      <c r="DH185" s="222">
        <f>(DF185-DD185)*DD9</f>
        <v>-1981.8445151676833</v>
      </c>
      <c r="DI185" s="213"/>
      <c r="DJ185" s="210"/>
      <c r="DK185" s="223">
        <f>+DK19/DK11</f>
        <v>0.35065347933592372</v>
      </c>
      <c r="DL185" s="216"/>
      <c r="DM185" s="223">
        <f>DM17/DM9</f>
        <v>0.1680024820311288</v>
      </c>
      <c r="DN185" s="216"/>
      <c r="DO185" s="222">
        <f>(DM185-DK185)*DK9</f>
        <v>-4021.6096586569747</v>
      </c>
      <c r="DP185" s="213"/>
      <c r="DQ185" s="210"/>
      <c r="DR185" s="223">
        <f>+DR19/DR11</f>
        <v>0.24554960983602797</v>
      </c>
      <c r="DS185" s="216"/>
      <c r="DT185" s="223">
        <f>DT17/DT9</f>
        <v>0.1679965435458072</v>
      </c>
      <c r="DU185" s="216"/>
      <c r="DV185" s="222">
        <f>(DT185-DR185)*DR9</f>
        <v>-11639.009082703753</v>
      </c>
      <c r="DW185" s="213"/>
      <c r="DX185" s="210"/>
      <c r="DY185" s="223">
        <f>DY17/DY9</f>
        <v>0.185332620303855</v>
      </c>
      <c r="DZ185" s="212"/>
      <c r="EA185" s="221">
        <f>EA17/EA9</f>
        <v>0.16799785055900157</v>
      </c>
      <c r="EB185" s="212"/>
      <c r="EC185" s="220">
        <f>(EA185-DY185)*DY9</f>
        <v>-3816.8952795024779</v>
      </c>
    </row>
    <row r="186" spans="1:133">
      <c r="A186" s="3" t="s">
        <v>174</v>
      </c>
      <c r="B186" s="3"/>
      <c r="C186" s="42" t="e">
        <f>(C17+C18+C19)/(C7+C8+C9)</f>
        <v>#DIV/0!</v>
      </c>
      <c r="D186" s="221"/>
      <c r="E186" s="19">
        <f>(E17+E18+E19)/(E9+E10+E11)</f>
        <v>0.19418956452732863</v>
      </c>
      <c r="F186" s="221"/>
      <c r="G186" s="31" t="e">
        <f>(E186-C186)*(C7+C8+C9)</f>
        <v>#DIV/0!</v>
      </c>
      <c r="H186" s="212"/>
      <c r="I186" s="210"/>
      <c r="J186" s="42">
        <f>(J17+J18+J19)/(J7+J8+J9)</f>
        <v>7.0416025764276108E-2</v>
      </c>
      <c r="K186" s="221"/>
      <c r="L186" s="19">
        <f>(L17+L18+L19)/(L9+L10+L11)</f>
        <v>0.19419365972393968</v>
      </c>
      <c r="M186" s="221"/>
      <c r="N186" s="31">
        <f>(L186-J186)*(J7+J8+J9)</f>
        <v>15450.419381381045</v>
      </c>
      <c r="O186" s="212"/>
      <c r="P186" s="210"/>
      <c r="Q186" s="42">
        <f>(Q17+Q18+Q19)/(Q7+Q8+Q9)</f>
        <v>8.1177017164241666E-2</v>
      </c>
      <c r="R186" s="221"/>
      <c r="S186" s="19">
        <f>(S17+S18+S19)/(S9+S10+S11)</f>
        <v>0.19419365972393968</v>
      </c>
      <c r="T186" s="221"/>
      <c r="U186" s="31">
        <f>(S186-Q186)*(Q7+Q8+Q9)</f>
        <v>11931.963722357365</v>
      </c>
      <c r="V186" s="212"/>
      <c r="W186" s="210"/>
      <c r="X186" s="42">
        <f>(X17+X18+X19)/(X7+X8+X9)</f>
        <v>7.5347052454839081E-2</v>
      </c>
      <c r="Y186" s="221"/>
      <c r="Z186" s="19">
        <f>(Z17+Z18+Z19)/(Z9+Z10+Z11)</f>
        <v>0.19419236699142897</v>
      </c>
      <c r="AA186" s="221"/>
      <c r="AB186" s="31">
        <f>(Z186-X186)*(X7+X8+X9)</f>
        <v>27382.085256810573</v>
      </c>
      <c r="AC186" s="212"/>
      <c r="AD186" s="210"/>
      <c r="AE186" s="42" t="e">
        <f>(AE17+AE18+AE19)/(AE7+AE8+AE9)</f>
        <v>#DIV/0!</v>
      </c>
      <c r="AF186" s="221"/>
      <c r="AG186" s="19">
        <f>(AG17+AG18+AG19)/(AG9+AG10+AG11)</f>
        <v>0.19419365972393973</v>
      </c>
      <c r="AH186" s="221"/>
      <c r="AI186" s="70" t="e">
        <f>(AG186-AE186)*(AE7+AE8+AE9)</f>
        <v>#DIV/0!</v>
      </c>
      <c r="AJ186" s="210"/>
      <c r="AK186" s="210"/>
      <c r="AL186" s="42" t="e">
        <f>(AL17+AL18+AL19)/(AL7+AL8+AL9)</f>
        <v>#DIV/0!</v>
      </c>
      <c r="AM186" s="221"/>
      <c r="AN186" s="19">
        <f>(AN17+AN18+AN19)/(AN9+AN10+AN11)</f>
        <v>0.19419365972393968</v>
      </c>
      <c r="AO186" s="221"/>
      <c r="AP186" s="70" t="e">
        <f>(AN186-AL186)*(AL7+AL8+AL9)</f>
        <v>#DIV/0!</v>
      </c>
      <c r="AQ186" s="210"/>
      <c r="AR186" s="210"/>
      <c r="AS186" s="42" t="e">
        <f>(AS17+AS18+AS19)/(AS7+AS8+AS9)</f>
        <v>#DIV/0!</v>
      </c>
      <c r="AT186" s="221"/>
      <c r="AU186" s="19">
        <f>(AU17+AU18+AU19)/(AU9+AU10+AU11)</f>
        <v>0.19419365972393968</v>
      </c>
      <c r="AV186" s="221"/>
      <c r="AW186" s="70" t="e">
        <f>(AU186-AS186)*(AS7+AS8+AS9)</f>
        <v>#DIV/0!</v>
      </c>
      <c r="AX186" s="210"/>
      <c r="AY186" s="210"/>
      <c r="AZ186" s="42" t="e">
        <f>(AZ17+AZ18+AZ19)/(AZ7+AZ8+AZ9)</f>
        <v>#DIV/0!</v>
      </c>
      <c r="BA186" s="221"/>
      <c r="BB186" s="19">
        <f>(BB17+BB18+BB19)/(BB9+BB10+BB11)</f>
        <v>0.19419365972393962</v>
      </c>
      <c r="BC186" s="221"/>
      <c r="BD186" s="70" t="e">
        <f>(BB186-AZ186)*(AZ7+AZ8+AZ9)</f>
        <v>#DIV/0!</v>
      </c>
      <c r="BE186" s="212"/>
      <c r="BF186" s="210"/>
      <c r="BG186" s="42" t="e">
        <f>+(BG18+BG19+BG17)/(BG9+BG10+BG11)</f>
        <v>#DIV/0!</v>
      </c>
      <c r="BH186" s="19"/>
      <c r="BI186" s="42" t="e">
        <f>(BI17+BI18+BI19)/(BI9+BI10+BI11)</f>
        <v>#DIV/0!</v>
      </c>
      <c r="BJ186" s="221"/>
      <c r="BK186" s="70" t="e">
        <f>(BI186-BG186)*(BG7+BG8+BG9)</f>
        <v>#DIV/0!</v>
      </c>
      <c r="BL186" s="212"/>
      <c r="BM186" s="210"/>
      <c r="BN186" s="42" t="e">
        <f>+(BN18+BN19+BN17)/(BN9+BN10+BN11)</f>
        <v>#DIV/0!</v>
      </c>
      <c r="BO186" s="40"/>
      <c r="BP186" s="42" t="e">
        <f>(BP17+BP18+BP19)/(BP9+BP10+BP11)</f>
        <v>#DIV/0!</v>
      </c>
      <c r="BQ186" s="216"/>
      <c r="BR186" s="75" t="e">
        <f>(BP186-BN186)*(BN7+BN8+BN9)</f>
        <v>#DIV/0!</v>
      </c>
      <c r="BS186" s="216"/>
      <c r="BT186" s="210"/>
      <c r="BU186" s="42">
        <f>+(BU18+BU19+BU17)/(BU9+BU10+BU11)</f>
        <v>0</v>
      </c>
      <c r="BV186" s="40"/>
      <c r="BW186" s="42" t="e">
        <f>(BW17+BW18+BW19)/(BW9+BW10+BW11)</f>
        <v>#DIV/0!</v>
      </c>
      <c r="BX186" s="216"/>
      <c r="BY186" s="75" t="e">
        <f>(BW186-BU186)*(BU7+BU8+BU9)</f>
        <v>#DIV/0!</v>
      </c>
      <c r="BZ186" s="213"/>
      <c r="CA186" s="210"/>
      <c r="CB186" s="42">
        <f>+(CB18+CB19+CB17)/(CB9+CB10+CB11)</f>
        <v>0.13192909119058677</v>
      </c>
      <c r="CC186" s="40"/>
      <c r="CD186" s="42">
        <f>(CD17+CD18+CD19)/(CD9+CD10+CD11)</f>
        <v>0.19419930981797107</v>
      </c>
      <c r="CE186" s="216"/>
      <c r="CF186" s="75">
        <f>(CD186-CB186)*(CB7+CB8+CB9)</f>
        <v>4142.9017836050634</v>
      </c>
      <c r="CG186" s="213"/>
      <c r="CH186" s="210"/>
      <c r="CI186" s="42">
        <f>+(CI18+CI19+CI17)/(CI9+CI10+CI11)</f>
        <v>0.17531029540211865</v>
      </c>
      <c r="CJ186" s="40"/>
      <c r="CK186" s="42">
        <f>(CK17+CK18+CK19)/(CK9+CK10+CK11)</f>
        <v>0.19419930981797107</v>
      </c>
      <c r="CL186" s="216"/>
      <c r="CM186" s="75">
        <f>(CK186-CI186)*(CI7+CI8+CI9)</f>
        <v>1406.2234672816312</v>
      </c>
      <c r="CN186" s="213"/>
      <c r="CO186" s="210"/>
      <c r="CP186" s="42">
        <f>+(CP18+CP19+CP17)/(CP9+CP10+CP11)</f>
        <v>0.23396271086120154</v>
      </c>
      <c r="CQ186" s="42"/>
      <c r="CR186" s="42">
        <f>(CR17+CR18+CR19)/(CR9+CR10+CR11)</f>
        <v>0.19418613840520535</v>
      </c>
      <c r="CS186" s="223"/>
      <c r="CT186" s="75">
        <f>(CR186-CP186)*(CP7+CP8+CP9)</f>
        <v>-8073.8391307407182</v>
      </c>
      <c r="CU186" s="210"/>
      <c r="CV186" s="210"/>
      <c r="CW186" s="42">
        <f>+(CW18+CW19+CW17)/(CW9+CW10+CW11)</f>
        <v>0.20367955386347791</v>
      </c>
      <c r="CX186" s="40"/>
      <c r="CY186" s="42">
        <f>(CY17+CY18+CY19)/(CY9+CY10+CY11)</f>
        <v>0.19418613840520535</v>
      </c>
      <c r="CZ186" s="216"/>
      <c r="DA186" s="75">
        <f>(CY186-CW186)*(CW7+CW8+CW9)</f>
        <v>-2280.4132322974979</v>
      </c>
      <c r="DB186" s="213"/>
      <c r="DC186" s="210"/>
      <c r="DD186" s="42">
        <f>+(DD18+DD19+DD17)/(DD9+DD10+DD11)</f>
        <v>0.16545260174948881</v>
      </c>
      <c r="DE186" s="40"/>
      <c r="DF186" s="42">
        <f>(DF17+DF18+DF19)/(DF9+DF10+DF11)</f>
        <v>0.19419825509698388</v>
      </c>
      <c r="DG186" s="216"/>
      <c r="DH186" s="75">
        <f>(DF186-DD186)*(DD7+DD8+DD9)</f>
        <v>6133.6313788489742</v>
      </c>
      <c r="DI186" s="213"/>
      <c r="DJ186" s="210"/>
      <c r="DK186" s="42">
        <f>+(DK18+DK19+DK17)/(DK9+DK10+DK11)</f>
        <v>0.23352221318144833</v>
      </c>
      <c r="DL186" s="40"/>
      <c r="DM186" s="42">
        <f>(DM17+DM18+DM19)/(DM9+DM10+DM11)</f>
        <v>0.19419825509698388</v>
      </c>
      <c r="DN186" s="216"/>
      <c r="DO186" s="75">
        <f>(DM186-DK186)*(DK7+DK8+DK9)</f>
        <v>-5502.8566672470788</v>
      </c>
      <c r="DP186" s="213"/>
      <c r="DQ186" s="210"/>
      <c r="DR186" s="42">
        <f>+(DR18+DR19+DR17)/(DR9+DR10+DR11)</f>
        <v>0.20558047002651023</v>
      </c>
      <c r="DS186" s="40"/>
      <c r="DT186" s="42">
        <f>(DT17+DT18+DT19)/(DT9+DT10+DT11)</f>
        <v>0.19419260060606433</v>
      </c>
      <c r="DU186" s="216"/>
      <c r="DV186" s="75">
        <f>(DT186-DR186)*(DR7+DR8+DR9)</f>
        <v>-9070.4630466978797</v>
      </c>
      <c r="DW186" s="213"/>
      <c r="DX186" s="210"/>
      <c r="DY186" s="42">
        <f>(DY17+DY18+DY19)/(DY7+DY8+DY9)</f>
        <v>6.0484757123685354E-2</v>
      </c>
      <c r="DZ186" s="212"/>
      <c r="EA186" s="19">
        <f>(EA17+EA18+EA19)/(EA9+EA10+EA11)</f>
        <v>0.19419316145901874</v>
      </c>
      <c r="EB186" s="212"/>
      <c r="EC186" s="70">
        <f>(EA186-DY186)*(DY7+DY8+DY9)</f>
        <v>147259.73506971088</v>
      </c>
    </row>
    <row r="187" spans="1:133">
      <c r="A187" s="3"/>
      <c r="B187" s="3"/>
      <c r="C187" s="223"/>
      <c r="D187" s="221"/>
      <c r="E187" s="221"/>
      <c r="F187" s="221"/>
      <c r="G187" s="212"/>
      <c r="H187" s="212"/>
      <c r="I187" s="210"/>
      <c r="J187" s="223"/>
      <c r="K187" s="221"/>
      <c r="L187" s="221"/>
      <c r="M187" s="221"/>
      <c r="N187" s="212"/>
      <c r="O187" s="212"/>
      <c r="P187" s="210"/>
      <c r="Q187" s="223"/>
      <c r="R187" s="221"/>
      <c r="S187" s="221"/>
      <c r="T187" s="221"/>
      <c r="U187" s="212"/>
      <c r="V187" s="212"/>
      <c r="W187" s="210"/>
      <c r="X187" s="223"/>
      <c r="Y187" s="221"/>
      <c r="Z187" s="221"/>
      <c r="AA187" s="221"/>
      <c r="AB187" s="212"/>
      <c r="AC187" s="212"/>
      <c r="AD187" s="210"/>
      <c r="AE187" s="223"/>
      <c r="AF187" s="221"/>
      <c r="AG187" s="221"/>
      <c r="AH187" s="221"/>
      <c r="AI187" s="220"/>
      <c r="AJ187" s="210"/>
      <c r="AK187" s="210"/>
      <c r="AL187" s="223"/>
      <c r="AM187" s="221"/>
      <c r="AN187" s="221"/>
      <c r="AO187" s="221"/>
      <c r="AP187" s="220"/>
      <c r="AQ187" s="210"/>
      <c r="AR187" s="210"/>
      <c r="AS187" s="223"/>
      <c r="AT187" s="221"/>
      <c r="AU187" s="221"/>
      <c r="AV187" s="221"/>
      <c r="AW187" s="220"/>
      <c r="AX187" s="210"/>
      <c r="AY187" s="210"/>
      <c r="AZ187" s="223"/>
      <c r="BA187" s="221"/>
      <c r="BB187" s="221"/>
      <c r="BC187" s="221"/>
      <c r="BD187" s="220"/>
      <c r="BE187" s="212"/>
      <c r="BF187" s="210"/>
      <c r="BG187" s="223"/>
      <c r="BH187" s="221"/>
      <c r="BI187" s="223"/>
      <c r="BJ187" s="221"/>
      <c r="BK187" s="220"/>
      <c r="BL187" s="212"/>
      <c r="BM187" s="210"/>
      <c r="BN187" s="223"/>
      <c r="BO187" s="216"/>
      <c r="BP187" s="223"/>
      <c r="BQ187" s="216"/>
      <c r="BR187" s="222"/>
      <c r="BS187" s="216"/>
      <c r="BT187" s="210"/>
      <c r="BU187" s="223"/>
      <c r="BV187" s="216"/>
      <c r="BW187" s="223"/>
      <c r="BX187" s="216"/>
      <c r="BY187" s="222"/>
      <c r="BZ187" s="213"/>
      <c r="CA187" s="210"/>
      <c r="CB187" s="223"/>
      <c r="CC187" s="216"/>
      <c r="CD187" s="223"/>
      <c r="CE187" s="216"/>
      <c r="CF187" s="222"/>
      <c r="CG187" s="213"/>
      <c r="CH187" s="210"/>
      <c r="CI187" s="223"/>
      <c r="CJ187" s="216"/>
      <c r="CK187" s="223"/>
      <c r="CL187" s="216"/>
      <c r="CM187" s="222"/>
      <c r="CN187" s="213"/>
      <c r="CO187" s="210"/>
      <c r="CP187" s="223"/>
      <c r="CQ187" s="223"/>
      <c r="CR187" s="223"/>
      <c r="CS187" s="223"/>
      <c r="CT187" s="222"/>
      <c r="CU187" s="210"/>
      <c r="CV187" s="210"/>
      <c r="CW187" s="223"/>
      <c r="CX187" s="216"/>
      <c r="CY187" s="223"/>
      <c r="CZ187" s="216"/>
      <c r="DA187" s="222"/>
      <c r="DB187" s="213"/>
      <c r="DC187" s="210"/>
      <c r="DD187" s="223"/>
      <c r="DE187" s="216"/>
      <c r="DF187" s="223"/>
      <c r="DG187" s="216"/>
      <c r="DH187" s="222"/>
      <c r="DI187" s="213"/>
      <c r="DJ187" s="210"/>
      <c r="DK187" s="223"/>
      <c r="DL187" s="216"/>
      <c r="DM187" s="223"/>
      <c r="DN187" s="216"/>
      <c r="DO187" s="222"/>
      <c r="DP187" s="213"/>
      <c r="DQ187" s="210"/>
      <c r="DR187" s="223"/>
      <c r="DS187" s="216"/>
      <c r="DT187" s="223"/>
      <c r="DU187" s="216"/>
      <c r="DV187" s="222"/>
      <c r="DW187" s="213"/>
      <c r="DX187" s="210"/>
      <c r="DY187" s="223"/>
      <c r="DZ187" s="212"/>
      <c r="EA187" s="221"/>
      <c r="EB187" s="212"/>
      <c r="EC187" s="220"/>
    </row>
    <row r="188" spans="1:133">
      <c r="A188" s="3" t="s">
        <v>38</v>
      </c>
      <c r="B188" s="3"/>
      <c r="C188" s="223" t="e">
        <f>C22/C12</f>
        <v>#DIV/0!</v>
      </c>
      <c r="D188" s="221"/>
      <c r="E188" s="221">
        <f>E22/E12</f>
        <v>0.27106251783279967</v>
      </c>
      <c r="F188" s="221"/>
      <c r="G188" s="212" t="e">
        <f>(E188-C188)*(#REF!+#REF!+C7+C8+C9)</f>
        <v>#DIV/0!</v>
      </c>
      <c r="H188" s="212"/>
      <c r="I188" s="210"/>
      <c r="J188" s="223">
        <f>J22/J12</f>
        <v>0.2360069247301341</v>
      </c>
      <c r="K188" s="221"/>
      <c r="L188" s="221">
        <f>L22/L12</f>
        <v>0.25039712087767563</v>
      </c>
      <c r="M188" s="221"/>
      <c r="N188" s="212" t="e">
        <f>(L188-J188)*(#REF!+#REF!+J7+J8+J9)</f>
        <v>#REF!</v>
      </c>
      <c r="O188" s="212"/>
      <c r="P188" s="210"/>
      <c r="Q188" s="223">
        <f>Q22/Q12</f>
        <v>0.18161386067654164</v>
      </c>
      <c r="R188" s="221"/>
      <c r="S188" s="221">
        <f>S22/S12</f>
        <v>0.25039712087767563</v>
      </c>
      <c r="T188" s="221"/>
      <c r="U188" s="212" t="e">
        <f>(S188-Q188)*(#REF!+#REF!+Q7+Q8+Q9)</f>
        <v>#REF!</v>
      </c>
      <c r="V188" s="212"/>
      <c r="W188" s="210"/>
      <c r="X188" s="223">
        <f>X22/X12</f>
        <v>0.21108444203546239</v>
      </c>
      <c r="Y188" s="221"/>
      <c r="Z188" s="221">
        <f>Z22/Z12</f>
        <v>0.25039685683905677</v>
      </c>
      <c r="AA188" s="221"/>
      <c r="AB188" s="212" t="e">
        <f>(Z188-X188)*(#REF!+#REF!+X7+X8+X9)</f>
        <v>#REF!</v>
      </c>
      <c r="AC188" s="212"/>
      <c r="AD188" s="210"/>
      <c r="AE188" s="223" t="e">
        <f>AE22/AE12</f>
        <v>#DIV/0!</v>
      </c>
      <c r="AF188" s="221"/>
      <c r="AG188" s="221">
        <f>AG22/AG12</f>
        <v>0.27106340336509893</v>
      </c>
      <c r="AH188" s="221"/>
      <c r="AI188" s="220" t="e">
        <f>(AG188-AE188)*(#REF!+#REF!+AE7+AE8+AE9)</f>
        <v>#DIV/0!</v>
      </c>
      <c r="AJ188" s="210"/>
      <c r="AK188" s="210"/>
      <c r="AL188" s="223" t="e">
        <f>AL22/AL12</f>
        <v>#DIV/0!</v>
      </c>
      <c r="AM188" s="221"/>
      <c r="AN188" s="221">
        <f>AN22/AN12</f>
        <v>0.27106340336509893</v>
      </c>
      <c r="AO188" s="221"/>
      <c r="AP188" s="220" t="e">
        <f>(AN188-AL188)*(#REF!+#REF!+AL7+AL8+AL9)</f>
        <v>#DIV/0!</v>
      </c>
      <c r="AQ188" s="210"/>
      <c r="AR188" s="210"/>
      <c r="AS188" s="223" t="e">
        <f>AS22/AS12</f>
        <v>#DIV/0!</v>
      </c>
      <c r="AT188" s="221"/>
      <c r="AU188" s="221">
        <f>AU22/AU12</f>
        <v>0.27106340336509899</v>
      </c>
      <c r="AV188" s="221"/>
      <c r="AW188" s="220" t="e">
        <f>(AU188-AS188)*(#REF!+#REF!+AS7+AS8+AS9)</f>
        <v>#DIV/0!</v>
      </c>
      <c r="AX188" s="210"/>
      <c r="AY188" s="210"/>
      <c r="AZ188" s="223" t="e">
        <f>AZ22/AZ12</f>
        <v>#DIV/0!</v>
      </c>
      <c r="BA188" s="221"/>
      <c r="BB188" s="221">
        <f>BB22/BB12</f>
        <v>0.27106340336509899</v>
      </c>
      <c r="BC188" s="221"/>
      <c r="BD188" s="220" t="e">
        <f>(BB188-AZ188)*(#REF!+#REF!+AZ7+AZ8+AZ9)</f>
        <v>#DIV/0!</v>
      </c>
      <c r="BE188" s="212"/>
      <c r="BF188" s="210"/>
      <c r="BG188" s="223" t="e">
        <f>+BG22/BG12</f>
        <v>#DIV/0!</v>
      </c>
      <c r="BH188" s="221"/>
      <c r="BI188" s="223" t="e">
        <f>BI22/BI12</f>
        <v>#DIV/0!</v>
      </c>
      <c r="BJ188" s="221"/>
      <c r="BK188" s="220" t="e">
        <f>(BI188-BG188)*(#REF!+#REF!+BG7+BG8+BG9)</f>
        <v>#DIV/0!</v>
      </c>
      <c r="BL188" s="212"/>
      <c r="BM188" s="210"/>
      <c r="BN188" s="223" t="e">
        <f>+BN22/BN12</f>
        <v>#DIV/0!</v>
      </c>
      <c r="BO188" s="216"/>
      <c r="BP188" s="223" t="e">
        <f>BP22/BP12</f>
        <v>#DIV/0!</v>
      </c>
      <c r="BQ188" s="216"/>
      <c r="BR188" s="222" t="e">
        <f>(BP188-BN188)*(#REF!+#REF!+BN7+BN8+BN9)</f>
        <v>#DIV/0!</v>
      </c>
      <c r="BS188" s="216"/>
      <c r="BT188" s="210"/>
      <c r="BU188" s="223">
        <f>+BU22/BU12</f>
        <v>0</v>
      </c>
      <c r="BV188" s="216"/>
      <c r="BW188" s="223" t="e">
        <f>BW22/BW12</f>
        <v>#DIV/0!</v>
      </c>
      <c r="BX188" s="216"/>
      <c r="BY188" s="222" t="e">
        <f>(BW188-BU188)*(#REF!+#REF!+BU7+BU8+BU9)</f>
        <v>#DIV/0!</v>
      </c>
      <c r="BZ188" s="213"/>
      <c r="CA188" s="210"/>
      <c r="CB188" s="223">
        <f>+CB22/CB12</f>
        <v>0.2352155061487809</v>
      </c>
      <c r="CC188" s="216"/>
      <c r="CD188" s="223">
        <f>CD22/CD12</f>
        <v>0.24375726144572227</v>
      </c>
      <c r="CE188" s="216"/>
      <c r="CF188" s="222" t="e">
        <f>(CD188-CB188)*(#REF!+#REF!+CB7+CB8+CB9)</f>
        <v>#REF!</v>
      </c>
      <c r="CG188" s="213"/>
      <c r="CH188" s="210"/>
      <c r="CI188" s="223">
        <f>+CI22/CI12</f>
        <v>0.23208423899965447</v>
      </c>
      <c r="CJ188" s="216"/>
      <c r="CK188" s="223">
        <f>CK22/CK12</f>
        <v>0.24375726144572227</v>
      </c>
      <c r="CL188" s="216"/>
      <c r="CM188" s="222" t="e">
        <f>(CK188-CI188)*(#REF!+#REF!+CI7+CI8+CI9)</f>
        <v>#REF!</v>
      </c>
      <c r="CN188" s="213"/>
      <c r="CO188" s="210"/>
      <c r="CP188" s="223">
        <f>+CP22/CP12</f>
        <v>0.26104659219945003</v>
      </c>
      <c r="CQ188" s="223"/>
      <c r="CR188" s="223">
        <f>CR22/CR12</f>
        <v>0.2437488423782182</v>
      </c>
      <c r="CS188" s="223"/>
      <c r="CT188" s="222" t="e">
        <f>(CR188-CP188)*(#REF!+#REF!+CP7+CP8+CP9)</f>
        <v>#REF!</v>
      </c>
      <c r="CU188" s="210"/>
      <c r="CV188" s="210"/>
      <c r="CW188" s="223">
        <f>+CW22/CW12</f>
        <v>0.26358235446646378</v>
      </c>
      <c r="CX188" s="216"/>
      <c r="CY188" s="223">
        <f>CY22/CY12</f>
        <v>0.2437488423782182</v>
      </c>
      <c r="CZ188" s="216"/>
      <c r="DA188" s="222" t="e">
        <f>(CY188-CW188)*(#REF!+#REF!+CW7+CW8+CW9)</f>
        <v>#REF!</v>
      </c>
      <c r="DB188" s="213"/>
      <c r="DC188" s="210"/>
      <c r="DD188" s="223">
        <f>+DD22/DD12</f>
        <v>0.26414242106170865</v>
      </c>
      <c r="DE188" s="216"/>
      <c r="DF188" s="223">
        <f>DF22/DF12</f>
        <v>0.24375393659458325</v>
      </c>
      <c r="DG188" s="216"/>
      <c r="DH188" s="222" t="e">
        <f>(DF188-DD188)*(#REF!+#REF!+DD7+DD8+DD9)</f>
        <v>#REF!</v>
      </c>
      <c r="DI188" s="213"/>
      <c r="DJ188" s="210"/>
      <c r="DK188" s="223">
        <f>+DK22/DK12</f>
        <v>0.26379244728443879</v>
      </c>
      <c r="DL188" s="216"/>
      <c r="DM188" s="223">
        <f>DM22/DM12</f>
        <v>0.24375393659458325</v>
      </c>
      <c r="DN188" s="216"/>
      <c r="DO188" s="222" t="e">
        <f>(DM188-DK188)*(#REF!+#REF!+DK7+DK8+DK9)</f>
        <v>#REF!</v>
      </c>
      <c r="DP188" s="213"/>
      <c r="DQ188" s="210"/>
      <c r="DR188" s="223">
        <f>+DR22/DR12</f>
        <v>0.2631117174385697</v>
      </c>
      <c r="DS188" s="216"/>
      <c r="DT188" s="223">
        <f>DT22/DT12</f>
        <v>0.24375155928627415</v>
      </c>
      <c r="DU188" s="216"/>
      <c r="DV188" s="222" t="e">
        <f>(DT188-DR188)*(#REF!+#REF!+DR7+DR8+DR9)</f>
        <v>#REF!</v>
      </c>
      <c r="DW188" s="213"/>
      <c r="DX188" s="210"/>
      <c r="DY188" s="223">
        <f>DY22/DY12</f>
        <v>0.25218160746260204</v>
      </c>
      <c r="DZ188" s="212"/>
      <c r="EA188" s="221">
        <f>EA22/EA12</f>
        <v>0.25460989381269572</v>
      </c>
      <c r="EB188" s="212"/>
      <c r="EC188" s="220" t="e">
        <f>(EA188-DY188)*(#REF!+#REF!+DY7+DY8+DY9)</f>
        <v>#REF!</v>
      </c>
    </row>
    <row r="189" spans="1:133">
      <c r="A189" s="210"/>
      <c r="B189" s="210"/>
      <c r="C189" s="235"/>
      <c r="D189" s="221"/>
      <c r="E189" s="236"/>
      <c r="F189" s="221"/>
      <c r="G189" s="212"/>
      <c r="H189" s="212"/>
      <c r="I189" s="210"/>
      <c r="J189" s="235"/>
      <c r="K189" s="221"/>
      <c r="L189" s="236"/>
      <c r="M189" s="221"/>
      <c r="N189" s="212"/>
      <c r="O189" s="212"/>
      <c r="P189" s="210"/>
      <c r="Q189" s="235"/>
      <c r="R189" s="221"/>
      <c r="S189" s="236"/>
      <c r="T189" s="221"/>
      <c r="U189" s="212"/>
      <c r="V189" s="212"/>
      <c r="W189" s="210"/>
      <c r="X189" s="235"/>
      <c r="Y189" s="221"/>
      <c r="Z189" s="236"/>
      <c r="AA189" s="221"/>
      <c r="AB189" s="212"/>
      <c r="AC189" s="212"/>
      <c r="AD189" s="210"/>
      <c r="AE189" s="235"/>
      <c r="AF189" s="221"/>
      <c r="AG189" s="236"/>
      <c r="AH189" s="221"/>
      <c r="AI189" s="220"/>
      <c r="AJ189" s="210"/>
      <c r="AK189" s="210"/>
      <c r="AL189" s="235"/>
      <c r="AM189" s="221"/>
      <c r="AN189" s="236"/>
      <c r="AO189" s="221"/>
      <c r="AP189" s="220"/>
      <c r="AQ189" s="210"/>
      <c r="AR189" s="210"/>
      <c r="AS189" s="235"/>
      <c r="AT189" s="221"/>
      <c r="AU189" s="236"/>
      <c r="AV189" s="221"/>
      <c r="AW189" s="220"/>
      <c r="AX189" s="210"/>
      <c r="AY189" s="210"/>
      <c r="AZ189" s="235"/>
      <c r="BA189" s="221"/>
      <c r="BB189" s="236"/>
      <c r="BC189" s="221"/>
      <c r="BD189" s="220"/>
      <c r="BE189" s="212"/>
      <c r="BF189" s="210"/>
      <c r="BG189" s="235"/>
      <c r="BH189" s="221"/>
      <c r="BI189" s="235"/>
      <c r="BJ189" s="221"/>
      <c r="BK189" s="220"/>
      <c r="BL189" s="212"/>
      <c r="BM189" s="210"/>
      <c r="BN189" s="235"/>
      <c r="BO189" s="216"/>
      <c r="BP189" s="235"/>
      <c r="BQ189" s="216"/>
      <c r="BR189" s="222"/>
      <c r="BS189" s="216"/>
      <c r="BT189" s="210"/>
      <c r="BU189" s="235"/>
      <c r="BV189" s="216"/>
      <c r="BW189" s="235"/>
      <c r="BX189" s="216"/>
      <c r="BY189" s="222"/>
      <c r="BZ189" s="213"/>
      <c r="CA189" s="210"/>
      <c r="CB189" s="235"/>
      <c r="CC189" s="216"/>
      <c r="CD189" s="235"/>
      <c r="CE189" s="216"/>
      <c r="CF189" s="222"/>
      <c r="CG189" s="213"/>
      <c r="CH189" s="210"/>
      <c r="CI189" s="235"/>
      <c r="CJ189" s="216"/>
      <c r="CK189" s="235"/>
      <c r="CL189" s="216"/>
      <c r="CM189" s="222"/>
      <c r="CN189" s="213"/>
      <c r="CO189" s="210"/>
      <c r="CP189" s="235"/>
      <c r="CQ189" s="223"/>
      <c r="CR189" s="235"/>
      <c r="CS189" s="223"/>
      <c r="CT189" s="222"/>
      <c r="CU189" s="210"/>
      <c r="CV189" s="210"/>
      <c r="CW189" s="235"/>
      <c r="CX189" s="216"/>
      <c r="CY189" s="235"/>
      <c r="CZ189" s="216"/>
      <c r="DA189" s="222"/>
      <c r="DB189" s="213"/>
      <c r="DC189" s="210"/>
      <c r="DD189" s="235"/>
      <c r="DE189" s="216"/>
      <c r="DF189" s="235"/>
      <c r="DG189" s="216"/>
      <c r="DH189" s="222"/>
      <c r="DI189" s="213"/>
      <c r="DJ189" s="210"/>
      <c r="DK189" s="235"/>
      <c r="DL189" s="216"/>
      <c r="DM189" s="235"/>
      <c r="DN189" s="216"/>
      <c r="DO189" s="222"/>
      <c r="DP189" s="213"/>
      <c r="DQ189" s="210"/>
      <c r="DR189" s="235"/>
      <c r="DS189" s="216"/>
      <c r="DT189" s="235"/>
      <c r="DU189" s="216"/>
      <c r="DV189" s="222"/>
      <c r="DW189" s="213"/>
      <c r="DX189" s="210"/>
      <c r="DY189" s="235"/>
      <c r="DZ189" s="212"/>
      <c r="EA189" s="236"/>
      <c r="EB189" s="212"/>
      <c r="EC189" s="220"/>
    </row>
    <row r="190" spans="1:133">
      <c r="A190" s="3" t="s">
        <v>175</v>
      </c>
      <c r="B190" s="3"/>
      <c r="C190" s="235"/>
      <c r="D190" s="221"/>
      <c r="E190" s="236"/>
      <c r="F190" s="221"/>
      <c r="G190" s="212"/>
      <c r="H190" s="212"/>
      <c r="I190" s="210"/>
      <c r="J190" s="235"/>
      <c r="K190" s="221"/>
      <c r="L190" s="236"/>
      <c r="M190" s="221"/>
      <c r="N190" s="212"/>
      <c r="O190" s="212"/>
      <c r="P190" s="210"/>
      <c r="Q190" s="235"/>
      <c r="R190" s="221"/>
      <c r="S190" s="236"/>
      <c r="T190" s="221"/>
      <c r="U190" s="212"/>
      <c r="V190" s="212"/>
      <c r="W190" s="210"/>
      <c r="X190" s="235"/>
      <c r="Y190" s="221"/>
      <c r="Z190" s="236"/>
      <c r="AA190" s="221"/>
      <c r="AB190" s="212"/>
      <c r="AC190" s="212"/>
      <c r="AD190" s="210"/>
      <c r="AE190" s="235"/>
      <c r="AF190" s="221"/>
      <c r="AG190" s="236"/>
      <c r="AH190" s="221"/>
      <c r="AI190" s="220"/>
      <c r="AJ190" s="210"/>
      <c r="AK190" s="210"/>
      <c r="AL190" s="235"/>
      <c r="AM190" s="221"/>
      <c r="AN190" s="236"/>
      <c r="AO190" s="221"/>
      <c r="AP190" s="220"/>
      <c r="AQ190" s="210"/>
      <c r="AR190" s="210"/>
      <c r="AS190" s="235"/>
      <c r="AT190" s="221"/>
      <c r="AU190" s="236"/>
      <c r="AV190" s="221"/>
      <c r="AW190" s="220"/>
      <c r="AX190" s="210"/>
      <c r="AY190" s="210"/>
      <c r="AZ190" s="235"/>
      <c r="BA190" s="221"/>
      <c r="BB190" s="236"/>
      <c r="BC190" s="221"/>
      <c r="BD190" s="220"/>
      <c r="BE190" s="212"/>
      <c r="BF190" s="210"/>
      <c r="BG190" s="235"/>
      <c r="BH190" s="221"/>
      <c r="BI190" s="235"/>
      <c r="BJ190" s="221"/>
      <c r="BK190" s="220"/>
      <c r="BL190" s="212"/>
      <c r="BM190" s="210"/>
      <c r="BN190" s="235"/>
      <c r="BO190" s="216"/>
      <c r="BP190" s="235"/>
      <c r="BQ190" s="216"/>
      <c r="BR190" s="222"/>
      <c r="BS190" s="216"/>
      <c r="BT190" s="210"/>
      <c r="BU190" s="235"/>
      <c r="BV190" s="216"/>
      <c r="BW190" s="235"/>
      <c r="BX190" s="216"/>
      <c r="BY190" s="222"/>
      <c r="BZ190" s="213"/>
      <c r="CA190" s="210"/>
      <c r="CB190" s="235"/>
      <c r="CC190" s="216"/>
      <c r="CD190" s="235"/>
      <c r="CE190" s="216"/>
      <c r="CF190" s="222"/>
      <c r="CG190" s="213"/>
      <c r="CH190" s="210"/>
      <c r="CI190" s="235"/>
      <c r="CJ190" s="216"/>
      <c r="CK190" s="235"/>
      <c r="CL190" s="216"/>
      <c r="CM190" s="222"/>
      <c r="CN190" s="213"/>
      <c r="CO190" s="210"/>
      <c r="CP190" s="235"/>
      <c r="CQ190" s="223"/>
      <c r="CR190" s="235"/>
      <c r="CS190" s="223"/>
      <c r="CT190" s="222"/>
      <c r="CU190" s="210"/>
      <c r="CV190" s="210"/>
      <c r="CW190" s="235"/>
      <c r="CX190" s="216"/>
      <c r="CY190" s="235"/>
      <c r="CZ190" s="216"/>
      <c r="DA190" s="222"/>
      <c r="DB190" s="213"/>
      <c r="DC190" s="210"/>
      <c r="DD190" s="235"/>
      <c r="DE190" s="216"/>
      <c r="DF190" s="235"/>
      <c r="DG190" s="216"/>
      <c r="DH190" s="222"/>
      <c r="DI190" s="213"/>
      <c r="DJ190" s="210"/>
      <c r="DK190" s="235"/>
      <c r="DL190" s="216"/>
      <c r="DM190" s="235"/>
      <c r="DN190" s="216"/>
      <c r="DO190" s="222"/>
      <c r="DP190" s="213"/>
      <c r="DQ190" s="210"/>
      <c r="DR190" s="235"/>
      <c r="DS190" s="216"/>
      <c r="DT190" s="235"/>
      <c r="DU190" s="216"/>
      <c r="DV190" s="222"/>
      <c r="DW190" s="213"/>
      <c r="DX190" s="210"/>
      <c r="DY190" s="235"/>
      <c r="DZ190" s="212"/>
      <c r="EA190" s="236"/>
      <c r="EB190" s="212"/>
      <c r="EC190" s="220"/>
    </row>
    <row r="191" spans="1:133">
      <c r="A191" s="27" t="s">
        <v>176</v>
      </c>
      <c r="B191" s="27"/>
      <c r="C191" s="223" t="e">
        <f>C26/C12</f>
        <v>#DIV/0!</v>
      </c>
      <c r="D191" s="221"/>
      <c r="E191" s="221">
        <f>E26/E12</f>
        <v>8.0719176996480999E-2</v>
      </c>
      <c r="F191" s="221"/>
      <c r="G191" s="212" t="e">
        <f>(E191-C191)*C12</f>
        <v>#DIV/0!</v>
      </c>
      <c r="H191" s="212"/>
      <c r="I191" s="210"/>
      <c r="J191" s="223">
        <f>J26/J12</f>
        <v>0.19515491819552958</v>
      </c>
      <c r="K191" s="221"/>
      <c r="L191" s="221">
        <f>L26/L12</f>
        <v>0.10523212604569851</v>
      </c>
      <c r="M191" s="221"/>
      <c r="N191" s="212">
        <f>(L191-J191)*J12</f>
        <v>-12907.832314959276</v>
      </c>
      <c r="O191" s="212"/>
      <c r="P191" s="210"/>
      <c r="Q191" s="223">
        <f>Q26/Q12</f>
        <v>0.21049683295864846</v>
      </c>
      <c r="R191" s="221"/>
      <c r="S191" s="221">
        <f>S26/S12</f>
        <v>9.1369345974437507E-2</v>
      </c>
      <c r="T191" s="221"/>
      <c r="U191" s="212">
        <f>(S191-Q191)*Q12</f>
        <v>-14460.992859751654</v>
      </c>
      <c r="V191" s="212"/>
      <c r="W191" s="210"/>
      <c r="X191" s="223">
        <f>X26/X12</f>
        <v>0.20218446528650114</v>
      </c>
      <c r="Y191" s="221"/>
      <c r="Z191" s="221">
        <f>Z26/Z12</f>
        <v>9.2416312886166016E-2</v>
      </c>
      <c r="AA191" s="221"/>
      <c r="AB191" s="212">
        <f>(Z191-X191)*X12</f>
        <v>-29081.359595291342</v>
      </c>
      <c r="AC191" s="212"/>
      <c r="AD191" s="210"/>
      <c r="AE191" s="223" t="e">
        <f>AE26/AE12</f>
        <v>#DIV/0!</v>
      </c>
      <c r="AF191" s="221"/>
      <c r="AG191" s="221">
        <f>AG26/AG12</f>
        <v>8.6403686218913395E-2</v>
      </c>
      <c r="AH191" s="221"/>
      <c r="AI191" s="220" t="e">
        <f>(AG191-AE191)*AE12</f>
        <v>#DIV/0!</v>
      </c>
      <c r="AJ191" s="210"/>
      <c r="AK191" s="210"/>
      <c r="AL191" s="223" t="e">
        <f>AL26/AL12</f>
        <v>#DIV/0!</v>
      </c>
      <c r="AM191" s="221"/>
      <c r="AN191" s="221">
        <f>AN26/AN12</f>
        <v>8.6069089925388337E-2</v>
      </c>
      <c r="AO191" s="221"/>
      <c r="AP191" s="220" t="e">
        <f>(AN191-AL191)*AL12</f>
        <v>#DIV/0!</v>
      </c>
      <c r="AQ191" s="210"/>
      <c r="AR191" s="210"/>
      <c r="AS191" s="223" t="e">
        <f>AS26/AS12</f>
        <v>#DIV/0!</v>
      </c>
      <c r="AT191" s="221"/>
      <c r="AU191" s="221">
        <f>AU26/AU12</f>
        <v>8.631876396109088E-2</v>
      </c>
      <c r="AV191" s="221"/>
      <c r="AW191" s="220" t="e">
        <f>(AU191-AS191)*AS12</f>
        <v>#DIV/0!</v>
      </c>
      <c r="AX191" s="210"/>
      <c r="AY191" s="210"/>
      <c r="AZ191" s="223" t="e">
        <f>AZ26/AZ12</f>
        <v>#DIV/0!</v>
      </c>
      <c r="BA191" s="221"/>
      <c r="BB191" s="221">
        <f>BB26/BB12</f>
        <v>8.626405498546158E-2</v>
      </c>
      <c r="BC191" s="221"/>
      <c r="BD191" s="220" t="e">
        <f>(BB191-AZ191)*AZ12</f>
        <v>#DIV/0!</v>
      </c>
      <c r="BE191" s="212"/>
      <c r="BF191" s="210"/>
      <c r="BG191" s="223" t="e">
        <f>BG26/BG12</f>
        <v>#DIV/0!</v>
      </c>
      <c r="BH191" s="221"/>
      <c r="BI191" s="223" t="e">
        <f>BI26/BI12</f>
        <v>#DIV/0!</v>
      </c>
      <c r="BJ191" s="221"/>
      <c r="BK191" s="220" t="e">
        <f>(BI191-BG191)*BG12</f>
        <v>#DIV/0!</v>
      </c>
      <c r="BL191" s="212"/>
      <c r="BM191" s="210"/>
      <c r="BN191" s="223" t="e">
        <f>BN26/BN12</f>
        <v>#DIV/0!</v>
      </c>
      <c r="BO191" s="216"/>
      <c r="BP191" s="223" t="e">
        <f>BP26/BP12</f>
        <v>#DIV/0!</v>
      </c>
      <c r="BQ191" s="216"/>
      <c r="BR191" s="222" t="e">
        <f>(BP191-BN191)*BN12</f>
        <v>#DIV/0!</v>
      </c>
      <c r="BS191" s="216"/>
      <c r="BT191" s="210"/>
      <c r="BU191" s="223">
        <f>BU26/BU12</f>
        <v>1.7430955141040501</v>
      </c>
      <c r="BV191" s="216"/>
      <c r="BW191" s="223" t="e">
        <f>BW26/BW12</f>
        <v>#DIV/0!</v>
      </c>
      <c r="BX191" s="216"/>
      <c r="BY191" s="222" t="e">
        <f>(BW191-BU191)*BU12</f>
        <v>#DIV/0!</v>
      </c>
      <c r="BZ191" s="213"/>
      <c r="CA191" s="210"/>
      <c r="CB191" s="223">
        <f>CB26/CB12</f>
        <v>0.26204685004187583</v>
      </c>
      <c r="CC191" s="216"/>
      <c r="CD191" s="223">
        <f>CD26/CD12</f>
        <v>0.13435989829766454</v>
      </c>
      <c r="CE191" s="216"/>
      <c r="CF191" s="222">
        <f>(CD191-CB191)*CB12</f>
        <v>-9283.2282832679466</v>
      </c>
      <c r="CG191" s="213"/>
      <c r="CH191" s="210"/>
      <c r="CI191" s="223">
        <f>CI26/CI12</f>
        <v>0.77122077891386009</v>
      </c>
      <c r="CJ191" s="216"/>
      <c r="CK191" s="223">
        <f>CK26/CK12</f>
        <v>0.50589334725285828</v>
      </c>
      <c r="CL191" s="216"/>
      <c r="CM191" s="222">
        <f>(CK191-CI191)*CI12</f>
        <v>-21556.031023000887</v>
      </c>
      <c r="CN191" s="213"/>
      <c r="CO191" s="210"/>
      <c r="CP191" s="223">
        <f>CP26/CP12</f>
        <v>0.20055459352364804</v>
      </c>
      <c r="CQ191" s="223"/>
      <c r="CR191" s="223">
        <f>CR26/CR12</f>
        <v>0.13436410783141658</v>
      </c>
      <c r="CS191" s="223"/>
      <c r="CT191" s="222">
        <f>(CR191-CP191)*CP12</f>
        <v>-14691.690509016822</v>
      </c>
      <c r="CU191" s="210"/>
      <c r="CV191" s="210"/>
      <c r="CW191" s="223">
        <f>CW26/CW12</f>
        <v>0.12341236046382843</v>
      </c>
      <c r="CX191" s="216"/>
      <c r="CY191" s="223">
        <f>CY26/CY12</f>
        <v>0.13436410783141658</v>
      </c>
      <c r="CZ191" s="216"/>
      <c r="DA191" s="222">
        <f>(CY191-CW191)*CW12</f>
        <v>2854.7316421812079</v>
      </c>
      <c r="DB191" s="213"/>
      <c r="DC191" s="210"/>
      <c r="DD191" s="223">
        <f>DD26/DD12</f>
        <v>0.13363632519927574</v>
      </c>
      <c r="DE191" s="216"/>
      <c r="DF191" s="223">
        <f>DF26/DF12</f>
        <v>0.11756927485625675</v>
      </c>
      <c r="DG191" s="216"/>
      <c r="DH191" s="222">
        <f>(DF191-DD191)*DD12</f>
        <v>-3655.6790871888957</v>
      </c>
      <c r="DI191" s="213"/>
      <c r="DJ191" s="210"/>
      <c r="DK191" s="223">
        <f>DK26/DK12</f>
        <v>0.19202509305991133</v>
      </c>
      <c r="DL191" s="216"/>
      <c r="DM191" s="223">
        <f>DM26/DM12</f>
        <v>0.111535925684461</v>
      </c>
      <c r="DN191" s="216"/>
      <c r="DO191" s="222">
        <f>(DM191-DK191)*DK12</f>
        <v>-11964.190745881078</v>
      </c>
      <c r="DP191" s="213"/>
      <c r="DQ191" s="210"/>
      <c r="DR191" s="223">
        <f>DR26/DR12</f>
        <v>0.1579346857085368</v>
      </c>
      <c r="DS191" s="216"/>
      <c r="DT191" s="223">
        <f>DT26/DT12</f>
        <v>0.12379799900598569</v>
      </c>
      <c r="DU191" s="216"/>
      <c r="DV191" s="222">
        <f>(DT191-DR191)*DR12</f>
        <v>-29316.422684054724</v>
      </c>
      <c r="DW191" s="213"/>
      <c r="DX191" s="210"/>
      <c r="DY191" s="223">
        <f>DY26/DY12</f>
        <v>0.20901349360827443</v>
      </c>
      <c r="DZ191" s="212"/>
      <c r="EA191" s="221">
        <f>EA26/EA12</f>
        <v>0.11842179352314777</v>
      </c>
      <c r="EB191" s="212"/>
      <c r="EC191" s="220">
        <f>(EA191-DY191)*DY12</f>
        <v>-109160.52816691629</v>
      </c>
    </row>
    <row r="192" spans="1:133">
      <c r="A192" s="27" t="s">
        <v>44</v>
      </c>
      <c r="B192" s="27"/>
      <c r="C192" s="223" t="e">
        <f>(C31+C32)/C12</f>
        <v>#DIV/0!</v>
      </c>
      <c r="D192" s="221"/>
      <c r="E192" s="221">
        <f>(E31+E32)/E12</f>
        <v>7.1095712202390374E-2</v>
      </c>
      <c r="F192" s="221"/>
      <c r="G192" s="212" t="e">
        <f>(E192-C192)*C12</f>
        <v>#DIV/0!</v>
      </c>
      <c r="H192" s="212"/>
      <c r="I192" s="210"/>
      <c r="J192" s="223">
        <f>(J31+J32)/J12</f>
        <v>9.310578326430663E-2</v>
      </c>
      <c r="K192" s="221"/>
      <c r="L192" s="221">
        <f>(L31+L32)/L12</f>
        <v>7.1013304662030194E-2</v>
      </c>
      <c r="M192" s="221"/>
      <c r="N192" s="212">
        <f>(L192-J192)*J12</f>
        <v>-3171.2317022458674</v>
      </c>
      <c r="O192" s="212"/>
      <c r="P192" s="210"/>
      <c r="Q192" s="223">
        <f>(Q31+Q32)/Q12</f>
        <v>0.11583512437917504</v>
      </c>
      <c r="R192" s="221"/>
      <c r="S192" s="221">
        <f>(S31+S32)/S12</f>
        <v>6.9562464256874665E-2</v>
      </c>
      <c r="T192" s="221"/>
      <c r="U192" s="212">
        <f>(S192-Q192)*Q12</f>
        <v>-5617.0798576401521</v>
      </c>
      <c r="V192" s="212"/>
      <c r="W192" s="210"/>
      <c r="X192" s="223">
        <f>(X31+X32)/X12</f>
        <v>0.10352019216832545</v>
      </c>
      <c r="Y192" s="221"/>
      <c r="Z192" s="221">
        <f>(Z31+Z32)/Z12</f>
        <v>7.0507886765384276E-2</v>
      </c>
      <c r="AA192" s="221"/>
      <c r="AB192" s="212">
        <f>(Z192-X192)*X12</f>
        <v>-8746.0953245449764</v>
      </c>
      <c r="AC192" s="212"/>
      <c r="AD192" s="210"/>
      <c r="AE192" s="223" t="e">
        <f>(AE31+AE32)/AE12</f>
        <v>#DIV/0!</v>
      </c>
      <c r="AF192" s="221"/>
      <c r="AG192" s="221">
        <f>(AG31+AG32)/AG12</f>
        <v>6.8882088310924336E-2</v>
      </c>
      <c r="AH192" s="221"/>
      <c r="AI192" s="220" t="e">
        <f>(AG192-AE192)*AE12</f>
        <v>#DIV/0!</v>
      </c>
      <c r="AJ192" s="210"/>
      <c r="AK192" s="210"/>
      <c r="AL192" s="223" t="e">
        <f>(AL31+AL32)/AL12</f>
        <v>#DIV/0!</v>
      </c>
      <c r="AM192" s="221"/>
      <c r="AN192" s="221">
        <f>(AN31+AN32)/AN12</f>
        <v>7.7695385255238072E-2</v>
      </c>
      <c r="AO192" s="221"/>
      <c r="AP192" s="220" t="e">
        <f>(AN192-AL192)*AL12</f>
        <v>#DIV/0!</v>
      </c>
      <c r="AQ192" s="210"/>
      <c r="AR192" s="210"/>
      <c r="AS192" s="223" t="e">
        <f>(AS31+AS32)/AS12</f>
        <v>#DIV/0!</v>
      </c>
      <c r="AT192" s="221"/>
      <c r="AU192" s="221">
        <f>(AU31+AU32)/AU12</f>
        <v>7.7326251054952111E-2</v>
      </c>
      <c r="AV192" s="221"/>
      <c r="AW192" s="220" t="e">
        <f>(AU192-AS192)*AS12</f>
        <v>#DIV/0!</v>
      </c>
      <c r="AX192" s="210"/>
      <c r="AY192" s="210"/>
      <c r="AZ192" s="223" t="e">
        <f>(AZ31+AZ32)/AZ12</f>
        <v>#DIV/0!</v>
      </c>
      <c r="BA192" s="221"/>
      <c r="BB192" s="221">
        <f>(BB31+BB32)/BB12</f>
        <v>7.4660962304054168E-2</v>
      </c>
      <c r="BC192" s="221"/>
      <c r="BD192" s="220" t="e">
        <f>(BB192-AZ192)*AZ12</f>
        <v>#DIV/0!</v>
      </c>
      <c r="BE192" s="212"/>
      <c r="BF192" s="210"/>
      <c r="BG192" s="223" t="e">
        <f>(BG31+BG32)/BG12</f>
        <v>#DIV/0!</v>
      </c>
      <c r="BH192" s="221"/>
      <c r="BI192" s="223" t="e">
        <f>(BI31+BI32)/BI12</f>
        <v>#DIV/0!</v>
      </c>
      <c r="BJ192" s="221"/>
      <c r="BK192" s="220" t="e">
        <f>(BI192-BG192)*BG12</f>
        <v>#DIV/0!</v>
      </c>
      <c r="BL192" s="212"/>
      <c r="BM192" s="210"/>
      <c r="BN192" s="223" t="e">
        <f>(BN31+BN32)/BN12</f>
        <v>#DIV/0!</v>
      </c>
      <c r="BO192" s="216"/>
      <c r="BP192" s="223" t="e">
        <f>(BP31+BP32)/BP12</f>
        <v>#DIV/0!</v>
      </c>
      <c r="BQ192" s="216"/>
      <c r="BR192" s="222" t="e">
        <f>(BP192-BN192)*BN12</f>
        <v>#DIV/0!</v>
      </c>
      <c r="BS192" s="216"/>
      <c r="BT192" s="210"/>
      <c r="BU192" s="223">
        <f>(BU31+BU32)/BU12</f>
        <v>1.4661596468425429</v>
      </c>
      <c r="BV192" s="216"/>
      <c r="BW192" s="223" t="e">
        <f>(BW31+BW32)/BW12</f>
        <v>#DIV/0!</v>
      </c>
      <c r="BX192" s="216"/>
      <c r="BY192" s="222" t="e">
        <f>(BW192-BU192)*BU12</f>
        <v>#DIV/0!</v>
      </c>
      <c r="BZ192" s="213"/>
      <c r="CA192" s="210"/>
      <c r="CB192" s="223">
        <f>(CB31+CB32)/CB12</f>
        <v>0.18012811845668605</v>
      </c>
      <c r="CC192" s="216"/>
      <c r="CD192" s="223">
        <f>(CD31+CD32)/CD12</f>
        <v>8.2498442472511743E-2</v>
      </c>
      <c r="CE192" s="216"/>
      <c r="CF192" s="222">
        <f>(CD192-CB192)*CB12</f>
        <v>-7097.9732619677043</v>
      </c>
      <c r="CG192" s="213"/>
      <c r="CH192" s="210"/>
      <c r="CI192" s="223">
        <f>(CI31+CI32)/CI12</f>
        <v>0.31531293784471376</v>
      </c>
      <c r="CJ192" s="216"/>
      <c r="CK192" s="223">
        <f>(CK31+CK32)/CK12</f>
        <v>0.26867770125780871</v>
      </c>
      <c r="CL192" s="216"/>
      <c r="CM192" s="222">
        <f>(CK192-CI192)*CI12</f>
        <v>-3788.7925886106832</v>
      </c>
      <c r="CN192" s="213"/>
      <c r="CO192" s="210"/>
      <c r="CP192" s="223">
        <f>(CP31+CP32)/CP12</f>
        <v>0.12203882343888173</v>
      </c>
      <c r="CQ192" s="223"/>
      <c r="CR192" s="223">
        <f>(CR31+CR32)/CR12</f>
        <v>7.7497516375086298E-2</v>
      </c>
      <c r="CS192" s="223"/>
      <c r="CT192" s="222">
        <f>(CR192-CP192)*CP12</f>
        <v>-9886.4223672734024</v>
      </c>
      <c r="CU192" s="210"/>
      <c r="CV192" s="210"/>
      <c r="CW192" s="223">
        <f>(CW31+CW32)/CW12</f>
        <v>0.10650817838670699</v>
      </c>
      <c r="CX192" s="216"/>
      <c r="CY192" s="223">
        <f>(CY31+CY32)/CY12</f>
        <v>7.7497516375086298E-2</v>
      </c>
      <c r="CZ192" s="216"/>
      <c r="DA192" s="222">
        <f t="shared" ref="DA192:DA197" si="437">(CY192-CW192)*CW12</f>
        <v>-7562.0494178214831</v>
      </c>
      <c r="DB192" s="213"/>
      <c r="DC192" s="210"/>
      <c r="DD192" s="223">
        <f>(DD31+DD32)/DD12</f>
        <v>0.10257180637364112</v>
      </c>
      <c r="DE192" s="216"/>
      <c r="DF192" s="223">
        <f>(DF31+DF32)/DF12</f>
        <v>7.7501648305100354E-2</v>
      </c>
      <c r="DG192" s="216"/>
      <c r="DH192" s="222">
        <f>(DF192-DD192)*DD12</f>
        <v>-5704.1243169755171</v>
      </c>
      <c r="DI192" s="213"/>
      <c r="DJ192" s="210"/>
      <c r="DK192" s="223">
        <f>(DK31+DK32)/DK12</f>
        <v>9.4562230744178591E-2</v>
      </c>
      <c r="DL192" s="216"/>
      <c r="DM192" s="223">
        <f>(DM31+DM32)/DM12</f>
        <v>7.7501648305100354E-2</v>
      </c>
      <c r="DN192" s="216"/>
      <c r="DO192" s="222">
        <f>(DM192-DK192)*DK12</f>
        <v>-2535.9445151773011</v>
      </c>
      <c r="DP192" s="213"/>
      <c r="DQ192" s="210"/>
      <c r="DR192" s="223">
        <f>(DR31+DR32)/DR12</f>
        <v>0.10741162735888606</v>
      </c>
      <c r="DS192" s="216"/>
      <c r="DT192" s="223">
        <f>(DT31+DT32)/DT12</f>
        <v>7.7499720065141331E-2</v>
      </c>
      <c r="DU192" s="216"/>
      <c r="DV192" s="222">
        <f>(DT192-DR192)*DR12</f>
        <v>-25688.202406712957</v>
      </c>
      <c r="DW192" s="213"/>
      <c r="DX192" s="210"/>
      <c r="DY192" s="223">
        <f>(DY31+DY32)/DY12</f>
        <v>0.12057340086028337</v>
      </c>
      <c r="DZ192" s="212"/>
      <c r="EA192" s="221">
        <f>(EA31+EA32)/EA12</f>
        <v>8.2483056547817402E-2</v>
      </c>
      <c r="EB192" s="212"/>
      <c r="EC192" s="220">
        <f>(EA192-DY192)*DY12</f>
        <v>-45897.826172832087</v>
      </c>
    </row>
    <row r="193" spans="1:134">
      <c r="A193" s="27" t="s">
        <v>46</v>
      </c>
      <c r="B193" s="27"/>
      <c r="C193" s="223" t="e">
        <f>C33/C12</f>
        <v>#DIV/0!</v>
      </c>
      <c r="D193" s="221"/>
      <c r="E193" s="221">
        <f>E33/E12</f>
        <v>0.14685904955140602</v>
      </c>
      <c r="F193" s="221"/>
      <c r="G193" s="212" t="e">
        <f>(E193-C193)*C12</f>
        <v>#DIV/0!</v>
      </c>
      <c r="H193" s="212"/>
      <c r="I193" s="210"/>
      <c r="J193" s="223">
        <f>J33/J12</f>
        <v>0.20117713445749894</v>
      </c>
      <c r="K193" s="221"/>
      <c r="L193" s="221">
        <f>L33/L12</f>
        <v>0.14576502052506321</v>
      </c>
      <c r="M193" s="221"/>
      <c r="N193" s="212">
        <f>(L193-J193)*J12</f>
        <v>-7954.0487762605871</v>
      </c>
      <c r="O193" s="212"/>
      <c r="P193" s="210"/>
      <c r="Q193" s="223">
        <f>Q33/Q12</f>
        <v>0.26612752685744973</v>
      </c>
      <c r="R193" s="221"/>
      <c r="S193" s="221">
        <f>S33/S12</f>
        <v>0.12656262960554232</v>
      </c>
      <c r="T193" s="221"/>
      <c r="U193" s="212">
        <f>(S193-Q193)*Q12</f>
        <v>-16941.908485816566</v>
      </c>
      <c r="V193" s="212"/>
      <c r="W193" s="210"/>
      <c r="X193" s="223">
        <f>X33/X12</f>
        <v>0.23093690362595423</v>
      </c>
      <c r="Y193" s="221"/>
      <c r="Z193" s="221">
        <f>Z33/Z12</f>
        <v>0.13907668716576579</v>
      </c>
      <c r="AA193" s="221"/>
      <c r="AB193" s="212">
        <f>(Z193-X193)*X12</f>
        <v>-24336.931331750144</v>
      </c>
      <c r="AC193" s="212"/>
      <c r="AD193" s="210"/>
      <c r="AE193" s="223" t="e">
        <f>AE33/AE12</f>
        <v>#DIV/0!</v>
      </c>
      <c r="AF193" s="221"/>
      <c r="AG193" s="221">
        <f>AG33/AG12</f>
        <v>0.11755761096948056</v>
      </c>
      <c r="AH193" s="221"/>
      <c r="AI193" s="220" t="e">
        <f>(AG193-AE193)*AE12</f>
        <v>#DIV/0!</v>
      </c>
      <c r="AJ193" s="210"/>
      <c r="AK193" s="210"/>
      <c r="AL193" s="223" t="e">
        <f>AL33/AL12</f>
        <v>#DIV/0!</v>
      </c>
      <c r="AM193" s="221"/>
      <c r="AN193" s="221">
        <f>AN33/AN12</f>
        <v>0.11710237181676211</v>
      </c>
      <c r="AO193" s="221"/>
      <c r="AP193" s="220" t="e">
        <f>(AN193-AL193)*AL12</f>
        <v>#DIV/0!</v>
      </c>
      <c r="AQ193" s="210"/>
      <c r="AR193" s="210"/>
      <c r="AS193" s="223" t="e">
        <f>AS33/AS12</f>
        <v>#DIV/0!</v>
      </c>
      <c r="AT193" s="221"/>
      <c r="AU193" s="221">
        <f>AU33/AU12</f>
        <v>0.11465956032954827</v>
      </c>
      <c r="AV193" s="221"/>
      <c r="AW193" s="220" t="e">
        <f>(AU193-AS193)*AS12</f>
        <v>#DIV/0!</v>
      </c>
      <c r="AX193" s="210"/>
      <c r="AY193" s="210"/>
      <c r="AZ193" s="223" t="e">
        <f>AZ33/AZ12</f>
        <v>#DIV/0!</v>
      </c>
      <c r="BA193" s="221"/>
      <c r="BB193" s="221">
        <f>BB33/BB12</f>
        <v>0.11642584329127359</v>
      </c>
      <c r="BC193" s="221"/>
      <c r="BD193" s="220" t="e">
        <f>(BB193-AZ193)*AZ12</f>
        <v>#DIV/0!</v>
      </c>
      <c r="BE193" s="212"/>
      <c r="BF193" s="210"/>
      <c r="BG193" s="223" t="e">
        <f>BG33/BG12</f>
        <v>#DIV/0!</v>
      </c>
      <c r="BH193" s="221"/>
      <c r="BI193" s="223" t="e">
        <f>BI33/BI12</f>
        <v>#DIV/0!</v>
      </c>
      <c r="BJ193" s="221"/>
      <c r="BK193" s="220" t="e">
        <f>(BI193-BG193)*BG12</f>
        <v>#DIV/0!</v>
      </c>
      <c r="BL193" s="212"/>
      <c r="BM193" s="210"/>
      <c r="BN193" s="223" t="e">
        <f>BN33/BN12</f>
        <v>#DIV/0!</v>
      </c>
      <c r="BO193" s="216"/>
      <c r="BP193" s="223" t="e">
        <f>BP33/BP12</f>
        <v>#DIV/0!</v>
      </c>
      <c r="BQ193" s="216"/>
      <c r="BR193" s="222" t="e">
        <f>(BP193-BN193)*BN12</f>
        <v>#DIV/0!</v>
      </c>
      <c r="BS193" s="216"/>
      <c r="BT193" s="210"/>
      <c r="BU193" s="223">
        <f>BU33/BU12</f>
        <v>1.2930949286308122</v>
      </c>
      <c r="BV193" s="216"/>
      <c r="BW193" s="223" t="e">
        <f>BW33/BW12</f>
        <v>#DIV/0!</v>
      </c>
      <c r="BX193" s="216"/>
      <c r="BY193" s="222" t="e">
        <f>(BW193-BU193)*BU12</f>
        <v>#DIV/0!</v>
      </c>
      <c r="BZ193" s="213"/>
      <c r="CA193" s="210"/>
      <c r="CB193" s="223">
        <f>CB33/CB12</f>
        <v>0.20628094867572919</v>
      </c>
      <c r="CC193" s="216"/>
      <c r="CD193" s="223">
        <f>CD33/CD12</f>
        <v>0.10419437943053428</v>
      </c>
      <c r="CE193" s="216"/>
      <c r="CF193" s="222">
        <f>(CD193-CB193)*CB12</f>
        <v>-7422.0029064304827</v>
      </c>
      <c r="CG193" s="213"/>
      <c r="CH193" s="210"/>
      <c r="CI193" s="223">
        <f>CI33/CI12</f>
        <v>0.346692698816503</v>
      </c>
      <c r="CJ193" s="216"/>
      <c r="CK193" s="223">
        <f>CK33/CK12</f>
        <v>0.21016518210443011</v>
      </c>
      <c r="CL193" s="216"/>
      <c r="CM193" s="222">
        <f>(CK193-CI193)*CI12</f>
        <v>-11091.922788816111</v>
      </c>
      <c r="CN193" s="213"/>
      <c r="CO193" s="210"/>
      <c r="CP193" s="223">
        <f>CP33/CP12</f>
        <v>0.15145523920534423</v>
      </c>
      <c r="CQ193" s="223"/>
      <c r="CR193" s="223">
        <f>CR33/CR12</f>
        <v>0.11902035730522487</v>
      </c>
      <c r="CS193" s="223"/>
      <c r="CT193" s="222">
        <f>(CR193-CP193)*CP12</f>
        <v>-7199.2710370607392</v>
      </c>
      <c r="CU193" s="210"/>
      <c r="CV193" s="210"/>
      <c r="CW193" s="223">
        <f>CW33/CW12</f>
        <v>0.14462798519276637</v>
      </c>
      <c r="CX193" s="216"/>
      <c r="CY193" s="223">
        <f>CY33/CY12</f>
        <v>0.11902035730522487</v>
      </c>
      <c r="CZ193" s="216"/>
      <c r="DA193" s="222">
        <f t="shared" si="437"/>
        <v>0</v>
      </c>
      <c r="DB193" s="213"/>
      <c r="DC193" s="210"/>
      <c r="DD193" s="223">
        <f>DD33/DD12</f>
        <v>0.15598282503054811</v>
      </c>
      <c r="DE193" s="216"/>
      <c r="DF193" s="223">
        <f>DF33/DF12</f>
        <v>0.12150310691698804</v>
      </c>
      <c r="DG193" s="216"/>
      <c r="DH193" s="222">
        <f>(DF193-DD193)*DD12</f>
        <v>-7845.0482041762007</v>
      </c>
      <c r="DI193" s="213"/>
      <c r="DJ193" s="210"/>
      <c r="DK193" s="223">
        <f>DK33/DK12</f>
        <v>0.13658997107777812</v>
      </c>
      <c r="DL193" s="216"/>
      <c r="DM193" s="223">
        <f>DM33/DM12</f>
        <v>0.12430614642842673</v>
      </c>
      <c r="DN193" s="216"/>
      <c r="DO193" s="222">
        <f>(DM193-DK193)*DK12</f>
        <v>-1825.9105664276169</v>
      </c>
      <c r="DP193" s="213"/>
      <c r="DQ193" s="210"/>
      <c r="DR193" s="223">
        <f>DR33/DR12</f>
        <v>0.14800959530281493</v>
      </c>
      <c r="DS193" s="216"/>
      <c r="DT193" s="223">
        <f>DT33/DT12</f>
        <v>0.12109196203886871</v>
      </c>
      <c r="DU193" s="216"/>
      <c r="DV193" s="222">
        <f>(DT193-DR193)*DR12</f>
        <v>-23116.734242437349</v>
      </c>
      <c r="DW193" s="213"/>
      <c r="DX193" s="210"/>
      <c r="DY193" s="223">
        <f>DY33/DY12</f>
        <v>0.17995364094256305</v>
      </c>
      <c r="DZ193" s="212"/>
      <c r="EA193" s="221">
        <f>EA33/EA12</f>
        <v>0.12818285198472618</v>
      </c>
      <c r="EB193" s="212"/>
      <c r="EC193" s="220">
        <f>(EA193-DY193)*DY12</f>
        <v>-62382.388904778556</v>
      </c>
      <c r="ED193" s="212"/>
    </row>
    <row r="194" spans="1:134">
      <c r="A194" s="27" t="s">
        <v>177</v>
      </c>
      <c r="B194" s="27"/>
      <c r="C194" s="223" t="e">
        <f>C35/C12</f>
        <v>#DIV/0!</v>
      </c>
      <c r="D194" s="221"/>
      <c r="E194" s="221">
        <f>E35/E12</f>
        <v>4.999978996924833E-3</v>
      </c>
      <c r="F194" s="221"/>
      <c r="G194" s="212"/>
      <c r="H194" s="212"/>
      <c r="I194" s="210"/>
      <c r="J194" s="223">
        <f>J35/J12</f>
        <v>8.9698244782940358E-3</v>
      </c>
      <c r="K194" s="221"/>
      <c r="L194" s="221">
        <f>L35/L12</f>
        <v>5.0000000000000001E-3</v>
      </c>
      <c r="M194" s="221"/>
      <c r="N194" s="212"/>
      <c r="O194" s="212"/>
      <c r="P194" s="210"/>
      <c r="Q194" s="223">
        <f>Q35/Q12</f>
        <v>1.4222235768908542E-2</v>
      </c>
      <c r="R194" s="221"/>
      <c r="S194" s="221">
        <f>S35/S12</f>
        <v>5.0000000000000001E-3</v>
      </c>
      <c r="T194" s="221"/>
      <c r="U194" s="212"/>
      <c r="V194" s="212"/>
      <c r="W194" s="210"/>
      <c r="X194" s="223">
        <f>X35/X12</f>
        <v>1.1376438846748481E-2</v>
      </c>
      <c r="Y194" s="221"/>
      <c r="Z194" s="221">
        <f>Z35/Z12</f>
        <v>4.9999933699736267E-3</v>
      </c>
      <c r="AA194" s="221"/>
      <c r="AB194" s="212"/>
      <c r="AC194" s="212"/>
      <c r="AD194" s="210"/>
      <c r="AE194" s="223" t="e">
        <f>AE35/AE12</f>
        <v>#DIV/0!</v>
      </c>
      <c r="AF194" s="221"/>
      <c r="AG194" s="221">
        <f>AG35/AG12</f>
        <v>4.9999999999999992E-3</v>
      </c>
      <c r="AH194" s="221"/>
      <c r="AI194" s="220" t="e">
        <f>(AG194-AE194)*AE12</f>
        <v>#DIV/0!</v>
      </c>
      <c r="AJ194" s="210"/>
      <c r="AK194" s="210"/>
      <c r="AL194" s="223" t="e">
        <f>AL35/AL12</f>
        <v>#DIV/0!</v>
      </c>
      <c r="AM194" s="221"/>
      <c r="AN194" s="221">
        <f>AN35/AN12</f>
        <v>4.9999999999999992E-3</v>
      </c>
      <c r="AO194" s="221"/>
      <c r="AP194" s="220"/>
      <c r="AQ194" s="210"/>
      <c r="AR194" s="210"/>
      <c r="AS194" s="223" t="e">
        <f>AS35/AS12</f>
        <v>#DIV/0!</v>
      </c>
      <c r="AT194" s="221"/>
      <c r="AU194" s="221">
        <f>AU35/AU12</f>
        <v>5.0000000000000001E-3</v>
      </c>
      <c r="AV194" s="221"/>
      <c r="AW194" s="220"/>
      <c r="AX194" s="210"/>
      <c r="AY194" s="210"/>
      <c r="AZ194" s="223" t="e">
        <f>AZ35/AZ12</f>
        <v>#DIV/0!</v>
      </c>
      <c r="BA194" s="221"/>
      <c r="BB194" s="221">
        <f>BB35/BB12</f>
        <v>4.9999999999999992E-3</v>
      </c>
      <c r="BC194" s="221"/>
      <c r="BD194" s="220"/>
      <c r="BE194" s="212"/>
      <c r="BF194" s="210"/>
      <c r="BG194" s="223" t="e">
        <f>BG35/BG12</f>
        <v>#DIV/0!</v>
      </c>
      <c r="BH194" s="221"/>
      <c r="BI194" s="223" t="e">
        <f>BI35/BI12</f>
        <v>#DIV/0!</v>
      </c>
      <c r="BJ194" s="221"/>
      <c r="BK194" s="220" t="e">
        <f>(BI194-BG194)*BG13</f>
        <v>#DIV/0!</v>
      </c>
      <c r="BL194" s="212"/>
      <c r="BM194" s="210"/>
      <c r="BN194" s="223" t="e">
        <f>BN35/BN12</f>
        <v>#DIV/0!</v>
      </c>
      <c r="BO194" s="216"/>
      <c r="BP194" s="223" t="e">
        <f>BP35/BP12</f>
        <v>#DIV/0!</v>
      </c>
      <c r="BQ194" s="216"/>
      <c r="BR194" s="222" t="e">
        <f>(BP194-BN194)*BN13</f>
        <v>#DIV/0!</v>
      </c>
      <c r="BS194" s="216"/>
      <c r="BT194" s="210"/>
      <c r="BU194" s="223">
        <f>BU35/BU12</f>
        <v>0</v>
      </c>
      <c r="BV194" s="216"/>
      <c r="BW194" s="223" t="e">
        <f>BW35/BW12</f>
        <v>#DIV/0!</v>
      </c>
      <c r="BX194" s="216"/>
      <c r="BY194" s="222" t="e">
        <f>(BW194-BU194)*BU13</f>
        <v>#DIV/0!</v>
      </c>
      <c r="BZ194" s="213"/>
      <c r="CA194" s="210"/>
      <c r="CB194" s="223">
        <f>CB35/CB12</f>
        <v>4.2185036854722559E-2</v>
      </c>
      <c r="CC194" s="216"/>
      <c r="CD194" s="223">
        <f>CD35/CD12</f>
        <v>1.0001852194850898E-2</v>
      </c>
      <c r="CE194" s="216"/>
      <c r="CF194" s="222">
        <f>(CD194-CB194)*CB13</f>
        <v>0</v>
      </c>
      <c r="CG194" s="213"/>
      <c r="CH194" s="210"/>
      <c r="CI194" s="223">
        <f>CI35/CI12</f>
        <v>3.874764549322509E-2</v>
      </c>
      <c r="CJ194" s="216"/>
      <c r="CK194" s="223">
        <f>CK35/CK12</f>
        <v>1.0001852194850898E-2</v>
      </c>
      <c r="CL194" s="216"/>
      <c r="CM194" s="222"/>
      <c r="CN194" s="213"/>
      <c r="CO194" s="210"/>
      <c r="CP194" s="223">
        <f>CP35/CP12</f>
        <v>2.7061404907786402E-2</v>
      </c>
      <c r="CQ194" s="223"/>
      <c r="CR194" s="223">
        <f>CR35/CR12</f>
        <v>1.0001852194850898E-2</v>
      </c>
      <c r="CS194" s="223"/>
      <c r="CT194" s="222">
        <f>(CR194-CP194)*CP13</f>
        <v>0</v>
      </c>
      <c r="CU194" s="210"/>
      <c r="CV194" s="210"/>
      <c r="CW194" s="223">
        <f>CW35/CW12</f>
        <v>1.7350618030096854E-2</v>
      </c>
      <c r="CX194" s="216"/>
      <c r="CY194" s="223">
        <f>CY35/CY12</f>
        <v>1.0001852194850898E-2</v>
      </c>
      <c r="CZ194" s="216"/>
      <c r="DA194" s="222">
        <f t="shared" si="437"/>
        <v>0</v>
      </c>
      <c r="DB194" s="213"/>
      <c r="DC194" s="210"/>
      <c r="DD194" s="223">
        <f>DD35/DD12</f>
        <v>9.0106882513796421E-3</v>
      </c>
      <c r="DE194" s="216"/>
      <c r="DF194" s="223">
        <f>DF35/DF12</f>
        <v>1.0000331502701748E-2</v>
      </c>
      <c r="DG194" s="216"/>
      <c r="DH194" s="222">
        <f>(DF194-DD194)*DD13</f>
        <v>0</v>
      </c>
      <c r="DI194" s="213"/>
      <c r="DJ194" s="210"/>
      <c r="DK194" s="223">
        <f>DK35/DK12</f>
        <v>9.2032284764035082E-5</v>
      </c>
      <c r="DL194" s="216"/>
      <c r="DM194" s="223">
        <f>DM35/DM12</f>
        <v>1.0000331502701748E-2</v>
      </c>
      <c r="DN194" s="216"/>
      <c r="DO194" s="222">
        <f>(DM194-DK194)*DK13</f>
        <v>0</v>
      </c>
      <c r="DP194" s="213"/>
      <c r="DQ194" s="210"/>
      <c r="DR194" s="223">
        <f>DR35/DR12</f>
        <v>1.4663693975001259E-2</v>
      </c>
      <c r="DS194" s="216"/>
      <c r="DT194" s="223">
        <f>DT35/DT12</f>
        <v>1.0001041161228727E-2</v>
      </c>
      <c r="DU194" s="216"/>
      <c r="DV194" s="222">
        <f>(DT194-DR194)*DR13</f>
        <v>0</v>
      </c>
      <c r="DW194" s="213"/>
      <c r="DX194" s="210"/>
      <c r="DY194" s="223">
        <f>DY35/DY12</f>
        <v>1.5564750581533907E-2</v>
      </c>
      <c r="DZ194" s="212"/>
      <c r="EA194" s="221">
        <f>EA35/EA12</f>
        <v>6.9665430954919663E-3</v>
      </c>
      <c r="EB194" s="212"/>
      <c r="EC194" s="220"/>
      <c r="ED194" s="212"/>
    </row>
    <row r="195" spans="1:134">
      <c r="A195" s="27" t="s">
        <v>178</v>
      </c>
      <c r="B195" s="27"/>
      <c r="C195" s="223" t="e">
        <f>+C34/C12</f>
        <v>#DIV/0!</v>
      </c>
      <c r="D195" s="221"/>
      <c r="E195" s="221">
        <f>+E34/E12</f>
        <v>0</v>
      </c>
      <c r="F195" s="221"/>
      <c r="G195" s="212"/>
      <c r="H195" s="212"/>
      <c r="I195" s="210"/>
      <c r="J195" s="223">
        <f>+J34/J12</f>
        <v>0</v>
      </c>
      <c r="K195" s="221"/>
      <c r="L195" s="221">
        <f>+L34/L12</f>
        <v>0</v>
      </c>
      <c r="M195" s="221"/>
      <c r="N195" s="212"/>
      <c r="O195" s="212"/>
      <c r="P195" s="210"/>
      <c r="Q195" s="223">
        <f>+Q34/Q12</f>
        <v>0</v>
      </c>
      <c r="R195" s="221"/>
      <c r="S195" s="221">
        <f>+S34/S12</f>
        <v>0</v>
      </c>
      <c r="T195" s="221"/>
      <c r="U195" s="212"/>
      <c r="V195" s="212"/>
      <c r="W195" s="210"/>
      <c r="X195" s="223">
        <f>+X34/X12</f>
        <v>0</v>
      </c>
      <c r="Y195" s="221"/>
      <c r="Z195" s="221">
        <f>+Z34/Z12</f>
        <v>0</v>
      </c>
      <c r="AA195" s="221"/>
      <c r="AB195" s="212"/>
      <c r="AC195" s="212"/>
      <c r="AD195" s="210"/>
      <c r="AE195" s="223" t="e">
        <f>+AE34/AE12</f>
        <v>#DIV/0!</v>
      </c>
      <c r="AF195" s="221"/>
      <c r="AG195" s="221">
        <f>+AG34/AG12</f>
        <v>0</v>
      </c>
      <c r="AH195" s="221"/>
      <c r="AI195" s="220" t="e">
        <f>(AG195-AE195)*AE12</f>
        <v>#DIV/0!</v>
      </c>
      <c r="AJ195" s="210"/>
      <c r="AK195" s="210"/>
      <c r="AL195" s="223" t="e">
        <f>+AL34/AL12</f>
        <v>#DIV/0!</v>
      </c>
      <c r="AM195" s="221"/>
      <c r="AN195" s="221">
        <f>+AN34/AN12</f>
        <v>0</v>
      </c>
      <c r="AO195" s="221"/>
      <c r="AP195" s="220"/>
      <c r="AQ195" s="210"/>
      <c r="AR195" s="210"/>
      <c r="AS195" s="223" t="e">
        <f>+AS34/AS12</f>
        <v>#DIV/0!</v>
      </c>
      <c r="AT195" s="221"/>
      <c r="AU195" s="221">
        <f>+AU34/AU12</f>
        <v>0</v>
      </c>
      <c r="AV195" s="221"/>
      <c r="AW195" s="220"/>
      <c r="AX195" s="210"/>
      <c r="AY195" s="210"/>
      <c r="AZ195" s="223" t="e">
        <f>+AZ34/AZ12</f>
        <v>#DIV/0!</v>
      </c>
      <c r="BA195" s="221"/>
      <c r="BB195" s="221">
        <f>+BB34/BB12</f>
        <v>0</v>
      </c>
      <c r="BC195" s="221"/>
      <c r="BD195" s="220"/>
      <c r="BE195" s="212"/>
      <c r="BF195" s="210"/>
      <c r="BG195" s="223" t="e">
        <f>+BG34/BG12</f>
        <v>#DIV/0!</v>
      </c>
      <c r="BH195" s="221"/>
      <c r="BI195" s="223" t="e">
        <f>+BI34/BI12</f>
        <v>#DIV/0!</v>
      </c>
      <c r="BJ195" s="221"/>
      <c r="BK195" s="220" t="e">
        <f>(BI195-BG195)*BG14</f>
        <v>#DIV/0!</v>
      </c>
      <c r="BL195" s="212"/>
      <c r="BM195" s="210"/>
      <c r="BN195" s="223" t="e">
        <f>+BN34/BN12</f>
        <v>#DIV/0!</v>
      </c>
      <c r="BO195" s="216"/>
      <c r="BP195" s="223" t="e">
        <f>+BP34/BP12</f>
        <v>#DIV/0!</v>
      </c>
      <c r="BQ195" s="216"/>
      <c r="BR195" s="222" t="e">
        <f>(BP195-BN195)*BN14</f>
        <v>#DIV/0!</v>
      </c>
      <c r="BS195" s="216"/>
      <c r="BT195" s="210"/>
      <c r="BU195" s="223">
        <f>+BU34/BU12</f>
        <v>0</v>
      </c>
      <c r="BV195" s="216"/>
      <c r="BW195" s="223" t="e">
        <f>+BW34/BW12</f>
        <v>#DIV/0!</v>
      </c>
      <c r="BX195" s="216"/>
      <c r="BY195" s="222" t="e">
        <f>(BW195-BU195)*BU14</f>
        <v>#DIV/0!</v>
      </c>
      <c r="BZ195" s="213"/>
      <c r="CA195" s="210"/>
      <c r="CB195" s="223">
        <f>+CB34/CB12</f>
        <v>0</v>
      </c>
      <c r="CC195" s="216"/>
      <c r="CD195" s="223">
        <f>+CD34/CD12</f>
        <v>0</v>
      </c>
      <c r="CE195" s="216"/>
      <c r="CF195" s="222">
        <f>(CD195-CB195)*CB14</f>
        <v>0</v>
      </c>
      <c r="CG195" s="213"/>
      <c r="CH195" s="210"/>
      <c r="CI195" s="223">
        <f>+CI34/CI12</f>
        <v>0</v>
      </c>
      <c r="CJ195" s="216"/>
      <c r="CK195" s="223">
        <f>+CK34/CK12</f>
        <v>0</v>
      </c>
      <c r="CL195" s="216"/>
      <c r="CM195" s="222"/>
      <c r="CN195" s="213"/>
      <c r="CO195" s="210"/>
      <c r="CP195" s="223">
        <f>+CP34/CP12</f>
        <v>0</v>
      </c>
      <c r="CQ195" s="223"/>
      <c r="CR195" s="223">
        <f>+CR34/CR12</f>
        <v>0</v>
      </c>
      <c r="CS195" s="223"/>
      <c r="CT195" s="222">
        <f>(CR195-CP195)*CP14</f>
        <v>0</v>
      </c>
      <c r="CU195" s="210"/>
      <c r="CV195" s="210"/>
      <c r="CW195" s="223">
        <f>+CW34/CW12</f>
        <v>2.0140833145320257E-3</v>
      </c>
      <c r="CX195" s="216"/>
      <c r="CY195" s="223">
        <f>+CY34/CY12</f>
        <v>0</v>
      </c>
      <c r="CZ195" s="216"/>
      <c r="DA195" s="222">
        <f t="shared" si="437"/>
        <v>-110.17881645482284</v>
      </c>
      <c r="DB195" s="213"/>
      <c r="DC195" s="210"/>
      <c r="DD195" s="223">
        <f>+DD34/DD12</f>
        <v>5.7136211761919917E-4</v>
      </c>
      <c r="DE195" s="216"/>
      <c r="DF195" s="223">
        <f>+DF34/DF12</f>
        <v>0</v>
      </c>
      <c r="DG195" s="216"/>
      <c r="DH195" s="222">
        <f>(DF195-DD195)*DD14</f>
        <v>0</v>
      </c>
      <c r="DI195" s="213"/>
      <c r="DJ195" s="210"/>
      <c r="DK195" s="223">
        <f>+DK34/DK12</f>
        <v>0</v>
      </c>
      <c r="DL195" s="216"/>
      <c r="DM195" s="223">
        <f>+DM34/DM12</f>
        <v>0</v>
      </c>
      <c r="DN195" s="216"/>
      <c r="DO195" s="222">
        <f>(DM195-DK195)*DK14</f>
        <v>0</v>
      </c>
      <c r="DP195" s="213"/>
      <c r="DQ195" s="210"/>
      <c r="DR195" s="223">
        <f>+DR34/DR12</f>
        <v>7.6269639140973307E-4</v>
      </c>
      <c r="DS195" s="216"/>
      <c r="DT195" s="223">
        <f>+DT34/DT12</f>
        <v>0</v>
      </c>
      <c r="DU195" s="216"/>
      <c r="DV195" s="222">
        <f>(DT195-DR195)*DR14</f>
        <v>0</v>
      </c>
      <c r="DW195" s="213"/>
      <c r="DX195" s="210"/>
      <c r="DY195" s="223">
        <f>+DY34/DY12</f>
        <v>5.4358076634647163E-4</v>
      </c>
      <c r="DZ195" s="212"/>
      <c r="EA195" s="221">
        <f>+EA34/EA12</f>
        <v>0</v>
      </c>
      <c r="EB195" s="212"/>
      <c r="EC195" s="220"/>
      <c r="ED195" s="212"/>
    </row>
    <row r="196" spans="1:134">
      <c r="A196" s="27" t="s">
        <v>179</v>
      </c>
      <c r="B196" s="27"/>
      <c r="C196" s="223" t="e">
        <f>C58/C12</f>
        <v>#DIV/0!</v>
      </c>
      <c r="D196" s="221"/>
      <c r="E196" s="221">
        <f>E58/E12</f>
        <v>9.0907060659624575E-2</v>
      </c>
      <c r="F196" s="221"/>
      <c r="G196" s="212" t="e">
        <f>(E196-C196)*C12</f>
        <v>#DIV/0!</v>
      </c>
      <c r="H196" s="212"/>
      <c r="I196" s="210"/>
      <c r="J196" s="223">
        <f>J58/J12</f>
        <v>0.11551167416149109</v>
      </c>
      <c r="K196" s="221"/>
      <c r="L196" s="221">
        <f>L58/L12</f>
        <v>9.3660080456880263E-2</v>
      </c>
      <c r="M196" s="221"/>
      <c r="N196" s="212">
        <f>(L196-J196)*J12</f>
        <v>-3136.6542409378048</v>
      </c>
      <c r="O196" s="212"/>
      <c r="P196" s="210"/>
      <c r="Q196" s="223">
        <f>Q58/Q12</f>
        <v>9.4103099985254249E-2</v>
      </c>
      <c r="R196" s="221"/>
      <c r="S196" s="221">
        <f>S58/S12</f>
        <v>8.2469160662118637E-2</v>
      </c>
      <c r="T196" s="221"/>
      <c r="U196" s="212">
        <f>(S196-Q196)*Q12</f>
        <v>-1412.2543649808229</v>
      </c>
      <c r="V196" s="212"/>
      <c r="W196" s="210"/>
      <c r="X196" s="223">
        <f>X58/X12</f>
        <v>0.10570243048845301</v>
      </c>
      <c r="Y196" s="221"/>
      <c r="Z196" s="221">
        <f>Z58/Z12</f>
        <v>8.7753679404935822E-2</v>
      </c>
      <c r="AA196" s="221"/>
      <c r="AB196" s="212">
        <f>(Z196-X196)*X12</f>
        <v>-4755.2415990609761</v>
      </c>
      <c r="AC196" s="212"/>
      <c r="AD196" s="210"/>
      <c r="AE196" s="223" t="e">
        <f>AE58/AE12</f>
        <v>#DIV/0!</v>
      </c>
      <c r="AF196" s="221"/>
      <c r="AG196" s="221">
        <f>AG58/AG12</f>
        <v>7.6633836307465605E-2</v>
      </c>
      <c r="AH196" s="221"/>
      <c r="AI196" s="220" t="e">
        <f>(AG196-AE196)*AE12</f>
        <v>#DIV/0!</v>
      </c>
      <c r="AJ196" s="210"/>
      <c r="AK196" s="210"/>
      <c r="AL196" s="223" t="e">
        <f>AL58/AL12</f>
        <v>#DIV/0!</v>
      </c>
      <c r="AM196" s="221"/>
      <c r="AN196" s="221">
        <f>AN58/AN12</f>
        <v>7.8346366177092133E-2</v>
      </c>
      <c r="AO196" s="221"/>
      <c r="AP196" s="220" t="e">
        <f>(AN196-AL196)*AL12</f>
        <v>#DIV/0!</v>
      </c>
      <c r="AQ196" s="210"/>
      <c r="AR196" s="210"/>
      <c r="AS196" s="223" t="e">
        <f>AS58/AS12</f>
        <v>#DIV/0!</v>
      </c>
      <c r="AT196" s="221"/>
      <c r="AU196" s="221">
        <f>AU58/AU12</f>
        <v>7.7167763871106715E-2</v>
      </c>
      <c r="AV196" s="221"/>
      <c r="AW196" s="220" t="e">
        <f>(AU196-AS196)*AS12</f>
        <v>#DIV/0!</v>
      </c>
      <c r="AX196" s="210"/>
      <c r="AY196" s="210"/>
      <c r="AZ196" s="223" t="e">
        <f>AZ58/AZ12</f>
        <v>#DIV/0!</v>
      </c>
      <c r="BA196" s="221"/>
      <c r="BB196" s="221">
        <f>BB58/BB12</f>
        <v>7.738209919731602E-2</v>
      </c>
      <c r="BC196" s="221"/>
      <c r="BD196" s="220" t="e">
        <f>(BB196-AZ196)*AZ12</f>
        <v>#DIV/0!</v>
      </c>
      <c r="BE196" s="212"/>
      <c r="BF196" s="210"/>
      <c r="BG196" s="223" t="e">
        <f>BG58/BG12</f>
        <v>#DIV/0!</v>
      </c>
      <c r="BH196" s="221"/>
      <c r="BI196" s="223" t="e">
        <f>BI58/BI12</f>
        <v>#DIV/0!</v>
      </c>
      <c r="BJ196" s="221"/>
      <c r="BK196" s="220" t="e">
        <f>(BI196-BG196)*BG12</f>
        <v>#DIV/0!</v>
      </c>
      <c r="BL196" s="212"/>
      <c r="BM196" s="210"/>
      <c r="BN196" s="223" t="e">
        <f>BN58/BN12</f>
        <v>#DIV/0!</v>
      </c>
      <c r="BO196" s="216"/>
      <c r="BP196" s="223" t="e">
        <f>BP58/BP12</f>
        <v>#DIV/0!</v>
      </c>
      <c r="BQ196" s="216"/>
      <c r="BR196" s="222" t="e">
        <f>(BP196-BN196)*BN12</f>
        <v>#DIV/0!</v>
      </c>
      <c r="BS196" s="216"/>
      <c r="BT196" s="210"/>
      <c r="BU196" s="223">
        <f>BU58/BU12</f>
        <v>0.55886230840388285</v>
      </c>
      <c r="BV196" s="216"/>
      <c r="BW196" s="223" t="e">
        <f>BW58/BW12</f>
        <v>#DIV/0!</v>
      </c>
      <c r="BX196" s="216"/>
      <c r="BY196" s="222" t="e">
        <f>(BW196-BU196)*BU12</f>
        <v>#DIV/0!</v>
      </c>
      <c r="BZ196" s="213"/>
      <c r="CA196" s="210"/>
      <c r="CB196" s="223">
        <f>CB58/CB12</f>
        <v>0.18250766164766449</v>
      </c>
      <c r="CC196" s="216"/>
      <c r="CD196" s="223">
        <f>CD58/CD12</f>
        <v>0.11061812793614979</v>
      </c>
      <c r="CE196" s="216"/>
      <c r="CF196" s="222">
        <f>(CD196-CB196)*CB12</f>
        <v>-5226.5869261142643</v>
      </c>
      <c r="CG196" s="213"/>
      <c r="CH196" s="210"/>
      <c r="CI196" s="223">
        <f>CI58/CI12</f>
        <v>0.29754577402421595</v>
      </c>
      <c r="CJ196" s="216"/>
      <c r="CK196" s="223">
        <f>CK58/CK12</f>
        <v>0.29060937210594556</v>
      </c>
      <c r="CL196" s="216"/>
      <c r="CM196" s="222">
        <f>(CK196-CI196)*CI12</f>
        <v>-563.53500277829028</v>
      </c>
      <c r="CN196" s="213"/>
      <c r="CO196" s="210"/>
      <c r="CP196" s="223">
        <f>CP58/CP12</f>
        <v>0.14371779047792052</v>
      </c>
      <c r="CQ196" s="223"/>
      <c r="CR196" s="223">
        <f>CR58/CR12</f>
        <v>9.9850140598427312E-2</v>
      </c>
      <c r="CS196" s="223"/>
      <c r="CT196" s="222">
        <f>(CR196-CP196)*CP12</f>
        <v>-9736.8969066662212</v>
      </c>
      <c r="CU196" s="210"/>
      <c r="CV196" s="210"/>
      <c r="CW196" s="223">
        <f>CW58/CW12</f>
        <v>0.1072038619452922</v>
      </c>
      <c r="CX196" s="216"/>
      <c r="CY196" s="223">
        <f>CY58/CY12</f>
        <v>0.10049840879624172</v>
      </c>
      <c r="CZ196" s="216"/>
      <c r="DA196" s="222">
        <f t="shared" si="437"/>
        <v>-4.7467232296813444</v>
      </c>
      <c r="DB196" s="213"/>
      <c r="DC196" s="210"/>
      <c r="DD196" s="223">
        <f>DD58/DD12</f>
        <v>0.11519816200717929</v>
      </c>
      <c r="DE196" s="216"/>
      <c r="DF196" s="223">
        <f>DF58/DF12</f>
        <v>9.1730197601110453E-2</v>
      </c>
      <c r="DG196" s="216"/>
      <c r="DH196" s="222">
        <f>(DF196-DD196)*DD12</f>
        <v>-5339.5828647188455</v>
      </c>
      <c r="DI196" s="213"/>
      <c r="DJ196" s="210"/>
      <c r="DK196" s="223">
        <f>DK58/DK12</f>
        <v>0.11762627478673973</v>
      </c>
      <c r="DL196" s="216"/>
      <c r="DM196" s="223">
        <f>DM58/DM12</f>
        <v>9.043507037915692E-2</v>
      </c>
      <c r="DN196" s="216"/>
      <c r="DO196" s="222">
        <f>(DM196-DK196)*DK12</f>
        <v>-4041.7955204464911</v>
      </c>
      <c r="DP196" s="213"/>
      <c r="DQ196" s="210"/>
      <c r="DR196" s="223">
        <f>DR58/DR12</f>
        <v>0.12056303994246827</v>
      </c>
      <c r="DS196" s="216"/>
      <c r="DT196" s="223">
        <f>DT58/DT12</f>
        <v>9.5325412750915703E-2</v>
      </c>
      <c r="DU196" s="216"/>
      <c r="DV196" s="222">
        <f>(DT196-DR196)*DR12</f>
        <v>-21673.953091494823</v>
      </c>
      <c r="DW196" s="213"/>
      <c r="DX196" s="210"/>
      <c r="DY196" s="223">
        <f>DY58/DY12</f>
        <v>0.14153395820003331</v>
      </c>
      <c r="DZ196" s="212"/>
      <c r="EA196" s="221">
        <f>EA58/EA12</f>
        <v>9.5328273573465516E-2</v>
      </c>
      <c r="EB196" s="212"/>
      <c r="EC196" s="220">
        <f>(EA196-DY196)*DY12</f>
        <v>-55676.589945994427</v>
      </c>
      <c r="ED196" s="212"/>
    </row>
    <row r="197" spans="1:134">
      <c r="A197" s="3" t="s">
        <v>180</v>
      </c>
      <c r="B197" s="3"/>
      <c r="C197" s="42" t="e">
        <f>(C58+C36+C26)/C12</f>
        <v>#DIV/0!</v>
      </c>
      <c r="D197" s="221"/>
      <c r="E197" s="19">
        <f>(E58+E36+E26)/E12</f>
        <v>0.39458097840682677</v>
      </c>
      <c r="F197" s="221"/>
      <c r="G197" s="31" t="e">
        <f>(E197-C197)*C12</f>
        <v>#DIV/0!</v>
      </c>
      <c r="H197" s="212"/>
      <c r="I197" s="210"/>
      <c r="J197" s="42">
        <f>(J58+J36+J26)/J12</f>
        <v>0.61391933455712022</v>
      </c>
      <c r="K197" s="221"/>
      <c r="L197" s="19">
        <f>(L58+L36+L26)/L12</f>
        <v>0.42067053168967217</v>
      </c>
      <c r="M197" s="221"/>
      <c r="N197" s="31">
        <f>(L197-J197)*J12</f>
        <v>-27739.609534403531</v>
      </c>
      <c r="O197" s="212"/>
      <c r="P197" s="210"/>
      <c r="Q197" s="42">
        <f>(Q58+Q36+Q26)/Q12</f>
        <v>0.70078481994943598</v>
      </c>
      <c r="R197" s="221"/>
      <c r="S197" s="19">
        <f>(S58+S36+S26)/S12</f>
        <v>0.37496360049897315</v>
      </c>
      <c r="T197" s="221"/>
      <c r="U197" s="31">
        <f>(S197-Q197)*Q12</f>
        <v>-39551.73106818919</v>
      </c>
      <c r="V197" s="212"/>
      <c r="W197" s="210"/>
      <c r="X197" s="42">
        <f>(X58+X36+X26)/X12</f>
        <v>0.65372043041598227</v>
      </c>
      <c r="Y197" s="221"/>
      <c r="Z197" s="19">
        <f>(Z58+Z36+Z26)/Z12</f>
        <v>0.39475455959222555</v>
      </c>
      <c r="AA197" s="221"/>
      <c r="AB197" s="31">
        <f>(Z197-X197)*X12</f>
        <v>-68608.967607169485</v>
      </c>
      <c r="AC197" s="212"/>
      <c r="AD197" s="210"/>
      <c r="AE197" s="42" t="e">
        <f>(AE58+AE36+AE26)/AE12</f>
        <v>#DIV/0!</v>
      </c>
      <c r="AF197" s="221"/>
      <c r="AG197" s="19">
        <f>(AG58+AG36+AG26)/AG12</f>
        <v>0.35447722180678393</v>
      </c>
      <c r="AH197" s="221"/>
      <c r="AI197" s="70" t="e">
        <f>(AG197-AE197)*AE12</f>
        <v>#DIV/0!</v>
      </c>
      <c r="AJ197" s="210"/>
      <c r="AK197" s="210"/>
      <c r="AL197" s="42" t="e">
        <f>(AL58+AL36+AL26)/AL12</f>
        <v>#DIV/0!</v>
      </c>
      <c r="AM197" s="221"/>
      <c r="AN197" s="19">
        <f>(AN58+AN36+AN26)/AN12</f>
        <v>0.36421321317448063</v>
      </c>
      <c r="AO197" s="221"/>
      <c r="AP197" s="70" t="e">
        <f>(AN197-AL197)*AL12</f>
        <v>#DIV/0!</v>
      </c>
      <c r="AQ197" s="210"/>
      <c r="AR197" s="210"/>
      <c r="AS197" s="42" t="e">
        <f>(AS58+AS36+AS26)/AS12</f>
        <v>#DIV/0!</v>
      </c>
      <c r="AT197" s="221"/>
      <c r="AU197" s="19">
        <f>(AU58+AU36+AU26)/AU12</f>
        <v>0.36047233921669797</v>
      </c>
      <c r="AV197" s="221"/>
      <c r="AW197" s="70" t="e">
        <f>(AU197-AS197)*AS12</f>
        <v>#DIV/0!</v>
      </c>
      <c r="AX197" s="210"/>
      <c r="AY197" s="210"/>
      <c r="AZ197" s="42" t="e">
        <f>(AZ58+AZ36+AZ26)/AZ12</f>
        <v>#DIV/0!</v>
      </c>
      <c r="BA197" s="221"/>
      <c r="BB197" s="19">
        <f>(BB58+BB36+BB26)/BB12</f>
        <v>0.35973295977810532</v>
      </c>
      <c r="BC197" s="221"/>
      <c r="BD197" s="70" t="e">
        <f>(BB197-AZ197)*AZ12</f>
        <v>#DIV/0!</v>
      </c>
      <c r="BE197" s="212"/>
      <c r="BF197" s="210"/>
      <c r="BG197" s="42" t="e">
        <f>(BG58+BG36+BG26)/BG12</f>
        <v>#DIV/0!</v>
      </c>
      <c r="BH197" s="221"/>
      <c r="BI197" s="42" t="e">
        <f>(BI58+BI36+BI26)/BI12</f>
        <v>#DIV/0!</v>
      </c>
      <c r="BJ197" s="221"/>
      <c r="BK197" s="70" t="e">
        <f>(BI197-BG197)*BG12</f>
        <v>#DIV/0!</v>
      </c>
      <c r="BL197" s="212"/>
      <c r="BM197" s="210"/>
      <c r="BN197" s="42" t="e">
        <f>(BN58+BN36+BN26)/BN12</f>
        <v>#DIV/0!</v>
      </c>
      <c r="BO197" s="216"/>
      <c r="BP197" s="42" t="e">
        <f>(BP58+BP36+BP26)/BP12</f>
        <v>#DIV/0!</v>
      </c>
      <c r="BQ197" s="216"/>
      <c r="BR197" s="75" t="e">
        <f>(BP197-BN197)*BN12</f>
        <v>#DIV/0!</v>
      </c>
      <c r="BS197" s="216"/>
      <c r="BT197" s="210"/>
      <c r="BU197" s="42">
        <f>(BU58+BU36+BU26)/BU12</f>
        <v>5.0612123979812882</v>
      </c>
      <c r="BV197" s="216"/>
      <c r="BW197" s="42" t="e">
        <f>(BW58+BW36+BW26)/BW12</f>
        <v>#DIV/0!</v>
      </c>
      <c r="BX197" s="216"/>
      <c r="BY197" s="75" t="e">
        <f>(BW197-BU197)*BU12</f>
        <v>#DIV/0!</v>
      </c>
      <c r="BZ197" s="213"/>
      <c r="CA197" s="210"/>
      <c r="CB197" s="42">
        <f>(CB58+CB36+CB26)/CB12</f>
        <v>0.87314861567667812</v>
      </c>
      <c r="CC197" s="216"/>
      <c r="CD197" s="42">
        <f>(CD58+CD36+CD26)/CD12</f>
        <v>0.44167270033171124</v>
      </c>
      <c r="CE197" s="216"/>
      <c r="CF197" s="75">
        <f>(CD197-CB197)*CB12</f>
        <v>-31369.606417602587</v>
      </c>
      <c r="CG197" s="213"/>
      <c r="CH197" s="210"/>
      <c r="CI197" s="42">
        <f>(CI58+CI36+CI26)/CI12</f>
        <v>1.7695198350925181</v>
      </c>
      <c r="CJ197" s="216"/>
      <c r="CK197" s="42">
        <f>(CK58+CK36+CK26)/CK12</f>
        <v>1.2853474549158934</v>
      </c>
      <c r="CL197" s="216"/>
      <c r="CM197" s="75">
        <f>(CK197-CI197)*CI12</f>
        <v>-39335.679625098943</v>
      </c>
      <c r="CN197" s="213"/>
      <c r="CO197" s="210"/>
      <c r="CP197" s="42">
        <f>(CP58+CP36+CP26)/CP12</f>
        <v>0.64482785155358091</v>
      </c>
      <c r="CQ197" s="223"/>
      <c r="CR197" s="42">
        <f>(CR58+CR36+CR26)/CR12</f>
        <v>0.44073397430500599</v>
      </c>
      <c r="CS197" s="223"/>
      <c r="CT197" s="75">
        <f>(CR197-CP197)*CP12</f>
        <v>-45300.8321054404</v>
      </c>
      <c r="CU197" s="210"/>
      <c r="CV197" s="210"/>
      <c r="CW197" s="42">
        <f>(CW58+CW36+CW26)/CW12</f>
        <v>0.50111708733322291</v>
      </c>
      <c r="CX197" s="216"/>
      <c r="CY197" s="42">
        <f>(CY58+CY36+CY26)/CY12</f>
        <v>0.44138224250282038</v>
      </c>
      <c r="CZ197" s="216"/>
      <c r="DA197" s="222">
        <f t="shared" si="437"/>
        <v>-561.51052814802529</v>
      </c>
      <c r="DB197" s="213"/>
      <c r="DC197" s="210"/>
      <c r="DD197" s="42">
        <f>(DD58+DD36+DD26)/DD12</f>
        <v>0.51697116897964313</v>
      </c>
      <c r="DE197" s="216"/>
      <c r="DF197" s="42">
        <f>(DF58+DF36+DF26)/DF12</f>
        <v>0.41830455918215736</v>
      </c>
      <c r="DG197" s="216"/>
      <c r="DH197" s="75">
        <f>(DF197-DD197)*DD12</f>
        <v>-22449.264447423251</v>
      </c>
      <c r="DI197" s="213"/>
      <c r="DJ197" s="210"/>
      <c r="DK197" s="42">
        <f>(DK58+DK36+DK26)/DK12</f>
        <v>0.54089560195337183</v>
      </c>
      <c r="DL197" s="216"/>
      <c r="DM197" s="42">
        <f>(DM58+DM36+DM26)/DM12</f>
        <v>0.4137791222998467</v>
      </c>
      <c r="DN197" s="216"/>
      <c r="DO197" s="75">
        <f>(DM197-DK197)*DK12</f>
        <v>-18895.037172213964</v>
      </c>
      <c r="DP197" s="213"/>
      <c r="DQ197" s="210"/>
      <c r="DR197" s="42">
        <f>(DR58+DR36+DR26)/DR12</f>
        <v>0.54934533867911706</v>
      </c>
      <c r="DS197" s="216"/>
      <c r="DT197" s="42">
        <f>(DT58+DT36+DT26)/DT12</f>
        <v>0.42771613502214012</v>
      </c>
      <c r="DU197" s="216"/>
      <c r="DV197" s="75">
        <f>(DT197-DR197)*DR12</f>
        <v>-104454.57628043424</v>
      </c>
      <c r="DW197" s="213"/>
      <c r="DX197" s="210"/>
      <c r="DY197" s="42">
        <f>(DY58+DY36+DY26)/DY12</f>
        <v>0.66718282495903469</v>
      </c>
      <c r="DZ197" s="212"/>
      <c r="EA197" s="19">
        <f>(EA58+EA36+EA26)/EA12</f>
        <v>0.43138251872464883</v>
      </c>
      <c r="EB197" s="212"/>
      <c r="EC197" s="70">
        <f>(EA197-DY197)*DY12</f>
        <v>-284132.93873808393</v>
      </c>
      <c r="ED197" s="212"/>
    </row>
    <row r="198" spans="1:134">
      <c r="A198" s="210"/>
      <c r="B198" s="210"/>
      <c r="C198" s="235"/>
      <c r="D198" s="221"/>
      <c r="E198" s="236"/>
      <c r="F198" s="221"/>
      <c r="G198" s="212"/>
      <c r="H198" s="212"/>
      <c r="I198" s="210"/>
      <c r="J198" s="235"/>
      <c r="K198" s="221"/>
      <c r="L198" s="236"/>
      <c r="M198" s="221"/>
      <c r="N198" s="212"/>
      <c r="O198" s="212"/>
      <c r="P198" s="210"/>
      <c r="Q198" s="235"/>
      <c r="R198" s="221"/>
      <c r="S198" s="236"/>
      <c r="T198" s="221"/>
      <c r="U198" s="212"/>
      <c r="V198" s="212"/>
      <c r="W198" s="210"/>
      <c r="X198" s="235"/>
      <c r="Y198" s="221"/>
      <c r="Z198" s="236"/>
      <c r="AA198" s="221"/>
      <c r="AB198" s="212"/>
      <c r="AC198" s="212"/>
      <c r="AD198" s="210"/>
      <c r="AE198" s="235"/>
      <c r="AF198" s="221"/>
      <c r="AG198" s="236"/>
      <c r="AH198" s="221"/>
      <c r="AI198" s="220"/>
      <c r="AJ198" s="210"/>
      <c r="AK198" s="210"/>
      <c r="AL198" s="235"/>
      <c r="AM198" s="221"/>
      <c r="AN198" s="236"/>
      <c r="AO198" s="221"/>
      <c r="AP198" s="220"/>
      <c r="AQ198" s="210"/>
      <c r="AR198" s="210"/>
      <c r="AS198" s="235"/>
      <c r="AT198" s="221"/>
      <c r="AU198" s="236"/>
      <c r="AV198" s="221"/>
      <c r="AW198" s="220"/>
      <c r="AX198" s="210"/>
      <c r="AY198" s="210"/>
      <c r="AZ198" s="235"/>
      <c r="BA198" s="221"/>
      <c r="BB198" s="236"/>
      <c r="BC198" s="221"/>
      <c r="BD198" s="220"/>
      <c r="BE198" s="212"/>
      <c r="BF198" s="210"/>
      <c r="BG198" s="235"/>
      <c r="BH198" s="221"/>
      <c r="BI198" s="235"/>
      <c r="BJ198" s="221"/>
      <c r="BK198" s="220"/>
      <c r="BL198" s="212"/>
      <c r="BM198" s="210"/>
      <c r="BN198" s="235"/>
      <c r="BO198" s="216"/>
      <c r="BP198" s="235"/>
      <c r="BQ198" s="216"/>
      <c r="BR198" s="222"/>
      <c r="BS198" s="216"/>
      <c r="BT198" s="210"/>
      <c r="BU198" s="235"/>
      <c r="BV198" s="216"/>
      <c r="BW198" s="235"/>
      <c r="BX198" s="216"/>
      <c r="BY198" s="222"/>
      <c r="BZ198" s="213"/>
      <c r="CA198" s="210"/>
      <c r="CB198" s="235"/>
      <c r="CC198" s="216"/>
      <c r="CD198" s="235"/>
      <c r="CE198" s="216"/>
      <c r="CF198" s="222"/>
      <c r="CG198" s="213"/>
      <c r="CH198" s="210"/>
      <c r="CI198" s="235"/>
      <c r="CJ198" s="216"/>
      <c r="CK198" s="235"/>
      <c r="CL198" s="216"/>
      <c r="CM198" s="222"/>
      <c r="CN198" s="213"/>
      <c r="CO198" s="210"/>
      <c r="CP198" s="235"/>
      <c r="CQ198" s="223"/>
      <c r="CR198" s="235"/>
      <c r="CS198" s="223"/>
      <c r="CT198" s="222"/>
      <c r="CU198" s="210"/>
      <c r="CV198" s="210"/>
      <c r="CW198" s="235"/>
      <c r="CX198" s="216"/>
      <c r="CY198" s="235"/>
      <c r="CZ198" s="216"/>
      <c r="DA198" s="222"/>
      <c r="DB198" s="213"/>
      <c r="DC198" s="210"/>
      <c r="DD198" s="235"/>
      <c r="DE198" s="216"/>
      <c r="DF198" s="235"/>
      <c r="DG198" s="216"/>
      <c r="DH198" s="222"/>
      <c r="DI198" s="213"/>
      <c r="DJ198" s="210"/>
      <c r="DK198" s="235"/>
      <c r="DL198" s="216"/>
      <c r="DM198" s="235"/>
      <c r="DN198" s="216"/>
      <c r="DO198" s="222"/>
      <c r="DP198" s="213"/>
      <c r="DQ198" s="210"/>
      <c r="DR198" s="235"/>
      <c r="DS198" s="216"/>
      <c r="DT198" s="235"/>
      <c r="DU198" s="216"/>
      <c r="DV198" s="222"/>
      <c r="DW198" s="213"/>
      <c r="DX198" s="210"/>
      <c r="DY198" s="235"/>
      <c r="DZ198" s="212"/>
      <c r="EA198" s="236"/>
      <c r="EB198" s="212"/>
      <c r="EC198" s="220"/>
      <c r="ED198" s="212"/>
    </row>
    <row r="199" spans="1:134">
      <c r="A199" s="3" t="s">
        <v>181</v>
      </c>
      <c r="B199" s="3"/>
      <c r="C199" s="46"/>
      <c r="D199" s="19" t="e">
        <f>D22+D26+D36+D58</f>
        <v>#DIV/0!</v>
      </c>
      <c r="E199" s="26"/>
      <c r="F199" s="19">
        <f>F22+F26+F36+F58</f>
        <v>0.66564349623962649</v>
      </c>
      <c r="G199" s="31">
        <f>(E199-C199)*C12</f>
        <v>0</v>
      </c>
      <c r="H199" s="31"/>
      <c r="I199" s="210"/>
      <c r="J199" s="46"/>
      <c r="K199" s="19">
        <f>K22+K26+K36+K58</f>
        <v>0.8499262592872544</v>
      </c>
      <c r="L199" s="26"/>
      <c r="M199" s="19">
        <f>M22+M26+M36+M58</f>
        <v>0.67106765256734779</v>
      </c>
      <c r="N199" s="31">
        <f>(L199-J199)*J12</f>
        <v>0</v>
      </c>
      <c r="O199" s="31"/>
      <c r="P199" s="210"/>
      <c r="Q199" s="46"/>
      <c r="R199" s="19">
        <f>R22+R26+R36+R58</f>
        <v>0.8823986806259777</v>
      </c>
      <c r="S199" s="26"/>
      <c r="T199" s="19">
        <f>T22+T26+T36+T58</f>
        <v>0.62536072137664878</v>
      </c>
      <c r="U199" s="31">
        <f>(S199-Q199)*Q12</f>
        <v>0</v>
      </c>
      <c r="V199" s="31"/>
      <c r="W199" s="210"/>
      <c r="X199" s="46"/>
      <c r="Y199" s="19">
        <f>Y22+Y26+Y36+Y58</f>
        <v>0.86480487245144477</v>
      </c>
      <c r="Z199" s="26"/>
      <c r="AA199" s="19">
        <f>AA22+AA26+AA36+AA58</f>
        <v>0.64515141643128238</v>
      </c>
      <c r="AB199" s="31">
        <f>(Z199-X199)*X12</f>
        <v>0</v>
      </c>
      <c r="AC199" s="31"/>
      <c r="AD199" s="210"/>
      <c r="AE199" s="46"/>
      <c r="AF199" s="19" t="e">
        <f>AF22+AF26+AF36+AF58</f>
        <v>#DIV/0!</v>
      </c>
      <c r="AG199" s="26"/>
      <c r="AH199" s="19">
        <f>AH22+AH26+AH36+AH58</f>
        <v>0.6255406251718828</v>
      </c>
      <c r="AI199" s="70">
        <f>(AG199-AE199)*AE12</f>
        <v>0</v>
      </c>
      <c r="AJ199" s="3"/>
      <c r="AK199" s="210"/>
      <c r="AL199" s="46"/>
      <c r="AM199" s="19" t="e">
        <f>AM22+AM26+AM36+AM58</f>
        <v>#DIV/0!</v>
      </c>
      <c r="AN199" s="26"/>
      <c r="AO199" s="19">
        <f>AO22+AO26+AO36+AO58</f>
        <v>0.63527661653957956</v>
      </c>
      <c r="AP199" s="70">
        <f>(AN199-AL199)*AL12</f>
        <v>0</v>
      </c>
      <c r="AQ199" s="3"/>
      <c r="AR199" s="210"/>
      <c r="AS199" s="46"/>
      <c r="AT199" s="19" t="e">
        <f>AT22+AT26+AT36+AT58</f>
        <v>#DIV/0!</v>
      </c>
      <c r="AU199" s="26"/>
      <c r="AV199" s="19">
        <f>AV22+AV26+AV36+AV58</f>
        <v>0.63153574258179701</v>
      </c>
      <c r="AW199" s="70">
        <f>(AU199-AS199)*AS12</f>
        <v>0</v>
      </c>
      <c r="AX199" s="3"/>
      <c r="AY199" s="210"/>
      <c r="AZ199" s="46"/>
      <c r="BA199" s="19" t="e">
        <f>BA22+BA26+BA36+BA58</f>
        <v>#DIV/0!</v>
      </c>
      <c r="BB199" s="26"/>
      <c r="BC199" s="19">
        <f>BC22+BC26+BC36+BC58</f>
        <v>0.63079636314320431</v>
      </c>
      <c r="BD199" s="70">
        <f>(BB199-AZ199)*AZ12</f>
        <v>0</v>
      </c>
      <c r="BE199" s="31"/>
      <c r="BF199" s="210"/>
      <c r="BG199" s="46"/>
      <c r="BH199" s="19" t="e">
        <f>BH22+BH26+BH36+BH58</f>
        <v>#DIV/0!</v>
      </c>
      <c r="BI199" s="46"/>
      <c r="BJ199" s="19" t="e">
        <f>BJ22+BJ26+BJ36+BJ58</f>
        <v>#DIV/0!</v>
      </c>
      <c r="BK199" s="70">
        <f>(BI199-BG199)*BG12</f>
        <v>0</v>
      </c>
      <c r="BL199" s="31"/>
      <c r="BM199" s="210"/>
      <c r="BN199" s="46"/>
      <c r="BO199" s="40" t="e">
        <f>BO22+BO26+BO36+BO58</f>
        <v>#DIV/0!</v>
      </c>
      <c r="BP199" s="46"/>
      <c r="BQ199" s="40" t="e">
        <f>BQ22+BQ26+BQ36+BQ58</f>
        <v>#DIV/0!</v>
      </c>
      <c r="BR199" s="75">
        <f>(BP199-BN199)*BN12</f>
        <v>0</v>
      </c>
      <c r="BS199" s="40"/>
      <c r="BT199" s="210"/>
      <c r="BU199" s="46"/>
      <c r="BV199" s="40">
        <f>BV22+BV26+BV36+BV58</f>
        <v>5.0612123979812882</v>
      </c>
      <c r="BW199" s="46"/>
      <c r="BX199" s="40" t="e">
        <f>BX22+BX26+BX36+BX58</f>
        <v>#DIV/0!</v>
      </c>
      <c r="BY199" s="75">
        <f>(BW199-BU199)*BU12</f>
        <v>0</v>
      </c>
      <c r="BZ199" s="82"/>
      <c r="CA199" s="210"/>
      <c r="CB199" s="46"/>
      <c r="CC199" s="40">
        <f>CC22+CC26+CC36+CC58</f>
        <v>1.108364121825459</v>
      </c>
      <c r="CD199" s="46"/>
      <c r="CE199" s="40">
        <f>CE22+CE26+CE36+CE58</f>
        <v>0.68542996177743354</v>
      </c>
      <c r="CF199" s="75">
        <f>(CD199-CB199)*CB12</f>
        <v>0</v>
      </c>
      <c r="CG199" s="82"/>
      <c r="CH199" s="210"/>
      <c r="CI199" s="46"/>
      <c r="CJ199" s="40">
        <f>CJ22+CJ26+CJ36+CJ58</f>
        <v>2.0016040740921723</v>
      </c>
      <c r="CK199" s="46"/>
      <c r="CL199" s="40">
        <f>CL22+CL26+CL36+CL58</f>
        <v>1.5291047163616158</v>
      </c>
      <c r="CM199" s="75">
        <f>(CK199-CI199)*CI12</f>
        <v>0</v>
      </c>
      <c r="CN199" s="82"/>
      <c r="CO199" s="210"/>
      <c r="CP199" s="46"/>
      <c r="CQ199" s="42">
        <f>CQ22+CQ26+CQ36+CQ58</f>
        <v>0.90587444375303094</v>
      </c>
      <c r="CR199" s="46"/>
      <c r="CS199" s="42">
        <f>CS22+CS26+CS36+CS58</f>
        <v>0.68448281668322419</v>
      </c>
      <c r="CT199" s="75">
        <f>(CR199-CP199)*CP12</f>
        <v>0</v>
      </c>
      <c r="CU199" s="3"/>
      <c r="CV199" s="210"/>
      <c r="CW199" s="46"/>
      <c r="CX199" s="40">
        <f>CX22+CX26+CX36+CX58</f>
        <v>0.76469944179968663</v>
      </c>
      <c r="CY199" s="46"/>
      <c r="CZ199" s="40">
        <f>CZ22+CZ26+CZ36+CZ58</f>
        <v>0.68513108488103858</v>
      </c>
      <c r="DA199" s="75">
        <f>(CY199-CW199)*CW12</f>
        <v>0</v>
      </c>
      <c r="DB199" s="82"/>
      <c r="DC199" s="210"/>
      <c r="DD199" s="46"/>
      <c r="DE199" s="40">
        <f>DE22+DE26+DE36+DE58</f>
        <v>0.78111359004135172</v>
      </c>
      <c r="DF199" s="46"/>
      <c r="DG199" s="40">
        <f>DG22+DG26+DG36+DG58</f>
        <v>0.66205849577674059</v>
      </c>
      <c r="DH199" s="75">
        <f>(DF199-DD199)*DD12</f>
        <v>0</v>
      </c>
      <c r="DI199" s="82"/>
      <c r="DJ199" s="210"/>
      <c r="DK199" s="46"/>
      <c r="DL199" s="40">
        <f>DL22+DL26+DL36+DL58</f>
        <v>0.80468804923781057</v>
      </c>
      <c r="DM199" s="46"/>
      <c r="DN199" s="40">
        <f>DN22+DN26+DN36+DN58</f>
        <v>0.65753305889442992</v>
      </c>
      <c r="DO199" s="75">
        <f>(DM199-DK199)*DK12</f>
        <v>0</v>
      </c>
      <c r="DP199" s="82"/>
      <c r="DQ199" s="210"/>
      <c r="DR199" s="46"/>
      <c r="DS199" s="40">
        <f>DS22+DS26+DS36+DS58</f>
        <v>0.81245705611768682</v>
      </c>
      <c r="DT199" s="46"/>
      <c r="DU199" s="40">
        <f>DU22+DU26+DU36+DU58</f>
        <v>0.67146769430841424</v>
      </c>
      <c r="DV199" s="75">
        <f>(DT199-DR199)*DR12</f>
        <v>0</v>
      </c>
      <c r="DW199" s="82"/>
      <c r="DX199" s="210"/>
      <c r="DY199" s="46"/>
      <c r="DZ199" s="31">
        <f>DZ22+DZ26+DZ36+DZ58</f>
        <v>0.91936443242163668</v>
      </c>
      <c r="EA199" s="26"/>
      <c r="EB199" s="31">
        <f>EB22+EB26+EB36+EB58</f>
        <v>0.68599241253734455</v>
      </c>
      <c r="EC199" s="70">
        <f>(EA199-DY199)*DY12</f>
        <v>0</v>
      </c>
      <c r="ED199" s="31"/>
    </row>
    <row r="200" spans="1:134">
      <c r="A200" s="210"/>
      <c r="B200" s="210"/>
      <c r="C200" s="235"/>
      <c r="D200" s="212"/>
      <c r="E200" s="236"/>
      <c r="F200" s="212"/>
      <c r="G200" s="212"/>
      <c r="H200" s="212"/>
      <c r="I200" s="210"/>
      <c r="J200" s="236"/>
      <c r="K200" s="212"/>
      <c r="L200" s="236"/>
      <c r="M200" s="212"/>
      <c r="N200" s="212"/>
      <c r="O200" s="212"/>
      <c r="P200" s="210"/>
      <c r="Q200" s="235"/>
      <c r="R200" s="221"/>
      <c r="S200" s="236"/>
      <c r="T200" s="212"/>
      <c r="U200" s="212"/>
      <c r="V200" s="212"/>
      <c r="W200" s="210"/>
      <c r="X200" s="235"/>
      <c r="Y200" s="212"/>
      <c r="Z200" s="236"/>
      <c r="AA200" s="221"/>
      <c r="AB200" s="212"/>
      <c r="AC200" s="212"/>
      <c r="AD200" s="210"/>
      <c r="AE200" s="235"/>
      <c r="AF200" s="221"/>
      <c r="AG200" s="236"/>
      <c r="AH200" s="221"/>
      <c r="AI200" s="224"/>
      <c r="AJ200" s="210"/>
      <c r="AK200" s="210"/>
      <c r="AL200" s="235"/>
      <c r="AM200" s="221"/>
      <c r="AN200" s="236"/>
      <c r="AO200" s="221"/>
      <c r="AP200" s="224"/>
      <c r="AQ200" s="210"/>
      <c r="AR200" s="210"/>
      <c r="AS200" s="235"/>
      <c r="AT200" s="221"/>
      <c r="AU200" s="236"/>
      <c r="AV200" s="221"/>
      <c r="AW200" s="224"/>
      <c r="AX200" s="210"/>
      <c r="AY200" s="210"/>
      <c r="AZ200" s="235"/>
      <c r="BA200" s="221"/>
      <c r="BB200" s="236"/>
      <c r="BC200" s="221"/>
      <c r="BD200" s="224"/>
      <c r="BE200" s="212"/>
      <c r="BF200" s="210"/>
      <c r="BG200" s="235"/>
      <c r="BH200" s="221"/>
      <c r="BI200" s="235"/>
      <c r="BJ200" s="221"/>
      <c r="BK200" s="224"/>
      <c r="BL200" s="212"/>
      <c r="BM200" s="210"/>
      <c r="BN200" s="235"/>
      <c r="BO200" s="216"/>
      <c r="BP200" s="235"/>
      <c r="BQ200" s="216"/>
      <c r="BR200" s="224"/>
      <c r="BS200" s="216"/>
      <c r="BT200" s="210"/>
      <c r="BU200" s="235"/>
      <c r="BV200" s="216"/>
      <c r="BW200" s="235"/>
      <c r="BX200" s="216"/>
      <c r="BY200" s="224"/>
      <c r="BZ200" s="213"/>
      <c r="CA200" s="210"/>
      <c r="CB200" s="235"/>
      <c r="CC200" s="216"/>
      <c r="CD200" s="235"/>
      <c r="CE200" s="216"/>
      <c r="CF200" s="224"/>
      <c r="CG200" s="213"/>
      <c r="CH200" s="210"/>
      <c r="CI200" s="235"/>
      <c r="CJ200" s="216"/>
      <c r="CK200" s="235"/>
      <c r="CL200" s="216"/>
      <c r="CM200" s="224"/>
      <c r="CN200" s="213"/>
      <c r="CO200" s="210"/>
      <c r="CP200" s="235"/>
      <c r="CQ200" s="223"/>
      <c r="CR200" s="235"/>
      <c r="CS200" s="223"/>
      <c r="CT200" s="224"/>
      <c r="CU200" s="210"/>
      <c r="CV200" s="210"/>
      <c r="CW200" s="235"/>
      <c r="CX200" s="216"/>
      <c r="CY200" s="235"/>
      <c r="CZ200" s="216"/>
      <c r="DA200" s="224"/>
      <c r="DB200" s="213"/>
      <c r="DC200" s="210"/>
      <c r="DD200" s="235"/>
      <c r="DE200" s="216"/>
      <c r="DF200" s="235"/>
      <c r="DG200" s="216"/>
      <c r="DH200" s="224"/>
      <c r="DI200" s="213"/>
      <c r="DJ200" s="210"/>
      <c r="DK200" s="235"/>
      <c r="DL200" s="216"/>
      <c r="DM200" s="235"/>
      <c r="DN200" s="216"/>
      <c r="DO200" s="224"/>
      <c r="DP200" s="213"/>
      <c r="DQ200" s="210"/>
      <c r="DR200" s="235"/>
      <c r="DS200" s="216"/>
      <c r="DT200" s="235"/>
      <c r="DU200" s="216"/>
      <c r="DV200" s="224"/>
      <c r="DW200" s="213"/>
      <c r="DX200" s="210"/>
      <c r="DY200" s="235"/>
      <c r="DZ200" s="216"/>
      <c r="EA200" s="235"/>
      <c r="EB200" s="212"/>
      <c r="EC200" s="212"/>
      <c r="ED200" s="212"/>
    </row>
    <row r="201" spans="1:134">
      <c r="A201" s="210"/>
      <c r="B201" s="210"/>
      <c r="C201" s="210"/>
      <c r="D201" s="212"/>
      <c r="E201" s="210"/>
      <c r="F201" s="212"/>
      <c r="G201" s="212"/>
      <c r="H201" s="212"/>
      <c r="I201" s="210"/>
      <c r="J201" s="210"/>
      <c r="K201" s="212"/>
      <c r="L201" s="210"/>
      <c r="M201" s="212"/>
      <c r="N201" s="212"/>
      <c r="O201" s="212"/>
      <c r="P201" s="210"/>
      <c r="Q201" s="210"/>
      <c r="R201" s="221"/>
      <c r="S201" s="210"/>
      <c r="T201" s="212"/>
      <c r="U201" s="212"/>
      <c r="V201" s="212"/>
      <c r="W201" s="210"/>
      <c r="X201" s="210"/>
      <c r="Y201" s="212"/>
      <c r="Z201" s="210"/>
      <c r="AA201" s="212"/>
      <c r="AB201" s="212"/>
      <c r="AC201" s="212"/>
      <c r="AD201" s="210"/>
      <c r="AE201" s="210"/>
      <c r="AF201" s="221"/>
      <c r="AG201" s="210"/>
      <c r="AH201" s="221"/>
      <c r="AI201" s="224"/>
      <c r="AJ201" s="210"/>
      <c r="AK201" s="210"/>
      <c r="AL201" s="210"/>
      <c r="AM201" s="221"/>
      <c r="AN201" s="210"/>
      <c r="AO201" s="221"/>
      <c r="AP201" s="224"/>
      <c r="AQ201" s="210"/>
      <c r="AR201" s="210"/>
      <c r="AS201" s="210"/>
      <c r="AT201" s="221"/>
      <c r="AU201" s="210"/>
      <c r="AV201" s="221"/>
      <c r="AW201" s="224"/>
      <c r="AX201" s="210"/>
      <c r="AY201" s="210"/>
      <c r="AZ201" s="210"/>
      <c r="BA201" s="221"/>
      <c r="BB201" s="210"/>
      <c r="BC201" s="221"/>
      <c r="BD201" s="224"/>
      <c r="BE201" s="210"/>
      <c r="BF201" s="210"/>
      <c r="BG201" s="210"/>
      <c r="BH201" s="221"/>
      <c r="BI201" s="210"/>
      <c r="BJ201" s="221"/>
      <c r="BK201" s="224"/>
      <c r="BL201" s="210"/>
      <c r="BM201" s="210"/>
      <c r="BN201" s="210"/>
      <c r="BO201" s="216"/>
      <c r="BP201" s="210"/>
      <c r="BQ201" s="216"/>
      <c r="BR201" s="224"/>
      <c r="BS201" s="213"/>
      <c r="BT201" s="210"/>
      <c r="BU201" s="210"/>
      <c r="BV201" s="216"/>
      <c r="BW201" s="210"/>
      <c r="BX201" s="216"/>
      <c r="BY201" s="224"/>
      <c r="BZ201" s="213"/>
      <c r="CA201" s="210"/>
      <c r="CB201" s="210"/>
      <c r="CC201" s="216"/>
      <c r="CD201" s="210"/>
      <c r="CE201" s="216"/>
      <c r="CF201" s="224"/>
      <c r="CG201" s="213"/>
      <c r="CH201" s="210"/>
      <c r="CI201" s="210"/>
      <c r="CJ201" s="216"/>
      <c r="CK201" s="210"/>
      <c r="CL201" s="216"/>
      <c r="CM201" s="224"/>
      <c r="CN201" s="213"/>
      <c r="CO201" s="210"/>
      <c r="CP201" s="210"/>
      <c r="CQ201" s="223"/>
      <c r="CR201" s="210"/>
      <c r="CS201" s="223"/>
      <c r="CT201" s="224"/>
      <c r="CU201" s="210"/>
      <c r="CV201" s="210"/>
      <c r="CW201" s="210"/>
      <c r="CX201" s="216"/>
      <c r="CY201" s="210"/>
      <c r="CZ201" s="216"/>
      <c r="DA201" s="224"/>
      <c r="DB201" s="213"/>
      <c r="DC201" s="210"/>
      <c r="DD201" s="210"/>
      <c r="DE201" s="216"/>
      <c r="DF201" s="210"/>
      <c r="DG201" s="216"/>
      <c r="DH201" s="224"/>
      <c r="DI201" s="213"/>
      <c r="DJ201" s="210"/>
      <c r="DK201" s="210"/>
      <c r="DL201" s="216"/>
      <c r="DM201" s="210"/>
      <c r="DN201" s="216"/>
      <c r="DO201" s="224"/>
      <c r="DP201" s="213"/>
      <c r="DQ201" s="210"/>
      <c r="DR201" s="210"/>
      <c r="DS201" s="216"/>
      <c r="DT201" s="210"/>
      <c r="DU201" s="216"/>
      <c r="DV201" s="224"/>
      <c r="DW201" s="213"/>
      <c r="DX201" s="210"/>
      <c r="DY201" s="210"/>
      <c r="DZ201" s="216"/>
      <c r="EA201" s="210"/>
      <c r="EB201" s="212"/>
      <c r="EC201" s="212"/>
      <c r="ED201" s="212"/>
    </row>
    <row r="202" spans="1:134">
      <c r="A202" s="210"/>
      <c r="B202" s="210"/>
      <c r="C202" s="210"/>
      <c r="D202" s="212"/>
      <c r="E202" s="210"/>
      <c r="F202" s="212"/>
      <c r="G202" s="212"/>
      <c r="H202" s="212"/>
      <c r="I202" s="210"/>
      <c r="J202" s="210"/>
      <c r="K202" s="212"/>
      <c r="L202" s="210"/>
      <c r="M202" s="212"/>
      <c r="N202" s="212"/>
      <c r="O202" s="212"/>
      <c r="P202" s="210"/>
      <c r="Q202" s="210"/>
      <c r="R202" s="215"/>
      <c r="S202" s="210"/>
      <c r="T202" s="212"/>
      <c r="U202" s="212"/>
      <c r="V202" s="212"/>
      <c r="W202" s="210"/>
      <c r="X202" s="210"/>
      <c r="Y202" s="212"/>
      <c r="Z202" s="210"/>
      <c r="AA202" s="212"/>
      <c r="AB202" s="212"/>
      <c r="AC202" s="212"/>
      <c r="AD202" s="210"/>
      <c r="AE202" s="210"/>
      <c r="AF202" s="215"/>
      <c r="AG202" s="210"/>
      <c r="AH202" s="215"/>
      <c r="AI202" s="210"/>
      <c r="AJ202" s="210"/>
      <c r="AK202" s="210"/>
      <c r="AL202" s="210"/>
      <c r="AM202" s="215"/>
      <c r="AN202" s="210"/>
      <c r="AO202" s="215"/>
      <c r="AP202" s="210"/>
      <c r="AQ202" s="210"/>
      <c r="AR202" s="210"/>
      <c r="AS202" s="210"/>
      <c r="AT202" s="215"/>
      <c r="AU202" s="210"/>
      <c r="AV202" s="215"/>
      <c r="AW202" s="210"/>
      <c r="AX202" s="210"/>
      <c r="AY202" s="210"/>
      <c r="AZ202" s="210"/>
      <c r="BA202" s="215"/>
      <c r="BB202" s="210"/>
      <c r="BC202" s="215"/>
      <c r="BD202" s="210"/>
      <c r="BE202" s="210"/>
      <c r="BF202" s="210"/>
      <c r="BG202" s="210"/>
      <c r="BH202" s="215"/>
      <c r="BI202" s="210"/>
      <c r="BJ202" s="215"/>
      <c r="BK202" s="210"/>
      <c r="BL202" s="210"/>
      <c r="BM202" s="210"/>
      <c r="BN202" s="210"/>
      <c r="BO202" s="216"/>
      <c r="BP202" s="210"/>
      <c r="BQ202" s="216"/>
      <c r="BR202" s="210"/>
      <c r="BS202" s="213"/>
      <c r="BT202" s="210"/>
      <c r="BU202" s="210"/>
      <c r="BV202" s="216"/>
      <c r="BW202" s="210"/>
      <c r="BX202" s="216"/>
      <c r="BY202" s="210"/>
      <c r="BZ202" s="213"/>
      <c r="CA202" s="210"/>
      <c r="CB202" s="210"/>
      <c r="CC202" s="216"/>
      <c r="CD202" s="210"/>
      <c r="CE202" s="216"/>
      <c r="CF202" s="210"/>
      <c r="CG202" s="213"/>
      <c r="CH202" s="210"/>
      <c r="CI202" s="210"/>
      <c r="CJ202" s="216"/>
      <c r="CK202" s="210"/>
      <c r="CL202" s="216"/>
      <c r="CM202" s="210"/>
      <c r="CN202" s="213"/>
      <c r="CO202" s="210"/>
      <c r="CP202" s="210"/>
      <c r="CQ202" s="214"/>
      <c r="CR202" s="210"/>
      <c r="CS202" s="214"/>
      <c r="CT202" s="210"/>
      <c r="CU202" s="210"/>
      <c r="CV202" s="210"/>
      <c r="CW202" s="210"/>
      <c r="CX202" s="216"/>
      <c r="CY202" s="210"/>
      <c r="CZ202" s="216"/>
      <c r="DA202" s="210"/>
      <c r="DB202" s="213"/>
      <c r="DC202" s="210"/>
      <c r="DD202" s="210"/>
      <c r="DE202" s="216"/>
      <c r="DF202" s="210"/>
      <c r="DG202" s="216"/>
      <c r="DH202" s="210"/>
      <c r="DI202" s="213"/>
      <c r="DJ202" s="210"/>
      <c r="DK202" s="210"/>
      <c r="DL202" s="216"/>
      <c r="DM202" s="210"/>
      <c r="DN202" s="216"/>
      <c r="DO202" s="210"/>
      <c r="DP202" s="213"/>
      <c r="DQ202" s="210"/>
      <c r="DR202" s="210"/>
      <c r="DS202" s="216"/>
      <c r="DT202" s="210"/>
      <c r="DU202" s="216"/>
      <c r="DV202" s="210"/>
      <c r="DW202" s="213"/>
      <c r="DX202" s="210"/>
      <c r="DY202" s="210"/>
      <c r="DZ202" s="216"/>
      <c r="EA202" s="210"/>
      <c r="EB202" s="212"/>
      <c r="EC202" s="212"/>
      <c r="ED202" s="212"/>
    </row>
    <row r="203" spans="1:134">
      <c r="A203" s="210"/>
      <c r="B203" s="210"/>
      <c r="C203" s="210"/>
      <c r="D203" s="212"/>
      <c r="E203" s="210"/>
      <c r="F203" s="212"/>
      <c r="G203" s="212"/>
      <c r="H203" s="212"/>
      <c r="I203" s="210"/>
      <c r="J203" s="210"/>
      <c r="K203" s="212"/>
      <c r="L203" s="210"/>
      <c r="M203" s="212"/>
      <c r="N203" s="212"/>
      <c r="O203" s="212"/>
      <c r="P203" s="210"/>
      <c r="Q203" s="210"/>
      <c r="R203" s="236"/>
      <c r="S203" s="210"/>
      <c r="T203" s="212"/>
      <c r="U203" s="212"/>
      <c r="V203" s="212"/>
      <c r="W203" s="210"/>
      <c r="X203" s="210"/>
      <c r="Y203" s="212"/>
      <c r="Z203" s="210"/>
      <c r="AA203" s="212"/>
      <c r="AB203" s="212"/>
      <c r="AC203" s="212"/>
      <c r="AD203" s="210"/>
      <c r="AE203" s="210"/>
      <c r="AF203" s="236"/>
      <c r="AG203" s="210"/>
      <c r="AH203" s="236"/>
      <c r="AI203" s="224"/>
      <c r="AJ203" s="210"/>
      <c r="AK203" s="210"/>
      <c r="AL203" s="210"/>
      <c r="AM203" s="236"/>
      <c r="AN203" s="210"/>
      <c r="AO203" s="236"/>
      <c r="AP203" s="224"/>
      <c r="AQ203" s="210"/>
      <c r="AR203" s="210"/>
      <c r="AS203" s="210"/>
      <c r="AT203" s="236"/>
      <c r="AU203" s="210"/>
      <c r="AV203" s="236"/>
      <c r="AW203" s="224"/>
      <c r="AX203" s="210"/>
      <c r="AY203" s="210"/>
      <c r="AZ203" s="210"/>
      <c r="BA203" s="236"/>
      <c r="BB203" s="210"/>
      <c r="BC203" s="236"/>
      <c r="BD203" s="224"/>
      <c r="BE203" s="210"/>
      <c r="BF203" s="210"/>
      <c r="BG203" s="210"/>
      <c r="BH203" s="236"/>
      <c r="BI203" s="210"/>
      <c r="BJ203" s="236"/>
      <c r="BK203" s="224"/>
      <c r="BL203" s="210"/>
      <c r="BM203" s="210"/>
      <c r="BN203" s="210"/>
      <c r="BO203" s="216"/>
      <c r="BP203" s="210"/>
      <c r="BQ203" s="216"/>
      <c r="BR203" s="224"/>
      <c r="BS203" s="213"/>
      <c r="BT203" s="210"/>
      <c r="BU203" s="210"/>
      <c r="BV203" s="216"/>
      <c r="BW203" s="210"/>
      <c r="BX203" s="216"/>
      <c r="BY203" s="224"/>
      <c r="BZ203" s="213"/>
      <c r="CA203" s="210"/>
      <c r="CB203" s="210"/>
      <c r="CC203" s="216"/>
      <c r="CD203" s="210"/>
      <c r="CE203" s="216"/>
      <c r="CF203" s="224"/>
      <c r="CG203" s="213"/>
      <c r="CH203" s="210"/>
      <c r="CI203" s="210"/>
      <c r="CJ203" s="216"/>
      <c r="CK203" s="210"/>
      <c r="CL203" s="216"/>
      <c r="CM203" s="224"/>
      <c r="CN203" s="213"/>
      <c r="CO203" s="210"/>
      <c r="CP203" s="210"/>
      <c r="CQ203" s="235"/>
      <c r="CR203" s="210"/>
      <c r="CS203" s="235"/>
      <c r="CT203" s="224"/>
      <c r="CU203" s="210"/>
      <c r="CV203" s="210"/>
      <c r="CW203" s="210"/>
      <c r="CX203" s="216"/>
      <c r="CY203" s="210"/>
      <c r="CZ203" s="216"/>
      <c r="DA203" s="224"/>
      <c r="DB203" s="213"/>
      <c r="DC203" s="210"/>
      <c r="DD203" s="210"/>
      <c r="DE203" s="216"/>
      <c r="DF203" s="210"/>
      <c r="DG203" s="216"/>
      <c r="DH203" s="224"/>
      <c r="DI203" s="213"/>
      <c r="DJ203" s="210"/>
      <c r="DK203" s="210"/>
      <c r="DL203" s="216"/>
      <c r="DM203" s="210"/>
      <c r="DN203" s="216"/>
      <c r="DO203" s="224"/>
      <c r="DP203" s="213"/>
      <c r="DQ203" s="210"/>
      <c r="DR203" s="210"/>
      <c r="DS203" s="216"/>
      <c r="DT203" s="210"/>
      <c r="DU203" s="216"/>
      <c r="DV203" s="224"/>
      <c r="DW203" s="213"/>
      <c r="DX203" s="210"/>
      <c r="DY203" s="210"/>
      <c r="DZ203" s="216"/>
      <c r="EA203" s="210"/>
      <c r="EB203" s="212"/>
      <c r="EC203" s="212"/>
      <c r="ED203" s="212"/>
    </row>
  </sheetData>
  <mergeCells count="21">
    <mergeCell ref="AL4:AQ4"/>
    <mergeCell ref="C4:H4"/>
    <mergeCell ref="J4:O4"/>
    <mergeCell ref="Q4:V4"/>
    <mergeCell ref="CB4:CG4"/>
    <mergeCell ref="A2:ED2"/>
    <mergeCell ref="A1:ED1"/>
    <mergeCell ref="DY4:ED4"/>
    <mergeCell ref="BG4:BL4"/>
    <mergeCell ref="BN4:BS4"/>
    <mergeCell ref="BU4:BZ4"/>
    <mergeCell ref="CP4:CU4"/>
    <mergeCell ref="CW4:DB4"/>
    <mergeCell ref="DD4:DI4"/>
    <mergeCell ref="DK4:DP4"/>
    <mergeCell ref="X4:AC4"/>
    <mergeCell ref="AZ4:BE4"/>
    <mergeCell ref="CI4:CN4"/>
    <mergeCell ref="DR4:DW4"/>
    <mergeCell ref="AS4:AX4"/>
    <mergeCell ref="AE4:AJ4"/>
  </mergeCells>
  <pageMargins left="0.25" right="0.25" top="0.75" bottom="0.75" header="0.3" footer="0.3"/>
  <pageSetup scale="36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5DE36-D72B-4D99-93AE-DF1F6E1B60E1}">
  <sheetPr>
    <tabColor theme="4"/>
  </sheetPr>
  <dimension ref="A2:AI220"/>
  <sheetViews>
    <sheetView topLeftCell="D144" zoomScaleNormal="110" zoomScalePageLayoutView="89" workbookViewId="0">
      <pane xSplit="1" topLeftCell="J1" activePane="topRight" state="frozen"/>
      <selection pane="topRight" activeCell="D179" sqref="D179"/>
      <selection activeCell="D1" sqref="D1"/>
    </sheetView>
  </sheetViews>
  <sheetFormatPr defaultColWidth="8.42578125" defaultRowHeight="15.95"/>
  <cols>
    <col min="1" max="1" width="25.140625" style="1" hidden="1" customWidth="1"/>
    <col min="2" max="2" width="31.28515625" style="1" hidden="1" customWidth="1"/>
    <col min="3" max="3" width="5.7109375" style="1" hidden="1" customWidth="1"/>
    <col min="4" max="4" width="35.7109375" style="1" customWidth="1"/>
    <col min="5" max="5" width="0.7109375" style="16" customWidth="1"/>
    <col min="6" max="6" width="15.7109375" style="16" hidden="1" customWidth="1"/>
    <col min="7" max="7" width="18.28515625" style="16" hidden="1" customWidth="1"/>
    <col min="8" max="8" width="15.7109375" style="16" customWidth="1"/>
    <col min="9" max="9" width="8.7109375" style="76" customWidth="1"/>
    <col min="10" max="10" width="14.7109375" style="16" customWidth="1"/>
    <col min="11" max="11" width="7.7109375" style="16" customWidth="1"/>
    <col min="12" max="12" width="8.28515625" style="16" customWidth="1"/>
    <col min="13" max="13" width="15.7109375" style="16" hidden="1" customWidth="1"/>
    <col min="14" max="14" width="15.7109375" style="1" hidden="1" customWidth="1"/>
    <col min="15" max="19" width="12.7109375" style="1" hidden="1" customWidth="1"/>
    <col min="20" max="20" width="12.7109375" style="1" customWidth="1"/>
    <col min="21" max="21" width="13.7109375" style="1" customWidth="1"/>
    <col min="22" max="30" width="12.7109375" style="1" customWidth="1"/>
    <col min="31" max="31" width="24" style="1" hidden="1" customWidth="1"/>
    <col min="32" max="32" width="50.7109375" style="1" hidden="1" customWidth="1"/>
    <col min="33" max="33" width="2.7109375" style="1" customWidth="1"/>
    <col min="34" max="34" width="12.7109375" style="1" customWidth="1"/>
    <col min="35" max="35" width="8.7109375" style="1" bestFit="1" customWidth="1"/>
    <col min="36" max="16384" width="8.42578125" style="1"/>
  </cols>
  <sheetData>
    <row r="2" spans="4:32" ht="50.1" customHeight="1">
      <c r="D2" s="210"/>
      <c r="E2" s="215"/>
      <c r="F2" s="215"/>
      <c r="G2" s="215"/>
      <c r="H2" s="215"/>
      <c r="I2" s="221"/>
      <c r="J2" s="215"/>
      <c r="K2" s="215"/>
      <c r="L2" s="215"/>
      <c r="M2" s="215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</row>
    <row r="4" spans="4:32" ht="10.35" customHeight="1">
      <c r="D4" s="210"/>
      <c r="E4" s="215"/>
      <c r="F4" s="215"/>
      <c r="G4" s="215"/>
      <c r="H4" s="215"/>
      <c r="I4" s="221"/>
      <c r="J4" s="215"/>
      <c r="K4" s="215"/>
      <c r="L4" s="215"/>
      <c r="M4" s="215"/>
      <c r="N4" s="210" t="s">
        <v>2</v>
      </c>
      <c r="O4" s="210" t="s">
        <v>2</v>
      </c>
      <c r="P4" s="210" t="s">
        <v>2</v>
      </c>
      <c r="Q4" s="210" t="s">
        <v>2</v>
      </c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</row>
    <row r="5" spans="4:32" ht="31.35" customHeight="1">
      <c r="D5" s="89" t="s">
        <v>2</v>
      </c>
      <c r="E5" s="237"/>
      <c r="F5" s="237"/>
      <c r="G5" s="237"/>
      <c r="H5" s="237"/>
      <c r="I5" s="238"/>
      <c r="J5" s="237"/>
      <c r="K5" s="237"/>
      <c r="L5" s="237" t="s">
        <v>182</v>
      </c>
      <c r="M5" s="237"/>
      <c r="N5" s="239"/>
      <c r="O5" s="239"/>
      <c r="P5" s="239"/>
      <c r="Q5" s="293" t="s">
        <v>183</v>
      </c>
      <c r="R5" s="293"/>
      <c r="S5" s="293"/>
      <c r="T5" s="293"/>
      <c r="U5" s="293"/>
      <c r="V5" s="293"/>
      <c r="W5" s="293"/>
      <c r="X5" s="239"/>
      <c r="Y5" s="239"/>
      <c r="Z5" s="239"/>
      <c r="AA5" s="239"/>
      <c r="AB5" s="239"/>
      <c r="AC5" s="239"/>
      <c r="AD5" s="239"/>
      <c r="AE5" s="210"/>
      <c r="AF5" s="210"/>
    </row>
    <row r="6" spans="4:32" ht="16.350000000000001" customHeight="1">
      <c r="D6" s="3"/>
      <c r="E6" s="215"/>
      <c r="F6" s="215"/>
      <c r="G6" s="215"/>
      <c r="H6" s="215"/>
      <c r="I6" s="221"/>
      <c r="J6" s="215"/>
      <c r="K6" s="215"/>
      <c r="L6" s="215"/>
      <c r="M6" s="215"/>
      <c r="N6" s="210"/>
      <c r="O6" s="210"/>
      <c r="P6" s="210"/>
      <c r="Q6" s="90"/>
      <c r="R6" s="90"/>
      <c r="S6" s="90"/>
      <c r="T6" s="90"/>
      <c r="U6" s="9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</row>
    <row r="7" spans="4:32" ht="16.350000000000001" hidden="1" customHeight="1">
      <c r="D7" s="210" t="s">
        <v>184</v>
      </c>
      <c r="E7" s="215"/>
      <c r="F7" s="215"/>
      <c r="G7" s="215"/>
      <c r="H7" s="215"/>
      <c r="I7" s="221"/>
      <c r="J7" s="215"/>
      <c r="K7" s="215"/>
      <c r="L7" s="215"/>
      <c r="M7" s="215"/>
      <c r="N7" s="210">
        <v>28</v>
      </c>
      <c r="O7" s="210">
        <v>28</v>
      </c>
      <c r="P7" s="210">
        <v>35</v>
      </c>
      <c r="Q7" s="210">
        <v>28</v>
      </c>
      <c r="R7" s="210">
        <v>28</v>
      </c>
      <c r="S7" s="210">
        <v>35</v>
      </c>
      <c r="T7" s="210"/>
      <c r="U7" s="210"/>
      <c r="V7" s="210">
        <v>0</v>
      </c>
      <c r="W7" s="210">
        <v>28</v>
      </c>
      <c r="X7" s="210">
        <v>28</v>
      </c>
      <c r="Y7" s="210">
        <v>35</v>
      </c>
      <c r="Z7" s="210">
        <v>28</v>
      </c>
      <c r="AA7" s="210">
        <v>28</v>
      </c>
      <c r="AB7" s="210">
        <v>35</v>
      </c>
      <c r="AC7" s="224">
        <f>SUM(N7:AB7)</f>
        <v>364</v>
      </c>
      <c r="AD7" s="210"/>
      <c r="AE7" s="210"/>
      <c r="AF7" s="210"/>
    </row>
    <row r="8" spans="4:32" ht="16.350000000000001" hidden="1" customHeight="1">
      <c r="D8" s="210" t="s">
        <v>185</v>
      </c>
      <c r="E8" s="215"/>
      <c r="F8" s="215"/>
      <c r="G8" s="215"/>
      <c r="H8" s="215"/>
      <c r="I8" s="221"/>
      <c r="J8" s="215"/>
      <c r="K8" s="215"/>
      <c r="L8" s="215"/>
      <c r="M8" s="215"/>
      <c r="N8" s="91" t="s">
        <v>186</v>
      </c>
      <c r="O8" s="2" t="s">
        <v>187</v>
      </c>
      <c r="P8" s="2" t="s">
        <v>188</v>
      </c>
      <c r="Q8" s="2" t="s">
        <v>189</v>
      </c>
      <c r="R8" s="2" t="s">
        <v>190</v>
      </c>
      <c r="S8" s="2" t="s">
        <v>191</v>
      </c>
      <c r="T8" s="2"/>
      <c r="U8" s="2"/>
      <c r="V8" s="2"/>
      <c r="W8" s="2" t="s">
        <v>192</v>
      </c>
      <c r="X8" s="2" t="s">
        <v>193</v>
      </c>
      <c r="Y8" s="2" t="s">
        <v>194</v>
      </c>
      <c r="Z8" s="2" t="s">
        <v>195</v>
      </c>
      <c r="AA8" s="2" t="s">
        <v>196</v>
      </c>
      <c r="AB8" s="2" t="s">
        <v>197</v>
      </c>
      <c r="AC8" s="2" t="s">
        <v>198</v>
      </c>
      <c r="AD8" s="210"/>
      <c r="AE8" s="210"/>
      <c r="AF8" s="210"/>
    </row>
    <row r="9" spans="4:32" ht="16.350000000000001" hidden="1" customHeight="1">
      <c r="D9" s="210" t="s">
        <v>199</v>
      </c>
      <c r="E9" s="215"/>
      <c r="F9" s="215"/>
      <c r="G9" s="215"/>
      <c r="H9" s="215"/>
      <c r="I9" s="221"/>
      <c r="J9" s="215"/>
      <c r="K9" s="215"/>
      <c r="L9" s="215"/>
      <c r="M9" s="215"/>
      <c r="N9" s="220">
        <v>252342.94</v>
      </c>
      <c r="O9" s="220">
        <v>238877.95</v>
      </c>
      <c r="P9" s="220">
        <v>322014.44</v>
      </c>
      <c r="Q9" s="220">
        <v>266101.18</v>
      </c>
      <c r="R9" s="220">
        <v>251426.69</v>
      </c>
      <c r="S9" s="220">
        <v>315011.23</v>
      </c>
      <c r="T9" s="220"/>
      <c r="U9" s="220"/>
      <c r="V9" s="220"/>
      <c r="W9" s="220">
        <v>232493</v>
      </c>
      <c r="X9" s="220">
        <v>254405.28</v>
      </c>
      <c r="Y9" s="220">
        <v>300350.08000000002</v>
      </c>
      <c r="Z9" s="220">
        <v>224368.03</v>
      </c>
      <c r="AA9" s="220">
        <v>233610.2</v>
      </c>
      <c r="AB9" s="220">
        <v>275000</v>
      </c>
      <c r="AC9" s="222">
        <f>SUM(L9:AB9)</f>
        <v>3166001.02</v>
      </c>
      <c r="AD9" s="210"/>
      <c r="AE9" s="210"/>
      <c r="AF9" s="210"/>
    </row>
    <row r="10" spans="4:32" s="80" customFormat="1" hidden="1">
      <c r="D10" s="210" t="s">
        <v>200</v>
      </c>
      <c r="E10" s="92"/>
      <c r="F10" s="92"/>
      <c r="G10" s="92"/>
      <c r="H10" s="92"/>
      <c r="I10" s="93"/>
      <c r="J10" s="92"/>
      <c r="K10" s="92"/>
      <c r="L10" s="94" t="s">
        <v>2</v>
      </c>
      <c r="M10" s="94"/>
      <c r="N10" s="95" t="s">
        <v>201</v>
      </c>
      <c r="O10" s="95" t="s">
        <v>202</v>
      </c>
      <c r="P10" s="95" t="s">
        <v>203</v>
      </c>
      <c r="Q10" s="95" t="s">
        <v>204</v>
      </c>
      <c r="R10" s="95" t="s">
        <v>205</v>
      </c>
      <c r="S10" s="95" t="s">
        <v>206</v>
      </c>
      <c r="T10" s="95"/>
      <c r="U10" s="95"/>
      <c r="V10" s="95" t="s">
        <v>207</v>
      </c>
      <c r="W10" s="95" t="s">
        <v>208</v>
      </c>
      <c r="X10" s="95" t="s">
        <v>209</v>
      </c>
      <c r="Y10" s="95" t="s">
        <v>210</v>
      </c>
      <c r="Z10" s="95" t="s">
        <v>211</v>
      </c>
      <c r="AA10" s="95" t="s">
        <v>212</v>
      </c>
      <c r="AB10" s="95" t="s">
        <v>213</v>
      </c>
      <c r="AC10" s="95" t="s">
        <v>214</v>
      </c>
      <c r="AD10" s="2" t="s">
        <v>2</v>
      </c>
      <c r="AE10" s="80" t="s">
        <v>2</v>
      </c>
      <c r="AF10" s="5" t="s">
        <v>2</v>
      </c>
    </row>
    <row r="11" spans="4:32" s="100" customFormat="1" hidden="1">
      <c r="D11" s="49"/>
      <c r="E11" s="43"/>
      <c r="F11" s="43"/>
      <c r="G11" s="43"/>
      <c r="H11" s="43"/>
      <c r="I11" s="96"/>
      <c r="J11" s="43"/>
      <c r="K11" s="43"/>
      <c r="L11" s="97"/>
      <c r="M11" s="97"/>
      <c r="N11" s="98" t="s">
        <v>23</v>
      </c>
      <c r="O11" s="98" t="s">
        <v>23</v>
      </c>
      <c r="P11" s="98" t="s">
        <v>23</v>
      </c>
      <c r="Q11" s="98" t="s">
        <v>23</v>
      </c>
      <c r="R11" s="98" t="s">
        <v>23</v>
      </c>
      <c r="S11" s="98" t="s">
        <v>23</v>
      </c>
      <c r="T11" s="98"/>
      <c r="U11" s="98"/>
      <c r="V11" s="98" t="s">
        <v>23</v>
      </c>
      <c r="W11" s="98" t="s">
        <v>23</v>
      </c>
      <c r="X11" s="98" t="s">
        <v>23</v>
      </c>
      <c r="Y11" s="98" t="s">
        <v>23</v>
      </c>
      <c r="Z11" s="98" t="s">
        <v>23</v>
      </c>
      <c r="AA11" s="98" t="s">
        <v>23</v>
      </c>
      <c r="AB11" s="98" t="s">
        <v>23</v>
      </c>
      <c r="AC11" s="99"/>
    </row>
    <row r="12" spans="4:32" hidden="1">
      <c r="D12" s="240" t="s">
        <v>215</v>
      </c>
      <c r="E12" s="241"/>
      <c r="F12" s="241"/>
      <c r="G12" s="242">
        <v>28</v>
      </c>
      <c r="H12" s="241"/>
      <c r="I12" s="243"/>
      <c r="J12" s="241"/>
      <c r="K12" s="241"/>
      <c r="L12" s="101"/>
      <c r="M12" s="101"/>
      <c r="N12" s="102">
        <f t="shared" ref="N12:S12" si="0">(N9/N7)*$G$12</f>
        <v>252342.93999999997</v>
      </c>
      <c r="O12" s="102">
        <f t="shared" si="0"/>
        <v>238877.95000000004</v>
      </c>
      <c r="P12" s="102">
        <f t="shared" si="0"/>
        <v>257611.552</v>
      </c>
      <c r="Q12" s="102">
        <f t="shared" si="0"/>
        <v>266101.18</v>
      </c>
      <c r="R12" s="102">
        <f t="shared" si="0"/>
        <v>251426.69</v>
      </c>
      <c r="S12" s="102">
        <f t="shared" si="0"/>
        <v>252008.984</v>
      </c>
      <c r="T12" s="102"/>
      <c r="U12" s="102"/>
      <c r="V12" s="102">
        <v>243000</v>
      </c>
      <c r="W12" s="102">
        <f t="shared" ref="W12:AB12" si="1">(W9/W7)*$G$12</f>
        <v>232493.00000000003</v>
      </c>
      <c r="X12" s="102">
        <f t="shared" si="1"/>
        <v>254405.28</v>
      </c>
      <c r="Y12" s="102">
        <f t="shared" si="1"/>
        <v>240280.06400000001</v>
      </c>
      <c r="Z12" s="102">
        <f t="shared" si="1"/>
        <v>224368.03</v>
      </c>
      <c r="AA12" s="102">
        <f t="shared" si="1"/>
        <v>233610.2</v>
      </c>
      <c r="AB12" s="102">
        <f t="shared" si="1"/>
        <v>220000</v>
      </c>
      <c r="AC12" s="222">
        <f>SUM(N12:AB12)</f>
        <v>3166525.8699999996</v>
      </c>
      <c r="AD12" s="222" t="s">
        <v>2</v>
      </c>
      <c r="AE12" s="210"/>
      <c r="AF12" s="210"/>
    </row>
    <row r="13" spans="4:32" hidden="1">
      <c r="D13" s="210"/>
      <c r="E13" s="244"/>
      <c r="F13" s="244"/>
      <c r="G13" s="244" t="s">
        <v>2</v>
      </c>
      <c r="H13" s="244"/>
      <c r="I13" s="227"/>
      <c r="J13" s="244"/>
      <c r="K13" s="244"/>
      <c r="L13" s="103"/>
      <c r="M13" s="103"/>
      <c r="N13" s="104"/>
      <c r="O13" s="104"/>
      <c r="P13" s="104"/>
      <c r="Q13" s="104"/>
      <c r="R13" s="104"/>
      <c r="S13" s="104"/>
      <c r="T13" s="104" t="s">
        <v>2</v>
      </c>
      <c r="U13" s="104" t="s">
        <v>2</v>
      </c>
      <c r="V13" s="104"/>
      <c r="W13" s="104"/>
      <c r="X13" s="104"/>
      <c r="Y13" s="104"/>
      <c r="Z13" s="104"/>
      <c r="AA13" s="104"/>
      <c r="AB13" s="104"/>
      <c r="AC13" s="104"/>
      <c r="AD13" s="222"/>
      <c r="AE13" s="210"/>
      <c r="AF13" s="210"/>
    </row>
    <row r="14" spans="4:32" s="3" customFormat="1" hidden="1">
      <c r="D14" s="245" t="s">
        <v>216</v>
      </c>
      <c r="E14" s="84"/>
      <c r="F14" s="84"/>
      <c r="G14" s="245"/>
      <c r="H14" s="84"/>
      <c r="I14" s="105"/>
      <c r="J14" s="245"/>
      <c r="K14" s="84"/>
      <c r="L14" s="209"/>
      <c r="M14" s="209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6">
        <f>SUM(N14:AB14)</f>
        <v>0</v>
      </c>
      <c r="AD14" s="86"/>
      <c r="AE14" s="210"/>
      <c r="AF14" s="210"/>
    </row>
    <row r="15" spans="4:32" s="3" customFormat="1" hidden="1">
      <c r="D15" s="210"/>
      <c r="E15" s="84"/>
      <c r="F15" s="84"/>
      <c r="G15" s="107"/>
      <c r="H15" s="84"/>
      <c r="I15" s="105"/>
      <c r="J15" s="84"/>
      <c r="K15" s="84"/>
      <c r="L15" s="209"/>
      <c r="M15" s="209"/>
      <c r="N15" s="106"/>
      <c r="O15" s="106"/>
      <c r="P15" s="106"/>
      <c r="Q15" s="106"/>
      <c r="R15" s="106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6">
        <f t="shared" ref="AC15" si="2">SUM(N15:AB15)</f>
        <v>0</v>
      </c>
      <c r="AD15" s="86"/>
      <c r="AE15" s="210"/>
      <c r="AF15" s="210"/>
    </row>
    <row r="16" spans="4:32" s="3" customFormat="1" ht="17.100000000000001" hidden="1" thickBot="1">
      <c r="D16" s="4"/>
      <c r="E16" s="66"/>
      <c r="F16" s="66"/>
      <c r="G16" s="66" t="s">
        <v>2</v>
      </c>
      <c r="H16" s="66"/>
      <c r="I16" s="108"/>
      <c r="J16" s="66"/>
      <c r="K16" s="66"/>
      <c r="L16" s="66"/>
      <c r="M16" s="66"/>
      <c r="N16" s="109">
        <v>0</v>
      </c>
      <c r="O16" s="109">
        <v>0</v>
      </c>
      <c r="P16" s="109">
        <v>0</v>
      </c>
      <c r="Q16" s="109">
        <v>0</v>
      </c>
      <c r="R16" s="109">
        <v>0</v>
      </c>
      <c r="S16" s="109">
        <v>0</v>
      </c>
      <c r="T16" s="109">
        <v>0</v>
      </c>
      <c r="U16" s="109">
        <v>0</v>
      </c>
      <c r="V16" s="109"/>
      <c r="W16" s="109"/>
      <c r="X16" s="109">
        <f>237555*0.5</f>
        <v>118777.5</v>
      </c>
      <c r="Y16" s="109">
        <v>237555</v>
      </c>
      <c r="Z16" s="109">
        <v>237555</v>
      </c>
      <c r="AA16" s="109">
        <v>271492</v>
      </c>
      <c r="AB16" s="109">
        <v>271492</v>
      </c>
      <c r="AC16" s="106">
        <f>SUM(N16:AB16)</f>
        <v>1136871.5</v>
      </c>
      <c r="AD16" s="75"/>
      <c r="AE16" s="210"/>
      <c r="AF16" s="210"/>
    </row>
    <row r="17" spans="1:34" s="3" customFormat="1" hidden="1">
      <c r="E17" s="84"/>
      <c r="F17" s="84"/>
      <c r="G17" s="84"/>
      <c r="H17" s="84"/>
      <c r="I17" s="105"/>
      <c r="J17" s="84"/>
      <c r="K17" s="84"/>
      <c r="L17" s="84"/>
      <c r="M17" s="8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6"/>
      <c r="AD17" s="75"/>
      <c r="AE17" s="210"/>
      <c r="AF17" s="210"/>
    </row>
    <row r="18" spans="1:34" s="3" customFormat="1">
      <c r="E18" s="84"/>
      <c r="F18" s="84"/>
      <c r="G18" s="84"/>
      <c r="H18" s="84"/>
      <c r="I18" s="105"/>
      <c r="J18" s="84"/>
      <c r="K18" s="84"/>
      <c r="L18" s="84"/>
      <c r="M18" s="84"/>
      <c r="N18" s="104"/>
      <c r="O18" s="104"/>
      <c r="P18" s="104"/>
      <c r="Q18" s="104"/>
      <c r="R18" s="104"/>
      <c r="S18" s="104"/>
      <c r="T18" s="294" t="s">
        <v>217</v>
      </c>
      <c r="U18" s="294"/>
      <c r="V18" s="294"/>
      <c r="W18" s="209"/>
      <c r="X18" s="209" t="s">
        <v>218</v>
      </c>
      <c r="Y18" s="209"/>
      <c r="Z18" s="209"/>
      <c r="AA18" s="209"/>
      <c r="AB18" s="209"/>
      <c r="AC18" s="104"/>
      <c r="AD18" s="75"/>
      <c r="AE18" s="210"/>
      <c r="AF18" s="210"/>
    </row>
    <row r="19" spans="1:34" s="3" customFormat="1" ht="18.95">
      <c r="B19" s="3" t="s">
        <v>219</v>
      </c>
      <c r="D19" s="3" t="s">
        <v>220</v>
      </c>
      <c r="E19" s="84"/>
      <c r="F19" s="110" t="s">
        <v>221</v>
      </c>
      <c r="G19" s="110" t="s">
        <v>222</v>
      </c>
      <c r="H19" s="111">
        <v>2019</v>
      </c>
      <c r="I19" s="112" t="s">
        <v>223</v>
      </c>
      <c r="J19" s="110" t="s">
        <v>224</v>
      </c>
      <c r="K19" s="110" t="s">
        <v>223</v>
      </c>
      <c r="L19" s="84"/>
      <c r="M19" s="113" t="s">
        <v>225</v>
      </c>
      <c r="N19" s="113" t="s">
        <v>3</v>
      </c>
      <c r="O19" s="113" t="s">
        <v>4</v>
      </c>
      <c r="P19" s="113" t="s">
        <v>5</v>
      </c>
      <c r="Q19" s="113" t="s">
        <v>7</v>
      </c>
      <c r="R19" s="113" t="s">
        <v>8</v>
      </c>
      <c r="S19" s="113" t="s">
        <v>9</v>
      </c>
      <c r="T19" s="113" t="s">
        <v>11</v>
      </c>
      <c r="U19" s="113" t="s">
        <v>12</v>
      </c>
      <c r="V19" s="113" t="s">
        <v>226</v>
      </c>
      <c r="W19" s="113"/>
      <c r="X19" s="113" t="s">
        <v>226</v>
      </c>
      <c r="Y19" s="113" t="s">
        <v>16</v>
      </c>
      <c r="Z19" s="113" t="s">
        <v>17</v>
      </c>
      <c r="AA19" s="113" t="s">
        <v>18</v>
      </c>
      <c r="AB19" s="113" t="s">
        <v>19</v>
      </c>
      <c r="AC19" s="2">
        <v>2020</v>
      </c>
      <c r="AD19" s="70"/>
      <c r="AE19" s="210"/>
      <c r="AH19" s="80" t="s">
        <v>227</v>
      </c>
    </row>
    <row r="20" spans="1:34" s="3" customFormat="1">
      <c r="E20" s="84"/>
      <c r="F20" s="246" t="s">
        <v>228</v>
      </c>
      <c r="G20" s="247" t="s">
        <v>229</v>
      </c>
      <c r="H20" s="247" t="s">
        <v>230</v>
      </c>
      <c r="I20" s="248"/>
      <c r="J20" s="114" t="s">
        <v>23</v>
      </c>
      <c r="K20" s="246"/>
      <c r="L20" s="84"/>
      <c r="M20" s="84" t="s">
        <v>231</v>
      </c>
      <c r="N20" s="226" t="s">
        <v>23</v>
      </c>
      <c r="O20" s="226" t="s">
        <v>23</v>
      </c>
      <c r="P20" s="226" t="s">
        <v>23</v>
      </c>
      <c r="Q20" s="226" t="s">
        <v>23</v>
      </c>
      <c r="R20" s="226" t="s">
        <v>23</v>
      </c>
      <c r="S20" s="226" t="s">
        <v>23</v>
      </c>
      <c r="T20" s="226"/>
      <c r="U20" s="226"/>
      <c r="V20" s="226" t="s">
        <v>232</v>
      </c>
      <c r="W20" s="226"/>
      <c r="X20" s="226" t="s">
        <v>23</v>
      </c>
      <c r="Y20" s="226" t="s">
        <v>23</v>
      </c>
      <c r="Z20" s="226" t="s">
        <v>23</v>
      </c>
      <c r="AA20" s="226" t="s">
        <v>23</v>
      </c>
      <c r="AB20" s="226" t="s">
        <v>23</v>
      </c>
      <c r="AC20" s="49" t="s">
        <v>233</v>
      </c>
      <c r="AD20" s="70"/>
      <c r="AE20" s="210"/>
      <c r="AH20" s="80" t="s">
        <v>234</v>
      </c>
    </row>
    <row r="21" spans="1:34" s="3" customFormat="1" hidden="1">
      <c r="B21" s="115"/>
      <c r="C21" s="115"/>
      <c r="E21" s="84"/>
      <c r="F21" s="114"/>
      <c r="G21" s="116"/>
      <c r="H21" s="116"/>
      <c r="I21" s="117"/>
      <c r="J21" s="114" t="s">
        <v>2</v>
      </c>
      <c r="K21" s="114"/>
      <c r="L21" s="84"/>
      <c r="M21" s="84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118"/>
      <c r="AD21" s="70"/>
      <c r="AE21" s="210"/>
    </row>
    <row r="22" spans="1:34" s="3" customFormat="1" hidden="1">
      <c r="A22" s="115" t="s">
        <v>2</v>
      </c>
      <c r="B22" s="115" t="s">
        <v>235</v>
      </c>
      <c r="C22" s="115"/>
      <c r="D22" s="217" t="s">
        <v>236</v>
      </c>
      <c r="E22" s="84"/>
      <c r="F22" s="114"/>
      <c r="G22" s="249">
        <f>$F$22/$F$30*G$30</f>
        <v>0</v>
      </c>
      <c r="H22" s="247">
        <f t="shared" ref="H22:H28" si="3">F22+G22</f>
        <v>0</v>
      </c>
      <c r="I22" s="248"/>
      <c r="J22" s="249"/>
      <c r="K22" s="114"/>
      <c r="L22" s="84"/>
      <c r="M22" s="84"/>
      <c r="N22" s="219"/>
      <c r="O22" s="219"/>
      <c r="P22" s="219"/>
      <c r="Q22" s="219"/>
      <c r="R22" s="219"/>
      <c r="S22" s="219"/>
      <c r="T22" s="219"/>
      <c r="U22" s="219"/>
      <c r="V22" s="219"/>
      <c r="W22" s="219"/>
      <c r="X22" s="219"/>
      <c r="Y22" s="219"/>
      <c r="Z22" s="219"/>
      <c r="AA22" s="219"/>
      <c r="AB22" s="219"/>
      <c r="AC22" s="224">
        <f t="shared" ref="AC22:AC23" si="4">SUM(N22:AB22)</f>
        <v>0</v>
      </c>
      <c r="AD22" s="222">
        <f t="shared" ref="AD22:AD28" si="5">SUM(N22:AB22)</f>
        <v>0</v>
      </c>
      <c r="AE22" s="210"/>
    </row>
    <row r="23" spans="1:34" s="3" customFormat="1" hidden="1">
      <c r="A23" s="115" t="s">
        <v>2</v>
      </c>
      <c r="B23" s="115" t="s">
        <v>237</v>
      </c>
      <c r="C23" s="115"/>
      <c r="D23" s="217" t="s">
        <v>238</v>
      </c>
      <c r="E23" s="84"/>
      <c r="F23" s="114"/>
      <c r="G23" s="249">
        <f t="shared" ref="G23:G28" si="6">$F23/$F$30*G$30</f>
        <v>0</v>
      </c>
      <c r="H23" s="247">
        <f t="shared" si="3"/>
        <v>0</v>
      </c>
      <c r="I23" s="248"/>
      <c r="J23" s="249">
        <v>0</v>
      </c>
      <c r="K23" s="114"/>
      <c r="L23" s="84"/>
      <c r="M23" s="84"/>
      <c r="N23" s="219">
        <v>0</v>
      </c>
      <c r="O23" s="219">
        <v>0</v>
      </c>
      <c r="P23" s="219">
        <v>0</v>
      </c>
      <c r="Q23" s="219">
        <v>0</v>
      </c>
      <c r="R23" s="219">
        <v>0</v>
      </c>
      <c r="S23" s="219">
        <v>0</v>
      </c>
      <c r="T23" s="219">
        <v>0</v>
      </c>
      <c r="U23" s="219">
        <v>0</v>
      </c>
      <c r="V23" s="219">
        <v>0</v>
      </c>
      <c r="W23" s="219"/>
      <c r="X23" s="219"/>
      <c r="Y23" s="219">
        <v>0</v>
      </c>
      <c r="Z23" s="219">
        <v>0</v>
      </c>
      <c r="AA23" s="219">
        <v>0</v>
      </c>
      <c r="AB23" s="219">
        <v>0</v>
      </c>
      <c r="AC23" s="224">
        <f t="shared" si="4"/>
        <v>0</v>
      </c>
      <c r="AD23" s="222">
        <f t="shared" si="5"/>
        <v>0</v>
      </c>
      <c r="AE23" s="210"/>
    </row>
    <row r="24" spans="1:34" s="3" customFormat="1">
      <c r="A24" s="115"/>
      <c r="B24" s="115" t="s">
        <v>239</v>
      </c>
      <c r="C24" s="115"/>
      <c r="D24" s="217" t="s">
        <v>27</v>
      </c>
      <c r="E24" s="84"/>
      <c r="F24" s="114">
        <f>1854688.66+17459</f>
        <v>1872147.66</v>
      </c>
      <c r="G24" s="249">
        <f t="shared" si="6"/>
        <v>176213.18298747169</v>
      </c>
      <c r="H24" s="247">
        <f t="shared" si="3"/>
        <v>2048360.8429874717</v>
      </c>
      <c r="I24" s="248">
        <f>$F24/$F$30</f>
        <v>0.6407752108635334</v>
      </c>
      <c r="J24" s="249">
        <f>AD24</f>
        <v>728479.07513724139</v>
      </c>
      <c r="K24" s="114"/>
      <c r="L24" s="84"/>
      <c r="M24" s="84"/>
      <c r="N24" s="219">
        <f t="shared" ref="N24:AB24" si="7">((($F24)/$F$30)*N$16)</f>
        <v>0</v>
      </c>
      <c r="O24" s="219">
        <f t="shared" si="7"/>
        <v>0</v>
      </c>
      <c r="P24" s="219">
        <f t="shared" si="7"/>
        <v>0</v>
      </c>
      <c r="Q24" s="219">
        <f t="shared" si="7"/>
        <v>0</v>
      </c>
      <c r="R24" s="219">
        <f t="shared" si="7"/>
        <v>0</v>
      </c>
      <c r="S24" s="219">
        <f t="shared" si="7"/>
        <v>0</v>
      </c>
      <c r="T24" s="219">
        <f t="shared" si="7"/>
        <v>0</v>
      </c>
      <c r="U24" s="219">
        <f t="shared" si="7"/>
        <v>0</v>
      </c>
      <c r="V24" s="219">
        <f t="shared" si="7"/>
        <v>0</v>
      </c>
      <c r="W24" s="219"/>
      <c r="X24" s="219">
        <f>((($F24)/$F$30)*X$16)</f>
        <v>76109.677608343336</v>
      </c>
      <c r="Y24" s="219">
        <f t="shared" si="7"/>
        <v>152219.35521668667</v>
      </c>
      <c r="Z24" s="219">
        <f t="shared" si="7"/>
        <v>152219.35521668667</v>
      </c>
      <c r="AA24" s="219">
        <f t="shared" si="7"/>
        <v>173965.3435477624</v>
      </c>
      <c r="AB24" s="219">
        <f t="shared" si="7"/>
        <v>173965.3435477624</v>
      </c>
      <c r="AC24" s="224">
        <f t="shared" ref="AC24:AC28" si="8">SUM(X24:AB24)</f>
        <v>728479.07513724139</v>
      </c>
      <c r="AD24" s="222">
        <f t="shared" si="5"/>
        <v>728479.07513724139</v>
      </c>
      <c r="AE24" s="210"/>
    </row>
    <row r="25" spans="1:34" s="3" customFormat="1">
      <c r="A25" s="115"/>
      <c r="B25" s="115" t="s">
        <v>240</v>
      </c>
      <c r="C25" s="115"/>
      <c r="D25" s="217" t="s">
        <v>28</v>
      </c>
      <c r="E25" s="84"/>
      <c r="F25" s="114">
        <v>115789.5</v>
      </c>
      <c r="G25" s="249">
        <f t="shared" si="6"/>
        <v>10898.518737313623</v>
      </c>
      <c r="H25" s="247">
        <f t="shared" si="3"/>
        <v>126688.01873731363</v>
      </c>
      <c r="I25" s="248">
        <f>$F25/$F$30</f>
        <v>3.9630977226594991E-2</v>
      </c>
      <c r="J25" s="249">
        <f t="shared" ref="J25:J28" si="9">AD25</f>
        <v>45055.328526064892</v>
      </c>
      <c r="K25" s="114"/>
      <c r="L25" s="84"/>
      <c r="M25" s="84"/>
      <c r="N25" s="219">
        <f t="shared" ref="N25:AB25" si="10">$F25/$F$30*N$16</f>
        <v>0</v>
      </c>
      <c r="O25" s="219">
        <f t="shared" si="10"/>
        <v>0</v>
      </c>
      <c r="P25" s="219">
        <f t="shared" si="10"/>
        <v>0</v>
      </c>
      <c r="Q25" s="219">
        <f t="shared" si="10"/>
        <v>0</v>
      </c>
      <c r="R25" s="219">
        <f t="shared" si="10"/>
        <v>0</v>
      </c>
      <c r="S25" s="219">
        <f t="shared" si="10"/>
        <v>0</v>
      </c>
      <c r="T25" s="219">
        <f t="shared" si="10"/>
        <v>0</v>
      </c>
      <c r="U25" s="219">
        <f t="shared" si="10"/>
        <v>0</v>
      </c>
      <c r="V25" s="219">
        <f t="shared" si="10"/>
        <v>0</v>
      </c>
      <c r="W25" s="219"/>
      <c r="X25" s="219">
        <f t="shared" si="10"/>
        <v>4707.2683975318869</v>
      </c>
      <c r="Y25" s="219">
        <f t="shared" si="10"/>
        <v>9414.5367950637738</v>
      </c>
      <c r="Z25" s="219">
        <f t="shared" si="10"/>
        <v>9414.5367950637738</v>
      </c>
      <c r="AA25" s="219">
        <f t="shared" si="10"/>
        <v>10759.493269202727</v>
      </c>
      <c r="AB25" s="219">
        <f t="shared" si="10"/>
        <v>10759.493269202727</v>
      </c>
      <c r="AC25" s="224">
        <f t="shared" si="8"/>
        <v>45055.328526064892</v>
      </c>
      <c r="AD25" s="222">
        <f t="shared" si="5"/>
        <v>45055.328526064892</v>
      </c>
      <c r="AE25" s="210"/>
    </row>
    <row r="26" spans="1:34" s="3" customFormat="1">
      <c r="A26" s="115" t="s">
        <v>2</v>
      </c>
      <c r="B26" s="115" t="s">
        <v>241</v>
      </c>
      <c r="C26" s="115"/>
      <c r="D26" s="217" t="s">
        <v>29</v>
      </c>
      <c r="E26" s="84"/>
      <c r="F26" s="114">
        <f>326742.84+297610.72</f>
        <v>624353.56000000006</v>
      </c>
      <c r="G26" s="249">
        <f t="shared" si="6"/>
        <v>58766.373223551927</v>
      </c>
      <c r="H26" s="247">
        <f t="shared" si="3"/>
        <v>683119.93322355195</v>
      </c>
      <c r="I26" s="248">
        <f>$F26/$F$30</f>
        <v>0.21369590263109792</v>
      </c>
      <c r="J26" s="249">
        <f t="shared" si="9"/>
        <v>242944.78136807025</v>
      </c>
      <c r="K26" s="114"/>
      <c r="L26" s="84"/>
      <c r="M26" s="84"/>
      <c r="N26" s="219">
        <f t="shared" ref="N26:AB26" si="11">((($F26)/$F$30)*N$16)</f>
        <v>0</v>
      </c>
      <c r="O26" s="219">
        <f t="shared" si="11"/>
        <v>0</v>
      </c>
      <c r="P26" s="219">
        <f t="shared" si="11"/>
        <v>0</v>
      </c>
      <c r="Q26" s="219">
        <f t="shared" si="11"/>
        <v>0</v>
      </c>
      <c r="R26" s="219">
        <f t="shared" si="11"/>
        <v>0</v>
      </c>
      <c r="S26" s="219">
        <f t="shared" si="11"/>
        <v>0</v>
      </c>
      <c r="T26" s="219">
        <f t="shared" si="11"/>
        <v>0</v>
      </c>
      <c r="U26" s="219">
        <f t="shared" si="11"/>
        <v>0</v>
      </c>
      <c r="V26" s="219">
        <f t="shared" si="11"/>
        <v>0</v>
      </c>
      <c r="W26" s="219"/>
      <c r="X26" s="219">
        <f t="shared" si="11"/>
        <v>25382.265074765233</v>
      </c>
      <c r="Y26" s="219">
        <f t="shared" si="11"/>
        <v>50764.530149530467</v>
      </c>
      <c r="Z26" s="219">
        <f t="shared" si="11"/>
        <v>50764.530149530467</v>
      </c>
      <c r="AA26" s="219">
        <f t="shared" si="11"/>
        <v>58016.727997122034</v>
      </c>
      <c r="AB26" s="219">
        <f t="shared" si="11"/>
        <v>58016.727997122034</v>
      </c>
      <c r="AC26" s="224">
        <f t="shared" si="8"/>
        <v>242944.78136807025</v>
      </c>
      <c r="AD26" s="222">
        <f t="shared" si="5"/>
        <v>242944.78136807025</v>
      </c>
      <c r="AE26" s="210"/>
    </row>
    <row r="27" spans="1:34" s="3" customFormat="1">
      <c r="A27" s="115"/>
      <c r="B27" s="115" t="s">
        <v>242</v>
      </c>
      <c r="C27" s="115"/>
      <c r="D27" s="217" t="s">
        <v>30</v>
      </c>
      <c r="E27" s="84"/>
      <c r="F27" s="114">
        <v>88227.03</v>
      </c>
      <c r="G27" s="249">
        <f t="shared" si="6"/>
        <v>8304.2412273352184</v>
      </c>
      <c r="H27" s="247">
        <f t="shared" si="3"/>
        <v>96531.271227335223</v>
      </c>
      <c r="I27" s="248">
        <f>$F27/$F$30</f>
        <v>3.0197240826673518E-2</v>
      </c>
      <c r="J27" s="249">
        <f t="shared" si="9"/>
        <v>34330.382474481565</v>
      </c>
      <c r="K27" s="114"/>
      <c r="L27" s="84"/>
      <c r="M27" s="84"/>
      <c r="N27" s="219">
        <f t="shared" ref="N27:V28" si="12">$F27/$F$30*N$16</f>
        <v>0</v>
      </c>
      <c r="O27" s="219">
        <f t="shared" si="12"/>
        <v>0</v>
      </c>
      <c r="P27" s="219">
        <f t="shared" si="12"/>
        <v>0</v>
      </c>
      <c r="Q27" s="219">
        <f t="shared" si="12"/>
        <v>0</v>
      </c>
      <c r="R27" s="219">
        <f t="shared" si="12"/>
        <v>0</v>
      </c>
      <c r="S27" s="219">
        <f t="shared" si="12"/>
        <v>0</v>
      </c>
      <c r="T27" s="219">
        <f t="shared" si="12"/>
        <v>0</v>
      </c>
      <c r="U27" s="219">
        <f t="shared" si="12"/>
        <v>0</v>
      </c>
      <c r="V27" s="219">
        <f t="shared" si="12"/>
        <v>0</v>
      </c>
      <c r="W27" s="219"/>
      <c r="X27" s="219">
        <f t="shared" ref="X27:AB28" si="13">$F27/$F$30*X$16</f>
        <v>3586.7527722902137</v>
      </c>
      <c r="Y27" s="219">
        <f t="shared" si="13"/>
        <v>7173.5055445804273</v>
      </c>
      <c r="Z27" s="219">
        <f t="shared" si="13"/>
        <v>7173.5055445804273</v>
      </c>
      <c r="AA27" s="219">
        <f t="shared" si="13"/>
        <v>8198.3093065152461</v>
      </c>
      <c r="AB27" s="219">
        <f t="shared" si="13"/>
        <v>8198.3093065152461</v>
      </c>
      <c r="AC27" s="224">
        <f t="shared" si="8"/>
        <v>34330.382474481565</v>
      </c>
      <c r="AD27" s="222">
        <f t="shared" si="5"/>
        <v>34330.382474481565</v>
      </c>
      <c r="AE27" s="210"/>
    </row>
    <row r="28" spans="1:34" s="3" customFormat="1">
      <c r="A28" s="115" t="s">
        <v>2</v>
      </c>
      <c r="B28" s="115" t="s">
        <v>243</v>
      </c>
      <c r="C28" s="115"/>
      <c r="D28" s="217" t="s">
        <v>31</v>
      </c>
      <c r="E28" s="84"/>
      <c r="F28" s="114">
        <v>221174.02</v>
      </c>
      <c r="G28" s="249">
        <f t="shared" si="6"/>
        <v>20817.683824327574</v>
      </c>
      <c r="H28" s="247">
        <f t="shared" si="3"/>
        <v>241991.70382432756</v>
      </c>
      <c r="I28" s="248">
        <f>$F28/$F$30</f>
        <v>7.5700668452100273E-2</v>
      </c>
      <c r="J28" s="249">
        <f t="shared" si="9"/>
        <v>86061.932494141918</v>
      </c>
      <c r="K28" s="114"/>
      <c r="L28" s="84"/>
      <c r="M28" s="84"/>
      <c r="N28" s="219">
        <f t="shared" si="12"/>
        <v>0</v>
      </c>
      <c r="O28" s="219">
        <f t="shared" si="12"/>
        <v>0</v>
      </c>
      <c r="P28" s="219">
        <f t="shared" si="12"/>
        <v>0</v>
      </c>
      <c r="Q28" s="219">
        <f t="shared" si="12"/>
        <v>0</v>
      </c>
      <c r="R28" s="219">
        <f t="shared" si="12"/>
        <v>0</v>
      </c>
      <c r="S28" s="219">
        <f t="shared" si="12"/>
        <v>0</v>
      </c>
      <c r="T28" s="219">
        <f t="shared" si="12"/>
        <v>0</v>
      </c>
      <c r="U28" s="219">
        <f t="shared" si="12"/>
        <v>0</v>
      </c>
      <c r="V28" s="219">
        <f t="shared" si="12"/>
        <v>0</v>
      </c>
      <c r="W28" s="219"/>
      <c r="X28" s="219">
        <f t="shared" si="13"/>
        <v>8991.5361470693406</v>
      </c>
      <c r="Y28" s="219">
        <f t="shared" si="13"/>
        <v>17983.072294138681</v>
      </c>
      <c r="Z28" s="219">
        <f t="shared" si="13"/>
        <v>17983.072294138681</v>
      </c>
      <c r="AA28" s="219">
        <f t="shared" si="13"/>
        <v>20552.125879397609</v>
      </c>
      <c r="AB28" s="219">
        <f t="shared" si="13"/>
        <v>20552.125879397609</v>
      </c>
      <c r="AC28" s="224">
        <f t="shared" si="8"/>
        <v>86061.932494141918</v>
      </c>
      <c r="AD28" s="222">
        <f t="shared" si="5"/>
        <v>86061.932494141918</v>
      </c>
      <c r="AE28" s="210"/>
    </row>
    <row r="29" spans="1:34" s="3" customFormat="1">
      <c r="A29" s="115"/>
      <c r="B29" s="115"/>
      <c r="C29" s="115"/>
      <c r="D29" s="217" t="s">
        <v>244</v>
      </c>
      <c r="E29" s="84"/>
      <c r="F29" s="114"/>
      <c r="G29" s="249"/>
      <c r="H29" s="247"/>
      <c r="I29" s="248"/>
      <c r="J29" s="219"/>
      <c r="K29" s="114"/>
      <c r="L29" s="84"/>
      <c r="M29" s="84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9"/>
      <c r="Z29" s="219"/>
      <c r="AA29" s="219"/>
      <c r="AB29" s="219"/>
      <c r="AC29" s="224"/>
      <c r="AD29" s="222"/>
      <c r="AE29" s="210"/>
    </row>
    <row r="30" spans="1:34" s="3" customFormat="1" ht="17.100000000000001" thickBot="1">
      <c r="A30" s="115"/>
      <c r="B30" s="115" t="s">
        <v>2</v>
      </c>
      <c r="C30" s="115"/>
      <c r="D30" s="4" t="s">
        <v>245</v>
      </c>
      <c r="E30" s="66"/>
      <c r="F30" s="119">
        <f>SUM(F22:F28)</f>
        <v>2921691.7699999996</v>
      </c>
      <c r="G30" s="120">
        <v>275000</v>
      </c>
      <c r="H30" s="119">
        <f>SUM(H22:H28)</f>
        <v>3196691.7700000005</v>
      </c>
      <c r="I30" s="121"/>
      <c r="J30" s="67">
        <f>SUM(J22:J28)</f>
        <v>1136871.5</v>
      </c>
      <c r="K30" s="122">
        <f>(J30-H30)/H30</f>
        <v>-0.64435998782578907</v>
      </c>
      <c r="L30" s="66"/>
      <c r="M30" s="66">
        <v>4411750</v>
      </c>
      <c r="N30" s="67">
        <f t="shared" ref="N30:AB30" si="14">+N16</f>
        <v>0</v>
      </c>
      <c r="O30" s="67">
        <f t="shared" si="14"/>
        <v>0</v>
      </c>
      <c r="P30" s="67">
        <f t="shared" si="14"/>
        <v>0</v>
      </c>
      <c r="Q30" s="67">
        <f t="shared" si="14"/>
        <v>0</v>
      </c>
      <c r="R30" s="67">
        <f t="shared" si="14"/>
        <v>0</v>
      </c>
      <c r="S30" s="67">
        <f t="shared" si="14"/>
        <v>0</v>
      </c>
      <c r="T30" s="67">
        <f t="shared" si="14"/>
        <v>0</v>
      </c>
      <c r="U30" s="67">
        <f t="shared" si="14"/>
        <v>0</v>
      </c>
      <c r="V30" s="67">
        <f t="shared" si="14"/>
        <v>0</v>
      </c>
      <c r="W30" s="67"/>
      <c r="X30" s="67">
        <v>118777.5</v>
      </c>
      <c r="Y30" s="67">
        <f t="shared" si="14"/>
        <v>237555</v>
      </c>
      <c r="Z30" s="67">
        <f t="shared" si="14"/>
        <v>237555</v>
      </c>
      <c r="AA30" s="67">
        <f t="shared" si="14"/>
        <v>271492</v>
      </c>
      <c r="AB30" s="67">
        <f t="shared" si="14"/>
        <v>271492</v>
      </c>
      <c r="AC30" s="67">
        <f>SUM(AC22:AC28)</f>
        <v>1136871.5</v>
      </c>
      <c r="AD30" s="67">
        <f>SUM(AD22:AD28)</f>
        <v>1136871.5</v>
      </c>
      <c r="AE30" s="210" t="s">
        <v>246</v>
      </c>
      <c r="AF30" s="3" t="s">
        <v>247</v>
      </c>
      <c r="AH30" s="118">
        <f>SUM(X30:AB30)</f>
        <v>1136871.5</v>
      </c>
    </row>
    <row r="31" spans="1:34" s="3" customFormat="1" ht="17.100000000000001" thickTop="1">
      <c r="A31" s="115"/>
      <c r="B31" s="115"/>
      <c r="C31" s="115"/>
      <c r="E31" s="84"/>
      <c r="F31" s="114"/>
      <c r="G31" s="114"/>
      <c r="H31" s="116"/>
      <c r="I31" s="117"/>
      <c r="J31" s="123"/>
      <c r="K31" s="114"/>
      <c r="L31" s="84"/>
      <c r="M31" s="84"/>
      <c r="N31" s="86" t="s">
        <v>2</v>
      </c>
      <c r="O31" s="86"/>
      <c r="P31" s="86"/>
      <c r="Q31" s="86" t="s">
        <v>2</v>
      </c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118"/>
      <c r="AD31" s="70"/>
      <c r="AE31" s="210"/>
    </row>
    <row r="32" spans="1:34">
      <c r="A32" s="115"/>
      <c r="B32" s="115" t="s">
        <v>2</v>
      </c>
      <c r="C32" s="115"/>
      <c r="D32" s="210"/>
      <c r="E32" s="214"/>
      <c r="F32" s="250"/>
      <c r="G32" s="250"/>
      <c r="H32" s="251"/>
      <c r="I32" s="248"/>
      <c r="J32" s="250"/>
      <c r="K32" s="250"/>
      <c r="L32" s="244"/>
      <c r="M32" s="244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 t="s">
        <v>2</v>
      </c>
      <c r="AC32" s="224" t="s">
        <v>2</v>
      </c>
      <c r="AD32" s="210"/>
      <c r="AE32" s="210"/>
      <c r="AF32" s="210"/>
      <c r="AG32" s="210"/>
      <c r="AH32" s="210"/>
    </row>
    <row r="33" spans="1:34">
      <c r="A33" s="115"/>
      <c r="B33" s="115"/>
      <c r="C33" s="115"/>
      <c r="D33" s="5" t="s">
        <v>33</v>
      </c>
      <c r="E33" s="214"/>
      <c r="F33" s="250" t="s">
        <v>2</v>
      </c>
      <c r="G33" s="250"/>
      <c r="H33" s="251"/>
      <c r="I33" s="248"/>
      <c r="J33" s="250"/>
      <c r="K33" s="250"/>
      <c r="L33" s="244"/>
      <c r="M33" s="244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10"/>
      <c r="AD33" s="210"/>
      <c r="AE33" s="210"/>
      <c r="AF33" s="210"/>
      <c r="AG33" s="210"/>
      <c r="AH33" s="210"/>
    </row>
    <row r="34" spans="1:34">
      <c r="A34" s="115"/>
      <c r="B34" s="115"/>
      <c r="C34" s="115"/>
      <c r="D34" s="252" t="s">
        <v>34</v>
      </c>
      <c r="E34" s="253">
        <v>0.3</v>
      </c>
      <c r="F34" s="254">
        <v>534779.56999999995</v>
      </c>
      <c r="G34" s="254">
        <f>$F34/$F24*G24</f>
        <v>50335.351339953297</v>
      </c>
      <c r="H34" s="255">
        <f t="shared" ref="H34:H39" si="15">F34+G34</f>
        <v>585114.9213399532</v>
      </c>
      <c r="I34" s="256">
        <f>H34/H24</f>
        <v>0.28565031563803034</v>
      </c>
      <c r="J34" s="254">
        <f>0.27*J24</f>
        <v>196689.35028705519</v>
      </c>
      <c r="K34" s="257">
        <v>0.27</v>
      </c>
      <c r="L34" s="253"/>
      <c r="M34" s="253"/>
      <c r="N34" s="258">
        <f>0.28*N24</f>
        <v>0</v>
      </c>
      <c r="O34" s="258">
        <f t="shared" ref="O34:U34" si="16">0.28*O24</f>
        <v>0</v>
      </c>
      <c r="P34" s="258">
        <f t="shared" si="16"/>
        <v>0</v>
      </c>
      <c r="Q34" s="258">
        <f t="shared" si="16"/>
        <v>0</v>
      </c>
      <c r="R34" s="258">
        <f t="shared" si="16"/>
        <v>0</v>
      </c>
      <c r="S34" s="258">
        <f t="shared" si="16"/>
        <v>0</v>
      </c>
      <c r="T34" s="258">
        <f t="shared" si="16"/>
        <v>0</v>
      </c>
      <c r="U34" s="258">
        <f t="shared" si="16"/>
        <v>0</v>
      </c>
      <c r="V34" s="258">
        <f>$K34*V24</f>
        <v>0</v>
      </c>
      <c r="W34" s="258"/>
      <c r="X34" s="259">
        <f>$K34*X24</f>
        <v>20549.612954252701</v>
      </c>
      <c r="Y34" s="259">
        <f>$K$34*Y24</f>
        <v>41099.225908505403</v>
      </c>
      <c r="Z34" s="259">
        <f>$K$34*Z24</f>
        <v>41099.225908505403</v>
      </c>
      <c r="AA34" s="259">
        <f>$K$34*AA24</f>
        <v>46970.642757895854</v>
      </c>
      <c r="AB34" s="259">
        <f>$K$34*AB24</f>
        <v>46970.642757895854</v>
      </c>
      <c r="AC34" s="224">
        <f t="shared" ref="AC34:AC38" si="17">SUM(X34:AB34)</f>
        <v>196689.35028705525</v>
      </c>
      <c r="AD34" s="260">
        <f>AC34/AC24</f>
        <v>0.27000000000000007</v>
      </c>
      <c r="AE34" s="222" t="s">
        <v>2</v>
      </c>
      <c r="AF34" s="210"/>
      <c r="AG34" s="210"/>
      <c r="AH34" s="210"/>
    </row>
    <row r="35" spans="1:34">
      <c r="A35" s="115"/>
      <c r="B35" s="115"/>
      <c r="C35" s="115"/>
      <c r="D35" s="217" t="s">
        <v>35</v>
      </c>
      <c r="E35" s="261"/>
      <c r="F35" s="246">
        <v>25346.78</v>
      </c>
      <c r="G35" s="246">
        <f>$F35/$F25*G25</f>
        <v>2385.7289025392301</v>
      </c>
      <c r="H35" s="247">
        <f t="shared" si="15"/>
        <v>27732.50890253923</v>
      </c>
      <c r="I35" s="248">
        <f>H35/H25</f>
        <v>0.21890395934000922</v>
      </c>
      <c r="J35" s="246">
        <f>+AC35</f>
        <v>9867.1169472082111</v>
      </c>
      <c r="K35" s="262">
        <v>0.219</v>
      </c>
      <c r="L35" s="261"/>
      <c r="M35" s="261"/>
      <c r="N35" s="222">
        <f>0.225*N25</f>
        <v>0</v>
      </c>
      <c r="O35" s="222">
        <f t="shared" ref="O35:U35" si="18">0.225*O25</f>
        <v>0</v>
      </c>
      <c r="P35" s="222">
        <f t="shared" si="18"/>
        <v>0</v>
      </c>
      <c r="Q35" s="222">
        <f t="shared" si="18"/>
        <v>0</v>
      </c>
      <c r="R35" s="222">
        <f t="shared" si="18"/>
        <v>0</v>
      </c>
      <c r="S35" s="222">
        <f t="shared" si="18"/>
        <v>0</v>
      </c>
      <c r="T35" s="222">
        <f t="shared" si="18"/>
        <v>0</v>
      </c>
      <c r="U35" s="222">
        <f t="shared" si="18"/>
        <v>0</v>
      </c>
      <c r="V35" s="222">
        <f>$K35*V25</f>
        <v>0</v>
      </c>
      <c r="W35" s="222"/>
      <c r="X35" s="222">
        <f t="shared" ref="X35:AB38" si="19">$K35*X25</f>
        <v>1030.8917790594833</v>
      </c>
      <c r="Y35" s="222">
        <f t="shared" si="19"/>
        <v>2061.7835581189665</v>
      </c>
      <c r="Z35" s="222">
        <f t="shared" si="19"/>
        <v>2061.7835581189665</v>
      </c>
      <c r="AA35" s="222">
        <f t="shared" si="19"/>
        <v>2356.3290259553974</v>
      </c>
      <c r="AB35" s="222">
        <f t="shared" si="19"/>
        <v>2356.3290259553974</v>
      </c>
      <c r="AC35" s="224">
        <f t="shared" si="17"/>
        <v>9867.1169472082111</v>
      </c>
      <c r="AD35" s="260">
        <f>AC35/AC25</f>
        <v>0.219</v>
      </c>
      <c r="AE35" s="222"/>
      <c r="AF35" s="210"/>
      <c r="AG35" s="210"/>
      <c r="AH35" s="210"/>
    </row>
    <row r="36" spans="1:34">
      <c r="A36" s="115"/>
      <c r="B36" s="115"/>
      <c r="C36" s="115"/>
      <c r="D36" s="217" t="s">
        <v>29</v>
      </c>
      <c r="E36" s="216">
        <v>0.2</v>
      </c>
      <c r="F36" s="246">
        <f>66141.69+22729.08</f>
        <v>88870.77</v>
      </c>
      <c r="G36" s="246">
        <f>$F36/F26*G26</f>
        <v>8364.8323211041534</v>
      </c>
      <c r="H36" s="247">
        <f t="shared" si="15"/>
        <v>97235.602321104161</v>
      </c>
      <c r="I36" s="248">
        <f>H36/H26</f>
        <v>0.14234045530228098</v>
      </c>
      <c r="J36" s="263">
        <f>+AC36</f>
        <v>40814.723269835806</v>
      </c>
      <c r="K36" s="262">
        <v>0.16800000000000001</v>
      </c>
      <c r="L36" s="228"/>
      <c r="M36" s="228"/>
      <c r="N36" s="222">
        <f>$K$36*N26</f>
        <v>0</v>
      </c>
      <c r="O36" s="222">
        <f t="shared" ref="O36:U36" si="20">$K$36*O26</f>
        <v>0</v>
      </c>
      <c r="P36" s="222">
        <f t="shared" si="20"/>
        <v>0</v>
      </c>
      <c r="Q36" s="222">
        <f t="shared" si="20"/>
        <v>0</v>
      </c>
      <c r="R36" s="222">
        <f t="shared" si="20"/>
        <v>0</v>
      </c>
      <c r="S36" s="222">
        <f t="shared" si="20"/>
        <v>0</v>
      </c>
      <c r="T36" s="222">
        <f t="shared" si="20"/>
        <v>0</v>
      </c>
      <c r="U36" s="222">
        <f t="shared" si="20"/>
        <v>0</v>
      </c>
      <c r="V36" s="222">
        <f>$K36*V26</f>
        <v>0</v>
      </c>
      <c r="W36" s="222"/>
      <c r="X36" s="222">
        <f t="shared" si="19"/>
        <v>4264.2205325605591</v>
      </c>
      <c r="Y36" s="222">
        <f t="shared" si="19"/>
        <v>8528.4410651211183</v>
      </c>
      <c r="Z36" s="222">
        <f t="shared" si="19"/>
        <v>8528.4410651211183</v>
      </c>
      <c r="AA36" s="222">
        <f t="shared" si="19"/>
        <v>9746.8103035165022</v>
      </c>
      <c r="AB36" s="222">
        <f t="shared" si="19"/>
        <v>9746.8103035165022</v>
      </c>
      <c r="AC36" s="224">
        <f t="shared" si="17"/>
        <v>40814.723269835806</v>
      </c>
      <c r="AD36" s="260">
        <f>AC36/AC26</f>
        <v>0.16800000000000001</v>
      </c>
      <c r="AE36" s="222" t="s">
        <v>2</v>
      </c>
      <c r="AF36" s="210"/>
      <c r="AG36" s="210"/>
      <c r="AH36" s="210"/>
    </row>
    <row r="37" spans="1:34">
      <c r="A37" s="115" t="s">
        <v>2</v>
      </c>
      <c r="B37" s="115"/>
      <c r="C37" s="115"/>
      <c r="D37" s="217" t="s">
        <v>30</v>
      </c>
      <c r="E37" s="216">
        <v>0.18</v>
      </c>
      <c r="F37" s="246">
        <f>24219.47+5338.23</f>
        <v>29557.7</v>
      </c>
      <c r="G37" s="246">
        <f>$F37/F27*G27</f>
        <v>2782.0756396900833</v>
      </c>
      <c r="H37" s="247">
        <f t="shared" si="15"/>
        <v>32339.775639690084</v>
      </c>
      <c r="I37" s="248">
        <f>H37/H27</f>
        <v>0.33501864451291175</v>
      </c>
      <c r="J37" s="263">
        <f t="shared" ref="J37:J38" si="21">+AC37</f>
        <v>6248.1296103556442</v>
      </c>
      <c r="K37" s="262">
        <v>0.182</v>
      </c>
      <c r="L37" s="228"/>
      <c r="M37" s="228"/>
      <c r="N37" s="222">
        <f>K37*N27</f>
        <v>0</v>
      </c>
      <c r="O37" s="222">
        <f>$K$37*O27</f>
        <v>0</v>
      </c>
      <c r="P37" s="222">
        <f t="shared" ref="P37:U37" si="22">$K$37*P27</f>
        <v>0</v>
      </c>
      <c r="Q37" s="222">
        <f t="shared" si="22"/>
        <v>0</v>
      </c>
      <c r="R37" s="222">
        <f t="shared" si="22"/>
        <v>0</v>
      </c>
      <c r="S37" s="222">
        <f t="shared" si="22"/>
        <v>0</v>
      </c>
      <c r="T37" s="222">
        <f t="shared" si="22"/>
        <v>0</v>
      </c>
      <c r="U37" s="222">
        <f t="shared" si="22"/>
        <v>0</v>
      </c>
      <c r="V37" s="222">
        <f>$K37*V27</f>
        <v>0</v>
      </c>
      <c r="W37" s="222"/>
      <c r="X37" s="222">
        <f t="shared" si="19"/>
        <v>652.7890045568189</v>
      </c>
      <c r="Y37" s="222">
        <f t="shared" si="19"/>
        <v>1305.5780091136378</v>
      </c>
      <c r="Z37" s="222">
        <f t="shared" si="19"/>
        <v>1305.5780091136378</v>
      </c>
      <c r="AA37" s="222">
        <f t="shared" si="19"/>
        <v>1492.0922937857747</v>
      </c>
      <c r="AB37" s="222">
        <f t="shared" si="19"/>
        <v>1492.0922937857747</v>
      </c>
      <c r="AC37" s="224">
        <f t="shared" si="17"/>
        <v>6248.1296103556442</v>
      </c>
      <c r="AD37" s="260">
        <f>AC37/AC27</f>
        <v>0.182</v>
      </c>
      <c r="AE37" s="222" t="s">
        <v>2</v>
      </c>
      <c r="AF37" s="210"/>
      <c r="AG37" s="210"/>
      <c r="AH37" s="210"/>
    </row>
    <row r="38" spans="1:34">
      <c r="A38" s="115" t="s">
        <v>2</v>
      </c>
      <c r="B38" s="115"/>
      <c r="C38" s="115"/>
      <c r="D38" s="217" t="s">
        <v>31</v>
      </c>
      <c r="E38" s="216">
        <v>0.25</v>
      </c>
      <c r="F38" s="246">
        <f>65105.78+4548.14</f>
        <v>69653.919999999998</v>
      </c>
      <c r="G38" s="246">
        <f>$F38/$F28*G28</f>
        <v>6556.0741884829285</v>
      </c>
      <c r="H38" s="247">
        <f t="shared" si="15"/>
        <v>76209.994188482931</v>
      </c>
      <c r="I38" s="248">
        <f>H38/H28</f>
        <v>0.3149281276345206</v>
      </c>
      <c r="J38" s="263">
        <f t="shared" si="21"/>
        <v>23494.907570900745</v>
      </c>
      <c r="K38" s="262">
        <v>0.27300000000000002</v>
      </c>
      <c r="L38" s="228"/>
      <c r="M38" s="228"/>
      <c r="N38" s="222">
        <f>$K$38*N28</f>
        <v>0</v>
      </c>
      <c r="O38" s="222">
        <f t="shared" ref="O38:U38" si="23">$K$38*O28</f>
        <v>0</v>
      </c>
      <c r="P38" s="222">
        <f t="shared" si="23"/>
        <v>0</v>
      </c>
      <c r="Q38" s="222">
        <f t="shared" si="23"/>
        <v>0</v>
      </c>
      <c r="R38" s="222">
        <f t="shared" si="23"/>
        <v>0</v>
      </c>
      <c r="S38" s="222">
        <f t="shared" si="23"/>
        <v>0</v>
      </c>
      <c r="T38" s="222">
        <f t="shared" si="23"/>
        <v>0</v>
      </c>
      <c r="U38" s="222">
        <f t="shared" si="23"/>
        <v>0</v>
      </c>
      <c r="V38" s="222">
        <f>$K38*V28</f>
        <v>0</v>
      </c>
      <c r="W38" s="222"/>
      <c r="X38" s="222">
        <f t="shared" si="19"/>
        <v>2454.68936814993</v>
      </c>
      <c r="Y38" s="222">
        <f t="shared" si="19"/>
        <v>4909.3787362998601</v>
      </c>
      <c r="Z38" s="222">
        <f t="shared" si="19"/>
        <v>4909.3787362998601</v>
      </c>
      <c r="AA38" s="222">
        <f t="shared" si="19"/>
        <v>5610.7303650755475</v>
      </c>
      <c r="AB38" s="222">
        <f t="shared" si="19"/>
        <v>5610.7303650755475</v>
      </c>
      <c r="AC38" s="224">
        <f t="shared" si="17"/>
        <v>23494.907570900745</v>
      </c>
      <c r="AD38" s="260">
        <f>AC38/AC28</f>
        <v>0.27300000000000002</v>
      </c>
      <c r="AE38" s="210"/>
      <c r="AF38" s="210"/>
      <c r="AG38" s="210"/>
      <c r="AH38" s="210"/>
    </row>
    <row r="39" spans="1:34">
      <c r="A39" s="115" t="s">
        <v>2</v>
      </c>
      <c r="B39" s="115"/>
      <c r="C39" s="115"/>
      <c r="D39" s="217" t="s">
        <v>37</v>
      </c>
      <c r="E39" s="216"/>
      <c r="F39" s="246">
        <f>29701.85+10188.33</f>
        <v>39890.18</v>
      </c>
      <c r="G39" s="246">
        <f>$F39/$F30*G30</f>
        <v>3754.6053326494471</v>
      </c>
      <c r="H39" s="247">
        <f t="shared" si="15"/>
        <v>43644.785332649444</v>
      </c>
      <c r="I39" s="248">
        <f t="shared" ref="I39" si="24">H39/H30</f>
        <v>1.3653110300543439E-2</v>
      </c>
      <c r="J39" s="264"/>
      <c r="K39" s="262">
        <f t="shared" ref="K39" si="25">J39/J30</f>
        <v>0</v>
      </c>
      <c r="L39" s="228"/>
      <c r="M39" s="228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>
        <f t="shared" ref="AC39" si="26">SUM(N39:AB39)</f>
        <v>0</v>
      </c>
      <c r="AD39" s="260">
        <f t="shared" ref="AD39" si="27">AC39/AC30</f>
        <v>0</v>
      </c>
      <c r="AE39" s="210"/>
      <c r="AF39" s="210"/>
      <c r="AG39" s="210"/>
      <c r="AH39" s="210"/>
    </row>
    <row r="40" spans="1:34" s="3" customFormat="1" ht="17.100000000000001" thickBot="1">
      <c r="A40" s="115" t="s">
        <v>2</v>
      </c>
      <c r="B40" s="115"/>
      <c r="C40" s="115"/>
      <c r="D40" s="6" t="s">
        <v>38</v>
      </c>
      <c r="E40" s="124"/>
      <c r="F40" s="119">
        <f>SUM(F34:F39)</f>
        <v>788098.92</v>
      </c>
      <c r="G40" s="119">
        <f>SUM(G34:G39)</f>
        <v>74178.667724419138</v>
      </c>
      <c r="H40" s="119">
        <f>SUM(H34:H39)</f>
        <v>862277.58772441908</v>
      </c>
      <c r="I40" s="265">
        <f>H40/H30</f>
        <v>0.26974060990697862</v>
      </c>
      <c r="J40" s="119">
        <f>SUM(J34:J39)</f>
        <v>277114.22768535558</v>
      </c>
      <c r="K40" s="266">
        <f>J40/J30</f>
        <v>0.24375158290568069</v>
      </c>
      <c r="L40" s="124"/>
      <c r="M40" s="66">
        <v>1103166</v>
      </c>
      <c r="N40" s="67">
        <f>SUM(N34:N39)</f>
        <v>0</v>
      </c>
      <c r="O40" s="67">
        <f t="shared" ref="O40:AB40" si="28">SUM(O34:O39)</f>
        <v>0</v>
      </c>
      <c r="P40" s="67">
        <f t="shared" si="28"/>
        <v>0</v>
      </c>
      <c r="Q40" s="67">
        <f t="shared" si="28"/>
        <v>0</v>
      </c>
      <c r="R40" s="67">
        <f t="shared" si="28"/>
        <v>0</v>
      </c>
      <c r="S40" s="67">
        <f t="shared" si="28"/>
        <v>0</v>
      </c>
      <c r="T40" s="67">
        <f t="shared" si="28"/>
        <v>0</v>
      </c>
      <c r="U40" s="67">
        <f t="shared" si="28"/>
        <v>0</v>
      </c>
      <c r="V40" s="67">
        <f t="shared" si="28"/>
        <v>0</v>
      </c>
      <c r="W40" s="67"/>
      <c r="X40" s="67">
        <f t="shared" si="28"/>
        <v>28952.203638579496</v>
      </c>
      <c r="Y40" s="67">
        <f t="shared" si="28"/>
        <v>57904.407277158993</v>
      </c>
      <c r="Z40" s="67">
        <f t="shared" si="28"/>
        <v>57904.407277158993</v>
      </c>
      <c r="AA40" s="67">
        <f t="shared" si="28"/>
        <v>66176.604746229073</v>
      </c>
      <c r="AB40" s="67">
        <f t="shared" si="28"/>
        <v>66176.604746229073</v>
      </c>
      <c r="AC40" s="67">
        <f>SUM(AC34:AC38)</f>
        <v>277114.2276853557</v>
      </c>
      <c r="AD40" s="260">
        <f>AC40/AC30</f>
        <v>0.2437515829056808</v>
      </c>
      <c r="AE40" s="3" t="s">
        <v>246</v>
      </c>
      <c r="AF40" s="3" t="s">
        <v>247</v>
      </c>
      <c r="AH40" s="118">
        <f>SUM(X40:AB40)</f>
        <v>277114.22768535564</v>
      </c>
    </row>
    <row r="41" spans="1:34" ht="17.100000000000001" thickTop="1">
      <c r="A41" s="115"/>
      <c r="B41" s="115"/>
      <c r="C41" s="115"/>
      <c r="D41" s="210"/>
      <c r="E41" s="214"/>
      <c r="F41" s="246"/>
      <c r="G41" s="250"/>
      <c r="H41" s="251"/>
      <c r="I41" s="248"/>
      <c r="J41" s="250"/>
      <c r="K41" s="267"/>
      <c r="L41" s="244"/>
      <c r="M41" s="244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10"/>
      <c r="AD41" s="210"/>
      <c r="AE41" s="210"/>
      <c r="AF41" s="210"/>
      <c r="AG41" s="210"/>
      <c r="AH41" s="210"/>
    </row>
    <row r="42" spans="1:34" s="3" customFormat="1">
      <c r="A42" s="115"/>
      <c r="B42" s="115"/>
      <c r="C42" s="115"/>
      <c r="D42" s="7" t="s">
        <v>39</v>
      </c>
      <c r="E42" s="125"/>
      <c r="F42" s="126">
        <f>F30-F40</f>
        <v>2133592.8499999996</v>
      </c>
      <c r="G42" s="126">
        <f>G30-G40</f>
        <v>200821.33227558085</v>
      </c>
      <c r="H42" s="127">
        <f>H30-H40</f>
        <v>2334414.1822755812</v>
      </c>
      <c r="I42" s="227">
        <f>H42/H30</f>
        <v>0.73025939009302132</v>
      </c>
      <c r="J42" s="128">
        <f>J30-J40</f>
        <v>859757.27231464442</v>
      </c>
      <c r="K42" s="268">
        <f>J42/J30</f>
        <v>0.75624841709431934</v>
      </c>
      <c r="L42" s="129"/>
      <c r="M42" s="128">
        <f>M30-M40</f>
        <v>3308584</v>
      </c>
      <c r="N42" s="44">
        <f t="shared" ref="N42:AC42" si="29">N30-N40</f>
        <v>0</v>
      </c>
      <c r="O42" s="44">
        <f t="shared" si="29"/>
        <v>0</v>
      </c>
      <c r="P42" s="44">
        <f t="shared" si="29"/>
        <v>0</v>
      </c>
      <c r="Q42" s="44">
        <f t="shared" si="29"/>
        <v>0</v>
      </c>
      <c r="R42" s="44">
        <f t="shared" si="29"/>
        <v>0</v>
      </c>
      <c r="S42" s="44">
        <f t="shared" si="29"/>
        <v>0</v>
      </c>
      <c r="T42" s="44">
        <f t="shared" si="29"/>
        <v>0</v>
      </c>
      <c r="U42" s="44">
        <f t="shared" si="29"/>
        <v>0</v>
      </c>
      <c r="V42" s="44">
        <f>V30-V40</f>
        <v>0</v>
      </c>
      <c r="W42" s="44"/>
      <c r="X42" s="44">
        <f t="shared" si="29"/>
        <v>89825.296361420507</v>
      </c>
      <c r="Y42" s="44">
        <f t="shared" si="29"/>
        <v>179650.59272284101</v>
      </c>
      <c r="Z42" s="44">
        <f t="shared" si="29"/>
        <v>179650.59272284101</v>
      </c>
      <c r="AA42" s="44">
        <f t="shared" si="29"/>
        <v>205315.39525377093</v>
      </c>
      <c r="AB42" s="44">
        <f t="shared" si="29"/>
        <v>205315.39525377093</v>
      </c>
      <c r="AC42" s="44">
        <f t="shared" si="29"/>
        <v>859757.2723146443</v>
      </c>
      <c r="AD42" s="260">
        <f>AC42/AD30</f>
        <v>0.75624841709431923</v>
      </c>
    </row>
    <row r="43" spans="1:34">
      <c r="A43" s="115"/>
      <c r="B43" s="115"/>
      <c r="C43" s="115"/>
      <c r="D43" s="8"/>
      <c r="E43" s="130"/>
      <c r="F43" s="131"/>
      <c r="G43" s="132"/>
      <c r="H43" s="133"/>
      <c r="I43" s="134"/>
      <c r="J43" s="132"/>
      <c r="K43" s="135"/>
      <c r="L43" s="136"/>
      <c r="M43" s="136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210"/>
      <c r="AD43" s="210"/>
      <c r="AE43" s="210"/>
      <c r="AF43" s="210"/>
      <c r="AG43" s="210"/>
      <c r="AH43" s="210"/>
    </row>
    <row r="44" spans="1:34">
      <c r="A44" s="115"/>
      <c r="B44" s="115"/>
      <c r="C44" s="115"/>
      <c r="D44" s="57" t="s">
        <v>40</v>
      </c>
      <c r="E44" s="65">
        <v>358000</v>
      </c>
      <c r="F44" s="131">
        <v>252099.31</v>
      </c>
      <c r="G44" s="131">
        <f>4576.39*4</f>
        <v>18305.560000000001</v>
      </c>
      <c r="H44" s="247">
        <f>F44+G44</f>
        <v>270404.87</v>
      </c>
      <c r="I44" s="248"/>
      <c r="J44" s="131">
        <v>484058</v>
      </c>
      <c r="K44" s="268" t="s">
        <v>2</v>
      </c>
      <c r="L44" s="74"/>
      <c r="M44" s="74">
        <v>365000</v>
      </c>
      <c r="N44" s="68">
        <v>0</v>
      </c>
      <c r="O44" s="68">
        <v>0</v>
      </c>
      <c r="P44" s="68">
        <v>0</v>
      </c>
      <c r="Q44" s="68">
        <v>0</v>
      </c>
      <c r="R44" s="68">
        <v>0</v>
      </c>
      <c r="S44" s="68">
        <v>0</v>
      </c>
      <c r="T44" s="68">
        <v>2808</v>
      </c>
      <c r="U44" s="68">
        <v>23900</v>
      </c>
      <c r="V44" s="88">
        <v>17422</v>
      </c>
      <c r="W44" s="88"/>
      <c r="X44" s="88">
        <f>'[1]Management Wages '!I13</f>
        <v>15959.330769230768</v>
      </c>
      <c r="Y44" s="88">
        <f>'[1]Management Wages '!J13</f>
        <v>31918.661538461536</v>
      </c>
      <c r="Z44" s="88">
        <f>'[1]Management Wages '!K13</f>
        <v>31918.661538461536</v>
      </c>
      <c r="AA44" s="88">
        <f>'[1]Management Wages '!L13</f>
        <v>31918.661538461536</v>
      </c>
      <c r="AB44" s="88">
        <f>'[1]Management Wages '!M13</f>
        <v>30280.661538461536</v>
      </c>
      <c r="AC44" s="224">
        <f>SUM(X44:AB44)</f>
        <v>141995.97692307693</v>
      </c>
      <c r="AD44" s="260">
        <f>AC44/AD30</f>
        <v>0.12490063909868171</v>
      </c>
      <c r="AE44" s="210" t="s">
        <v>248</v>
      </c>
      <c r="AF44" s="210" t="s">
        <v>247</v>
      </c>
      <c r="AG44" s="210"/>
      <c r="AH44" s="210"/>
    </row>
    <row r="45" spans="1:34">
      <c r="A45" s="115"/>
      <c r="B45" s="115"/>
      <c r="C45" s="115"/>
      <c r="D45" s="57" t="s">
        <v>41</v>
      </c>
      <c r="E45" s="65"/>
      <c r="F45" s="131">
        <v>0</v>
      </c>
      <c r="G45" s="131"/>
      <c r="H45" s="137"/>
      <c r="I45" s="134"/>
      <c r="J45" s="138">
        <v>0</v>
      </c>
      <c r="K45" s="139"/>
      <c r="L45" s="74"/>
      <c r="M45" s="74"/>
      <c r="N45" s="68"/>
      <c r="O45" s="68"/>
      <c r="P45" s="68"/>
      <c r="Q45" s="68"/>
      <c r="R45" s="68"/>
      <c r="S45" s="68"/>
      <c r="T45" s="68">
        <v>1040</v>
      </c>
      <c r="U45" s="68">
        <v>1040</v>
      </c>
      <c r="V45" s="68">
        <v>520</v>
      </c>
      <c r="W45" s="68"/>
      <c r="X45" s="68">
        <v>520</v>
      </c>
      <c r="Y45" s="68">
        <v>1040</v>
      </c>
      <c r="Z45" s="68">
        <v>1040</v>
      </c>
      <c r="AA45" s="68">
        <v>1040</v>
      </c>
      <c r="AB45" s="68">
        <v>1040</v>
      </c>
      <c r="AC45" s="224">
        <f>SUM(X45:AB45)</f>
        <v>4680</v>
      </c>
      <c r="AD45" s="260">
        <f>AC45/AD30</f>
        <v>4.1165602269033919E-3</v>
      </c>
      <c r="AE45" s="210"/>
      <c r="AF45" s="210"/>
      <c r="AG45" s="210"/>
      <c r="AH45" s="210"/>
    </row>
    <row r="46" spans="1:34" s="3" customFormat="1" ht="17.100000000000001" thickBot="1">
      <c r="A46" s="115"/>
      <c r="B46" s="115"/>
      <c r="C46" s="115"/>
      <c r="D46" s="11" t="s">
        <v>42</v>
      </c>
      <c r="E46" s="140"/>
      <c r="F46" s="141">
        <f>SUM(F44:F45)</f>
        <v>252099.31</v>
      </c>
      <c r="G46" s="141">
        <f>SUM(G44:G45)</f>
        <v>18305.560000000001</v>
      </c>
      <c r="H46" s="141">
        <f>SUM(H44:H45)</f>
        <v>270404.87</v>
      </c>
      <c r="I46" s="265">
        <f t="shared" ref="I46" si="30">H46/$J$30</f>
        <v>0.23784998568439791</v>
      </c>
      <c r="J46" s="141">
        <f t="shared" ref="J46" si="31">SUM(J44:J45)</f>
        <v>484058</v>
      </c>
      <c r="K46" s="266">
        <f t="shared" ref="K46" si="32">J46/$J$30</f>
        <v>0.42578075006717997</v>
      </c>
      <c r="L46" s="142"/>
      <c r="M46" s="141">
        <f t="shared" ref="M46" si="33">SUM(M44:M45)</f>
        <v>365000</v>
      </c>
      <c r="N46" s="69">
        <f>SUM(N44:N45)</f>
        <v>0</v>
      </c>
      <c r="O46" s="69">
        <f t="shared" ref="O46:AB46" si="34">SUM(O44:O45)</f>
        <v>0</v>
      </c>
      <c r="P46" s="69">
        <f t="shared" si="34"/>
        <v>0</v>
      </c>
      <c r="Q46" s="69">
        <f t="shared" si="34"/>
        <v>0</v>
      </c>
      <c r="R46" s="69">
        <f t="shared" si="34"/>
        <v>0</v>
      </c>
      <c r="S46" s="69">
        <f t="shared" si="34"/>
        <v>0</v>
      </c>
      <c r="T46" s="69">
        <f t="shared" si="34"/>
        <v>3848</v>
      </c>
      <c r="U46" s="69">
        <f t="shared" si="34"/>
        <v>24940</v>
      </c>
      <c r="V46" s="69">
        <f t="shared" si="34"/>
        <v>17942</v>
      </c>
      <c r="W46" s="69"/>
      <c r="X46" s="69">
        <f t="shared" si="34"/>
        <v>16479.330769230768</v>
      </c>
      <c r="Y46" s="69">
        <f t="shared" si="34"/>
        <v>32958.661538461536</v>
      </c>
      <c r="Z46" s="69">
        <f t="shared" si="34"/>
        <v>32958.661538461536</v>
      </c>
      <c r="AA46" s="69">
        <f t="shared" si="34"/>
        <v>32958.661538461536</v>
      </c>
      <c r="AB46" s="69">
        <f t="shared" si="34"/>
        <v>31320.661538461536</v>
      </c>
      <c r="AC46" s="67">
        <f>SUM(AC44:AC45)</f>
        <v>146675.97692307693</v>
      </c>
      <c r="AD46" s="260">
        <f>AC46/AD30</f>
        <v>0.12901719932558511</v>
      </c>
      <c r="AH46" s="118">
        <f>SUM(X46:AB46)</f>
        <v>146675.97692307693</v>
      </c>
    </row>
    <row r="47" spans="1:34" ht="17.100000000000001" thickTop="1">
      <c r="A47" s="115"/>
      <c r="B47" s="115"/>
      <c r="C47" s="115"/>
      <c r="D47" s="9"/>
      <c r="E47" s="130"/>
      <c r="F47" s="131"/>
      <c r="G47" s="133"/>
      <c r="H47" s="143"/>
      <c r="I47" s="144"/>
      <c r="J47" s="143"/>
      <c r="K47" s="132"/>
      <c r="L47" s="136"/>
      <c r="M47" s="136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210"/>
      <c r="AD47" s="210"/>
      <c r="AE47" s="224"/>
      <c r="AF47" s="210"/>
      <c r="AG47" s="210"/>
      <c r="AH47" s="210"/>
    </row>
    <row r="48" spans="1:34">
      <c r="A48" s="115"/>
      <c r="B48" s="115"/>
      <c r="C48" s="115"/>
      <c r="D48" s="9" t="s">
        <v>43</v>
      </c>
      <c r="E48" s="130"/>
      <c r="F48" s="131"/>
      <c r="G48" s="133"/>
      <c r="H48" s="132"/>
      <c r="I48" s="145"/>
      <c r="J48" s="132"/>
      <c r="K48" s="132"/>
      <c r="L48" s="136"/>
      <c r="M48" s="136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210"/>
      <c r="AD48" s="210"/>
      <c r="AE48" s="210"/>
      <c r="AF48" s="210"/>
      <c r="AG48" s="210"/>
      <c r="AH48" s="210"/>
    </row>
    <row r="49" spans="1:34">
      <c r="A49" s="115"/>
      <c r="B49" s="115"/>
      <c r="C49" s="115"/>
      <c r="D49" s="146" t="s">
        <v>44</v>
      </c>
      <c r="E49" s="147">
        <v>334244</v>
      </c>
      <c r="F49" s="148">
        <f>29082.91+53818.14+29167.4+80879.42</f>
        <v>192947.87</v>
      </c>
      <c r="G49" s="149">
        <f>((F49/$F$30)*$G$30)</f>
        <v>18160.938397002777</v>
      </c>
      <c r="H49" s="255">
        <f>F49+G49</f>
        <v>211108.80839700278</v>
      </c>
      <c r="I49" s="256">
        <f>H49/$H$30</f>
        <v>6.6039775989100991E-2</v>
      </c>
      <c r="J49" s="150">
        <f>AC49</f>
        <v>65370.111250000002</v>
      </c>
      <c r="K49" s="269">
        <f>J49/$J$30</f>
        <v>5.7500000000000002E-2</v>
      </c>
      <c r="L49" s="151"/>
      <c r="M49" s="151"/>
      <c r="N49" s="150">
        <f>N30*0.06</f>
        <v>0</v>
      </c>
      <c r="O49" s="150">
        <f t="shared" ref="O49:T49" si="35">O30*0.06</f>
        <v>0</v>
      </c>
      <c r="P49" s="150">
        <f t="shared" si="35"/>
        <v>0</v>
      </c>
      <c r="Q49" s="150">
        <f t="shared" si="35"/>
        <v>0</v>
      </c>
      <c r="R49" s="150">
        <f t="shared" si="35"/>
        <v>0</v>
      </c>
      <c r="S49" s="150">
        <f t="shared" si="35"/>
        <v>0</v>
      </c>
      <c r="T49" s="150">
        <f t="shared" si="35"/>
        <v>0</v>
      </c>
      <c r="U49" s="150"/>
      <c r="V49" s="150">
        <v>16159.5</v>
      </c>
      <c r="W49" s="150"/>
      <c r="X49" s="150">
        <f>0.0575*X30</f>
        <v>6829.7062500000002</v>
      </c>
      <c r="Y49" s="150">
        <f t="shared" ref="Y49:AB49" si="36">0.0575*Y30</f>
        <v>13659.4125</v>
      </c>
      <c r="Z49" s="150">
        <f t="shared" si="36"/>
        <v>13659.4125</v>
      </c>
      <c r="AA49" s="150">
        <f t="shared" si="36"/>
        <v>15610.79</v>
      </c>
      <c r="AB49" s="150">
        <f t="shared" si="36"/>
        <v>15610.79</v>
      </c>
      <c r="AC49" s="118">
        <f t="shared" ref="AC49:AC52" si="37">SUM(X49:AB49)</f>
        <v>65370.111250000002</v>
      </c>
      <c r="AD49" s="260">
        <f>AC49/$AD$30</f>
        <v>5.7500000000000002E-2</v>
      </c>
      <c r="AE49" s="210"/>
      <c r="AF49" s="210"/>
      <c r="AG49" s="210"/>
      <c r="AH49" s="210"/>
    </row>
    <row r="50" spans="1:34">
      <c r="A50" s="115"/>
      <c r="B50" s="115"/>
      <c r="C50" s="115"/>
      <c r="D50" s="146" t="s">
        <v>45</v>
      </c>
      <c r="E50" s="147">
        <v>74401</v>
      </c>
      <c r="F50" s="148">
        <f>27206.31+42570.25</f>
        <v>69776.56</v>
      </c>
      <c r="G50" s="149">
        <f t="shared" ref="G50:G52" si="38">((F50/$F$30)*$G$30)</f>
        <v>6567.6175005962396</v>
      </c>
      <c r="H50" s="255">
        <f>F50+G50</f>
        <v>76344.177500596241</v>
      </c>
      <c r="I50" s="256">
        <f>H50/$H$30</f>
        <v>2.388224545671359E-2</v>
      </c>
      <c r="J50" s="150">
        <f t="shared" ref="J50:J52" si="39">AC50</f>
        <v>23331.317500000001</v>
      </c>
      <c r="K50" s="269">
        <v>2.5000000000000001E-2</v>
      </c>
      <c r="L50" s="151"/>
      <c r="M50" s="151"/>
      <c r="N50" s="150">
        <v>0</v>
      </c>
      <c r="O50" s="150">
        <v>0</v>
      </c>
      <c r="P50" s="150"/>
      <c r="Q50" s="150"/>
      <c r="R50" s="150"/>
      <c r="S50" s="150"/>
      <c r="T50" s="150"/>
      <c r="U50" s="150"/>
      <c r="V50" s="150">
        <v>5953.5</v>
      </c>
      <c r="W50" s="150"/>
      <c r="X50" s="150">
        <f>0.025*X30</f>
        <v>2969.4375</v>
      </c>
      <c r="Y50" s="150">
        <f>0.02*Y30</f>
        <v>4751.1000000000004</v>
      </c>
      <c r="Z50" s="150">
        <f t="shared" ref="Z50:AB50" si="40">0.02*Z30</f>
        <v>4751.1000000000004</v>
      </c>
      <c r="AA50" s="150">
        <f t="shared" si="40"/>
        <v>5429.84</v>
      </c>
      <c r="AB50" s="150">
        <f t="shared" si="40"/>
        <v>5429.84</v>
      </c>
      <c r="AC50" s="118">
        <f t="shared" si="37"/>
        <v>23331.317500000001</v>
      </c>
      <c r="AD50" s="260">
        <f t="shared" ref="AD50:AD53" si="41">AC50/$AD$30</f>
        <v>2.0522387534563053E-2</v>
      </c>
      <c r="AE50" s="270"/>
      <c r="AF50" s="210"/>
      <c r="AG50" s="210"/>
      <c r="AH50" s="210"/>
    </row>
    <row r="51" spans="1:34">
      <c r="A51" s="115"/>
      <c r="B51" s="115"/>
      <c r="C51" s="115"/>
      <c r="D51" s="146" t="s">
        <v>46</v>
      </c>
      <c r="E51" s="147">
        <v>551912</v>
      </c>
      <c r="F51" s="148">
        <v>523790</v>
      </c>
      <c r="G51" s="149">
        <f t="shared" si="38"/>
        <v>49300.974003838892</v>
      </c>
      <c r="H51" s="255">
        <f>F51+G51</f>
        <v>573090.97400383884</v>
      </c>
      <c r="I51" s="256">
        <f>H51/$H$30</f>
        <v>0.1792762691048686</v>
      </c>
      <c r="J51" s="150">
        <f>AC51</f>
        <v>135660.00000000003</v>
      </c>
      <c r="K51" s="269">
        <f>J51/$J$30</f>
        <v>0.11932747016703298</v>
      </c>
      <c r="L51" s="151"/>
      <c r="M51" s="151"/>
      <c r="N51" s="150">
        <v>0</v>
      </c>
      <c r="O51" s="150">
        <v>0</v>
      </c>
      <c r="P51" s="150"/>
      <c r="Q51" s="150"/>
      <c r="R51" s="150"/>
      <c r="S51" s="150"/>
      <c r="T51" s="150"/>
      <c r="U51" s="150"/>
      <c r="V51" s="150">
        <v>12587.4</v>
      </c>
      <c r="W51" s="150"/>
      <c r="X51" s="150">
        <f>'[1]Kitchen Labor'!E7</f>
        <v>12376</v>
      </c>
      <c r="Y51" s="150">
        <f>'[1]Kitchen Labor'!E8</f>
        <v>28274.400000000005</v>
      </c>
      <c r="Z51" s="150">
        <f>'[1]Kitchen Labor'!E9</f>
        <v>28274.400000000005</v>
      </c>
      <c r="AA51" s="150">
        <f>'[1]Kitchen Labor'!E10</f>
        <v>32986.800000000003</v>
      </c>
      <c r="AB51" s="150">
        <f>'[1]Kitchen Labor'!E11</f>
        <v>33748.400000000001</v>
      </c>
      <c r="AC51" s="118">
        <f t="shared" si="37"/>
        <v>135660.00000000003</v>
      </c>
      <c r="AD51" s="260">
        <f>AC51/$AD$30</f>
        <v>0.11932747016703298</v>
      </c>
      <c r="AE51" s="210"/>
      <c r="AF51" s="210"/>
      <c r="AG51" s="210"/>
      <c r="AH51" s="210"/>
    </row>
    <row r="52" spans="1:34">
      <c r="A52" s="115"/>
      <c r="B52" s="115"/>
      <c r="C52" s="115"/>
      <c r="D52" s="146" t="s">
        <v>48</v>
      </c>
      <c r="E52" s="147"/>
      <c r="F52" s="148"/>
      <c r="G52" s="149">
        <f t="shared" si="38"/>
        <v>0</v>
      </c>
      <c r="H52" s="255">
        <f>F52+G52</f>
        <v>0</v>
      </c>
      <c r="I52" s="256"/>
      <c r="J52" s="150">
        <f t="shared" si="39"/>
        <v>11368.715</v>
      </c>
      <c r="K52" s="269">
        <v>0.01</v>
      </c>
      <c r="L52" s="151"/>
      <c r="M52" s="151"/>
      <c r="N52" s="150">
        <f t="shared" ref="N52:U52" si="42">$K$52*N16</f>
        <v>0</v>
      </c>
      <c r="O52" s="150">
        <f t="shared" si="42"/>
        <v>0</v>
      </c>
      <c r="P52" s="150">
        <f t="shared" si="42"/>
        <v>0</v>
      </c>
      <c r="Q52" s="150">
        <f t="shared" si="42"/>
        <v>0</v>
      </c>
      <c r="R52" s="150">
        <f t="shared" si="42"/>
        <v>0</v>
      </c>
      <c r="S52" s="150">
        <f t="shared" si="42"/>
        <v>0</v>
      </c>
      <c r="T52" s="150">
        <f t="shared" si="42"/>
        <v>0</v>
      </c>
      <c r="U52" s="150">
        <f t="shared" si="42"/>
        <v>0</v>
      </c>
      <c r="V52" s="150">
        <f>$K52*V30</f>
        <v>0</v>
      </c>
      <c r="W52" s="150"/>
      <c r="X52" s="150">
        <f>0.01*X30</f>
        <v>1187.7750000000001</v>
      </c>
      <c r="Y52" s="150">
        <f>0.01*Y30</f>
        <v>2375.5500000000002</v>
      </c>
      <c r="Z52" s="150">
        <f t="shared" ref="Z52:AB52" si="43">0.01*Z30</f>
        <v>2375.5500000000002</v>
      </c>
      <c r="AA52" s="150">
        <f t="shared" si="43"/>
        <v>2714.92</v>
      </c>
      <c r="AB52" s="150">
        <f t="shared" si="43"/>
        <v>2714.92</v>
      </c>
      <c r="AC52" s="118">
        <f t="shared" si="37"/>
        <v>11368.715</v>
      </c>
      <c r="AD52" s="260">
        <f t="shared" si="41"/>
        <v>0.01</v>
      </c>
      <c r="AE52" s="210"/>
      <c r="AF52" s="210"/>
      <c r="AG52" s="210"/>
      <c r="AH52" s="210"/>
    </row>
    <row r="53" spans="1:34" s="3" customFormat="1" ht="17.100000000000001" thickBot="1">
      <c r="A53" s="115" t="s">
        <v>2</v>
      </c>
      <c r="B53" s="115"/>
      <c r="C53" s="115"/>
      <c r="D53" s="11" t="s">
        <v>49</v>
      </c>
      <c r="E53" s="140">
        <v>960419</v>
      </c>
      <c r="F53" s="141">
        <f>SUM(F49:F52)</f>
        <v>786514.42999999993</v>
      </c>
      <c r="G53" s="141">
        <f>SUM(G49:G52)</f>
        <v>74029.529901437912</v>
      </c>
      <c r="H53" s="141">
        <f>SUM(H49:H52)</f>
        <v>860543.95990143786</v>
      </c>
      <c r="I53" s="265">
        <f>H53/$H$30</f>
        <v>0.26919829055068317</v>
      </c>
      <c r="J53" s="141">
        <f>SUM(J49:J52)</f>
        <v>235730.14375000002</v>
      </c>
      <c r="K53" s="266">
        <f t="shared" ref="K53" si="44">J53/$J$30</f>
        <v>0.20734985770159603</v>
      </c>
      <c r="L53" s="140"/>
      <c r="M53" s="140">
        <v>816174</v>
      </c>
      <c r="N53" s="69">
        <f t="shared" ref="N53:V53" si="45">SUM(N49:N52)</f>
        <v>0</v>
      </c>
      <c r="O53" s="69">
        <f t="shared" si="45"/>
        <v>0</v>
      </c>
      <c r="P53" s="69">
        <f t="shared" si="45"/>
        <v>0</v>
      </c>
      <c r="Q53" s="69">
        <f t="shared" si="45"/>
        <v>0</v>
      </c>
      <c r="R53" s="69">
        <f t="shared" si="45"/>
        <v>0</v>
      </c>
      <c r="S53" s="69">
        <f t="shared" si="45"/>
        <v>0</v>
      </c>
      <c r="T53" s="69">
        <f t="shared" si="45"/>
        <v>0</v>
      </c>
      <c r="U53" s="69">
        <f t="shared" si="45"/>
        <v>0</v>
      </c>
      <c r="V53" s="69">
        <f t="shared" si="45"/>
        <v>34700.400000000001</v>
      </c>
      <c r="W53" s="69"/>
      <c r="X53" s="69">
        <f t="shared" ref="X53:AC53" si="46">SUM(X49:X52)</f>
        <v>23362.918750000001</v>
      </c>
      <c r="Y53" s="69">
        <f t="shared" si="46"/>
        <v>49060.462500000009</v>
      </c>
      <c r="Z53" s="69">
        <f t="shared" si="46"/>
        <v>49060.462500000009</v>
      </c>
      <c r="AA53" s="69">
        <f t="shared" si="46"/>
        <v>56742.350000000006</v>
      </c>
      <c r="AB53" s="69">
        <f t="shared" si="46"/>
        <v>57503.95</v>
      </c>
      <c r="AC53" s="67">
        <f t="shared" si="46"/>
        <v>235730.14375000002</v>
      </c>
      <c r="AD53" s="260">
        <f t="shared" si="41"/>
        <v>0.20734985770159603</v>
      </c>
      <c r="AE53" s="210" t="s">
        <v>246</v>
      </c>
      <c r="AH53" s="118">
        <f>SUM(X53:AB53)</f>
        <v>235730.14375000005</v>
      </c>
    </row>
    <row r="54" spans="1:34" s="3" customFormat="1" ht="17.100000000000001" thickTop="1">
      <c r="A54" s="115" t="s">
        <v>2</v>
      </c>
      <c r="B54" s="115"/>
      <c r="C54" s="115"/>
      <c r="D54" s="9"/>
      <c r="E54" s="142"/>
      <c r="F54" s="126"/>
      <c r="G54" s="126"/>
      <c r="H54" s="247" t="s">
        <v>2</v>
      </c>
      <c r="I54" s="248"/>
      <c r="J54" s="127"/>
      <c r="K54" s="127"/>
      <c r="L54" s="142"/>
      <c r="M54" s="142"/>
      <c r="N54" s="152" t="e">
        <f t="shared" ref="N54:S54" si="47">N53/N30</f>
        <v>#DIV/0!</v>
      </c>
      <c r="O54" s="152" t="e">
        <f t="shared" si="47"/>
        <v>#DIV/0!</v>
      </c>
      <c r="P54" s="152" t="e">
        <f t="shared" si="47"/>
        <v>#DIV/0!</v>
      </c>
      <c r="Q54" s="152" t="e">
        <f t="shared" si="47"/>
        <v>#DIV/0!</v>
      </c>
      <c r="R54" s="152" t="e">
        <f t="shared" si="47"/>
        <v>#DIV/0!</v>
      </c>
      <c r="S54" s="152" t="e">
        <f t="shared" si="47"/>
        <v>#DIV/0!</v>
      </c>
      <c r="T54" s="152"/>
      <c r="U54" s="152"/>
      <c r="V54" s="152"/>
      <c r="W54" s="152"/>
      <c r="X54" s="152"/>
      <c r="Y54" s="152">
        <f>Y53/Y30</f>
        <v>0.20652254214813415</v>
      </c>
      <c r="Z54" s="152">
        <f>Z53/Z30</f>
        <v>0.20652254214813415</v>
      </c>
      <c r="AA54" s="152">
        <f>AA53/AA30</f>
        <v>0.20900192270858811</v>
      </c>
      <c r="AB54" s="152">
        <f>AB53/AB30</f>
        <v>0.21180716190532317</v>
      </c>
      <c r="AC54" s="152">
        <f>AC53/AC30</f>
        <v>0.20734985770159603</v>
      </c>
      <c r="AD54" s="212"/>
      <c r="AE54" s="210"/>
    </row>
    <row r="55" spans="1:34" s="3" customFormat="1">
      <c r="A55" s="115" t="s">
        <v>2</v>
      </c>
      <c r="B55" s="115" t="s">
        <v>249</v>
      </c>
      <c r="C55" s="115"/>
      <c r="D55" s="9" t="s">
        <v>50</v>
      </c>
      <c r="E55" s="142"/>
      <c r="F55" s="126"/>
      <c r="G55" s="126"/>
      <c r="H55" s="247" t="s">
        <v>2</v>
      </c>
      <c r="I55" s="248"/>
      <c r="J55" s="127"/>
      <c r="K55" s="127"/>
      <c r="L55" s="142"/>
      <c r="M55" s="142"/>
      <c r="N55" s="153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118"/>
      <c r="AD55" s="212"/>
      <c r="AE55" s="210"/>
    </row>
    <row r="56" spans="1:34" s="3" customFormat="1" ht="17.100000000000001" thickBot="1">
      <c r="A56" s="115" t="s">
        <v>2</v>
      </c>
      <c r="B56" s="115"/>
      <c r="C56" s="115"/>
      <c r="D56" s="10" t="s">
        <v>51</v>
      </c>
      <c r="E56" s="142"/>
      <c r="F56" s="126">
        <v>140460.01</v>
      </c>
      <c r="G56" s="126">
        <f>0.134*(G46+G53)</f>
        <v>12372.90204679268</v>
      </c>
      <c r="H56" s="247">
        <f t="shared" ref="H56:H70" si="48">F56+G56</f>
        <v>152832.91204679268</v>
      </c>
      <c r="I56" s="265">
        <f>H56/($H$53+$H$46)</f>
        <v>0.13513689391244349</v>
      </c>
      <c r="J56" s="127">
        <f>AC56</f>
        <v>50615.300170192313</v>
      </c>
      <c r="K56" s="248">
        <f>J56/($H$53+$H$46)</f>
        <v>4.4754721727421953E-2</v>
      </c>
      <c r="L56" s="142"/>
      <c r="M56" s="142"/>
      <c r="N56" s="126">
        <v>0</v>
      </c>
      <c r="O56" s="126">
        <f>0.134*(O46+O53)</f>
        <v>0</v>
      </c>
      <c r="P56" s="126">
        <f>0.134*(P46+P53)</f>
        <v>0</v>
      </c>
      <c r="Q56" s="126">
        <f>0.134*(Q46+Q53)</f>
        <v>0</v>
      </c>
      <c r="R56" s="126">
        <f>0.134*(R46+R53)</f>
        <v>0</v>
      </c>
      <c r="S56" s="126">
        <f>0.134*(S46+S53)</f>
        <v>0</v>
      </c>
      <c r="T56" s="126">
        <f>0.134*(T44+T53)</f>
        <v>376.27200000000005</v>
      </c>
      <c r="U56" s="126">
        <f>0.134*(U44+U53)</f>
        <v>3202.6000000000004</v>
      </c>
      <c r="V56" s="126">
        <f>0.134*(V44+V53)</f>
        <v>6984.4016000000011</v>
      </c>
      <c r="W56" s="126"/>
      <c r="X56" s="126">
        <f t="shared" ref="X56:AB56" si="49">0.134*(X44+X53)</f>
        <v>5269.1814355769229</v>
      </c>
      <c r="Y56" s="126">
        <f t="shared" si="49"/>
        <v>10851.202621153847</v>
      </c>
      <c r="Z56" s="126">
        <f t="shared" si="49"/>
        <v>10851.202621153847</v>
      </c>
      <c r="AA56" s="126">
        <f t="shared" si="49"/>
        <v>11880.575546153848</v>
      </c>
      <c r="AB56" s="126">
        <f t="shared" si="49"/>
        <v>11763.137946153845</v>
      </c>
      <c r="AC56" s="118">
        <f t="shared" ref="AC56:AC72" si="50">SUM(X56:AB56)</f>
        <v>50615.300170192313</v>
      </c>
      <c r="AD56" s="260">
        <f t="shared" ref="AD56:AD70" si="51">AC56/($AC$53+$AC$46)</f>
        <v>0.13236006808966291</v>
      </c>
      <c r="AE56" s="210"/>
      <c r="AF56" s="3" t="s">
        <v>247</v>
      </c>
    </row>
    <row r="57" spans="1:34" ht="17.100000000000001" thickTop="1">
      <c r="A57" s="115" t="s">
        <v>2</v>
      </c>
      <c r="B57" s="115"/>
      <c r="C57" s="115"/>
      <c r="D57" s="10" t="s">
        <v>52</v>
      </c>
      <c r="E57" s="130"/>
      <c r="F57" s="131"/>
      <c r="G57" s="131">
        <f>$F57/10</f>
        <v>0</v>
      </c>
      <c r="H57" s="247">
        <f t="shared" si="48"/>
        <v>0</v>
      </c>
      <c r="I57" s="248"/>
      <c r="J57" s="137">
        <f t="shared" ref="J57:J59" si="52">AC57</f>
        <v>2794.9230769230771</v>
      </c>
      <c r="K57" s="248">
        <f>J57/($H$53+$H$46)</f>
        <v>2.4713081644610348E-3</v>
      </c>
      <c r="L57" s="136"/>
      <c r="M57" s="136"/>
      <c r="N57" s="154">
        <v>0</v>
      </c>
      <c r="O57" s="154">
        <v>0</v>
      </c>
      <c r="P57" s="154">
        <v>0</v>
      </c>
      <c r="Q57" s="154">
        <v>0</v>
      </c>
      <c r="R57" s="154">
        <v>0</v>
      </c>
      <c r="S57" s="154">
        <v>0</v>
      </c>
      <c r="T57" s="68">
        <f>8076/13</f>
        <v>621.23076923076928</v>
      </c>
      <c r="U57" s="68">
        <f t="shared" ref="U57" si="53">8076/13</f>
        <v>621.23076923076928</v>
      </c>
      <c r="V57" s="68">
        <v>310</v>
      </c>
      <c r="W57" s="68"/>
      <c r="X57" s="68">
        <v>310</v>
      </c>
      <c r="Y57" s="68">
        <f t="shared" ref="Y57:AB57" si="54">8076/13</f>
        <v>621.23076923076928</v>
      </c>
      <c r="Z57" s="68">
        <f t="shared" si="54"/>
        <v>621.23076923076928</v>
      </c>
      <c r="AA57" s="68">
        <f t="shared" si="54"/>
        <v>621.23076923076928</v>
      </c>
      <c r="AB57" s="68">
        <f t="shared" si="54"/>
        <v>621.23076923076928</v>
      </c>
      <c r="AC57" s="118">
        <f t="shared" si="50"/>
        <v>2794.9230769230771</v>
      </c>
      <c r="AD57" s="260">
        <f t="shared" si="51"/>
        <v>7.3087822757745202E-3</v>
      </c>
      <c r="AE57" s="210"/>
      <c r="AF57" s="210" t="s">
        <v>250</v>
      </c>
      <c r="AG57" s="210"/>
      <c r="AH57" s="210"/>
    </row>
    <row r="58" spans="1:34">
      <c r="A58" s="115"/>
      <c r="B58" s="115"/>
      <c r="C58" s="115"/>
      <c r="D58" s="10" t="s">
        <v>53</v>
      </c>
      <c r="E58" s="130"/>
      <c r="F58" s="131"/>
      <c r="G58" s="132">
        <v>0</v>
      </c>
      <c r="H58" s="247">
        <f t="shared" si="48"/>
        <v>0</v>
      </c>
      <c r="I58" s="248"/>
      <c r="J58" s="137">
        <f t="shared" si="52"/>
        <v>375</v>
      </c>
      <c r="K58" s="133"/>
      <c r="L58" s="136"/>
      <c r="M58" s="136"/>
      <c r="N58" s="154">
        <v>0</v>
      </c>
      <c r="O58" s="154">
        <v>0</v>
      </c>
      <c r="P58" s="154">
        <v>0</v>
      </c>
      <c r="Q58" s="154">
        <v>0</v>
      </c>
      <c r="R58" s="154">
        <v>0</v>
      </c>
      <c r="S58" s="154">
        <v>0</v>
      </c>
      <c r="T58" s="154">
        <v>0</v>
      </c>
      <c r="U58" s="154">
        <v>0</v>
      </c>
      <c r="V58" s="68"/>
      <c r="W58" s="68"/>
      <c r="X58" s="68">
        <v>75</v>
      </c>
      <c r="Y58" s="68">
        <v>75</v>
      </c>
      <c r="Z58" s="68">
        <v>75</v>
      </c>
      <c r="AA58" s="68">
        <v>75</v>
      </c>
      <c r="AB58" s="68">
        <v>75</v>
      </c>
      <c r="AC58" s="118">
        <f t="shared" si="50"/>
        <v>375</v>
      </c>
      <c r="AD58" s="260">
        <f t="shared" si="51"/>
        <v>9.8063283961030397E-4</v>
      </c>
      <c r="AE58" s="210"/>
      <c r="AF58" s="210" t="s">
        <v>247</v>
      </c>
      <c r="AG58" s="210"/>
      <c r="AH58" s="210"/>
    </row>
    <row r="59" spans="1:34">
      <c r="A59" s="115"/>
      <c r="B59" s="115" t="s">
        <v>251</v>
      </c>
      <c r="C59" s="115"/>
      <c r="D59" s="10" t="s">
        <v>54</v>
      </c>
      <c r="E59" s="130"/>
      <c r="F59" s="131"/>
      <c r="G59" s="131">
        <f>$F59/10</f>
        <v>0</v>
      </c>
      <c r="H59" s="137">
        <f t="shared" si="48"/>
        <v>0</v>
      </c>
      <c r="I59" s="134"/>
      <c r="J59" s="137">
        <f t="shared" si="52"/>
        <v>4733</v>
      </c>
      <c r="K59" s="133"/>
      <c r="L59" s="136"/>
      <c r="M59" s="136"/>
      <c r="N59" s="154">
        <v>0</v>
      </c>
      <c r="O59" s="154">
        <v>0</v>
      </c>
      <c r="P59" s="154">
        <v>0</v>
      </c>
      <c r="Q59" s="154">
        <v>0</v>
      </c>
      <c r="R59" s="154">
        <v>0</v>
      </c>
      <c r="S59" s="154">
        <v>0</v>
      </c>
      <c r="T59" s="154">
        <v>0</v>
      </c>
      <c r="U59" s="154">
        <v>0</v>
      </c>
      <c r="V59" s="68">
        <v>525</v>
      </c>
      <c r="W59" s="68"/>
      <c r="X59" s="68">
        <v>525</v>
      </c>
      <c r="Y59" s="68">
        <v>1052</v>
      </c>
      <c r="Z59" s="68">
        <v>1052</v>
      </c>
      <c r="AA59" s="68">
        <v>1052</v>
      </c>
      <c r="AB59" s="68">
        <v>1052</v>
      </c>
      <c r="AC59" s="118">
        <f t="shared" si="50"/>
        <v>4733</v>
      </c>
      <c r="AD59" s="260">
        <f t="shared" si="51"/>
        <v>1.2376893946334849E-2</v>
      </c>
      <c r="AE59" s="210"/>
      <c r="AF59" s="210"/>
      <c r="AG59" s="210"/>
      <c r="AH59" s="210"/>
    </row>
    <row r="60" spans="1:34">
      <c r="A60" s="115" t="s">
        <v>2</v>
      </c>
      <c r="B60" s="115" t="s">
        <v>252</v>
      </c>
      <c r="C60" s="115"/>
      <c r="D60" s="10" t="s">
        <v>55</v>
      </c>
      <c r="E60" s="130"/>
      <c r="F60" s="131">
        <v>8192.89</v>
      </c>
      <c r="G60" s="131">
        <f>$F60/10</f>
        <v>819.28899999999999</v>
      </c>
      <c r="H60" s="247">
        <f t="shared" si="48"/>
        <v>9012.1790000000001</v>
      </c>
      <c r="I60" s="248"/>
      <c r="J60" s="137">
        <f>AC60</f>
        <v>1506.6923076923076</v>
      </c>
      <c r="K60" s="248">
        <f t="shared" ref="K60:K66" si="55">J60/($H$53+$H$46)</f>
        <v>1.3322373814415775E-3</v>
      </c>
      <c r="L60" s="136"/>
      <c r="M60" s="136"/>
      <c r="N60" s="154">
        <v>0</v>
      </c>
      <c r="O60" s="154">
        <v>0</v>
      </c>
      <c r="P60" s="154">
        <v>0</v>
      </c>
      <c r="Q60" s="154">
        <v>0</v>
      </c>
      <c r="R60" s="154">
        <v>0</v>
      </c>
      <c r="S60" s="154">
        <v>0</v>
      </c>
      <c r="T60" s="154">
        <v>231</v>
      </c>
      <c r="U60" s="154">
        <v>462</v>
      </c>
      <c r="V60" s="68">
        <v>231</v>
      </c>
      <c r="W60" s="68"/>
      <c r="X60" s="68">
        <v>231</v>
      </c>
      <c r="Y60" s="68">
        <f t="shared" ref="Y60:AB60" si="56">4146/13</f>
        <v>318.92307692307691</v>
      </c>
      <c r="Z60" s="68">
        <f t="shared" si="56"/>
        <v>318.92307692307691</v>
      </c>
      <c r="AA60" s="68">
        <f t="shared" si="56"/>
        <v>318.92307692307691</v>
      </c>
      <c r="AB60" s="68">
        <f t="shared" si="56"/>
        <v>318.92307692307691</v>
      </c>
      <c r="AC60" s="118">
        <f t="shared" si="50"/>
        <v>1506.6923076923076</v>
      </c>
      <c r="AD60" s="260">
        <f t="shared" si="51"/>
        <v>3.9400318829634915E-3</v>
      </c>
      <c r="AE60" s="210"/>
      <c r="AF60" s="210"/>
      <c r="AG60" s="210"/>
      <c r="AH60" s="210"/>
    </row>
    <row r="61" spans="1:34">
      <c r="A61" s="115" t="s">
        <v>2</v>
      </c>
      <c r="B61" s="115" t="s">
        <v>253</v>
      </c>
      <c r="C61" s="115"/>
      <c r="D61" s="10" t="s">
        <v>254</v>
      </c>
      <c r="E61" s="130"/>
      <c r="F61" s="214"/>
      <c r="G61" s="131">
        <f>$F61/10</f>
        <v>0</v>
      </c>
      <c r="H61" s="247">
        <f t="shared" si="48"/>
        <v>0</v>
      </c>
      <c r="I61" s="248"/>
      <c r="J61" s="137">
        <f>AC61</f>
        <v>1070</v>
      </c>
      <c r="K61" s="248">
        <f t="shared" si="55"/>
        <v>9.4610823382102144E-4</v>
      </c>
      <c r="L61" s="136"/>
      <c r="M61" s="136"/>
      <c r="N61" s="154">
        <v>0</v>
      </c>
      <c r="O61" s="154">
        <v>0</v>
      </c>
      <c r="P61" s="154">
        <v>0</v>
      </c>
      <c r="Q61" s="154">
        <v>0</v>
      </c>
      <c r="R61" s="154">
        <v>0</v>
      </c>
      <c r="S61" s="154">
        <v>0</v>
      </c>
      <c r="T61" s="154">
        <v>0</v>
      </c>
      <c r="U61" s="154">
        <v>266</v>
      </c>
      <c r="V61" s="68">
        <v>266</v>
      </c>
      <c r="W61" s="68"/>
      <c r="X61" s="88">
        <v>214</v>
      </c>
      <c r="Y61" s="88">
        <v>214</v>
      </c>
      <c r="Z61" s="88">
        <v>214</v>
      </c>
      <c r="AA61" s="88">
        <v>214</v>
      </c>
      <c r="AB61" s="88">
        <v>214</v>
      </c>
      <c r="AC61" s="118">
        <f t="shared" si="50"/>
        <v>1070</v>
      </c>
      <c r="AD61" s="260">
        <f t="shared" si="51"/>
        <v>2.7980723690214006E-3</v>
      </c>
      <c r="AE61" s="210"/>
      <c r="AF61" s="210" t="s">
        <v>255</v>
      </c>
      <c r="AG61" s="210"/>
      <c r="AH61" s="210"/>
    </row>
    <row r="62" spans="1:34">
      <c r="A62" s="115" t="s">
        <v>2</v>
      </c>
      <c r="B62" s="115" t="s">
        <v>256</v>
      </c>
      <c r="C62" s="115"/>
      <c r="D62" s="10" t="s">
        <v>57</v>
      </c>
      <c r="E62" s="65">
        <v>12500</v>
      </c>
      <c r="F62" s="131">
        <v>50</v>
      </c>
      <c r="G62" s="131"/>
      <c r="H62" s="247">
        <f t="shared" si="48"/>
        <v>50</v>
      </c>
      <c r="I62" s="248"/>
      <c r="J62" s="137">
        <f t="shared" ref="J62:J66" si="57">AC62</f>
        <v>11445</v>
      </c>
      <c r="K62" s="248">
        <f t="shared" si="55"/>
        <v>1.0119821248674382E-2</v>
      </c>
      <c r="L62" s="74"/>
      <c r="M62" s="74"/>
      <c r="N62" s="154">
        <v>0</v>
      </c>
      <c r="O62" s="154">
        <v>0</v>
      </c>
      <c r="P62" s="154">
        <v>0</v>
      </c>
      <c r="Q62" s="154">
        <v>0</v>
      </c>
      <c r="R62" s="154">
        <v>0</v>
      </c>
      <c r="S62" s="154">
        <v>0</v>
      </c>
      <c r="T62" s="154">
        <v>0</v>
      </c>
      <c r="U62" s="154">
        <v>0</v>
      </c>
      <c r="V62" s="68"/>
      <c r="W62" s="68"/>
      <c r="X62" s="88">
        <v>2289</v>
      </c>
      <c r="Y62" s="88">
        <v>2289</v>
      </c>
      <c r="Z62" s="88">
        <v>2289</v>
      </c>
      <c r="AA62" s="88">
        <v>2289</v>
      </c>
      <c r="AB62" s="88">
        <v>2289</v>
      </c>
      <c r="AC62" s="118">
        <f t="shared" si="50"/>
        <v>11445</v>
      </c>
      <c r="AD62" s="260">
        <f t="shared" si="51"/>
        <v>2.9928914264906476E-2</v>
      </c>
      <c r="AE62" s="210"/>
      <c r="AF62" s="210" t="s">
        <v>247</v>
      </c>
      <c r="AG62" s="210"/>
      <c r="AH62" s="210"/>
    </row>
    <row r="63" spans="1:34">
      <c r="A63" s="115" t="s">
        <v>2</v>
      </c>
      <c r="B63" s="115"/>
      <c r="C63" s="115"/>
      <c r="D63" s="10" t="s">
        <v>58</v>
      </c>
      <c r="E63" s="65">
        <v>10660</v>
      </c>
      <c r="F63" s="131">
        <v>23695.16</v>
      </c>
      <c r="G63" s="131">
        <f t="shared" ref="G63:G72" si="58">$F63/10</f>
        <v>2369.5160000000001</v>
      </c>
      <c r="H63" s="247">
        <f t="shared" si="48"/>
        <v>26064.675999999999</v>
      </c>
      <c r="I63" s="248"/>
      <c r="J63" s="137">
        <f t="shared" si="57"/>
        <v>5176.3275000000003</v>
      </c>
      <c r="K63" s="248">
        <f t="shared" si="55"/>
        <v>4.576977634302975E-3</v>
      </c>
      <c r="L63" s="74"/>
      <c r="M63" s="74"/>
      <c r="N63" s="154">
        <v>0</v>
      </c>
      <c r="O63" s="154">
        <v>0</v>
      </c>
      <c r="P63" s="154">
        <v>0</v>
      </c>
      <c r="Q63" s="154">
        <v>0</v>
      </c>
      <c r="R63" s="154">
        <v>0</v>
      </c>
      <c r="S63" s="154">
        <v>0</v>
      </c>
      <c r="T63" s="154">
        <v>1150</v>
      </c>
      <c r="U63" s="154">
        <v>1150</v>
      </c>
      <c r="V63" s="154">
        <v>575</v>
      </c>
      <c r="W63" s="154"/>
      <c r="X63" s="154">
        <f>'[1]Management Wages '!K26/2/2</f>
        <v>575.14750000000004</v>
      </c>
      <c r="Y63" s="154">
        <f>'[1]Management Wages '!J26/2</f>
        <v>1150.2950000000001</v>
      </c>
      <c r="Z63" s="154">
        <f>'[1]Management Wages '!K26/2</f>
        <v>1150.2950000000001</v>
      </c>
      <c r="AA63" s="154">
        <f>'[1]Management Wages '!L26/2</f>
        <v>1150.2950000000001</v>
      </c>
      <c r="AB63" s="154">
        <f>'[1]Management Wages '!M26/2</f>
        <v>1150.2950000000001</v>
      </c>
      <c r="AC63" s="118">
        <f t="shared" si="50"/>
        <v>5176.3275000000003</v>
      </c>
      <c r="AD63" s="260">
        <f t="shared" si="51"/>
        <v>1.3536204626874415E-2</v>
      </c>
      <c r="AE63" s="210"/>
      <c r="AF63" s="210" t="s">
        <v>247</v>
      </c>
      <c r="AG63" s="210"/>
      <c r="AH63" s="210"/>
    </row>
    <row r="64" spans="1:34">
      <c r="A64" s="115"/>
      <c r="B64" s="115" t="s">
        <v>257</v>
      </c>
      <c r="C64" s="115"/>
      <c r="D64" s="10" t="s">
        <v>60</v>
      </c>
      <c r="E64" s="65">
        <v>1500</v>
      </c>
      <c r="F64" s="131">
        <v>0</v>
      </c>
      <c r="G64" s="131">
        <f t="shared" si="58"/>
        <v>0</v>
      </c>
      <c r="H64" s="247">
        <f t="shared" si="48"/>
        <v>0</v>
      </c>
      <c r="I64" s="248"/>
      <c r="J64" s="137">
        <f t="shared" si="57"/>
        <v>5358.0790769230771</v>
      </c>
      <c r="K64" s="248">
        <f t="shared" si="55"/>
        <v>4.7376847963935152E-3</v>
      </c>
      <c r="L64" s="74"/>
      <c r="M64" s="74"/>
      <c r="N64" s="154">
        <v>0</v>
      </c>
      <c r="O64" s="154">
        <v>0</v>
      </c>
      <c r="P64" s="154">
        <v>0</v>
      </c>
      <c r="Q64" s="154">
        <v>0</v>
      </c>
      <c r="R64" s="154">
        <v>0</v>
      </c>
      <c r="S64" s="154">
        <v>0</v>
      </c>
      <c r="T64" s="154">
        <v>56</v>
      </c>
      <c r="U64" s="154">
        <v>478</v>
      </c>
      <c r="V64" s="154">
        <v>399</v>
      </c>
      <c r="W64" s="154"/>
      <c r="X64" s="154">
        <f>'[1]Management Wages '!K40/2</f>
        <v>638.37323076923087</v>
      </c>
      <c r="Y64" s="154">
        <f>'[1]Management Wages '!J40</f>
        <v>1123.4664615384618</v>
      </c>
      <c r="Z64" s="154">
        <f>'[1]Management Wages '!K40</f>
        <v>1276.7464615384617</v>
      </c>
      <c r="AA64" s="154">
        <f>'[1]Management Wages '!L40</f>
        <v>1276.7464615384617</v>
      </c>
      <c r="AB64" s="154">
        <f>'[1]Management Wages '!M40</f>
        <v>1042.7464615384615</v>
      </c>
      <c r="AC64" s="118">
        <f t="shared" si="50"/>
        <v>5358.0790769230771</v>
      </c>
      <c r="AD64" s="260">
        <f t="shared" si="51"/>
        <v>1.4011488800159021E-2</v>
      </c>
      <c r="AE64" s="210"/>
      <c r="AF64" s="210" t="s">
        <v>247</v>
      </c>
      <c r="AG64" s="210"/>
      <c r="AH64" s="210"/>
    </row>
    <row r="65" spans="1:34">
      <c r="A65" s="115"/>
      <c r="B65" s="115" t="s">
        <v>258</v>
      </c>
      <c r="C65" s="115"/>
      <c r="D65" s="10" t="s">
        <v>259</v>
      </c>
      <c r="E65" s="65"/>
      <c r="F65" s="131">
        <v>18037.75</v>
      </c>
      <c r="G65" s="131">
        <f t="shared" si="58"/>
        <v>1803.7750000000001</v>
      </c>
      <c r="H65" s="247">
        <f t="shared" si="48"/>
        <v>19841.525000000001</v>
      </c>
      <c r="I65" s="248"/>
      <c r="J65" s="137">
        <f t="shared" si="57"/>
        <v>6867</v>
      </c>
      <c r="K65" s="248">
        <f t="shared" si="55"/>
        <v>6.0718927492046295E-3</v>
      </c>
      <c r="L65" s="74"/>
      <c r="M65" s="74"/>
      <c r="N65" s="127">
        <v>0</v>
      </c>
      <c r="O65" s="127">
        <v>0</v>
      </c>
      <c r="P65" s="127">
        <v>0</v>
      </c>
      <c r="Q65" s="127">
        <v>0</v>
      </c>
      <c r="R65" s="127">
        <v>0</v>
      </c>
      <c r="S65" s="127">
        <v>0</v>
      </c>
      <c r="T65" s="127">
        <v>0</v>
      </c>
      <c r="U65" s="127">
        <v>0</v>
      </c>
      <c r="V65" s="127"/>
      <c r="W65" s="127"/>
      <c r="X65" s="127">
        <f>1526/2</f>
        <v>763</v>
      </c>
      <c r="Y65" s="127">
        <v>1526</v>
      </c>
      <c r="Z65" s="127">
        <v>1526</v>
      </c>
      <c r="AA65" s="127">
        <v>1526</v>
      </c>
      <c r="AB65" s="127">
        <v>1526</v>
      </c>
      <c r="AC65" s="118">
        <f t="shared" si="50"/>
        <v>6867</v>
      </c>
      <c r="AD65" s="260">
        <f t="shared" si="51"/>
        <v>1.7957348558943886E-2</v>
      </c>
      <c r="AE65" s="210"/>
      <c r="AF65" s="210" t="s">
        <v>247</v>
      </c>
      <c r="AG65" s="210"/>
      <c r="AH65" s="210"/>
    </row>
    <row r="66" spans="1:34">
      <c r="A66" s="115"/>
      <c r="B66" s="115" t="s">
        <v>2</v>
      </c>
      <c r="C66" s="115"/>
      <c r="D66" s="10" t="s">
        <v>62</v>
      </c>
      <c r="E66" s="65"/>
      <c r="F66" s="131"/>
      <c r="G66" s="131">
        <f t="shared" si="58"/>
        <v>0</v>
      </c>
      <c r="H66" s="247">
        <f t="shared" si="48"/>
        <v>0</v>
      </c>
      <c r="I66" s="248"/>
      <c r="J66" s="137">
        <f t="shared" si="57"/>
        <v>7875</v>
      </c>
      <c r="K66" s="248">
        <f t="shared" si="55"/>
        <v>6.9631797582621899E-3</v>
      </c>
      <c r="L66" s="74"/>
      <c r="M66" s="74"/>
      <c r="N66" s="154">
        <v>0</v>
      </c>
      <c r="O66" s="154">
        <v>0</v>
      </c>
      <c r="P66" s="154">
        <v>0</v>
      </c>
      <c r="Q66" s="154">
        <v>0</v>
      </c>
      <c r="R66" s="154">
        <v>0</v>
      </c>
      <c r="S66" s="154">
        <v>0</v>
      </c>
      <c r="T66" s="154">
        <v>0</v>
      </c>
      <c r="U66" s="154">
        <v>500</v>
      </c>
      <c r="V66" s="68">
        <f>5*10*10</f>
        <v>500</v>
      </c>
      <c r="W66" s="68"/>
      <c r="X66" s="68">
        <f>'[1]Management Wages '!K49/2</f>
        <v>875</v>
      </c>
      <c r="Y66" s="68">
        <f>'[1]Management Wages '!J49</f>
        <v>1750</v>
      </c>
      <c r="Z66" s="68">
        <f>'[1]Management Wages '!K49</f>
        <v>1750</v>
      </c>
      <c r="AA66" s="68">
        <f>'[1]Management Wages '!L49</f>
        <v>1750</v>
      </c>
      <c r="AB66" s="68">
        <f>'[1]Management Wages '!M49</f>
        <v>1750</v>
      </c>
      <c r="AC66" s="118">
        <f t="shared" si="50"/>
        <v>7875</v>
      </c>
      <c r="AD66" s="260">
        <f t="shared" si="51"/>
        <v>2.0593289631816381E-2</v>
      </c>
      <c r="AE66" s="210"/>
      <c r="AF66" s="210" t="s">
        <v>247</v>
      </c>
      <c r="AG66" s="210"/>
      <c r="AH66" s="210"/>
    </row>
    <row r="67" spans="1:34">
      <c r="A67" s="115"/>
      <c r="B67" s="115" t="s">
        <v>260</v>
      </c>
      <c r="C67" s="115"/>
      <c r="D67" s="10" t="s">
        <v>261</v>
      </c>
      <c r="E67" s="65"/>
      <c r="F67" s="131">
        <v>1132.7</v>
      </c>
      <c r="G67" s="131">
        <f t="shared" si="58"/>
        <v>113.27000000000001</v>
      </c>
      <c r="H67" s="247">
        <f t="shared" si="48"/>
        <v>1245.97</v>
      </c>
      <c r="I67" s="248"/>
      <c r="J67" s="137"/>
      <c r="K67" s="248" t="s">
        <v>2</v>
      </c>
      <c r="L67" s="74"/>
      <c r="M67" s="74"/>
      <c r="N67" s="154"/>
      <c r="O67" s="154"/>
      <c r="P67" s="154"/>
      <c r="Q67" s="154"/>
      <c r="R67" s="154"/>
      <c r="S67" s="154"/>
      <c r="T67" s="154"/>
      <c r="U67" s="154"/>
      <c r="V67" s="68"/>
      <c r="W67" s="68"/>
      <c r="X67" s="68"/>
      <c r="Y67" s="68"/>
      <c r="Z67" s="68"/>
      <c r="AA67" s="68"/>
      <c r="AB67" s="68"/>
      <c r="AC67" s="118">
        <f t="shared" si="50"/>
        <v>0</v>
      </c>
      <c r="AD67" s="260">
        <f t="shared" si="51"/>
        <v>0</v>
      </c>
      <c r="AE67" s="210"/>
      <c r="AF67" s="210" t="s">
        <v>247</v>
      </c>
      <c r="AG67" s="210"/>
      <c r="AH67" s="210"/>
    </row>
    <row r="68" spans="1:34">
      <c r="A68" s="115" t="s">
        <v>2</v>
      </c>
      <c r="B68" s="115" t="s">
        <v>2</v>
      </c>
      <c r="C68" s="115"/>
      <c r="D68" s="10" t="s">
        <v>64</v>
      </c>
      <c r="E68" s="65"/>
      <c r="F68" s="131"/>
      <c r="G68" s="131">
        <f t="shared" si="58"/>
        <v>0</v>
      </c>
      <c r="H68" s="247">
        <f t="shared" si="48"/>
        <v>0</v>
      </c>
      <c r="I68" s="248"/>
      <c r="J68" s="137">
        <f>AC68</f>
        <v>6300</v>
      </c>
      <c r="K68" s="248">
        <f>J68/($H$53+$H$46)</f>
        <v>5.5705438066097519E-3</v>
      </c>
      <c r="L68" s="74"/>
      <c r="M68" s="74"/>
      <c r="N68" s="154">
        <v>0</v>
      </c>
      <c r="O68" s="154">
        <v>0</v>
      </c>
      <c r="P68" s="154">
        <v>0</v>
      </c>
      <c r="Q68" s="154">
        <v>0</v>
      </c>
      <c r="R68" s="154">
        <v>0</v>
      </c>
      <c r="S68" s="154">
        <v>0</v>
      </c>
      <c r="T68" s="154">
        <v>0</v>
      </c>
      <c r="U68" s="154">
        <v>0</v>
      </c>
      <c r="V68" s="88">
        <v>0</v>
      </c>
      <c r="W68" s="155"/>
      <c r="X68" s="155">
        <f>18200/13/2</f>
        <v>700</v>
      </c>
      <c r="Y68" s="155">
        <f>18200/13</f>
        <v>1400</v>
      </c>
      <c r="Z68" s="155">
        <f t="shared" ref="Z68:AB68" si="59">18200/13</f>
        <v>1400</v>
      </c>
      <c r="AA68" s="155">
        <f t="shared" si="59"/>
        <v>1400</v>
      </c>
      <c r="AB68" s="155">
        <f t="shared" si="59"/>
        <v>1400</v>
      </c>
      <c r="AC68" s="118">
        <f t="shared" si="50"/>
        <v>6300</v>
      </c>
      <c r="AD68" s="260">
        <f t="shared" si="51"/>
        <v>1.6474631705453106E-2</v>
      </c>
      <c r="AE68" s="210"/>
      <c r="AF68" s="210"/>
      <c r="AG68" s="210"/>
      <c r="AH68" s="210"/>
    </row>
    <row r="69" spans="1:34">
      <c r="A69" s="115"/>
      <c r="B69" s="115" t="s">
        <v>2</v>
      </c>
      <c r="C69" s="115"/>
      <c r="D69" s="10" t="s">
        <v>65</v>
      </c>
      <c r="E69" s="65"/>
      <c r="F69" s="131"/>
      <c r="G69" s="131">
        <f t="shared" si="58"/>
        <v>0</v>
      </c>
      <c r="H69" s="247">
        <f t="shared" si="48"/>
        <v>0</v>
      </c>
      <c r="I69" s="248"/>
      <c r="J69" s="137">
        <f>H69*1.03</f>
        <v>0</v>
      </c>
      <c r="K69" s="248" t="s">
        <v>2</v>
      </c>
      <c r="L69" s="74"/>
      <c r="M69" s="74"/>
      <c r="N69" s="154">
        <f>$J$69/13</f>
        <v>0</v>
      </c>
      <c r="O69" s="154">
        <f t="shared" ref="O69:U69" si="60">$J$69/13</f>
        <v>0</v>
      </c>
      <c r="P69" s="154">
        <f t="shared" si="60"/>
        <v>0</v>
      </c>
      <c r="Q69" s="154">
        <f t="shared" si="60"/>
        <v>0</v>
      </c>
      <c r="R69" s="154">
        <f t="shared" si="60"/>
        <v>0</v>
      </c>
      <c r="S69" s="154">
        <f t="shared" si="60"/>
        <v>0</v>
      </c>
      <c r="T69" s="154">
        <f t="shared" si="60"/>
        <v>0</v>
      </c>
      <c r="U69" s="154">
        <f t="shared" si="60"/>
        <v>0</v>
      </c>
      <c r="V69" s="68"/>
      <c r="W69" s="68"/>
      <c r="X69" s="68">
        <f t="shared" ref="X69:AB69" si="61">$J$69/13</f>
        <v>0</v>
      </c>
      <c r="Y69" s="68">
        <f t="shared" si="61"/>
        <v>0</v>
      </c>
      <c r="Z69" s="68">
        <f t="shared" si="61"/>
        <v>0</v>
      </c>
      <c r="AA69" s="68">
        <f t="shared" si="61"/>
        <v>0</v>
      </c>
      <c r="AB69" s="68">
        <f t="shared" si="61"/>
        <v>0</v>
      </c>
      <c r="AC69" s="118">
        <f t="shared" si="50"/>
        <v>0</v>
      </c>
      <c r="AD69" s="260">
        <f t="shared" si="51"/>
        <v>0</v>
      </c>
      <c r="AE69" s="210"/>
      <c r="AF69" s="210"/>
      <c r="AG69" s="210"/>
      <c r="AH69" s="210"/>
    </row>
    <row r="70" spans="1:34">
      <c r="A70" s="115"/>
      <c r="B70" s="115"/>
      <c r="C70" s="115"/>
      <c r="D70" s="10" t="s">
        <v>66</v>
      </c>
      <c r="E70" s="65"/>
      <c r="F70" s="131"/>
      <c r="G70" s="131">
        <f t="shared" si="58"/>
        <v>0</v>
      </c>
      <c r="H70" s="247">
        <f t="shared" si="48"/>
        <v>0</v>
      </c>
      <c r="I70" s="248"/>
      <c r="J70" s="137">
        <f>AC70</f>
        <v>0</v>
      </c>
      <c r="K70" s="248">
        <f>J70/($H$53+$H$46)</f>
        <v>0</v>
      </c>
      <c r="L70" s="74"/>
      <c r="M70" s="74"/>
      <c r="N70" s="154">
        <v>0</v>
      </c>
      <c r="O70" s="154">
        <v>0</v>
      </c>
      <c r="P70" s="154">
        <v>0</v>
      </c>
      <c r="Q70" s="154">
        <v>0</v>
      </c>
      <c r="R70" s="154">
        <v>0</v>
      </c>
      <c r="S70" s="154">
        <v>0</v>
      </c>
      <c r="T70" s="154">
        <v>0</v>
      </c>
      <c r="U70" s="154">
        <v>0</v>
      </c>
      <c r="V70" s="68"/>
      <c r="W70" s="68"/>
      <c r="X70" s="88">
        <v>0</v>
      </c>
      <c r="Y70" s="88">
        <v>0</v>
      </c>
      <c r="Z70" s="88">
        <v>0</v>
      </c>
      <c r="AA70" s="88">
        <v>0</v>
      </c>
      <c r="AB70" s="88">
        <v>0</v>
      </c>
      <c r="AC70" s="118">
        <f t="shared" si="50"/>
        <v>0</v>
      </c>
      <c r="AD70" s="260">
        <f t="shared" si="51"/>
        <v>0</v>
      </c>
      <c r="AE70" s="210"/>
      <c r="AF70" s="210"/>
      <c r="AG70" s="210"/>
      <c r="AH70" s="210"/>
    </row>
    <row r="71" spans="1:34">
      <c r="A71" s="115"/>
      <c r="B71" s="115"/>
      <c r="C71" s="115"/>
      <c r="D71" s="10" t="s">
        <v>262</v>
      </c>
      <c r="E71" s="65"/>
      <c r="F71" s="131"/>
      <c r="G71" s="131"/>
      <c r="H71" s="247"/>
      <c r="I71" s="248"/>
      <c r="J71" s="137"/>
      <c r="K71" s="248"/>
      <c r="L71" s="74"/>
      <c r="M71" s="74"/>
      <c r="N71" s="154"/>
      <c r="O71" s="154"/>
      <c r="P71" s="154"/>
      <c r="Q71" s="154"/>
      <c r="R71" s="154"/>
      <c r="S71" s="154"/>
      <c r="T71" s="154"/>
      <c r="U71" s="154"/>
      <c r="V71" s="68"/>
      <c r="W71" s="68"/>
      <c r="X71" s="68"/>
      <c r="Y71" s="68"/>
      <c r="Z71" s="68"/>
      <c r="AA71" s="68"/>
      <c r="AB71" s="68"/>
      <c r="AC71" s="118">
        <f t="shared" si="50"/>
        <v>0</v>
      </c>
      <c r="AD71" s="260"/>
      <c r="AE71" s="210"/>
      <c r="AF71" s="210"/>
      <c r="AG71" s="210"/>
      <c r="AH71" s="210"/>
    </row>
    <row r="72" spans="1:34">
      <c r="A72" s="115"/>
      <c r="B72" s="115"/>
      <c r="C72" s="115"/>
      <c r="D72" s="146" t="s">
        <v>67</v>
      </c>
      <c r="E72" s="65"/>
      <c r="F72" s="131">
        <v>2877</v>
      </c>
      <c r="G72" s="131">
        <f t="shared" si="58"/>
        <v>287.7</v>
      </c>
      <c r="H72" s="247">
        <f>F72+G72</f>
        <v>3164.7</v>
      </c>
      <c r="I72" s="248"/>
      <c r="J72" s="137">
        <f>AC72</f>
        <v>6075</v>
      </c>
      <c r="K72" s="248" t="s">
        <v>2</v>
      </c>
      <c r="L72" s="74" t="s">
        <v>2</v>
      </c>
      <c r="M72" s="74"/>
      <c r="N72" s="156">
        <v>0</v>
      </c>
      <c r="O72" s="156">
        <v>0</v>
      </c>
      <c r="P72" s="156">
        <v>0</v>
      </c>
      <c r="Q72" s="156">
        <v>0</v>
      </c>
      <c r="R72" s="156">
        <v>0</v>
      </c>
      <c r="S72" s="156">
        <v>0</v>
      </c>
      <c r="T72" s="156">
        <v>900</v>
      </c>
      <c r="U72" s="156">
        <v>900</v>
      </c>
      <c r="V72" s="68">
        <v>675</v>
      </c>
      <c r="W72" s="68"/>
      <c r="X72" s="88">
        <f>(1350)/2</f>
        <v>675</v>
      </c>
      <c r="Y72" s="88">
        <v>1350</v>
      </c>
      <c r="Z72" s="88">
        <v>1350</v>
      </c>
      <c r="AA72" s="88">
        <v>1350</v>
      </c>
      <c r="AB72" s="88">
        <v>1350</v>
      </c>
      <c r="AC72" s="118">
        <f t="shared" si="50"/>
        <v>6075</v>
      </c>
      <c r="AD72" s="260">
        <f>AC72/($AC$53+$AC$46)</f>
        <v>1.5886252001686925E-2</v>
      </c>
      <c r="AE72" s="210"/>
      <c r="AF72" s="210"/>
      <c r="AG72" s="210"/>
      <c r="AH72" s="210"/>
    </row>
    <row r="73" spans="1:34" s="3" customFormat="1" ht="17.100000000000001" thickBot="1">
      <c r="A73" s="115" t="s">
        <v>2</v>
      </c>
      <c r="B73" s="115" t="s">
        <v>2</v>
      </c>
      <c r="C73" s="115"/>
      <c r="D73" s="11" t="s">
        <v>70</v>
      </c>
      <c r="E73" s="157"/>
      <c r="F73" s="141">
        <f>SUM(F56:F72)</f>
        <v>194445.51000000004</v>
      </c>
      <c r="G73" s="141">
        <f>SUM(G56:G72)</f>
        <v>17766.452046792681</v>
      </c>
      <c r="H73" s="141">
        <f>SUM(H56:H72)</f>
        <v>212211.9620467927</v>
      </c>
      <c r="I73" s="265">
        <f>H73/(H53+H46)</f>
        <v>0.1876406398203595</v>
      </c>
      <c r="J73" s="158">
        <f>SUM(J56:J72)</f>
        <v>110191.32213173078</v>
      </c>
      <c r="K73" s="266">
        <f>J73/(J53+J46)</f>
        <v>0.15308854846878794</v>
      </c>
      <c r="L73" s="157"/>
      <c r="M73" s="140">
        <v>318917</v>
      </c>
      <c r="N73" s="69">
        <f t="shared" ref="N73:AD73" si="62">SUM(N56:N72)</f>
        <v>0</v>
      </c>
      <c r="O73" s="69">
        <f t="shared" si="62"/>
        <v>0</v>
      </c>
      <c r="P73" s="69">
        <f t="shared" si="62"/>
        <v>0</v>
      </c>
      <c r="Q73" s="69">
        <f t="shared" si="62"/>
        <v>0</v>
      </c>
      <c r="R73" s="69">
        <f t="shared" si="62"/>
        <v>0</v>
      </c>
      <c r="S73" s="69">
        <f t="shared" si="62"/>
        <v>0</v>
      </c>
      <c r="T73" s="69">
        <f t="shared" si="62"/>
        <v>3334.5027692307694</v>
      </c>
      <c r="U73" s="69">
        <f t="shared" si="62"/>
        <v>7579.8307692307699</v>
      </c>
      <c r="V73" s="69">
        <f t="shared" si="62"/>
        <v>10465.401600000001</v>
      </c>
      <c r="W73" s="69"/>
      <c r="X73" s="69">
        <f t="shared" ref="X73" si="63">SUM(X56:X72)</f>
        <v>13139.702166346155</v>
      </c>
      <c r="Y73" s="69">
        <f t="shared" si="62"/>
        <v>23721.117928846154</v>
      </c>
      <c r="Z73" s="69">
        <f t="shared" si="62"/>
        <v>23874.397928846156</v>
      </c>
      <c r="AA73" s="69">
        <f t="shared" si="62"/>
        <v>24903.770853846156</v>
      </c>
      <c r="AB73" s="69">
        <f t="shared" si="62"/>
        <v>24552.333253846155</v>
      </c>
      <c r="AC73" s="67">
        <f>SUM(AC56:AC72)</f>
        <v>110191.32213173078</v>
      </c>
      <c r="AD73" s="271">
        <f t="shared" si="62"/>
        <v>0.28815261099320766</v>
      </c>
      <c r="AE73" s="3" t="s">
        <v>2</v>
      </c>
      <c r="AH73" s="118">
        <f>SUM(X73:AB73)</f>
        <v>110191.32213173078</v>
      </c>
    </row>
    <row r="74" spans="1:34" s="3" customFormat="1" ht="17.100000000000001" thickTop="1">
      <c r="A74" s="115" t="s">
        <v>263</v>
      </c>
      <c r="B74" s="115" t="s">
        <v>2</v>
      </c>
      <c r="C74" s="115"/>
      <c r="D74" s="9"/>
      <c r="E74" s="129"/>
      <c r="F74" s="126"/>
      <c r="G74" s="159"/>
      <c r="H74" s="160"/>
      <c r="I74" s="161"/>
      <c r="J74" s="160"/>
      <c r="K74" s="159"/>
      <c r="L74" s="129"/>
      <c r="M74" s="129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118"/>
      <c r="AD74" s="212"/>
    </row>
    <row r="75" spans="1:34">
      <c r="A75" s="115"/>
      <c r="B75" s="115" t="s">
        <v>2</v>
      </c>
      <c r="C75" s="115"/>
      <c r="D75" s="162" t="s">
        <v>264</v>
      </c>
      <c r="E75" s="130"/>
      <c r="F75" s="131"/>
      <c r="G75" s="132"/>
      <c r="H75" s="133"/>
      <c r="I75" s="134"/>
      <c r="J75" s="133"/>
      <c r="K75" s="132"/>
      <c r="L75" s="136"/>
      <c r="M75" s="136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210"/>
      <c r="AD75" s="210"/>
      <c r="AE75" s="210"/>
      <c r="AF75" s="210"/>
      <c r="AG75" s="210"/>
      <c r="AH75" s="210"/>
    </row>
    <row r="76" spans="1:34">
      <c r="A76" s="115"/>
      <c r="B76" s="115" t="s">
        <v>2</v>
      </c>
      <c r="C76" s="115"/>
      <c r="D76" s="10"/>
      <c r="E76" s="130"/>
      <c r="F76" s="131"/>
      <c r="G76" s="132"/>
      <c r="H76" s="133"/>
      <c r="I76" s="134"/>
      <c r="J76" s="133"/>
      <c r="K76" s="132"/>
      <c r="L76" s="136"/>
      <c r="M76" s="136"/>
      <c r="N76" s="2" t="s">
        <v>3</v>
      </c>
      <c r="O76" s="2" t="s">
        <v>4</v>
      </c>
      <c r="P76" s="2" t="s">
        <v>5</v>
      </c>
      <c r="Q76" s="2" t="s">
        <v>7</v>
      </c>
      <c r="R76" s="2" t="s">
        <v>8</v>
      </c>
      <c r="S76" s="2" t="s">
        <v>9</v>
      </c>
      <c r="T76" s="2" t="s">
        <v>11</v>
      </c>
      <c r="U76" s="2" t="s">
        <v>12</v>
      </c>
      <c r="V76" s="2" t="s">
        <v>226</v>
      </c>
      <c r="W76" s="2"/>
      <c r="X76" s="2" t="s">
        <v>226</v>
      </c>
      <c r="Y76" s="2" t="s">
        <v>16</v>
      </c>
      <c r="Z76" s="2" t="s">
        <v>17</v>
      </c>
      <c r="AA76" s="2" t="s">
        <v>18</v>
      </c>
      <c r="AB76" s="2" t="s">
        <v>19</v>
      </c>
      <c r="AC76" s="2">
        <v>2019</v>
      </c>
      <c r="AD76" s="210"/>
      <c r="AE76" s="210"/>
      <c r="AF76" s="210"/>
      <c r="AG76" s="210"/>
      <c r="AH76" s="210"/>
    </row>
    <row r="77" spans="1:34">
      <c r="A77" s="115"/>
      <c r="B77" s="115" t="s">
        <v>265</v>
      </c>
      <c r="C77" s="115"/>
      <c r="D77" s="9" t="s">
        <v>71</v>
      </c>
      <c r="E77" s="130"/>
      <c r="F77" s="131"/>
      <c r="G77" s="132"/>
      <c r="H77" s="133"/>
      <c r="I77" s="134"/>
      <c r="J77" s="133"/>
      <c r="K77" s="132"/>
      <c r="L77" s="136"/>
      <c r="M77" s="136"/>
      <c r="N77" s="226" t="s">
        <v>23</v>
      </c>
      <c r="O77" s="226" t="s">
        <v>23</v>
      </c>
      <c r="P77" s="226" t="s">
        <v>23</v>
      </c>
      <c r="Q77" s="226" t="s">
        <v>23</v>
      </c>
      <c r="R77" s="226" t="s">
        <v>23</v>
      </c>
      <c r="S77" s="226" t="s">
        <v>23</v>
      </c>
      <c r="T77" s="226"/>
      <c r="U77" s="226"/>
      <c r="V77" s="226"/>
      <c r="W77" s="226"/>
      <c r="X77" s="226" t="s">
        <v>23</v>
      </c>
      <c r="Y77" s="226" t="s">
        <v>23</v>
      </c>
      <c r="Z77" s="226" t="s">
        <v>23</v>
      </c>
      <c r="AA77" s="226" t="s">
        <v>23</v>
      </c>
      <c r="AB77" s="226" t="s">
        <v>23</v>
      </c>
      <c r="AC77" s="49" t="s">
        <v>233</v>
      </c>
      <c r="AD77" s="210"/>
      <c r="AE77" s="210"/>
      <c r="AF77" s="210"/>
      <c r="AG77" s="210"/>
      <c r="AH77" s="210"/>
    </row>
    <row r="78" spans="1:34">
      <c r="A78" s="115"/>
      <c r="B78" s="115" t="s">
        <v>266</v>
      </c>
      <c r="C78" s="115"/>
      <c r="D78" s="10" t="s">
        <v>72</v>
      </c>
      <c r="E78" s="130"/>
      <c r="F78" s="131">
        <v>1322.08</v>
      </c>
      <c r="G78" s="131">
        <f>$F78/11</f>
        <v>120.18909090909091</v>
      </c>
      <c r="H78" s="247">
        <f t="shared" ref="H78:H96" si="64">F78+G78</f>
        <v>1442.2690909090909</v>
      </c>
      <c r="I78" s="134"/>
      <c r="J78" s="137">
        <v>1500</v>
      </c>
      <c r="K78" s="132"/>
      <c r="L78" s="136"/>
      <c r="M78" s="136"/>
      <c r="N78" s="226">
        <v>0</v>
      </c>
      <c r="O78" s="226">
        <v>0</v>
      </c>
      <c r="P78" s="226">
        <v>0</v>
      </c>
      <c r="Q78" s="226">
        <v>0</v>
      </c>
      <c r="R78" s="226">
        <v>0</v>
      </c>
      <c r="S78" s="226">
        <v>0</v>
      </c>
      <c r="T78" s="226">
        <v>0</v>
      </c>
      <c r="U78" s="226">
        <v>0</v>
      </c>
      <c r="V78" s="226"/>
      <c r="W78" s="226"/>
      <c r="X78" s="226">
        <f t="shared" ref="X78:AB78" si="65">$J$78/13</f>
        <v>115.38461538461539</v>
      </c>
      <c r="Y78" s="226">
        <f t="shared" si="65"/>
        <v>115.38461538461539</v>
      </c>
      <c r="Z78" s="226">
        <f t="shared" si="65"/>
        <v>115.38461538461539</v>
      </c>
      <c r="AA78" s="226">
        <f t="shared" si="65"/>
        <v>115.38461538461539</v>
      </c>
      <c r="AB78" s="226">
        <f t="shared" si="65"/>
        <v>115.38461538461539</v>
      </c>
      <c r="AC78" s="224">
        <f t="shared" ref="AC78:AC96" si="66">SUM(X78:AB78)</f>
        <v>576.92307692307691</v>
      </c>
      <c r="AD78" s="272">
        <f t="shared" ref="AD78:AD86" si="67">AC78/AC$30</f>
        <v>5.0746551120603943E-4</v>
      </c>
      <c r="AE78" s="210"/>
      <c r="AF78" s="210"/>
      <c r="AG78" s="210"/>
      <c r="AH78" s="210"/>
    </row>
    <row r="79" spans="1:34">
      <c r="A79" s="115"/>
      <c r="B79" s="115" t="s">
        <v>267</v>
      </c>
      <c r="C79" s="115"/>
      <c r="D79" s="10" t="s">
        <v>73</v>
      </c>
      <c r="E79" s="130"/>
      <c r="F79" s="131">
        <v>1148.1400000000001</v>
      </c>
      <c r="G79" s="131">
        <f t="shared" ref="G79:G96" si="68">$F79/11</f>
        <v>104.37636363636365</v>
      </c>
      <c r="H79" s="247">
        <f t="shared" si="64"/>
        <v>1252.5163636363638</v>
      </c>
      <c r="I79" s="248"/>
      <c r="J79" s="133">
        <v>0</v>
      </c>
      <c r="K79" s="132"/>
      <c r="L79" s="136"/>
      <c r="M79" s="136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224">
        <f t="shared" si="66"/>
        <v>0</v>
      </c>
      <c r="AD79" s="272">
        <f t="shared" si="67"/>
        <v>0</v>
      </c>
      <c r="AE79" s="210"/>
      <c r="AF79" s="210"/>
      <c r="AG79" s="210"/>
      <c r="AH79" s="210"/>
    </row>
    <row r="80" spans="1:34">
      <c r="A80" s="115" t="s">
        <v>2</v>
      </c>
      <c r="B80" s="115" t="s">
        <v>268</v>
      </c>
      <c r="C80" s="115"/>
      <c r="D80" s="10" t="s">
        <v>74</v>
      </c>
      <c r="E80" s="130"/>
      <c r="F80" s="131">
        <v>1460.68</v>
      </c>
      <c r="G80" s="131">
        <f t="shared" si="68"/>
        <v>132.7890909090909</v>
      </c>
      <c r="H80" s="247">
        <f t="shared" si="64"/>
        <v>1593.4690909090909</v>
      </c>
      <c r="I80" s="248"/>
      <c r="J80" s="137">
        <f>AC80</f>
        <v>6125</v>
      </c>
      <c r="K80" s="163">
        <f>J80/$H$30</f>
        <v>1.9160433475261204E-3</v>
      </c>
      <c r="L80" s="136"/>
      <c r="M80" s="136"/>
      <c r="N80" s="137">
        <v>0</v>
      </c>
      <c r="O80" s="137">
        <v>0</v>
      </c>
      <c r="P80" s="137">
        <v>0</v>
      </c>
      <c r="Q80" s="137">
        <v>0</v>
      </c>
      <c r="R80" s="137">
        <v>0</v>
      </c>
      <c r="S80" s="137">
        <v>0</v>
      </c>
      <c r="T80" s="137">
        <v>1361</v>
      </c>
      <c r="U80" s="137">
        <v>1361</v>
      </c>
      <c r="V80" s="137">
        <v>681</v>
      </c>
      <c r="W80" s="137"/>
      <c r="X80" s="137">
        <v>681</v>
      </c>
      <c r="Y80" s="137">
        <v>1361</v>
      </c>
      <c r="Z80" s="137">
        <v>1361</v>
      </c>
      <c r="AA80" s="137">
        <v>1361</v>
      </c>
      <c r="AB80" s="137">
        <v>1361</v>
      </c>
      <c r="AC80" s="224">
        <f t="shared" si="66"/>
        <v>6125</v>
      </c>
      <c r="AD80" s="272">
        <f t="shared" si="67"/>
        <v>5.3875921773041194E-3</v>
      </c>
      <c r="AE80" s="210"/>
      <c r="AF80" s="210" t="s">
        <v>269</v>
      </c>
      <c r="AG80" s="210"/>
      <c r="AH80" s="210"/>
    </row>
    <row r="81" spans="1:32">
      <c r="A81" s="115" t="s">
        <v>2</v>
      </c>
      <c r="B81" s="115" t="s">
        <v>270</v>
      </c>
      <c r="C81" s="115"/>
      <c r="D81" s="10" t="s">
        <v>75</v>
      </c>
      <c r="E81" s="130"/>
      <c r="F81" s="131">
        <v>2802.5</v>
      </c>
      <c r="G81" s="131">
        <f t="shared" si="68"/>
        <v>254.77272727272728</v>
      </c>
      <c r="H81" s="247">
        <f t="shared" si="64"/>
        <v>3057.2727272727275</v>
      </c>
      <c r="I81" s="163">
        <f t="shared" ref="I81:I82" si="69">H81/$H$30</f>
        <v>9.5638646051656308E-4</v>
      </c>
      <c r="J81" s="137">
        <f>AC81</f>
        <v>1530</v>
      </c>
      <c r="K81" s="163">
        <f>J81/$J$30</f>
        <v>1.3457985357184167E-3</v>
      </c>
      <c r="L81" s="136"/>
      <c r="M81" s="136"/>
      <c r="N81" s="68">
        <f t="shared" ref="N81:T81" si="70">0.0035*N30</f>
        <v>0</v>
      </c>
      <c r="O81" s="68">
        <f t="shared" si="70"/>
        <v>0</v>
      </c>
      <c r="P81" s="68">
        <f t="shared" si="70"/>
        <v>0</v>
      </c>
      <c r="Q81" s="68">
        <f t="shared" si="70"/>
        <v>0</v>
      </c>
      <c r="R81" s="68">
        <f t="shared" si="70"/>
        <v>0</v>
      </c>
      <c r="S81" s="68">
        <f t="shared" si="70"/>
        <v>0</v>
      </c>
      <c r="T81" s="68">
        <f t="shared" si="70"/>
        <v>0</v>
      </c>
      <c r="U81" s="68">
        <v>300</v>
      </c>
      <c r="V81" s="73">
        <v>300</v>
      </c>
      <c r="W81" s="73"/>
      <c r="X81" s="88">
        <v>306</v>
      </c>
      <c r="Y81" s="88">
        <v>306</v>
      </c>
      <c r="Z81" s="88">
        <v>306</v>
      </c>
      <c r="AA81" s="88">
        <v>306</v>
      </c>
      <c r="AB81" s="88">
        <v>306</v>
      </c>
      <c r="AC81" s="224">
        <f t="shared" si="66"/>
        <v>1530</v>
      </c>
      <c r="AD81" s="272">
        <f t="shared" si="67"/>
        <v>1.3457985357184167E-3</v>
      </c>
      <c r="AE81" s="210"/>
      <c r="AF81" s="210" t="s">
        <v>247</v>
      </c>
    </row>
    <row r="82" spans="1:32">
      <c r="A82" s="115"/>
      <c r="B82" s="115"/>
      <c r="C82" s="115"/>
      <c r="D82" s="10" t="s">
        <v>76</v>
      </c>
      <c r="E82" s="130"/>
      <c r="F82" s="131">
        <v>7401.61</v>
      </c>
      <c r="G82" s="131">
        <f t="shared" si="68"/>
        <v>672.87363636363636</v>
      </c>
      <c r="H82" s="247">
        <f t="shared" si="64"/>
        <v>8074.4836363636359</v>
      </c>
      <c r="I82" s="163">
        <f t="shared" si="69"/>
        <v>2.5258874540674387E-3</v>
      </c>
      <c r="J82" s="137" t="s">
        <v>2</v>
      </c>
      <c r="K82" s="132"/>
      <c r="L82" s="136"/>
      <c r="M82" s="136"/>
      <c r="N82" s="68"/>
      <c r="O82" s="68"/>
      <c r="P82" s="68"/>
      <c r="Q82" s="68"/>
      <c r="R82" s="68"/>
      <c r="S82" s="68"/>
      <c r="T82" s="68"/>
      <c r="U82" s="68">
        <v>300</v>
      </c>
      <c r="V82" s="68">
        <v>300</v>
      </c>
      <c r="W82" s="68"/>
      <c r="X82" s="88">
        <v>621</v>
      </c>
      <c r="Y82" s="88">
        <v>621</v>
      </c>
      <c r="Z82" s="88">
        <v>621</v>
      </c>
      <c r="AA82" s="88">
        <v>621</v>
      </c>
      <c r="AB82" s="88">
        <v>621</v>
      </c>
      <c r="AC82" s="224">
        <f t="shared" si="66"/>
        <v>3105</v>
      </c>
      <c r="AD82" s="272">
        <f t="shared" si="67"/>
        <v>2.7311793813109045E-3</v>
      </c>
      <c r="AE82" s="210"/>
      <c r="AF82" s="210"/>
    </row>
    <row r="83" spans="1:32">
      <c r="A83" s="115"/>
      <c r="B83" s="115" t="s">
        <v>2</v>
      </c>
      <c r="C83" s="115"/>
      <c r="D83" s="10" t="s">
        <v>77</v>
      </c>
      <c r="E83" s="65">
        <v>7300</v>
      </c>
      <c r="F83" s="131">
        <v>2009.34</v>
      </c>
      <c r="G83" s="131">
        <f t="shared" si="68"/>
        <v>182.66727272727272</v>
      </c>
      <c r="H83" s="247">
        <f t="shared" si="64"/>
        <v>2192.0072727272727</v>
      </c>
      <c r="I83" s="248"/>
      <c r="J83" s="137">
        <f>AC83</f>
        <v>3500</v>
      </c>
      <c r="K83" s="131"/>
      <c r="L83" s="74"/>
      <c r="M83" s="74"/>
      <c r="N83" s="68">
        <v>0</v>
      </c>
      <c r="O83" s="68">
        <v>0</v>
      </c>
      <c r="P83" s="68">
        <v>0</v>
      </c>
      <c r="Q83" s="68">
        <v>0</v>
      </c>
      <c r="R83" s="68">
        <v>0</v>
      </c>
      <c r="S83" s="68">
        <v>0</v>
      </c>
      <c r="T83" s="68">
        <v>0</v>
      </c>
      <c r="U83" s="68">
        <v>1000</v>
      </c>
      <c r="V83" s="68">
        <v>1000</v>
      </c>
      <c r="W83" s="68"/>
      <c r="X83" s="68">
        <v>0</v>
      </c>
      <c r="Y83" s="68">
        <v>500</v>
      </c>
      <c r="Z83" s="68">
        <v>500</v>
      </c>
      <c r="AA83" s="68">
        <v>500</v>
      </c>
      <c r="AB83" s="68">
        <v>2000</v>
      </c>
      <c r="AC83" s="224">
        <f t="shared" si="66"/>
        <v>3500</v>
      </c>
      <c r="AD83" s="272">
        <f t="shared" si="67"/>
        <v>3.0786241013166394E-3</v>
      </c>
      <c r="AE83" s="210"/>
      <c r="AF83" s="210" t="s">
        <v>247</v>
      </c>
    </row>
    <row r="84" spans="1:32">
      <c r="A84" s="115"/>
      <c r="B84" s="115" t="s">
        <v>2</v>
      </c>
      <c r="C84" s="115"/>
      <c r="D84" s="10" t="s">
        <v>78</v>
      </c>
      <c r="E84" s="65">
        <v>3000</v>
      </c>
      <c r="F84" s="131">
        <v>5607.8</v>
      </c>
      <c r="G84" s="131">
        <f t="shared" si="68"/>
        <v>509.8</v>
      </c>
      <c r="H84" s="247">
        <f t="shared" si="64"/>
        <v>6117.6</v>
      </c>
      <c r="I84" s="248"/>
      <c r="J84" s="137">
        <f>K84*$J$30</f>
        <v>2273.7429999999999</v>
      </c>
      <c r="K84" s="145">
        <v>2E-3</v>
      </c>
      <c r="L84" s="74"/>
      <c r="M84" s="74"/>
      <c r="N84" s="68">
        <v>0</v>
      </c>
      <c r="O84" s="68">
        <v>0</v>
      </c>
      <c r="P84" s="68">
        <v>0</v>
      </c>
      <c r="Q84" s="68">
        <v>0</v>
      </c>
      <c r="R84" s="68">
        <v>0</v>
      </c>
      <c r="S84" s="68">
        <v>0</v>
      </c>
      <c r="T84" s="68">
        <v>0</v>
      </c>
      <c r="U84" s="88">
        <v>8500</v>
      </c>
      <c r="V84" s="88">
        <v>8500</v>
      </c>
      <c r="W84" s="68"/>
      <c r="X84" s="68">
        <v>0</v>
      </c>
      <c r="Y84" s="68">
        <v>0</v>
      </c>
      <c r="Z84" s="68">
        <f>$K$84*Z30</f>
        <v>475.11</v>
      </c>
      <c r="AA84" s="68">
        <f>$K$84*AA30</f>
        <v>542.98400000000004</v>
      </c>
      <c r="AB84" s="68">
        <f>$K$84*AB30</f>
        <v>542.98400000000004</v>
      </c>
      <c r="AC84" s="224">
        <f t="shared" si="66"/>
        <v>1561.078</v>
      </c>
      <c r="AD84" s="272">
        <f t="shared" si="67"/>
        <v>1.3731349585243363E-3</v>
      </c>
      <c r="AE84" s="210"/>
      <c r="AF84" s="210" t="s">
        <v>271</v>
      </c>
    </row>
    <row r="85" spans="1:32">
      <c r="A85" s="115"/>
      <c r="B85" s="115"/>
      <c r="C85" s="115"/>
      <c r="D85" s="10" t="s">
        <v>79</v>
      </c>
      <c r="E85" s="65">
        <f>9500+9500+5000</f>
        <v>24000</v>
      </c>
      <c r="F85" s="131"/>
      <c r="G85" s="131">
        <f t="shared" si="68"/>
        <v>0</v>
      </c>
      <c r="H85" s="247">
        <f t="shared" si="64"/>
        <v>0</v>
      </c>
      <c r="I85" s="248"/>
      <c r="J85" s="137">
        <f>K85*$J$30</f>
        <v>3410.6145000000001</v>
      </c>
      <c r="K85" s="145">
        <v>3.0000000000000001E-3</v>
      </c>
      <c r="L85" s="74"/>
      <c r="M85" s="74"/>
      <c r="N85" s="68"/>
      <c r="O85" s="68"/>
      <c r="P85" s="68"/>
      <c r="Q85" s="68"/>
      <c r="R85" s="68"/>
      <c r="S85" s="68"/>
      <c r="T85" s="68"/>
      <c r="U85" s="68"/>
      <c r="V85" s="68">
        <f>$K$85*V30</f>
        <v>0</v>
      </c>
      <c r="W85" s="68"/>
      <c r="X85" s="68">
        <v>0</v>
      </c>
      <c r="Y85" s="68">
        <v>0</v>
      </c>
      <c r="Z85" s="68">
        <f>$K$85*Z30</f>
        <v>712.66499999999996</v>
      </c>
      <c r="AA85" s="68">
        <f>$K$85*AA30</f>
        <v>814.476</v>
      </c>
      <c r="AB85" s="68">
        <f>$K$85*AB30</f>
        <v>814.476</v>
      </c>
      <c r="AC85" s="224">
        <f t="shared" si="66"/>
        <v>2341.6170000000002</v>
      </c>
      <c r="AD85" s="272">
        <f t="shared" si="67"/>
        <v>2.0597024377865046E-3</v>
      </c>
      <c r="AE85" s="210"/>
      <c r="AF85" s="210" t="s">
        <v>271</v>
      </c>
    </row>
    <row r="86" spans="1:32">
      <c r="A86" s="115"/>
      <c r="B86" s="115" t="s">
        <v>272</v>
      </c>
      <c r="C86" s="115"/>
      <c r="D86" s="10" t="s">
        <v>80</v>
      </c>
      <c r="E86" s="65"/>
      <c r="F86" s="131"/>
      <c r="G86" s="131">
        <f t="shared" si="68"/>
        <v>0</v>
      </c>
      <c r="H86" s="247">
        <f t="shared" si="64"/>
        <v>0</v>
      </c>
      <c r="I86" s="248"/>
      <c r="J86" s="137">
        <f t="shared" ref="J86:J95" si="71">H86*1.03</f>
        <v>0</v>
      </c>
      <c r="K86" s="131"/>
      <c r="L86" s="74"/>
      <c r="M86" s="74"/>
      <c r="N86" s="68">
        <f t="shared" ref="N86:AB95" si="72">$J86/13</f>
        <v>0</v>
      </c>
      <c r="O86" s="68">
        <f t="shared" si="72"/>
        <v>0</v>
      </c>
      <c r="P86" s="68">
        <f t="shared" si="72"/>
        <v>0</v>
      </c>
      <c r="Q86" s="68">
        <f t="shared" si="72"/>
        <v>0</v>
      </c>
      <c r="R86" s="68">
        <f t="shared" si="72"/>
        <v>0</v>
      </c>
      <c r="S86" s="68">
        <f t="shared" si="72"/>
        <v>0</v>
      </c>
      <c r="T86" s="68">
        <f t="shared" si="72"/>
        <v>0</v>
      </c>
      <c r="U86" s="68">
        <f t="shared" si="72"/>
        <v>0</v>
      </c>
      <c r="V86" s="68">
        <f t="shared" si="72"/>
        <v>0</v>
      </c>
      <c r="W86" s="68"/>
      <c r="X86" s="68">
        <f t="shared" si="72"/>
        <v>0</v>
      </c>
      <c r="Y86" s="68">
        <f t="shared" si="72"/>
        <v>0</v>
      </c>
      <c r="Z86" s="68">
        <f t="shared" si="72"/>
        <v>0</v>
      </c>
      <c r="AA86" s="68">
        <f t="shared" si="72"/>
        <v>0</v>
      </c>
      <c r="AB86" s="68">
        <f t="shared" si="72"/>
        <v>0</v>
      </c>
      <c r="AC86" s="224">
        <f t="shared" si="66"/>
        <v>0</v>
      </c>
      <c r="AD86" s="272">
        <f t="shared" si="67"/>
        <v>0</v>
      </c>
      <c r="AE86" s="210"/>
      <c r="AF86" s="210" t="s">
        <v>271</v>
      </c>
    </row>
    <row r="87" spans="1:32">
      <c r="A87" s="115" t="s">
        <v>2</v>
      </c>
      <c r="B87" s="115" t="s">
        <v>2</v>
      </c>
      <c r="C87" s="115"/>
      <c r="D87" s="61" t="s">
        <v>81</v>
      </c>
      <c r="E87" s="65"/>
      <c r="F87" s="131">
        <v>7178.81</v>
      </c>
      <c r="G87" s="131">
        <f t="shared" si="68"/>
        <v>652.61909090909091</v>
      </c>
      <c r="H87" s="247">
        <f t="shared" si="64"/>
        <v>7831.4290909090914</v>
      </c>
      <c r="I87" s="163">
        <f>H87/$H$30</f>
        <v>2.4498543038790036E-3</v>
      </c>
      <c r="J87" s="137">
        <f>K87*J30</f>
        <v>10231.843499999999</v>
      </c>
      <c r="K87" s="163">
        <v>8.9999999999999993E-3</v>
      </c>
      <c r="L87" s="74"/>
      <c r="M87" s="74"/>
      <c r="N87" s="68">
        <f t="shared" ref="N87:T87" si="73">0.0025*N30</f>
        <v>0</v>
      </c>
      <c r="O87" s="68">
        <f t="shared" si="73"/>
        <v>0</v>
      </c>
      <c r="P87" s="68">
        <f t="shared" si="73"/>
        <v>0</v>
      </c>
      <c r="Q87" s="68">
        <f t="shared" si="73"/>
        <v>0</v>
      </c>
      <c r="R87" s="68">
        <f t="shared" si="73"/>
        <v>0</v>
      </c>
      <c r="S87" s="68">
        <f t="shared" si="73"/>
        <v>0</v>
      </c>
      <c r="T87" s="68">
        <f t="shared" si="73"/>
        <v>0</v>
      </c>
      <c r="U87" s="68">
        <v>1250</v>
      </c>
      <c r="V87" s="68">
        <v>1250</v>
      </c>
      <c r="W87" s="68"/>
      <c r="X87" s="68">
        <f>0.009*X30</f>
        <v>1068.9974999999999</v>
      </c>
      <c r="Y87" s="68">
        <f>0.009*Y30</f>
        <v>2137.9949999999999</v>
      </c>
      <c r="Z87" s="68">
        <f>0.009*Z30</f>
        <v>2137.9949999999999</v>
      </c>
      <c r="AA87" s="68">
        <f>0.009*AA30</f>
        <v>2443.4279999999999</v>
      </c>
      <c r="AB87" s="68">
        <f>0.009*AB30</f>
        <v>2443.4279999999999</v>
      </c>
      <c r="AC87" s="224">
        <f t="shared" si="66"/>
        <v>10231.843499999999</v>
      </c>
      <c r="AD87" s="272">
        <f>AC87/AC$30</f>
        <v>8.9999999999999993E-3</v>
      </c>
      <c r="AE87" s="210"/>
      <c r="AF87" s="210" t="s">
        <v>247</v>
      </c>
    </row>
    <row r="88" spans="1:32">
      <c r="A88" s="115"/>
      <c r="B88" s="115"/>
      <c r="C88" s="115"/>
      <c r="D88" s="61" t="s">
        <v>82</v>
      </c>
      <c r="E88" s="65"/>
      <c r="F88" s="131">
        <v>11585.96</v>
      </c>
      <c r="G88" s="131">
        <f t="shared" si="68"/>
        <v>1053.2690909090909</v>
      </c>
      <c r="H88" s="247">
        <f t="shared" si="64"/>
        <v>12639.22909090909</v>
      </c>
      <c r="I88" s="163">
        <f>H88/$H$30</f>
        <v>3.9538466640808125E-3</v>
      </c>
      <c r="J88" s="137">
        <v>0</v>
      </c>
      <c r="K88" s="163">
        <v>4.0000000000000001E-3</v>
      </c>
      <c r="L88" s="74"/>
      <c r="M88" s="74"/>
      <c r="N88" s="68">
        <v>0</v>
      </c>
      <c r="O88" s="68">
        <v>0</v>
      </c>
      <c r="P88" s="68">
        <v>0</v>
      </c>
      <c r="Q88" s="68">
        <v>0</v>
      </c>
      <c r="R88" s="68">
        <v>0</v>
      </c>
      <c r="S88" s="68">
        <v>0</v>
      </c>
      <c r="T88" s="68">
        <v>0</v>
      </c>
      <c r="U88" s="68">
        <v>0</v>
      </c>
      <c r="V88" s="68"/>
      <c r="W88" s="68"/>
      <c r="X88" s="68"/>
      <c r="Y88" s="68"/>
      <c r="Z88" s="68"/>
      <c r="AA88" s="68"/>
      <c r="AB88" s="68"/>
      <c r="AC88" s="224">
        <f t="shared" si="66"/>
        <v>0</v>
      </c>
      <c r="AD88" s="272">
        <f t="shared" ref="AD88:AD96" si="74">AC88/AC$30</f>
        <v>0</v>
      </c>
      <c r="AE88" s="210"/>
      <c r="AF88" s="210"/>
    </row>
    <row r="89" spans="1:32">
      <c r="A89" s="115" t="s">
        <v>2</v>
      </c>
      <c r="B89" s="115" t="s">
        <v>273</v>
      </c>
      <c r="C89" s="115"/>
      <c r="D89" s="10" t="s">
        <v>274</v>
      </c>
      <c r="E89" s="65"/>
      <c r="F89" s="131"/>
      <c r="G89" s="131">
        <f t="shared" si="68"/>
        <v>0</v>
      </c>
      <c r="H89" s="247">
        <f t="shared" si="64"/>
        <v>0</v>
      </c>
      <c r="I89" s="163" t="s">
        <v>2</v>
      </c>
      <c r="J89" s="137">
        <f>AC89</f>
        <v>1653.8461538461538</v>
      </c>
      <c r="K89" s="164"/>
      <c r="L89" s="74"/>
      <c r="M89" s="74"/>
      <c r="N89" s="68">
        <v>0</v>
      </c>
      <c r="O89" s="68">
        <v>0</v>
      </c>
      <c r="P89" s="68">
        <v>0</v>
      </c>
      <c r="Q89" s="68">
        <v>0</v>
      </c>
      <c r="R89" s="68">
        <v>0</v>
      </c>
      <c r="S89" s="68">
        <v>0</v>
      </c>
      <c r="T89" s="68">
        <v>0</v>
      </c>
      <c r="U89" s="68">
        <v>4000</v>
      </c>
      <c r="V89" s="88">
        <v>1000</v>
      </c>
      <c r="W89" s="68"/>
      <c r="X89" s="68">
        <f>4300/13</f>
        <v>330.76923076923077</v>
      </c>
      <c r="Y89" s="68">
        <f t="shared" ref="Y89:Z89" si="75">4300/13</f>
        <v>330.76923076923077</v>
      </c>
      <c r="Z89" s="68">
        <f t="shared" si="75"/>
        <v>330.76923076923077</v>
      </c>
      <c r="AA89" s="68">
        <f>4300/13</f>
        <v>330.76923076923077</v>
      </c>
      <c r="AB89" s="68">
        <f>4300/13</f>
        <v>330.76923076923077</v>
      </c>
      <c r="AC89" s="224">
        <f t="shared" si="66"/>
        <v>1653.8461538461538</v>
      </c>
      <c r="AD89" s="272">
        <f t="shared" si="74"/>
        <v>1.4547344654573132E-3</v>
      </c>
      <c r="AE89" s="210"/>
      <c r="AF89" s="210" t="s">
        <v>247</v>
      </c>
    </row>
    <row r="90" spans="1:32">
      <c r="A90" s="115"/>
      <c r="B90" s="115" t="s">
        <v>275</v>
      </c>
      <c r="C90" s="115"/>
      <c r="D90" s="10" t="s">
        <v>86</v>
      </c>
      <c r="E90" s="65">
        <v>2500</v>
      </c>
      <c r="F90" s="131">
        <v>32165</v>
      </c>
      <c r="G90" s="131">
        <f t="shared" si="68"/>
        <v>2924.090909090909</v>
      </c>
      <c r="H90" s="247">
        <f t="shared" si="64"/>
        <v>35089.090909090912</v>
      </c>
      <c r="I90" s="163">
        <f>H90/$H$30</f>
        <v>1.0976688850139251E-2</v>
      </c>
      <c r="J90" s="137">
        <f>I90*J30</f>
        <v>12479.084718091086</v>
      </c>
      <c r="K90" s="163">
        <f t="shared" ref="K90:K95" si="76">J90/$J$30</f>
        <v>1.0976688850139251E-2</v>
      </c>
      <c r="L90" s="74"/>
      <c r="M90" s="74"/>
      <c r="N90" s="126">
        <f t="shared" ref="N90:T90" si="77">$K$90*N30</f>
        <v>0</v>
      </c>
      <c r="O90" s="126">
        <f t="shared" si="77"/>
        <v>0</v>
      </c>
      <c r="P90" s="126">
        <f t="shared" si="77"/>
        <v>0</v>
      </c>
      <c r="Q90" s="126">
        <f t="shared" si="77"/>
        <v>0</v>
      </c>
      <c r="R90" s="126">
        <f t="shared" si="77"/>
        <v>0</v>
      </c>
      <c r="S90" s="126">
        <f t="shared" si="77"/>
        <v>0</v>
      </c>
      <c r="T90" s="126">
        <f t="shared" si="77"/>
        <v>0</v>
      </c>
      <c r="U90" s="131">
        <v>700</v>
      </c>
      <c r="V90" s="131">
        <v>700</v>
      </c>
      <c r="W90" s="126"/>
      <c r="X90" s="126">
        <f>$K$90*X30</f>
        <v>1303.783659897415</v>
      </c>
      <c r="Y90" s="126">
        <f>$K$90*Y30</f>
        <v>2607.5673197948299</v>
      </c>
      <c r="Z90" s="126">
        <f>$K$90*Z30</f>
        <v>2607.5673197948299</v>
      </c>
      <c r="AA90" s="126">
        <f>$K$90*AA30</f>
        <v>2980.0832093020053</v>
      </c>
      <c r="AB90" s="126">
        <f>$K$90*AB30</f>
        <v>2980.0832093020053</v>
      </c>
      <c r="AC90" s="224">
        <f t="shared" si="66"/>
        <v>12479.084718091086</v>
      </c>
      <c r="AD90" s="272">
        <f t="shared" si="74"/>
        <v>1.0976688850139251E-2</v>
      </c>
      <c r="AE90" s="210"/>
      <c r="AF90" s="210" t="s">
        <v>276</v>
      </c>
    </row>
    <row r="91" spans="1:32">
      <c r="A91" s="115"/>
      <c r="B91" s="115" t="s">
        <v>277</v>
      </c>
      <c r="C91" s="115"/>
      <c r="D91" s="10" t="s">
        <v>87</v>
      </c>
      <c r="E91" s="65">
        <v>27000</v>
      </c>
      <c r="F91" s="131">
        <v>5169.87</v>
      </c>
      <c r="G91" s="131">
        <f t="shared" si="68"/>
        <v>469.98818181818183</v>
      </c>
      <c r="H91" s="247">
        <f t="shared" si="64"/>
        <v>5639.8581818181819</v>
      </c>
      <c r="I91" s="248"/>
      <c r="J91" s="137">
        <f>K91*$J$30</f>
        <v>1136.8715</v>
      </c>
      <c r="K91" s="163">
        <v>1E-3</v>
      </c>
      <c r="L91" s="74"/>
      <c r="M91" s="74"/>
      <c r="N91" s="68">
        <v>0</v>
      </c>
      <c r="O91" s="68">
        <v>0</v>
      </c>
      <c r="P91" s="68">
        <v>0</v>
      </c>
      <c r="Q91" s="68">
        <v>0</v>
      </c>
      <c r="R91" s="68">
        <v>0</v>
      </c>
      <c r="S91" s="68">
        <v>0</v>
      </c>
      <c r="T91" s="68">
        <v>0</v>
      </c>
      <c r="U91" s="68">
        <v>0</v>
      </c>
      <c r="V91" s="68">
        <v>2500</v>
      </c>
      <c r="W91" s="68"/>
      <c r="X91" s="68">
        <f>$K$91*X30</f>
        <v>118.7775</v>
      </c>
      <c r="Y91" s="68">
        <f>$K$91*Y30</f>
        <v>237.55500000000001</v>
      </c>
      <c r="Z91" s="68">
        <f>$K$91*Z30</f>
        <v>237.55500000000001</v>
      </c>
      <c r="AA91" s="68">
        <f>$K$91*AA30</f>
        <v>271.49200000000002</v>
      </c>
      <c r="AB91" s="68">
        <f>$K$91*AB30</f>
        <v>271.49200000000002</v>
      </c>
      <c r="AC91" s="224">
        <f t="shared" si="66"/>
        <v>1136.8715</v>
      </c>
      <c r="AD91" s="272">
        <f t="shared" si="74"/>
        <v>1E-3</v>
      </c>
      <c r="AE91" s="210"/>
      <c r="AF91" s="210" t="s">
        <v>247</v>
      </c>
    </row>
    <row r="92" spans="1:32">
      <c r="A92" s="115"/>
      <c r="B92" s="115" t="s">
        <v>278</v>
      </c>
      <c r="C92" s="115"/>
      <c r="D92" s="10" t="s">
        <v>88</v>
      </c>
      <c r="E92" s="65">
        <v>56000</v>
      </c>
      <c r="F92" s="131">
        <v>19592.14</v>
      </c>
      <c r="G92" s="131">
        <f t="shared" si="68"/>
        <v>1781.1036363636363</v>
      </c>
      <c r="H92" s="247">
        <f t="shared" si="64"/>
        <v>21373.243636363637</v>
      </c>
      <c r="I92" s="163">
        <f>H92/$H$30</f>
        <v>6.6860508219607406E-3</v>
      </c>
      <c r="J92" s="137">
        <f>K92*$J$30</f>
        <v>11368.715</v>
      </c>
      <c r="K92" s="163">
        <v>0.01</v>
      </c>
      <c r="L92" s="74"/>
      <c r="M92" s="74"/>
      <c r="N92" s="68">
        <f t="shared" ref="N92:T92" si="78">$K$92*N30</f>
        <v>0</v>
      </c>
      <c r="O92" s="68">
        <f t="shared" si="78"/>
        <v>0</v>
      </c>
      <c r="P92" s="68">
        <f t="shared" si="78"/>
        <v>0</v>
      </c>
      <c r="Q92" s="68">
        <f t="shared" si="78"/>
        <v>0</v>
      </c>
      <c r="R92" s="68">
        <f t="shared" si="78"/>
        <v>0</v>
      </c>
      <c r="S92" s="68">
        <f t="shared" si="78"/>
        <v>0</v>
      </c>
      <c r="T92" s="68">
        <f t="shared" si="78"/>
        <v>0</v>
      </c>
      <c r="U92" s="68">
        <v>1250</v>
      </c>
      <c r="V92" s="68">
        <v>2500</v>
      </c>
      <c r="W92" s="68"/>
      <c r="X92" s="68">
        <f>$K$92*X30</f>
        <v>1187.7750000000001</v>
      </c>
      <c r="Y92" s="68">
        <f>$K$92*Y30</f>
        <v>2375.5500000000002</v>
      </c>
      <c r="Z92" s="68">
        <f>$K$92*Z30</f>
        <v>2375.5500000000002</v>
      </c>
      <c r="AA92" s="68">
        <f>$K$92*AA30</f>
        <v>2714.92</v>
      </c>
      <c r="AB92" s="68">
        <f>$K$92*AB30</f>
        <v>2714.92</v>
      </c>
      <c r="AC92" s="224">
        <f t="shared" si="66"/>
        <v>11368.715</v>
      </c>
      <c r="AD92" s="272">
        <f t="shared" si="74"/>
        <v>0.01</v>
      </c>
      <c r="AE92" s="210"/>
      <c r="AF92" s="210" t="s">
        <v>279</v>
      </c>
    </row>
    <row r="93" spans="1:32">
      <c r="A93" s="115"/>
      <c r="B93" s="115"/>
      <c r="C93" s="115"/>
      <c r="D93" s="10" t="s">
        <v>89</v>
      </c>
      <c r="E93" s="65"/>
      <c r="F93" s="131"/>
      <c r="G93" s="131">
        <f t="shared" si="68"/>
        <v>0</v>
      </c>
      <c r="H93" s="247">
        <f t="shared" si="64"/>
        <v>0</v>
      </c>
      <c r="I93" s="248"/>
      <c r="J93" s="137">
        <f>AC93</f>
        <v>1153.8461538461538</v>
      </c>
      <c r="K93" s="163">
        <f>J93/$J$30</f>
        <v>1.0149310224120789E-3</v>
      </c>
      <c r="L93" s="74"/>
      <c r="M93" s="74"/>
      <c r="N93" s="68">
        <v>0</v>
      </c>
      <c r="O93" s="68">
        <v>0</v>
      </c>
      <c r="P93" s="68">
        <v>0</v>
      </c>
      <c r="Q93" s="68">
        <v>0</v>
      </c>
      <c r="R93" s="68">
        <v>0</v>
      </c>
      <c r="S93" s="68">
        <v>0</v>
      </c>
      <c r="T93" s="68">
        <v>0</v>
      </c>
      <c r="U93" s="68">
        <v>0</v>
      </c>
      <c r="V93" s="68"/>
      <c r="W93" s="68"/>
      <c r="X93" s="68">
        <f>3000/13</f>
        <v>230.76923076923077</v>
      </c>
      <c r="Y93" s="68">
        <f t="shared" ref="Y93:AB93" si="79">3000/13</f>
        <v>230.76923076923077</v>
      </c>
      <c r="Z93" s="68">
        <f t="shared" si="79"/>
        <v>230.76923076923077</v>
      </c>
      <c r="AA93" s="68">
        <f t="shared" si="79"/>
        <v>230.76923076923077</v>
      </c>
      <c r="AB93" s="68">
        <f t="shared" si="79"/>
        <v>230.76923076923077</v>
      </c>
      <c r="AC93" s="224">
        <f t="shared" si="66"/>
        <v>1153.8461538461538</v>
      </c>
      <c r="AD93" s="272">
        <f t="shared" si="74"/>
        <v>1.0149310224120789E-3</v>
      </c>
      <c r="AE93" s="210"/>
      <c r="AF93" s="210" t="s">
        <v>247</v>
      </c>
    </row>
    <row r="94" spans="1:32">
      <c r="A94" s="115"/>
      <c r="B94" s="115" t="s">
        <v>280</v>
      </c>
      <c r="C94" s="115"/>
      <c r="D94" s="10" t="s">
        <v>90</v>
      </c>
      <c r="E94" s="65">
        <v>5200</v>
      </c>
      <c r="F94" s="131">
        <v>4141.8100000000004</v>
      </c>
      <c r="G94" s="131">
        <f t="shared" si="68"/>
        <v>376.52818181818185</v>
      </c>
      <c r="H94" s="247">
        <f t="shared" si="64"/>
        <v>4518.3381818181824</v>
      </c>
      <c r="I94" s="248"/>
      <c r="J94" s="137">
        <f>AC94</f>
        <v>1825</v>
      </c>
      <c r="K94" s="163">
        <f t="shared" si="76"/>
        <v>1.6052825671151049E-3</v>
      </c>
      <c r="L94" s="74"/>
      <c r="M94" s="74"/>
      <c r="N94" s="68">
        <v>0</v>
      </c>
      <c r="O94" s="68">
        <v>0</v>
      </c>
      <c r="P94" s="68">
        <v>0</v>
      </c>
      <c r="Q94" s="68">
        <v>0</v>
      </c>
      <c r="R94" s="68">
        <v>0</v>
      </c>
      <c r="S94" s="68">
        <v>0</v>
      </c>
      <c r="T94" s="68">
        <v>364</v>
      </c>
      <c r="U94" s="68">
        <v>364</v>
      </c>
      <c r="V94" s="68">
        <v>364</v>
      </c>
      <c r="W94" s="68"/>
      <c r="X94" s="88">
        <v>365</v>
      </c>
      <c r="Y94" s="88">
        <v>365</v>
      </c>
      <c r="Z94" s="88">
        <v>365</v>
      </c>
      <c r="AA94" s="88">
        <v>365</v>
      </c>
      <c r="AB94" s="88">
        <v>365</v>
      </c>
      <c r="AC94" s="224">
        <f t="shared" si="66"/>
        <v>1825</v>
      </c>
      <c r="AD94" s="272">
        <f t="shared" si="74"/>
        <v>1.6052825671151049E-3</v>
      </c>
      <c r="AE94" s="210"/>
      <c r="AF94" s="210" t="s">
        <v>247</v>
      </c>
    </row>
    <row r="95" spans="1:32">
      <c r="A95" s="115"/>
      <c r="B95" s="115"/>
      <c r="C95" s="115"/>
      <c r="D95" s="10" t="s">
        <v>91</v>
      </c>
      <c r="E95" s="65"/>
      <c r="F95" s="131"/>
      <c r="G95" s="131">
        <f t="shared" si="68"/>
        <v>0</v>
      </c>
      <c r="H95" s="247">
        <f t="shared" si="64"/>
        <v>0</v>
      </c>
      <c r="I95" s="248"/>
      <c r="J95" s="137">
        <f t="shared" si="71"/>
        <v>0</v>
      </c>
      <c r="K95" s="163">
        <f t="shared" si="76"/>
        <v>0</v>
      </c>
      <c r="L95" s="74"/>
      <c r="M95" s="74"/>
      <c r="N95" s="68">
        <f t="shared" si="72"/>
        <v>0</v>
      </c>
      <c r="O95" s="68">
        <f t="shared" si="72"/>
        <v>0</v>
      </c>
      <c r="P95" s="68">
        <f t="shared" si="72"/>
        <v>0</v>
      </c>
      <c r="Q95" s="68">
        <f t="shared" si="72"/>
        <v>0</v>
      </c>
      <c r="R95" s="68">
        <f t="shared" si="72"/>
        <v>0</v>
      </c>
      <c r="S95" s="68">
        <f t="shared" si="72"/>
        <v>0</v>
      </c>
      <c r="T95" s="68"/>
      <c r="U95" s="68">
        <f t="shared" si="72"/>
        <v>0</v>
      </c>
      <c r="V95" s="68">
        <f t="shared" si="72"/>
        <v>0</v>
      </c>
      <c r="W95" s="68"/>
      <c r="X95" s="68">
        <f t="shared" si="72"/>
        <v>0</v>
      </c>
      <c r="Y95" s="68">
        <f t="shared" si="72"/>
        <v>0</v>
      </c>
      <c r="Z95" s="68">
        <f t="shared" si="72"/>
        <v>0</v>
      </c>
      <c r="AA95" s="68">
        <f t="shared" si="72"/>
        <v>0</v>
      </c>
      <c r="AB95" s="68">
        <f t="shared" si="72"/>
        <v>0</v>
      </c>
      <c r="AC95" s="224">
        <f t="shared" si="66"/>
        <v>0</v>
      </c>
      <c r="AD95" s="272">
        <f t="shared" si="74"/>
        <v>0</v>
      </c>
      <c r="AE95" s="210"/>
      <c r="AF95" s="210"/>
    </row>
    <row r="96" spans="1:32">
      <c r="A96" s="115"/>
      <c r="B96" s="115" t="s">
        <v>281</v>
      </c>
      <c r="C96" s="115"/>
      <c r="D96" s="10" t="s">
        <v>92</v>
      </c>
      <c r="E96" s="130"/>
      <c r="F96" s="131">
        <v>2016.12</v>
      </c>
      <c r="G96" s="131">
        <f t="shared" si="68"/>
        <v>183.28363636363636</v>
      </c>
      <c r="H96" s="247">
        <f t="shared" si="64"/>
        <v>2199.4036363636365</v>
      </c>
      <c r="I96" s="248"/>
      <c r="J96" s="137">
        <f>K96*J30</f>
        <v>2273.7429999999999</v>
      </c>
      <c r="K96" s="163">
        <v>2E-3</v>
      </c>
      <c r="L96" s="136"/>
      <c r="M96" s="136"/>
      <c r="N96" s="68">
        <v>0</v>
      </c>
      <c r="O96" s="68">
        <v>0</v>
      </c>
      <c r="P96" s="68">
        <v>0</v>
      </c>
      <c r="Q96" s="68">
        <v>0</v>
      </c>
      <c r="R96" s="68">
        <v>0</v>
      </c>
      <c r="S96" s="68">
        <v>0</v>
      </c>
      <c r="T96" s="68">
        <v>0</v>
      </c>
      <c r="U96" s="68">
        <v>0</v>
      </c>
      <c r="V96" s="68">
        <v>2500</v>
      </c>
      <c r="W96" s="68"/>
      <c r="X96" s="68">
        <f>$K$96*X30</f>
        <v>237.55500000000001</v>
      </c>
      <c r="Y96" s="68">
        <f>$K$96*Y30</f>
        <v>475.11</v>
      </c>
      <c r="Z96" s="68">
        <f>$K$96*Z30</f>
        <v>475.11</v>
      </c>
      <c r="AA96" s="68">
        <f>$K$96*AA30</f>
        <v>542.98400000000004</v>
      </c>
      <c r="AB96" s="68">
        <f>$K$96*AB30</f>
        <v>542.98400000000004</v>
      </c>
      <c r="AC96" s="224">
        <f t="shared" si="66"/>
        <v>2273.7429999999999</v>
      </c>
      <c r="AD96" s="272">
        <f t="shared" si="74"/>
        <v>2E-3</v>
      </c>
      <c r="AE96" s="210"/>
      <c r="AF96" s="210" t="s">
        <v>282</v>
      </c>
    </row>
    <row r="97" spans="1:34" s="3" customFormat="1" ht="17.100000000000001" thickBot="1">
      <c r="A97" s="115"/>
      <c r="B97" s="115"/>
      <c r="C97" s="115"/>
      <c r="D97" s="165" t="s">
        <v>93</v>
      </c>
      <c r="E97" s="157"/>
      <c r="F97" s="141">
        <f>SUM(F78:F96)</f>
        <v>103601.85999999999</v>
      </c>
      <c r="G97" s="141">
        <f>SUM(G78:G96)</f>
        <v>9418.3509090909083</v>
      </c>
      <c r="H97" s="141">
        <f>SUM(H78:H96)</f>
        <v>113020.21090909092</v>
      </c>
      <c r="I97" s="265">
        <f t="shared" ref="I97" si="80">H97/$J$30</f>
        <v>9.9413355783033452E-2</v>
      </c>
      <c r="J97" s="141">
        <f>SUM(J78:J96)</f>
        <v>60462.307525783399</v>
      </c>
      <c r="K97" s="266">
        <f>J97/$J$30</f>
        <v>5.3183062048598628E-2</v>
      </c>
      <c r="L97" s="157"/>
      <c r="M97" s="157">
        <v>207352</v>
      </c>
      <c r="N97" s="69">
        <f t="shared" ref="N97:V97" si="81">SUM(N78:N96)</f>
        <v>0</v>
      </c>
      <c r="O97" s="69">
        <f t="shared" si="81"/>
        <v>0</v>
      </c>
      <c r="P97" s="69">
        <f t="shared" si="81"/>
        <v>0</v>
      </c>
      <c r="Q97" s="69">
        <f t="shared" si="81"/>
        <v>0</v>
      </c>
      <c r="R97" s="69">
        <f t="shared" si="81"/>
        <v>0</v>
      </c>
      <c r="S97" s="69">
        <f t="shared" si="81"/>
        <v>0</v>
      </c>
      <c r="T97" s="69">
        <f t="shared" si="81"/>
        <v>1725</v>
      </c>
      <c r="U97" s="69">
        <f t="shared" si="81"/>
        <v>19025</v>
      </c>
      <c r="V97" s="69">
        <f t="shared" si="81"/>
        <v>21595</v>
      </c>
      <c r="W97" s="69"/>
      <c r="X97" s="69">
        <f t="shared" ref="X97:AC97" si="82">SUM(X78:X96)</f>
        <v>6566.8117368204912</v>
      </c>
      <c r="Y97" s="69">
        <f t="shared" si="82"/>
        <v>11663.700396717908</v>
      </c>
      <c r="Z97" s="69">
        <f t="shared" si="82"/>
        <v>12851.475396717906</v>
      </c>
      <c r="AA97" s="69">
        <f t="shared" si="82"/>
        <v>14140.290286225081</v>
      </c>
      <c r="AB97" s="69">
        <f t="shared" si="82"/>
        <v>15640.290286225083</v>
      </c>
      <c r="AC97" s="67">
        <f t="shared" si="82"/>
        <v>60862.568102706471</v>
      </c>
      <c r="AD97" s="273">
        <f>AC97/AC30</f>
        <v>5.3535134008290707E-2</v>
      </c>
      <c r="AE97" s="3" t="s">
        <v>246</v>
      </c>
      <c r="AH97" s="118">
        <f>SUM(X97:AB97)</f>
        <v>60862.568102706471</v>
      </c>
    </row>
    <row r="98" spans="1:34" ht="17.100000000000001" thickTop="1">
      <c r="A98" s="115"/>
      <c r="B98" s="115"/>
      <c r="C98" s="115"/>
      <c r="D98" s="10"/>
      <c r="E98" s="130"/>
      <c r="F98" s="131"/>
      <c r="G98" s="132"/>
      <c r="H98" s="133"/>
      <c r="I98" s="134"/>
      <c r="J98" s="133"/>
      <c r="K98" s="132"/>
      <c r="L98" s="136"/>
      <c r="M98" s="136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210"/>
      <c r="AD98" s="210"/>
      <c r="AE98" s="210"/>
      <c r="AF98" s="210"/>
      <c r="AG98" s="210"/>
      <c r="AH98" s="210"/>
    </row>
    <row r="99" spans="1:34">
      <c r="A99" s="115"/>
      <c r="B99" s="115"/>
      <c r="C99" s="115"/>
      <c r="D99" s="9" t="s">
        <v>94</v>
      </c>
      <c r="E99" s="130"/>
      <c r="F99" s="131"/>
      <c r="G99" s="132"/>
      <c r="H99" s="133"/>
      <c r="I99" s="134"/>
      <c r="J99" s="133"/>
      <c r="K99" s="132"/>
      <c r="L99" s="136"/>
      <c r="M99" s="136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210"/>
      <c r="AD99" s="210"/>
      <c r="AE99" s="210"/>
      <c r="AF99" s="210"/>
      <c r="AG99" s="210"/>
      <c r="AH99" s="210"/>
    </row>
    <row r="100" spans="1:34">
      <c r="A100" s="115"/>
      <c r="B100" s="115"/>
      <c r="C100" s="115"/>
      <c r="D100" s="10" t="s">
        <v>283</v>
      </c>
      <c r="E100" s="130"/>
      <c r="F100" s="131"/>
      <c r="G100" s="132"/>
      <c r="H100" s="133"/>
      <c r="I100" s="134"/>
      <c r="J100" s="133"/>
      <c r="K100" s="132"/>
      <c r="L100" s="136"/>
      <c r="M100" s="136"/>
      <c r="N100" s="68"/>
      <c r="O100" s="68"/>
      <c r="P100" s="68"/>
      <c r="Q100" s="68"/>
      <c r="R100" s="68"/>
      <c r="S100" s="68"/>
      <c r="T100" s="68"/>
      <c r="U100" s="68"/>
      <c r="V100" s="68">
        <v>2500</v>
      </c>
      <c r="W100" s="68"/>
      <c r="X100" s="68"/>
      <c r="Y100" s="68"/>
      <c r="Z100" s="68"/>
      <c r="AA100" s="68"/>
      <c r="AB100" s="68"/>
      <c r="AC100" s="210"/>
      <c r="AD100" s="210"/>
      <c r="AE100" s="210"/>
      <c r="AF100" s="210"/>
      <c r="AG100" s="210"/>
      <c r="AH100" s="210"/>
    </row>
    <row r="101" spans="1:34">
      <c r="A101" s="115"/>
      <c r="B101" s="115" t="s">
        <v>284</v>
      </c>
      <c r="C101" s="115"/>
      <c r="D101" s="57" t="s">
        <v>285</v>
      </c>
      <c r="E101" s="130"/>
      <c r="F101" s="131">
        <v>1414.57</v>
      </c>
      <c r="G101" s="131">
        <f t="shared" ref="G101:G109" si="83">$F101/11</f>
        <v>128.59727272727272</v>
      </c>
      <c r="H101" s="247">
        <f t="shared" ref="H101:H109" si="84">F101+G101</f>
        <v>1543.1672727272726</v>
      </c>
      <c r="I101" s="248"/>
      <c r="J101" s="137">
        <f>AC101</f>
        <v>7875</v>
      </c>
      <c r="K101" s="132"/>
      <c r="L101" s="136" t="s">
        <v>286</v>
      </c>
      <c r="M101" s="136"/>
      <c r="N101" s="68">
        <v>0</v>
      </c>
      <c r="O101" s="68">
        <v>0</v>
      </c>
      <c r="P101" s="166" t="s">
        <v>287</v>
      </c>
      <c r="Q101" s="166" t="s">
        <v>287</v>
      </c>
      <c r="R101" s="166" t="s">
        <v>287</v>
      </c>
      <c r="S101" s="166" t="s">
        <v>287</v>
      </c>
      <c r="T101" s="166" t="s">
        <v>287</v>
      </c>
      <c r="U101" s="166">
        <v>500</v>
      </c>
      <c r="V101" s="68">
        <v>875</v>
      </c>
      <c r="W101" s="68"/>
      <c r="X101" s="150">
        <f>1750/2</f>
        <v>875</v>
      </c>
      <c r="Y101" s="150">
        <v>1750</v>
      </c>
      <c r="Z101" s="150">
        <v>1750</v>
      </c>
      <c r="AA101" s="150">
        <v>1750</v>
      </c>
      <c r="AB101" s="150">
        <v>1750</v>
      </c>
      <c r="AC101" s="224">
        <f t="shared" ref="AC101:AC104" si="85">SUM(X101:AB101)</f>
        <v>7875</v>
      </c>
      <c r="AD101" s="260">
        <f t="shared" ref="AD101:AD109" si="86">AC101/$AD$30</f>
        <v>6.9269042279624391E-3</v>
      </c>
      <c r="AE101" s="210"/>
      <c r="AF101" s="210" t="s">
        <v>247</v>
      </c>
      <c r="AG101" s="210"/>
      <c r="AH101" s="210"/>
    </row>
    <row r="102" spans="1:34">
      <c r="A102" s="115"/>
      <c r="B102" s="115" t="s">
        <v>288</v>
      </c>
      <c r="C102" s="115"/>
      <c r="D102" s="10" t="s">
        <v>97</v>
      </c>
      <c r="E102" s="65">
        <v>35655</v>
      </c>
      <c r="F102" s="131">
        <v>34000</v>
      </c>
      <c r="G102" s="131">
        <f t="shared" si="83"/>
        <v>3090.909090909091</v>
      </c>
      <c r="H102" s="247">
        <f t="shared" si="84"/>
        <v>37090.909090909088</v>
      </c>
      <c r="I102" s="248"/>
      <c r="J102" s="137">
        <f t="shared" ref="J102:J109" si="87">AC102</f>
        <v>4500</v>
      </c>
      <c r="K102" s="131"/>
      <c r="L102" s="74" t="s">
        <v>289</v>
      </c>
      <c r="M102" s="74"/>
      <c r="N102" s="68">
        <v>0</v>
      </c>
      <c r="O102" s="68">
        <v>0</v>
      </c>
      <c r="P102" s="166" t="s">
        <v>287</v>
      </c>
      <c r="Q102" s="166" t="s">
        <v>287</v>
      </c>
      <c r="R102" s="166" t="s">
        <v>287</v>
      </c>
      <c r="S102" s="166" t="s">
        <v>287</v>
      </c>
      <c r="T102" s="166" t="s">
        <v>287</v>
      </c>
      <c r="U102" s="166">
        <v>2500</v>
      </c>
      <c r="V102" s="68">
        <v>2500</v>
      </c>
      <c r="W102" s="68"/>
      <c r="X102" s="88">
        <v>1500</v>
      </c>
      <c r="Y102" s="88">
        <v>1500</v>
      </c>
      <c r="Z102" s="88">
        <v>1500</v>
      </c>
      <c r="AA102" s="88">
        <v>0</v>
      </c>
      <c r="AB102" s="88">
        <v>0</v>
      </c>
      <c r="AC102" s="224">
        <f t="shared" si="85"/>
        <v>4500</v>
      </c>
      <c r="AD102" s="260">
        <f t="shared" si="86"/>
        <v>3.9582309874071084E-3</v>
      </c>
      <c r="AE102" s="210"/>
      <c r="AF102" s="210" t="s">
        <v>247</v>
      </c>
      <c r="AG102" s="210"/>
      <c r="AH102" s="210"/>
    </row>
    <row r="103" spans="1:34">
      <c r="A103" s="115" t="s">
        <v>2</v>
      </c>
      <c r="B103" s="115" t="s">
        <v>290</v>
      </c>
      <c r="C103" s="115"/>
      <c r="D103" s="10" t="s">
        <v>98</v>
      </c>
      <c r="E103" s="65"/>
      <c r="F103" s="131">
        <v>15000</v>
      </c>
      <c r="G103" s="131">
        <f t="shared" si="83"/>
        <v>1363.6363636363637</v>
      </c>
      <c r="H103" s="247">
        <f t="shared" si="84"/>
        <v>16363.636363636364</v>
      </c>
      <c r="I103" s="248"/>
      <c r="J103" s="137">
        <f t="shared" si="87"/>
        <v>8100</v>
      </c>
      <c r="K103" s="131"/>
      <c r="L103" s="74" t="s">
        <v>291</v>
      </c>
      <c r="M103" s="74"/>
      <c r="N103" s="68">
        <v>0</v>
      </c>
      <c r="O103" s="68">
        <v>0</v>
      </c>
      <c r="P103" s="166" t="s">
        <v>287</v>
      </c>
      <c r="Q103" s="166" t="s">
        <v>287</v>
      </c>
      <c r="R103" s="166" t="s">
        <v>287</v>
      </c>
      <c r="S103" s="166" t="s">
        <v>287</v>
      </c>
      <c r="T103" s="166" t="s">
        <v>287</v>
      </c>
      <c r="U103" s="166">
        <v>1800</v>
      </c>
      <c r="V103" s="68">
        <v>900</v>
      </c>
      <c r="W103" s="68"/>
      <c r="X103" s="150">
        <v>900</v>
      </c>
      <c r="Y103" s="150">
        <v>1800</v>
      </c>
      <c r="Z103" s="150">
        <v>1800</v>
      </c>
      <c r="AA103" s="150">
        <v>1800</v>
      </c>
      <c r="AB103" s="150">
        <v>1800</v>
      </c>
      <c r="AC103" s="224">
        <f t="shared" si="85"/>
        <v>8100</v>
      </c>
      <c r="AD103" s="260">
        <f t="shared" si="86"/>
        <v>7.1248157773327941E-3</v>
      </c>
      <c r="AE103" s="210"/>
      <c r="AF103" s="210"/>
      <c r="AG103" s="210"/>
      <c r="AH103" s="210"/>
    </row>
    <row r="104" spans="1:34">
      <c r="A104" s="115" t="s">
        <v>292</v>
      </c>
      <c r="B104" s="115" t="s">
        <v>2</v>
      </c>
      <c r="C104" s="115"/>
      <c r="D104" s="10" t="s">
        <v>293</v>
      </c>
      <c r="E104" s="65"/>
      <c r="F104" s="131"/>
      <c r="G104" s="131">
        <f t="shared" si="83"/>
        <v>0</v>
      </c>
      <c r="H104" s="247">
        <f t="shared" si="84"/>
        <v>0</v>
      </c>
      <c r="I104" s="248"/>
      <c r="J104" s="137">
        <f t="shared" si="87"/>
        <v>6750</v>
      </c>
      <c r="K104" s="131"/>
      <c r="L104" s="74" t="s">
        <v>294</v>
      </c>
      <c r="M104" s="74"/>
      <c r="N104" s="68">
        <v>0</v>
      </c>
      <c r="O104" s="68">
        <v>0</v>
      </c>
      <c r="P104" s="166" t="s">
        <v>287</v>
      </c>
      <c r="Q104" s="166" t="s">
        <v>287</v>
      </c>
      <c r="R104" s="166" t="s">
        <v>287</v>
      </c>
      <c r="S104" s="166" t="s">
        <v>287</v>
      </c>
      <c r="T104" s="166" t="s">
        <v>287</v>
      </c>
      <c r="U104" s="166">
        <v>0</v>
      </c>
      <c r="V104" s="68">
        <v>750</v>
      </c>
      <c r="W104" s="68"/>
      <c r="X104" s="88">
        <f>1500/2</f>
        <v>750</v>
      </c>
      <c r="Y104" s="88">
        <v>1500</v>
      </c>
      <c r="Z104" s="88">
        <v>1500</v>
      </c>
      <c r="AA104" s="88">
        <v>1500</v>
      </c>
      <c r="AB104" s="88">
        <v>1500</v>
      </c>
      <c r="AC104" s="224">
        <f t="shared" si="85"/>
        <v>6750</v>
      </c>
      <c r="AD104" s="260">
        <f t="shared" si="86"/>
        <v>5.9373464811106622E-3</v>
      </c>
      <c r="AE104" s="210"/>
      <c r="AF104" s="210"/>
      <c r="AG104" s="210"/>
      <c r="AH104" s="210"/>
    </row>
    <row r="105" spans="1:34">
      <c r="A105" s="115"/>
      <c r="B105" s="115"/>
      <c r="C105" s="115"/>
      <c r="D105" s="10"/>
      <c r="E105" s="65"/>
      <c r="F105" s="131"/>
      <c r="G105" s="131"/>
      <c r="H105" s="247"/>
      <c r="I105" s="248"/>
      <c r="J105" s="137"/>
      <c r="K105" s="131"/>
      <c r="L105" s="74"/>
      <c r="M105" s="74"/>
      <c r="N105" s="68"/>
      <c r="O105" s="68"/>
      <c r="P105" s="166"/>
      <c r="Q105" s="166"/>
      <c r="R105" s="166"/>
      <c r="S105" s="166"/>
      <c r="T105" s="166"/>
      <c r="U105" s="166"/>
      <c r="V105" s="68"/>
      <c r="W105" s="68"/>
      <c r="X105" s="68"/>
      <c r="Y105" s="68"/>
      <c r="Z105" s="68"/>
      <c r="AA105" s="68"/>
      <c r="AB105" s="68"/>
      <c r="AC105" s="118"/>
      <c r="AD105" s="260"/>
      <c r="AE105" s="210"/>
      <c r="AF105" s="210"/>
      <c r="AG105" s="210"/>
      <c r="AH105" s="210"/>
    </row>
    <row r="106" spans="1:34">
      <c r="A106" s="115"/>
      <c r="B106" s="115"/>
      <c r="C106" s="115"/>
      <c r="D106" s="10"/>
      <c r="E106" s="65"/>
      <c r="F106" s="131"/>
      <c r="G106" s="131"/>
      <c r="H106" s="247"/>
      <c r="I106" s="248"/>
      <c r="J106" s="137"/>
      <c r="K106" s="131"/>
      <c r="L106" s="74"/>
      <c r="M106" s="74"/>
      <c r="N106" s="68"/>
      <c r="O106" s="68"/>
      <c r="P106" s="166"/>
      <c r="Q106" s="166"/>
      <c r="R106" s="166"/>
      <c r="S106" s="166"/>
      <c r="T106" s="166"/>
      <c r="U106" s="166"/>
      <c r="V106" s="68"/>
      <c r="W106" s="68"/>
      <c r="X106" s="68"/>
      <c r="Y106" s="68"/>
      <c r="Z106" s="68"/>
      <c r="AA106" s="68"/>
      <c r="AB106" s="68"/>
      <c r="AC106" s="118"/>
      <c r="AD106" s="260"/>
      <c r="AE106" s="210"/>
      <c r="AF106" s="210"/>
      <c r="AG106" s="210"/>
      <c r="AH106" s="210"/>
    </row>
    <row r="107" spans="1:34">
      <c r="A107" s="115" t="s">
        <v>295</v>
      </c>
      <c r="B107" s="115" t="s">
        <v>296</v>
      </c>
      <c r="C107" s="115"/>
      <c r="D107" s="10" t="s">
        <v>101</v>
      </c>
      <c r="E107" s="65">
        <v>26000</v>
      </c>
      <c r="F107" s="131">
        <f>14311.56+632.82</f>
        <v>14944.38</v>
      </c>
      <c r="G107" s="131">
        <f t="shared" si="83"/>
        <v>1358.58</v>
      </c>
      <c r="H107" s="247">
        <f t="shared" si="84"/>
        <v>16302.96</v>
      </c>
      <c r="I107" s="248"/>
      <c r="J107" s="137">
        <f t="shared" si="87"/>
        <v>0</v>
      </c>
      <c r="K107" s="131"/>
      <c r="L107" s="74"/>
      <c r="M107" s="74"/>
      <c r="N107" s="68">
        <v>0</v>
      </c>
      <c r="O107" s="68">
        <v>0</v>
      </c>
      <c r="P107" s="166" t="s">
        <v>287</v>
      </c>
      <c r="Q107" s="166" t="s">
        <v>287</v>
      </c>
      <c r="R107" s="166" t="s">
        <v>287</v>
      </c>
      <c r="S107" s="166" t="s">
        <v>287</v>
      </c>
      <c r="T107" s="166" t="s">
        <v>287</v>
      </c>
      <c r="U107" s="166"/>
      <c r="V107" s="68"/>
      <c r="W107" s="68"/>
      <c r="X107" s="68"/>
      <c r="Y107" s="68"/>
      <c r="Z107" s="68"/>
      <c r="AA107" s="68"/>
      <c r="AB107" s="68"/>
      <c r="AC107" s="118">
        <f t="shared" ref="AC107" si="88">SUM(N107:AB107)</f>
        <v>0</v>
      </c>
      <c r="AD107" s="260">
        <f t="shared" si="86"/>
        <v>0</v>
      </c>
      <c r="AE107" s="210"/>
      <c r="AF107" s="210" t="s">
        <v>247</v>
      </c>
      <c r="AG107" s="210"/>
      <c r="AH107" s="210"/>
    </row>
    <row r="108" spans="1:34">
      <c r="A108" s="115" t="s">
        <v>2</v>
      </c>
      <c r="B108" s="115" t="s">
        <v>297</v>
      </c>
      <c r="C108" s="115"/>
      <c r="D108" s="10" t="s">
        <v>102</v>
      </c>
      <c r="E108" s="65">
        <v>1500</v>
      </c>
      <c r="F108" s="131">
        <v>301.04000000000002</v>
      </c>
      <c r="G108" s="131">
        <f t="shared" si="83"/>
        <v>27.367272727272731</v>
      </c>
      <c r="H108" s="247">
        <f t="shared" si="84"/>
        <v>328.40727272727275</v>
      </c>
      <c r="I108" s="248"/>
      <c r="J108" s="137">
        <f t="shared" si="87"/>
        <v>923.07692307692309</v>
      </c>
      <c r="K108" s="131"/>
      <c r="L108" s="74"/>
      <c r="M108" s="74"/>
      <c r="N108" s="68">
        <v>0</v>
      </c>
      <c r="O108" s="68">
        <v>0</v>
      </c>
      <c r="P108" s="166" t="s">
        <v>287</v>
      </c>
      <c r="Q108" s="166" t="s">
        <v>287</v>
      </c>
      <c r="R108" s="166" t="s">
        <v>287</v>
      </c>
      <c r="S108" s="166" t="s">
        <v>287</v>
      </c>
      <c r="T108" s="166" t="s">
        <v>287</v>
      </c>
      <c r="U108" s="166">
        <v>1250</v>
      </c>
      <c r="V108" s="68">
        <v>1250</v>
      </c>
      <c r="W108" s="68"/>
      <c r="X108" s="68">
        <v>0</v>
      </c>
      <c r="Y108" s="68">
        <f t="shared" ref="Y108:AB108" si="89">3000/13</f>
        <v>230.76923076923077</v>
      </c>
      <c r="Z108" s="68">
        <f t="shared" si="89"/>
        <v>230.76923076923077</v>
      </c>
      <c r="AA108" s="68">
        <f t="shared" si="89"/>
        <v>230.76923076923077</v>
      </c>
      <c r="AB108" s="68">
        <f t="shared" si="89"/>
        <v>230.76923076923077</v>
      </c>
      <c r="AC108" s="224">
        <f t="shared" ref="AC108:AC109" si="90">SUM(X108:AB108)</f>
        <v>923.07692307692309</v>
      </c>
      <c r="AD108" s="260">
        <f t="shared" si="86"/>
        <v>8.1194481792966323E-4</v>
      </c>
      <c r="AE108" s="210"/>
      <c r="AF108" s="210" t="s">
        <v>276</v>
      </c>
      <c r="AG108" s="210"/>
      <c r="AH108" s="210"/>
    </row>
    <row r="109" spans="1:34">
      <c r="A109" s="115" t="s">
        <v>2</v>
      </c>
      <c r="B109" s="115" t="s">
        <v>298</v>
      </c>
      <c r="C109" s="115"/>
      <c r="D109" s="10" t="s">
        <v>103</v>
      </c>
      <c r="E109" s="65"/>
      <c r="F109" s="131">
        <v>1279.43</v>
      </c>
      <c r="G109" s="131">
        <f t="shared" si="83"/>
        <v>116.31181818181818</v>
      </c>
      <c r="H109" s="247">
        <f t="shared" si="84"/>
        <v>1395.7418181818182</v>
      </c>
      <c r="I109" s="248"/>
      <c r="J109" s="137">
        <f t="shared" si="87"/>
        <v>461.53846153846155</v>
      </c>
      <c r="K109" s="131"/>
      <c r="L109" s="74"/>
      <c r="M109" s="74"/>
      <c r="N109" s="68">
        <v>0</v>
      </c>
      <c r="O109" s="68">
        <v>0</v>
      </c>
      <c r="P109" s="68" t="s">
        <v>2</v>
      </c>
      <c r="Q109" s="68" t="s">
        <v>2</v>
      </c>
      <c r="R109" s="68" t="s">
        <v>2</v>
      </c>
      <c r="S109" s="68" t="s">
        <v>2</v>
      </c>
      <c r="T109" s="68" t="s">
        <v>2</v>
      </c>
      <c r="U109" s="68" t="s">
        <v>2</v>
      </c>
      <c r="V109" s="68"/>
      <c r="W109" s="68"/>
      <c r="X109" s="68">
        <v>0</v>
      </c>
      <c r="Y109" s="68">
        <f t="shared" ref="Y109:AB109" si="91">1500/13</f>
        <v>115.38461538461539</v>
      </c>
      <c r="Z109" s="68">
        <f t="shared" si="91"/>
        <v>115.38461538461539</v>
      </c>
      <c r="AA109" s="68">
        <f t="shared" si="91"/>
        <v>115.38461538461539</v>
      </c>
      <c r="AB109" s="68">
        <f t="shared" si="91"/>
        <v>115.38461538461539</v>
      </c>
      <c r="AC109" s="224">
        <f t="shared" si="90"/>
        <v>461.53846153846155</v>
      </c>
      <c r="AD109" s="260">
        <f t="shared" si="86"/>
        <v>4.0597240896483161E-4</v>
      </c>
      <c r="AE109" s="210"/>
      <c r="AF109" s="210"/>
      <c r="AG109" s="210"/>
      <c r="AH109" s="210"/>
    </row>
    <row r="110" spans="1:34" s="3" customFormat="1" ht="17.100000000000001" thickBot="1">
      <c r="A110" s="115" t="s">
        <v>2</v>
      </c>
      <c r="B110" s="115" t="s">
        <v>2</v>
      </c>
      <c r="C110" s="115"/>
      <c r="D110" s="11" t="s">
        <v>104</v>
      </c>
      <c r="E110" s="140"/>
      <c r="F110" s="141">
        <f>SUM(F101:F109)</f>
        <v>66939.419999999984</v>
      </c>
      <c r="G110" s="141">
        <f t="shared" ref="G110:J110" si="92">SUM(G101:G109)</f>
        <v>6085.4018181818183</v>
      </c>
      <c r="H110" s="141">
        <f>SUM(H101:H109)</f>
        <v>73024.821818181823</v>
      </c>
      <c r="I110" s="265">
        <f t="shared" ref="I110" si="93">H110/$J$30</f>
        <v>6.4233136126802218E-2</v>
      </c>
      <c r="J110" s="141">
        <f t="shared" si="92"/>
        <v>28609.615384615383</v>
      </c>
      <c r="K110" s="266">
        <f>J110/$J$30</f>
        <v>2.5165214700707497E-2</v>
      </c>
      <c r="L110" s="140"/>
      <c r="M110" s="140">
        <v>88235</v>
      </c>
      <c r="N110" s="69">
        <f>SUM(N101:N109)</f>
        <v>0</v>
      </c>
      <c r="O110" s="69">
        <f t="shared" ref="O110:AB110" si="94">SUM(O101:O109)</f>
        <v>0</v>
      </c>
      <c r="P110" s="69">
        <f t="shared" si="94"/>
        <v>0</v>
      </c>
      <c r="Q110" s="69">
        <f t="shared" si="94"/>
        <v>0</v>
      </c>
      <c r="R110" s="69">
        <f t="shared" si="94"/>
        <v>0</v>
      </c>
      <c r="S110" s="69">
        <f t="shared" si="94"/>
        <v>0</v>
      </c>
      <c r="T110" s="69">
        <f t="shared" si="94"/>
        <v>0</v>
      </c>
      <c r="U110" s="69">
        <f t="shared" si="94"/>
        <v>6050</v>
      </c>
      <c r="V110" s="69">
        <f>SUM(V100:V109)</f>
        <v>8775</v>
      </c>
      <c r="W110" s="69"/>
      <c r="X110" s="69">
        <f t="shared" si="94"/>
        <v>4025</v>
      </c>
      <c r="Y110" s="69">
        <f t="shared" si="94"/>
        <v>6896.1538461538457</v>
      </c>
      <c r="Z110" s="69">
        <f t="shared" si="94"/>
        <v>6896.1538461538457</v>
      </c>
      <c r="AA110" s="69">
        <f t="shared" si="94"/>
        <v>5396.1538461538457</v>
      </c>
      <c r="AB110" s="69">
        <f t="shared" si="94"/>
        <v>5396.1538461538457</v>
      </c>
      <c r="AC110" s="67">
        <f>SUM(AC100:AC109)</f>
        <v>28609.615384615383</v>
      </c>
      <c r="AD110" s="273">
        <f t="shared" ref="AD110" si="95">AC110/$J$30</f>
        <v>2.5165214700707497E-2</v>
      </c>
      <c r="AE110" s="3" t="s">
        <v>246</v>
      </c>
      <c r="AH110" s="118">
        <f>SUM(X110:AB110)</f>
        <v>28609.615384615383</v>
      </c>
    </row>
    <row r="111" spans="1:34" s="3" customFormat="1" ht="17.100000000000001" thickTop="1">
      <c r="A111" s="115" t="s">
        <v>2</v>
      </c>
      <c r="B111" s="115"/>
      <c r="C111" s="115"/>
      <c r="D111" s="9"/>
      <c r="E111" s="142"/>
      <c r="F111" s="126"/>
      <c r="G111" s="126"/>
      <c r="H111" s="127"/>
      <c r="I111" s="161"/>
      <c r="J111" s="127"/>
      <c r="K111" s="126"/>
      <c r="L111" s="142"/>
      <c r="M111" s="142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  <c r="AA111" s="85"/>
      <c r="AB111" s="85"/>
      <c r="AC111" s="86"/>
      <c r="AD111" s="85"/>
    </row>
    <row r="112" spans="1:34" s="3" customFormat="1">
      <c r="A112" s="115" t="s">
        <v>2</v>
      </c>
      <c r="B112" s="115"/>
      <c r="C112" s="115"/>
      <c r="D112" s="9" t="s">
        <v>299</v>
      </c>
      <c r="E112" s="142"/>
      <c r="F112" s="126"/>
      <c r="G112" s="126"/>
      <c r="H112" s="127"/>
      <c r="I112" s="161"/>
      <c r="J112" s="127"/>
      <c r="K112" s="126"/>
      <c r="L112" s="142"/>
      <c r="M112" s="142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  <c r="AA112" s="85"/>
      <c r="AB112" s="85"/>
      <c r="AC112" s="86"/>
      <c r="AD112" s="85"/>
    </row>
    <row r="113" spans="1:34" s="3" customFormat="1">
      <c r="A113" s="115"/>
      <c r="B113" s="115"/>
      <c r="C113" s="115"/>
      <c r="D113" s="12" t="s">
        <v>300</v>
      </c>
      <c r="E113" s="142"/>
      <c r="F113" s="126"/>
      <c r="G113" s="126"/>
      <c r="H113" s="127"/>
      <c r="I113" s="161"/>
      <c r="J113" s="127">
        <f>AC113</f>
        <v>0</v>
      </c>
      <c r="K113" s="126"/>
      <c r="L113" s="142"/>
      <c r="M113" s="142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  <c r="AA113" s="85"/>
      <c r="AB113" s="85"/>
      <c r="AC113" s="86"/>
      <c r="AD113" s="260">
        <f t="shared" ref="AD113:AD116" si="96">AC113/$AC$30</f>
        <v>0</v>
      </c>
    </row>
    <row r="114" spans="1:34" s="3" customFormat="1">
      <c r="A114" s="115"/>
      <c r="B114" s="115"/>
      <c r="C114" s="115"/>
      <c r="D114" s="12" t="s">
        <v>301</v>
      </c>
      <c r="E114" s="142"/>
      <c r="F114" s="126"/>
      <c r="G114" s="126"/>
      <c r="H114" s="127"/>
      <c r="I114" s="161"/>
      <c r="J114" s="127">
        <f t="shared" ref="J114:J116" si="97">AC114</f>
        <v>0</v>
      </c>
      <c r="K114" s="126"/>
      <c r="L114" s="142"/>
      <c r="M114" s="142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  <c r="AA114" s="85"/>
      <c r="AB114" s="85"/>
      <c r="AC114" s="86"/>
      <c r="AD114" s="260">
        <f t="shared" si="96"/>
        <v>0</v>
      </c>
    </row>
    <row r="115" spans="1:34" s="3" customFormat="1">
      <c r="A115" s="115"/>
      <c r="B115" s="115"/>
      <c r="C115" s="115"/>
      <c r="D115" s="12" t="s">
        <v>302</v>
      </c>
      <c r="E115" s="142"/>
      <c r="F115" s="126"/>
      <c r="G115" s="126"/>
      <c r="H115" s="127"/>
      <c r="I115" s="161"/>
      <c r="J115" s="127">
        <f t="shared" si="97"/>
        <v>0</v>
      </c>
      <c r="K115" s="126"/>
      <c r="L115" s="142"/>
      <c r="M115" s="142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  <c r="AA115" s="85"/>
      <c r="AB115" s="85"/>
      <c r="AC115" s="86"/>
      <c r="AD115" s="260">
        <f t="shared" si="96"/>
        <v>0</v>
      </c>
    </row>
    <row r="116" spans="1:34" s="3" customFormat="1">
      <c r="A116" s="115"/>
      <c r="B116" s="115"/>
      <c r="C116" s="115"/>
      <c r="D116" s="12" t="s">
        <v>303</v>
      </c>
      <c r="E116" s="142"/>
      <c r="F116" s="126"/>
      <c r="G116" s="126"/>
      <c r="H116" s="127"/>
      <c r="I116" s="161"/>
      <c r="J116" s="127">
        <f t="shared" si="97"/>
        <v>0</v>
      </c>
      <c r="K116" s="126"/>
      <c r="L116" s="142"/>
      <c r="M116" s="142">
        <v>22500</v>
      </c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  <c r="AA116" s="85"/>
      <c r="AB116" s="85"/>
      <c r="AC116" s="86"/>
      <c r="AD116" s="260">
        <f t="shared" si="96"/>
        <v>0</v>
      </c>
    </row>
    <row r="117" spans="1:34" s="3" customFormat="1">
      <c r="A117" s="115"/>
      <c r="B117" s="115"/>
      <c r="C117" s="115"/>
      <c r="D117" s="14" t="s">
        <v>304</v>
      </c>
      <c r="E117" s="142"/>
      <c r="F117" s="126"/>
      <c r="G117" s="126"/>
      <c r="H117" s="127"/>
      <c r="I117" s="161"/>
      <c r="J117" s="127"/>
      <c r="K117" s="126"/>
      <c r="L117" s="142"/>
      <c r="M117" s="142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72">
        <f>'[1]Incremental Sales'!E10</f>
        <v>142.53299999999999</v>
      </c>
      <c r="Y117" s="72">
        <f>'[1]Incremental Sales'!F10</f>
        <v>285.06599999999997</v>
      </c>
      <c r="Z117" s="72">
        <f>'[1]Incremental Sales'!G10</f>
        <v>285.06599999999997</v>
      </c>
      <c r="AA117" s="72">
        <f>'[1]Incremental Sales'!H10</f>
        <v>325.79039999999998</v>
      </c>
      <c r="AB117" s="72">
        <f>'[1]Incremental Sales'!I10</f>
        <v>325.79039999999998</v>
      </c>
      <c r="AC117" s="224">
        <f t="shared" ref="AC117:AC118" si="98">SUM(X117:AB117)</f>
        <v>1364.2457999999997</v>
      </c>
      <c r="AD117" s="260"/>
    </row>
    <row r="118" spans="1:34" s="3" customFormat="1">
      <c r="A118" s="115" t="s">
        <v>2</v>
      </c>
      <c r="B118" s="115" t="s">
        <v>305</v>
      </c>
      <c r="C118" s="115"/>
      <c r="D118" s="57" t="s">
        <v>306</v>
      </c>
      <c r="E118" s="142"/>
      <c r="F118" s="131">
        <v>9366.9</v>
      </c>
      <c r="G118" s="131">
        <f>$F118/10</f>
        <v>936.68999999999994</v>
      </c>
      <c r="H118" s="247">
        <f>F118+G118</f>
        <v>10303.59</v>
      </c>
      <c r="I118" s="248"/>
      <c r="J118" s="127">
        <f>AC118</f>
        <v>26979.494999999995</v>
      </c>
      <c r="K118" s="126"/>
      <c r="L118" s="142"/>
      <c r="M118" s="142">
        <v>60000</v>
      </c>
      <c r="N118" s="126">
        <v>0</v>
      </c>
      <c r="O118" s="126">
        <v>0</v>
      </c>
      <c r="P118" s="126">
        <v>0</v>
      </c>
      <c r="Q118" s="126">
        <v>0</v>
      </c>
      <c r="R118" s="126">
        <v>0</v>
      </c>
      <c r="S118" s="126">
        <v>0</v>
      </c>
      <c r="T118" s="126">
        <v>0</v>
      </c>
      <c r="U118" s="126">
        <v>0</v>
      </c>
      <c r="V118" s="126">
        <v>0</v>
      </c>
      <c r="W118" s="126"/>
      <c r="X118" s="131">
        <f>'[1]Incremental Sales'!E11</f>
        <v>2137.9949999999999</v>
      </c>
      <c r="Y118" s="131">
        <f>'[1]Incremental Sales'!F11</f>
        <v>4275.99</v>
      </c>
      <c r="Z118" s="131">
        <f>'[1]Incremental Sales'!G11</f>
        <v>4275.99</v>
      </c>
      <c r="AA118" s="131">
        <f>'[1]Incremental Sales'!H11</f>
        <v>8144.7599999999993</v>
      </c>
      <c r="AB118" s="131">
        <f>'[1]Incremental Sales'!I11</f>
        <v>8144.7599999999993</v>
      </c>
      <c r="AC118" s="224">
        <f t="shared" si="98"/>
        <v>26979.494999999995</v>
      </c>
      <c r="AD118" s="270">
        <f>AC118/AD30</f>
        <v>2.373134958524336E-2</v>
      </c>
    </row>
    <row r="119" spans="1:34" s="3" customFormat="1" ht="17.100000000000001" thickBot="1">
      <c r="A119" s="115" t="s">
        <v>2</v>
      </c>
      <c r="B119" s="115" t="s">
        <v>2</v>
      </c>
      <c r="C119" s="115"/>
      <c r="D119" s="11" t="s">
        <v>299</v>
      </c>
      <c r="E119" s="140"/>
      <c r="F119" s="141">
        <f>SUM(F113:F118)</f>
        <v>9366.9</v>
      </c>
      <c r="G119" s="141">
        <f>SUM(G113:G118)</f>
        <v>936.68999999999994</v>
      </c>
      <c r="H119" s="141">
        <f>SUM(H113:H118)</f>
        <v>10303.59</v>
      </c>
      <c r="I119" s="265">
        <f t="shared" ref="I119" si="99">H119/$J$30</f>
        <v>9.0631087154528899E-3</v>
      </c>
      <c r="J119" s="141">
        <f>SUM(J118)</f>
        <v>26979.494999999995</v>
      </c>
      <c r="K119" s="266">
        <f>J119/$J$30</f>
        <v>2.373134958524336E-2</v>
      </c>
      <c r="L119" s="140"/>
      <c r="M119" s="141">
        <f>SUM(M113:M118)</f>
        <v>82500</v>
      </c>
      <c r="N119" s="69">
        <f>SUM(N113:N118)</f>
        <v>0</v>
      </c>
      <c r="O119" s="69">
        <f t="shared" ref="O119:AC119" si="100">SUM(O113:O118)</f>
        <v>0</v>
      </c>
      <c r="P119" s="69">
        <f t="shared" si="100"/>
        <v>0</v>
      </c>
      <c r="Q119" s="69">
        <f t="shared" si="100"/>
        <v>0</v>
      </c>
      <c r="R119" s="69">
        <f t="shared" si="100"/>
        <v>0</v>
      </c>
      <c r="S119" s="69">
        <f t="shared" si="100"/>
        <v>0</v>
      </c>
      <c r="T119" s="69">
        <f t="shared" si="100"/>
        <v>0</v>
      </c>
      <c r="U119" s="69">
        <f t="shared" si="100"/>
        <v>0</v>
      </c>
      <c r="V119" s="69">
        <f t="shared" si="100"/>
        <v>0</v>
      </c>
      <c r="W119" s="69"/>
      <c r="X119" s="69">
        <f>SUM(X113:X118)</f>
        <v>2280.5279999999998</v>
      </c>
      <c r="Y119" s="69">
        <f t="shared" si="100"/>
        <v>4561.0559999999996</v>
      </c>
      <c r="Z119" s="69">
        <f t="shared" si="100"/>
        <v>4561.0559999999996</v>
      </c>
      <c r="AA119" s="69">
        <f t="shared" si="100"/>
        <v>8470.5504000000001</v>
      </c>
      <c r="AB119" s="69">
        <f t="shared" si="100"/>
        <v>8470.5504000000001</v>
      </c>
      <c r="AC119" s="69">
        <f t="shared" si="100"/>
        <v>28343.740799999996</v>
      </c>
      <c r="AD119" s="260">
        <f>AC119/$AC$30</f>
        <v>2.4931349585243359E-2</v>
      </c>
      <c r="AH119" s="118">
        <f>SUM(X119:AB119)</f>
        <v>28343.7408</v>
      </c>
    </row>
    <row r="120" spans="1:34" ht="17.100000000000001" thickTop="1">
      <c r="A120" s="115" t="s">
        <v>2</v>
      </c>
      <c r="B120" s="115" t="s">
        <v>2</v>
      </c>
      <c r="C120" s="115"/>
      <c r="D120" s="10"/>
      <c r="E120" s="65"/>
      <c r="F120" s="131"/>
      <c r="G120" s="131"/>
      <c r="H120" s="137"/>
      <c r="I120" s="134"/>
      <c r="J120" s="167"/>
      <c r="K120" s="167"/>
      <c r="L120" s="74"/>
      <c r="M120" s="74"/>
      <c r="N120" s="68"/>
      <c r="O120" s="68"/>
      <c r="P120" s="68"/>
      <c r="Q120" s="68"/>
      <c r="R120" s="68"/>
      <c r="S120" s="68"/>
      <c r="T120" s="68"/>
      <c r="U120" s="68"/>
      <c r="V120" s="68"/>
      <c r="W120" s="68"/>
      <c r="X120" s="68"/>
      <c r="Y120" s="68"/>
      <c r="Z120" s="68"/>
      <c r="AA120" s="68"/>
      <c r="AB120" s="68"/>
      <c r="AC120" s="210"/>
      <c r="AD120" s="210"/>
      <c r="AE120" s="210"/>
      <c r="AF120" s="210"/>
      <c r="AG120" s="210"/>
      <c r="AH120" s="210"/>
    </row>
    <row r="121" spans="1:34">
      <c r="A121" s="115" t="s">
        <v>2</v>
      </c>
      <c r="B121" s="115" t="s">
        <v>2</v>
      </c>
      <c r="C121" s="115"/>
      <c r="D121" s="9" t="s">
        <v>114</v>
      </c>
      <c r="E121" s="65">
        <v>20025</v>
      </c>
      <c r="F121" s="131"/>
      <c r="G121" s="131"/>
      <c r="H121" s="137"/>
      <c r="I121" s="134"/>
      <c r="J121" s="131"/>
      <c r="K121" s="131"/>
      <c r="L121" s="74"/>
      <c r="M121" s="74"/>
      <c r="N121" s="68"/>
      <c r="O121" s="68"/>
      <c r="P121" s="68"/>
      <c r="Q121" s="68"/>
      <c r="R121" s="68"/>
      <c r="S121" s="68"/>
      <c r="T121" s="68"/>
      <c r="U121" s="68"/>
      <c r="V121" s="68"/>
      <c r="W121" s="68"/>
      <c r="X121" s="68"/>
      <c r="Y121" s="68"/>
      <c r="Z121" s="68"/>
      <c r="AA121" s="68"/>
      <c r="AB121" s="68"/>
      <c r="AC121" s="224"/>
      <c r="AD121" s="212"/>
      <c r="AE121" s="210"/>
      <c r="AF121" s="210"/>
      <c r="AG121" s="210"/>
      <c r="AH121" s="210"/>
    </row>
    <row r="122" spans="1:34">
      <c r="A122" s="115" t="s">
        <v>2</v>
      </c>
      <c r="B122" s="115" t="s">
        <v>2</v>
      </c>
      <c r="C122" s="115"/>
      <c r="D122" s="9"/>
      <c r="E122" s="65"/>
      <c r="F122" s="131"/>
      <c r="G122" s="131"/>
      <c r="H122" s="137"/>
      <c r="I122" s="134"/>
      <c r="J122" s="131"/>
      <c r="K122" s="131"/>
      <c r="L122" s="74"/>
      <c r="M122" s="74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  <c r="AA122" s="68"/>
      <c r="AB122" s="68"/>
      <c r="AC122" s="224"/>
      <c r="AD122" s="212"/>
      <c r="AE122" s="210"/>
      <c r="AF122" s="210"/>
      <c r="AG122" s="210"/>
      <c r="AH122" s="210"/>
    </row>
    <row r="123" spans="1:34">
      <c r="A123" s="115" t="s">
        <v>2</v>
      </c>
      <c r="B123" s="115" t="s">
        <v>307</v>
      </c>
      <c r="C123" s="115"/>
      <c r="D123" s="57" t="s">
        <v>115</v>
      </c>
      <c r="E123" s="65"/>
      <c r="F123" s="131">
        <v>14044.71</v>
      </c>
      <c r="G123" s="246">
        <f>$F123/$F28*G28</f>
        <v>1321.9379571993661</v>
      </c>
      <c r="H123" s="247">
        <f>F123+G123</f>
        <v>15366.647957199366</v>
      </c>
      <c r="I123" s="248"/>
      <c r="J123" s="246">
        <f>0.005*J30</f>
        <v>5684.3575000000001</v>
      </c>
      <c r="K123" s="145">
        <f>J123/(J30)</f>
        <v>5.0000000000000001E-3</v>
      </c>
      <c r="L123" s="74"/>
      <c r="M123" s="74"/>
      <c r="N123" s="246">
        <f t="shared" ref="N123:V123" si="101">0.005*N30</f>
        <v>0</v>
      </c>
      <c r="O123" s="246">
        <f t="shared" si="101"/>
        <v>0</v>
      </c>
      <c r="P123" s="246">
        <f t="shared" si="101"/>
        <v>0</v>
      </c>
      <c r="Q123" s="246">
        <f t="shared" si="101"/>
        <v>0</v>
      </c>
      <c r="R123" s="246">
        <f t="shared" si="101"/>
        <v>0</v>
      </c>
      <c r="S123" s="246">
        <f t="shared" si="101"/>
        <v>0</v>
      </c>
      <c r="T123" s="246">
        <f t="shared" si="101"/>
        <v>0</v>
      </c>
      <c r="U123" s="246">
        <f t="shared" si="101"/>
        <v>0</v>
      </c>
      <c r="V123" s="246">
        <f t="shared" si="101"/>
        <v>0</v>
      </c>
      <c r="W123" s="246"/>
      <c r="X123" s="246">
        <f>0.005*X30</f>
        <v>593.88750000000005</v>
      </c>
      <c r="Y123" s="246">
        <f>0.005*Y30</f>
        <v>1187.7750000000001</v>
      </c>
      <c r="Z123" s="246">
        <f>0.005*Z30</f>
        <v>1187.7750000000001</v>
      </c>
      <c r="AA123" s="246">
        <f>0.005*AA30</f>
        <v>1357.46</v>
      </c>
      <c r="AB123" s="246">
        <f>0.005*AB30</f>
        <v>1357.46</v>
      </c>
      <c r="AC123" s="224">
        <f t="shared" ref="AC123:AC126" si="102">SUM(X123:AB123)</f>
        <v>5684.3575000000001</v>
      </c>
      <c r="AD123" s="260">
        <f t="shared" ref="AD123:AF126" si="103">AC123/$AD$30</f>
        <v>5.0000000000000001E-3</v>
      </c>
      <c r="AE123" s="210"/>
      <c r="AF123" s="210" t="s">
        <v>276</v>
      </c>
      <c r="AG123" s="210"/>
      <c r="AH123" s="210"/>
    </row>
    <row r="124" spans="1:34">
      <c r="A124" s="115" t="s">
        <v>2</v>
      </c>
      <c r="B124" s="115" t="s">
        <v>308</v>
      </c>
      <c r="C124" s="115"/>
      <c r="D124" s="57" t="s">
        <v>116</v>
      </c>
      <c r="E124" s="65"/>
      <c r="F124" s="131">
        <f>35436.41+12267</f>
        <v>47703.41</v>
      </c>
      <c r="G124" s="246">
        <f>$F124/$F30*G30</f>
        <v>4490.0142734769051</v>
      </c>
      <c r="H124" s="247">
        <f>F124+G124</f>
        <v>52193.424273476907</v>
      </c>
      <c r="I124" s="248"/>
      <c r="J124" s="246">
        <f>0.015*J30</f>
        <v>17053.072499999998</v>
      </c>
      <c r="K124" s="145">
        <f t="shared" ref="K124:K126" si="104">J124/$J$30</f>
        <v>1.4999999999999999E-2</v>
      </c>
      <c r="L124" s="74"/>
      <c r="M124" s="74"/>
      <c r="N124" s="246">
        <f t="shared" ref="N124:V124" si="105">0.015*N30</f>
        <v>0</v>
      </c>
      <c r="O124" s="246">
        <f t="shared" si="105"/>
        <v>0</v>
      </c>
      <c r="P124" s="246">
        <f t="shared" si="105"/>
        <v>0</v>
      </c>
      <c r="Q124" s="246">
        <f t="shared" si="105"/>
        <v>0</v>
      </c>
      <c r="R124" s="246">
        <f t="shared" si="105"/>
        <v>0</v>
      </c>
      <c r="S124" s="246">
        <f t="shared" si="105"/>
        <v>0</v>
      </c>
      <c r="T124" s="246">
        <f t="shared" si="105"/>
        <v>0</v>
      </c>
      <c r="U124" s="246">
        <f t="shared" si="105"/>
        <v>0</v>
      </c>
      <c r="V124" s="246">
        <f t="shared" si="105"/>
        <v>0</v>
      </c>
      <c r="W124" s="246"/>
      <c r="X124" s="246">
        <f>0.015*X30</f>
        <v>1781.6624999999999</v>
      </c>
      <c r="Y124" s="246">
        <f>0.015*Y30</f>
        <v>3563.3249999999998</v>
      </c>
      <c r="Z124" s="246">
        <f>0.015*Z30</f>
        <v>3563.3249999999998</v>
      </c>
      <c r="AA124" s="246">
        <f>0.015*AA30</f>
        <v>4072.3799999999997</v>
      </c>
      <c r="AB124" s="246">
        <f>0.015*AB30</f>
        <v>4072.3799999999997</v>
      </c>
      <c r="AC124" s="224">
        <f t="shared" si="102"/>
        <v>17053.072499999998</v>
      </c>
      <c r="AD124" s="260">
        <f t="shared" si="103"/>
        <v>1.4999999999999999E-2</v>
      </c>
      <c r="AE124" s="210"/>
      <c r="AF124" s="210" t="s">
        <v>276</v>
      </c>
      <c r="AG124" s="210"/>
      <c r="AH124" s="210"/>
    </row>
    <row r="125" spans="1:34">
      <c r="A125" s="115" t="s">
        <v>2</v>
      </c>
      <c r="B125" s="115" t="s">
        <v>309</v>
      </c>
      <c r="C125" s="115"/>
      <c r="D125" s="57" t="s">
        <v>117</v>
      </c>
      <c r="E125" s="65"/>
      <c r="F125" s="131">
        <v>1177.3699999999999</v>
      </c>
      <c r="G125" s="246">
        <f>$F125/$F30*G30</f>
        <v>110.8182435000664</v>
      </c>
      <c r="H125" s="247">
        <f>F125+G125</f>
        <v>1288.1882435000664</v>
      </c>
      <c r="I125" s="248"/>
      <c r="J125" s="246">
        <v>6900</v>
      </c>
      <c r="K125" s="145">
        <f t="shared" si="104"/>
        <v>6.0692875140242325E-3</v>
      </c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68"/>
      <c r="W125" s="68"/>
      <c r="X125" s="68">
        <f t="shared" ref="X125:AB125" si="106">$J125/13</f>
        <v>530.76923076923072</v>
      </c>
      <c r="Y125" s="68">
        <f t="shared" si="106"/>
        <v>530.76923076923072</v>
      </c>
      <c r="Z125" s="68">
        <f t="shared" si="106"/>
        <v>530.76923076923072</v>
      </c>
      <c r="AA125" s="68">
        <f t="shared" si="106"/>
        <v>530.76923076923072</v>
      </c>
      <c r="AB125" s="68">
        <f t="shared" si="106"/>
        <v>530.76923076923072</v>
      </c>
      <c r="AC125" s="224">
        <f t="shared" si="102"/>
        <v>2653.8461538461534</v>
      </c>
      <c r="AD125" s="260">
        <f t="shared" si="103"/>
        <v>2.3343413515477811E-3</v>
      </c>
      <c r="AE125" s="260">
        <f t="shared" si="103"/>
        <v>2.0533027273071593E-9</v>
      </c>
      <c r="AF125" s="260">
        <f t="shared" si="103"/>
        <v>1.8060992181677168E-15</v>
      </c>
      <c r="AG125" s="210"/>
      <c r="AH125" s="210"/>
    </row>
    <row r="126" spans="1:34">
      <c r="A126" s="115" t="s">
        <v>2</v>
      </c>
      <c r="B126" s="115"/>
      <c r="C126" s="115"/>
      <c r="D126" s="57" t="s">
        <v>119</v>
      </c>
      <c r="E126" s="65"/>
      <c r="F126" s="131"/>
      <c r="G126" s="246" t="s">
        <v>2</v>
      </c>
      <c r="H126" s="247" t="s">
        <v>2</v>
      </c>
      <c r="I126" s="248"/>
      <c r="J126" s="264">
        <f>AC126</f>
        <v>1705.3072500000001</v>
      </c>
      <c r="K126" s="145">
        <f t="shared" si="104"/>
        <v>1.5E-3</v>
      </c>
      <c r="L126" s="74"/>
      <c r="M126" s="74"/>
      <c r="N126" s="68">
        <f t="shared" ref="N126:V126" si="107">0.0015*N30</f>
        <v>0</v>
      </c>
      <c r="O126" s="68">
        <f t="shared" si="107"/>
        <v>0</v>
      </c>
      <c r="P126" s="68">
        <f t="shared" si="107"/>
        <v>0</v>
      </c>
      <c r="Q126" s="68">
        <f t="shared" si="107"/>
        <v>0</v>
      </c>
      <c r="R126" s="68">
        <f t="shared" si="107"/>
        <v>0</v>
      </c>
      <c r="S126" s="68">
        <f t="shared" si="107"/>
        <v>0</v>
      </c>
      <c r="T126" s="68">
        <f t="shared" si="107"/>
        <v>0</v>
      </c>
      <c r="U126" s="68">
        <f t="shared" si="107"/>
        <v>0</v>
      </c>
      <c r="V126" s="68">
        <f t="shared" si="107"/>
        <v>0</v>
      </c>
      <c r="W126" s="68"/>
      <c r="X126" s="68">
        <f>0.0015*X30</f>
        <v>178.16624999999999</v>
      </c>
      <c r="Y126" s="68">
        <f>0.0015*Y30</f>
        <v>356.33249999999998</v>
      </c>
      <c r="Z126" s="68">
        <f>0.0015*Z30</f>
        <v>356.33249999999998</v>
      </c>
      <c r="AA126" s="68">
        <f>0.0015*AA30</f>
        <v>407.238</v>
      </c>
      <c r="AB126" s="68">
        <f>0.0015*AB30</f>
        <v>407.238</v>
      </c>
      <c r="AC126" s="224">
        <f t="shared" si="102"/>
        <v>1705.3072500000001</v>
      </c>
      <c r="AD126" s="260">
        <f t="shared" si="103"/>
        <v>1.5E-3</v>
      </c>
      <c r="AE126" s="210"/>
      <c r="AF126" s="210"/>
      <c r="AG126" s="210"/>
      <c r="AH126" s="210"/>
    </row>
    <row r="127" spans="1:34" ht="17.100000000000001" thickBot="1">
      <c r="A127" s="115" t="s">
        <v>2</v>
      </c>
      <c r="B127" s="115"/>
      <c r="C127" s="115"/>
      <c r="D127" s="11" t="s">
        <v>310</v>
      </c>
      <c r="E127" s="168"/>
      <c r="F127" s="141">
        <f>SUM(F123:F126)</f>
        <v>62925.490000000005</v>
      </c>
      <c r="G127" s="141">
        <f>SUM(G123:G126)</f>
        <v>5922.7704741763373</v>
      </c>
      <c r="H127" s="141">
        <f>SUM(H123:H126)</f>
        <v>68848.26047417635</v>
      </c>
      <c r="I127" s="265">
        <f t="shared" ref="I127" si="108">H127/$J$30</f>
        <v>6.0559404008435735E-2</v>
      </c>
      <c r="J127" s="141">
        <f>SUM(J123:J126)</f>
        <v>31342.737250000002</v>
      </c>
      <c r="K127" s="266">
        <f>J127/$J$30</f>
        <v>2.7569287514024234E-2</v>
      </c>
      <c r="L127" s="168"/>
      <c r="M127" s="168">
        <v>99264</v>
      </c>
      <c r="N127" s="169">
        <f t="shared" ref="N127:AB127" si="109">SUM(N123:N126)</f>
        <v>0</v>
      </c>
      <c r="O127" s="169">
        <f t="shared" si="109"/>
        <v>0</v>
      </c>
      <c r="P127" s="169">
        <f t="shared" si="109"/>
        <v>0</v>
      </c>
      <c r="Q127" s="169">
        <f t="shared" si="109"/>
        <v>0</v>
      </c>
      <c r="R127" s="169">
        <f t="shared" si="109"/>
        <v>0</v>
      </c>
      <c r="S127" s="169">
        <f t="shared" si="109"/>
        <v>0</v>
      </c>
      <c r="T127" s="169">
        <f t="shared" si="109"/>
        <v>0</v>
      </c>
      <c r="U127" s="169">
        <f t="shared" si="109"/>
        <v>0</v>
      </c>
      <c r="V127" s="169">
        <f t="shared" si="109"/>
        <v>0</v>
      </c>
      <c r="W127" s="169"/>
      <c r="X127" s="169">
        <f t="shared" si="109"/>
        <v>3084.4854807692309</v>
      </c>
      <c r="Y127" s="169">
        <f t="shared" si="109"/>
        <v>5638.2017307692313</v>
      </c>
      <c r="Z127" s="169">
        <f t="shared" si="109"/>
        <v>5638.2017307692313</v>
      </c>
      <c r="AA127" s="169">
        <f t="shared" si="109"/>
        <v>6367.8472307692309</v>
      </c>
      <c r="AB127" s="169">
        <f t="shared" si="109"/>
        <v>6367.8472307692309</v>
      </c>
      <c r="AC127" s="69">
        <f t="shared" ref="AC127" si="110">SUM(AC121:AC126)</f>
        <v>27096.583403846154</v>
      </c>
      <c r="AD127" s="170">
        <f>SUM(AD123:AD125)</f>
        <v>2.2334341351547781E-2</v>
      </c>
      <c r="AE127" s="118" t="s">
        <v>246</v>
      </c>
      <c r="AF127" s="210"/>
      <c r="AG127" s="210"/>
      <c r="AH127" s="118">
        <f>SUM(X127:AB127)</f>
        <v>27096.583403846154</v>
      </c>
    </row>
    <row r="128" spans="1:34" ht="17.100000000000001" thickTop="1">
      <c r="A128" s="115" t="s">
        <v>2</v>
      </c>
      <c r="B128" s="115"/>
      <c r="C128" s="115"/>
      <c r="D128" s="12"/>
      <c r="E128" s="65"/>
      <c r="F128" s="131"/>
      <c r="G128" s="131"/>
      <c r="H128" s="137"/>
      <c r="I128" s="134"/>
      <c r="J128" s="137"/>
      <c r="K128" s="167"/>
      <c r="L128" s="74"/>
      <c r="M128" s="74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  <c r="AA128" s="68"/>
      <c r="AB128" s="68"/>
      <c r="AC128" s="210"/>
      <c r="AD128" s="210"/>
      <c r="AE128" s="210"/>
      <c r="AF128" s="210"/>
      <c r="AG128" s="210"/>
      <c r="AH128" s="210"/>
    </row>
    <row r="129" spans="1:34">
      <c r="A129" s="115" t="s">
        <v>2</v>
      </c>
      <c r="B129" s="115"/>
      <c r="C129" s="115"/>
      <c r="D129" s="9" t="s">
        <v>121</v>
      </c>
      <c r="E129" s="65"/>
      <c r="F129" s="131"/>
      <c r="G129" s="131"/>
      <c r="H129" s="137"/>
      <c r="I129" s="134"/>
      <c r="J129" s="137"/>
      <c r="K129" s="131"/>
      <c r="L129" s="74"/>
      <c r="M129" s="74"/>
      <c r="N129" s="68"/>
      <c r="O129" s="68"/>
      <c r="P129" s="68"/>
      <c r="Q129" s="68"/>
      <c r="R129" s="68"/>
      <c r="S129" s="68"/>
      <c r="T129" s="68"/>
      <c r="U129" s="68"/>
      <c r="V129" s="68"/>
      <c r="W129" s="68"/>
      <c r="X129" s="68"/>
      <c r="Y129" s="68"/>
      <c r="Z129" s="68"/>
      <c r="AA129" s="68"/>
      <c r="AB129" s="68"/>
      <c r="AC129" s="210"/>
      <c r="AD129" s="210"/>
      <c r="AE129" s="210"/>
      <c r="AF129" s="210"/>
      <c r="AG129" s="210"/>
      <c r="AH129" s="210"/>
    </row>
    <row r="130" spans="1:34">
      <c r="A130" s="115" t="s">
        <v>2</v>
      </c>
      <c r="B130" s="115" t="s">
        <v>311</v>
      </c>
      <c r="C130" s="115"/>
      <c r="D130" s="10" t="s">
        <v>122</v>
      </c>
      <c r="E130" s="65">
        <v>113700</v>
      </c>
      <c r="F130" s="131">
        <v>46643.78</v>
      </c>
      <c r="G130" s="131">
        <f>$F130/10</f>
        <v>4664.3779999999997</v>
      </c>
      <c r="H130" s="247">
        <f>F130+G130</f>
        <v>51308.157999999996</v>
      </c>
      <c r="I130" s="248"/>
      <c r="J130" s="137">
        <f>H130*1.03</f>
        <v>52847.402739999998</v>
      </c>
      <c r="K130" s="131"/>
      <c r="L130" s="74"/>
      <c r="M130" s="74"/>
      <c r="N130" s="68">
        <v>0</v>
      </c>
      <c r="O130" s="68">
        <v>0</v>
      </c>
      <c r="P130" s="68">
        <v>0</v>
      </c>
      <c r="Q130" s="68">
        <v>0</v>
      </c>
      <c r="R130" s="68">
        <v>0</v>
      </c>
      <c r="S130" s="68">
        <v>0</v>
      </c>
      <c r="T130" s="68">
        <v>1626</v>
      </c>
      <c r="U130" s="68">
        <v>1626</v>
      </c>
      <c r="V130" s="68">
        <v>1626</v>
      </c>
      <c r="W130" s="68"/>
      <c r="X130" s="68">
        <f t="shared" ref="N130:AB134" si="111">+$J130/13</f>
        <v>4065.1848261538462</v>
      </c>
      <c r="Y130" s="68">
        <f t="shared" si="111"/>
        <v>4065.1848261538462</v>
      </c>
      <c r="Z130" s="68">
        <f t="shared" si="111"/>
        <v>4065.1848261538462</v>
      </c>
      <c r="AA130" s="68">
        <f t="shared" si="111"/>
        <v>4065.1848261538462</v>
      </c>
      <c r="AB130" s="68">
        <f t="shared" si="111"/>
        <v>4065.1848261538462</v>
      </c>
      <c r="AC130" s="224">
        <f t="shared" ref="AC130:AC133" si="112">SUM(X130:AB130)</f>
        <v>20325.924130769232</v>
      </c>
      <c r="AD130" s="260">
        <f>AC130/$AD$30</f>
        <v>1.7878822831577035E-2</v>
      </c>
      <c r="AE130" s="210">
        <v>14718</v>
      </c>
      <c r="AF130" s="210" t="s">
        <v>247</v>
      </c>
      <c r="AG130" s="210"/>
      <c r="AH130" s="210"/>
    </row>
    <row r="131" spans="1:34">
      <c r="A131" s="115" t="s">
        <v>2</v>
      </c>
      <c r="B131" s="115" t="s">
        <v>312</v>
      </c>
      <c r="C131" s="115"/>
      <c r="D131" s="10" t="s">
        <v>123</v>
      </c>
      <c r="E131" s="65">
        <v>44009</v>
      </c>
      <c r="F131" s="131">
        <v>14439.04</v>
      </c>
      <c r="G131" s="131">
        <f>$F131/10</f>
        <v>1443.904</v>
      </c>
      <c r="H131" s="247">
        <f>F131+G131</f>
        <v>15882.944000000001</v>
      </c>
      <c r="I131" s="248"/>
      <c r="J131" s="137">
        <f t="shared" ref="J131:J133" si="113">H131*1.03</f>
        <v>16359.432320000002</v>
      </c>
      <c r="K131" s="131"/>
      <c r="L131" s="74"/>
      <c r="M131" s="74"/>
      <c r="N131" s="68">
        <v>0</v>
      </c>
      <c r="O131" s="68">
        <v>0</v>
      </c>
      <c r="P131" s="68">
        <v>0</v>
      </c>
      <c r="Q131" s="68">
        <v>0</v>
      </c>
      <c r="R131" s="68">
        <v>0</v>
      </c>
      <c r="S131" s="68">
        <v>0</v>
      </c>
      <c r="T131" s="68">
        <v>504</v>
      </c>
      <c r="U131" s="68">
        <v>504</v>
      </c>
      <c r="V131" s="68">
        <v>504</v>
      </c>
      <c r="W131" s="68"/>
      <c r="X131" s="68">
        <f t="shared" si="111"/>
        <v>1258.4178707692308</v>
      </c>
      <c r="Y131" s="68">
        <f t="shared" si="111"/>
        <v>1258.4178707692308</v>
      </c>
      <c r="Z131" s="68">
        <f t="shared" si="111"/>
        <v>1258.4178707692308</v>
      </c>
      <c r="AA131" s="68">
        <f t="shared" si="111"/>
        <v>1258.4178707692308</v>
      </c>
      <c r="AB131" s="68">
        <f t="shared" si="111"/>
        <v>1258.4178707692308</v>
      </c>
      <c r="AC131" s="224">
        <f t="shared" si="112"/>
        <v>6292.0893538461542</v>
      </c>
      <c r="AD131" s="260">
        <f>AC131/$AD$30</f>
        <v>5.534565123539603E-3</v>
      </c>
      <c r="AE131" s="210">
        <v>24557</v>
      </c>
      <c r="AF131" s="210" t="s">
        <v>247</v>
      </c>
      <c r="AG131" s="210"/>
      <c r="AH131" s="210"/>
    </row>
    <row r="132" spans="1:34">
      <c r="A132" s="115" t="s">
        <v>2</v>
      </c>
      <c r="B132" s="115" t="s">
        <v>313</v>
      </c>
      <c r="C132" s="115"/>
      <c r="D132" s="10" t="s">
        <v>125</v>
      </c>
      <c r="E132" s="65">
        <v>8658</v>
      </c>
      <c r="F132" s="131">
        <v>5640</v>
      </c>
      <c r="G132" s="131">
        <f>$F132/10</f>
        <v>564</v>
      </c>
      <c r="H132" s="247">
        <f>F132+G132</f>
        <v>6204</v>
      </c>
      <c r="I132" s="248"/>
      <c r="J132" s="137">
        <f t="shared" si="113"/>
        <v>6390.12</v>
      </c>
      <c r="K132" s="131"/>
      <c r="L132" s="74"/>
      <c r="M132" s="74"/>
      <c r="N132" s="68">
        <v>0</v>
      </c>
      <c r="O132" s="68">
        <v>0</v>
      </c>
      <c r="P132" s="68">
        <v>0</v>
      </c>
      <c r="Q132" s="68">
        <v>0</v>
      </c>
      <c r="R132" s="68">
        <v>0</v>
      </c>
      <c r="S132" s="68">
        <v>0</v>
      </c>
      <c r="T132" s="68">
        <v>196</v>
      </c>
      <c r="U132" s="68">
        <v>196</v>
      </c>
      <c r="V132" s="68">
        <v>196</v>
      </c>
      <c r="W132" s="68"/>
      <c r="X132" s="68">
        <f t="shared" si="111"/>
        <v>491.54769230769227</v>
      </c>
      <c r="Y132" s="68">
        <f t="shared" si="111"/>
        <v>491.54769230769227</v>
      </c>
      <c r="Z132" s="68">
        <f t="shared" si="111"/>
        <v>491.54769230769227</v>
      </c>
      <c r="AA132" s="68">
        <f t="shared" si="111"/>
        <v>491.54769230769227</v>
      </c>
      <c r="AB132" s="68">
        <f t="shared" si="111"/>
        <v>491.54769230769227</v>
      </c>
      <c r="AC132" s="224">
        <f t="shared" si="112"/>
        <v>2457.7384615384613</v>
      </c>
      <c r="AD132" s="260">
        <f>AC132/$AD$30</f>
        <v>2.1618436749786243E-3</v>
      </c>
      <c r="AE132" s="210">
        <v>21945</v>
      </c>
      <c r="AF132" s="210" t="s">
        <v>247</v>
      </c>
      <c r="AG132" s="210"/>
      <c r="AH132" s="210"/>
    </row>
    <row r="133" spans="1:34">
      <c r="A133" s="115" t="s">
        <v>2</v>
      </c>
      <c r="B133" s="115" t="s">
        <v>314</v>
      </c>
      <c r="C133" s="115"/>
      <c r="D133" s="10" t="s">
        <v>126</v>
      </c>
      <c r="E133" s="65">
        <v>8308</v>
      </c>
      <c r="F133" s="131">
        <v>2040.5</v>
      </c>
      <c r="G133" s="131">
        <f>$F133/10</f>
        <v>204.05</v>
      </c>
      <c r="H133" s="247">
        <f>F133+G133</f>
        <v>2244.5500000000002</v>
      </c>
      <c r="I133" s="248"/>
      <c r="J133" s="137">
        <f t="shared" si="113"/>
        <v>2311.8865000000001</v>
      </c>
      <c r="K133" s="131"/>
      <c r="L133" s="74"/>
      <c r="M133" s="74"/>
      <c r="N133" s="68">
        <v>0</v>
      </c>
      <c r="O133" s="68">
        <v>0</v>
      </c>
      <c r="P133" s="68">
        <v>0</v>
      </c>
      <c r="Q133" s="68">
        <v>0</v>
      </c>
      <c r="R133" s="68">
        <v>0</v>
      </c>
      <c r="S133" s="68">
        <v>0</v>
      </c>
      <c r="T133" s="68">
        <v>72</v>
      </c>
      <c r="U133" s="68">
        <v>72</v>
      </c>
      <c r="V133" s="68">
        <v>72</v>
      </c>
      <c r="W133" s="68"/>
      <c r="X133" s="68">
        <f t="shared" si="111"/>
        <v>177.83742307692307</v>
      </c>
      <c r="Y133" s="68">
        <f t="shared" si="111"/>
        <v>177.83742307692307</v>
      </c>
      <c r="Z133" s="68">
        <f t="shared" si="111"/>
        <v>177.83742307692307</v>
      </c>
      <c r="AA133" s="68">
        <f t="shared" si="111"/>
        <v>177.83742307692307</v>
      </c>
      <c r="AB133" s="68">
        <f t="shared" si="111"/>
        <v>177.83742307692307</v>
      </c>
      <c r="AC133" s="224">
        <f t="shared" si="112"/>
        <v>889.18711538461537</v>
      </c>
      <c r="AD133" s="260">
        <f>AC133/$AD$30</f>
        <v>7.8213510971522756E-4</v>
      </c>
      <c r="AE133" s="210">
        <v>13332</v>
      </c>
      <c r="AF133" s="210" t="s">
        <v>247</v>
      </c>
      <c r="AG133" s="210"/>
      <c r="AH133" s="210"/>
    </row>
    <row r="134" spans="1:34">
      <c r="A134" s="115" t="s">
        <v>2</v>
      </c>
      <c r="B134" s="115"/>
      <c r="C134" s="115"/>
      <c r="D134" s="10" t="s">
        <v>127</v>
      </c>
      <c r="E134" s="65"/>
      <c r="F134" s="131"/>
      <c r="G134" s="131">
        <f>$F134/10</f>
        <v>0</v>
      </c>
      <c r="H134" s="247">
        <f>F134+G134</f>
        <v>0</v>
      </c>
      <c r="I134" s="248"/>
      <c r="J134" s="137">
        <f>H134*1.03</f>
        <v>0</v>
      </c>
      <c r="K134" s="131"/>
      <c r="L134" s="74"/>
      <c r="M134" s="74"/>
      <c r="N134" s="68">
        <f t="shared" si="111"/>
        <v>0</v>
      </c>
      <c r="O134" s="68">
        <f t="shared" si="111"/>
        <v>0</v>
      </c>
      <c r="P134" s="68">
        <f t="shared" si="111"/>
        <v>0</v>
      </c>
      <c r="Q134" s="68">
        <f t="shared" si="111"/>
        <v>0</v>
      </c>
      <c r="R134" s="68">
        <f t="shared" si="111"/>
        <v>0</v>
      </c>
      <c r="S134" s="68">
        <f t="shared" si="111"/>
        <v>0</v>
      </c>
      <c r="T134" s="68">
        <f t="shared" si="111"/>
        <v>0</v>
      </c>
      <c r="U134" s="68">
        <f t="shared" si="111"/>
        <v>0</v>
      </c>
      <c r="V134" s="68">
        <f t="shared" si="111"/>
        <v>0</v>
      </c>
      <c r="W134" s="68"/>
      <c r="X134" s="68">
        <f t="shared" si="111"/>
        <v>0</v>
      </c>
      <c r="Y134" s="68">
        <f t="shared" si="111"/>
        <v>0</v>
      </c>
      <c r="Z134" s="68">
        <f t="shared" si="111"/>
        <v>0</v>
      </c>
      <c r="AA134" s="68">
        <f t="shared" si="111"/>
        <v>0</v>
      </c>
      <c r="AB134" s="68">
        <f t="shared" si="111"/>
        <v>0</v>
      </c>
      <c r="AC134" s="274">
        <f t="shared" ref="AC134" si="114">SUM(N134:AB134)</f>
        <v>0</v>
      </c>
      <c r="AD134" s="260">
        <f>AC134/$AD$30</f>
        <v>0</v>
      </c>
      <c r="AE134" s="210">
        <v>6001</v>
      </c>
      <c r="AF134" s="210" t="s">
        <v>247</v>
      </c>
      <c r="AG134" s="210"/>
      <c r="AH134" s="210"/>
    </row>
    <row r="135" spans="1:34" s="3" customFormat="1" ht="17.100000000000001" thickBot="1">
      <c r="A135" s="115" t="s">
        <v>2</v>
      </c>
      <c r="B135" s="115"/>
      <c r="C135" s="115"/>
      <c r="D135" s="11" t="s">
        <v>128</v>
      </c>
      <c r="E135" s="140"/>
      <c r="F135" s="141">
        <f t="shared" ref="F135:J135" si="115">SUM(F130:F134)</f>
        <v>68763.320000000007</v>
      </c>
      <c r="G135" s="141">
        <f t="shared" si="115"/>
        <v>6876.3319999999994</v>
      </c>
      <c r="H135" s="141">
        <f t="shared" si="115"/>
        <v>75639.652000000002</v>
      </c>
      <c r="I135" s="265">
        <f t="shared" ref="I135" si="116">H135/$J$30</f>
        <v>6.6533158760686675E-2</v>
      </c>
      <c r="J135" s="141">
        <f t="shared" si="115"/>
        <v>77908.841559999986</v>
      </c>
      <c r="K135" s="266">
        <f>J135/$J$30</f>
        <v>6.8529153523507261E-2</v>
      </c>
      <c r="L135" s="140"/>
      <c r="M135" s="140">
        <v>99264</v>
      </c>
      <c r="N135" s="69">
        <f>SUM(N130:N134)</f>
        <v>0</v>
      </c>
      <c r="O135" s="69">
        <f t="shared" ref="O135:AB135" si="117">SUM(O130:O134)</f>
        <v>0</v>
      </c>
      <c r="P135" s="69">
        <f t="shared" si="117"/>
        <v>0</v>
      </c>
      <c r="Q135" s="69">
        <f t="shared" si="117"/>
        <v>0</v>
      </c>
      <c r="R135" s="69">
        <f t="shared" si="117"/>
        <v>0</v>
      </c>
      <c r="S135" s="69">
        <f t="shared" si="117"/>
        <v>0</v>
      </c>
      <c r="T135" s="69">
        <f t="shared" si="117"/>
        <v>2398</v>
      </c>
      <c r="U135" s="69">
        <f t="shared" si="117"/>
        <v>2398</v>
      </c>
      <c r="V135" s="69">
        <f t="shared" si="117"/>
        <v>2398</v>
      </c>
      <c r="W135" s="69"/>
      <c r="X135" s="69">
        <f t="shared" ref="X135" si="118">SUM(X130:X134)</f>
        <v>5992.9878123076924</v>
      </c>
      <c r="Y135" s="69">
        <f t="shared" si="117"/>
        <v>5992.9878123076924</v>
      </c>
      <c r="Z135" s="69">
        <f t="shared" si="117"/>
        <v>5992.9878123076924</v>
      </c>
      <c r="AA135" s="69">
        <f t="shared" si="117"/>
        <v>5992.9878123076924</v>
      </c>
      <c r="AB135" s="69">
        <f t="shared" si="117"/>
        <v>5992.9878123076924</v>
      </c>
      <c r="AC135" s="69">
        <f t="shared" ref="AC135" si="119">SUM(AC129:AC134)</f>
        <v>29964.939061538462</v>
      </c>
      <c r="AD135" s="170">
        <f>SUM(AD128:AD133)</f>
        <v>2.6357366739810491E-2</v>
      </c>
      <c r="AE135" s="3" t="s">
        <v>246</v>
      </c>
      <c r="AH135" s="118">
        <f>SUM(X135:AB135)</f>
        <v>29964.939061538462</v>
      </c>
    </row>
    <row r="136" spans="1:34" ht="17.100000000000001" thickTop="1">
      <c r="A136" s="115" t="s">
        <v>2</v>
      </c>
      <c r="B136" s="115"/>
      <c r="C136" s="115"/>
      <c r="D136" s="10"/>
      <c r="E136" s="65"/>
      <c r="F136" s="131"/>
      <c r="G136" s="131"/>
      <c r="H136" s="137"/>
      <c r="I136" s="134"/>
      <c r="J136" s="137"/>
      <c r="K136" s="131"/>
      <c r="L136" s="74"/>
      <c r="M136" s="74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210"/>
      <c r="AD136" s="210"/>
      <c r="AE136" s="210"/>
      <c r="AF136" s="210"/>
      <c r="AG136" s="210"/>
      <c r="AH136" s="210"/>
    </row>
    <row r="137" spans="1:34">
      <c r="A137" s="115" t="s">
        <v>2</v>
      </c>
      <c r="B137" s="115"/>
      <c r="C137" s="115"/>
      <c r="D137" s="9" t="s">
        <v>129</v>
      </c>
      <c r="E137" s="65"/>
      <c r="F137" s="131"/>
      <c r="G137" s="131"/>
      <c r="H137" s="137"/>
      <c r="I137" s="134"/>
      <c r="J137" s="137"/>
      <c r="K137" s="131"/>
      <c r="L137" s="74"/>
      <c r="M137" s="74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  <c r="AA137" s="68"/>
      <c r="AB137" s="68"/>
      <c r="AC137" s="210"/>
      <c r="AD137" s="210"/>
      <c r="AE137" s="210"/>
      <c r="AF137" s="210"/>
      <c r="AG137" s="210"/>
      <c r="AH137" s="210"/>
    </row>
    <row r="138" spans="1:34">
      <c r="A138" s="115" t="s">
        <v>2</v>
      </c>
      <c r="B138" s="115" t="s">
        <v>315</v>
      </c>
      <c r="C138" s="115"/>
      <c r="D138" s="10" t="s">
        <v>130</v>
      </c>
      <c r="E138" s="87">
        <v>26780</v>
      </c>
      <c r="F138" s="171">
        <v>42327.75</v>
      </c>
      <c r="G138" s="171">
        <f>$F138/11</f>
        <v>3847.9772727272725</v>
      </c>
      <c r="H138" s="247">
        <f t="shared" ref="H138:H154" si="120">F138+G138</f>
        <v>46175.727272727272</v>
      </c>
      <c r="I138" s="248"/>
      <c r="J138" s="137">
        <v>25740</v>
      </c>
      <c r="K138" s="131"/>
      <c r="L138" s="74"/>
      <c r="M138" s="74"/>
      <c r="N138" s="68">
        <v>0</v>
      </c>
      <c r="O138" s="68">
        <v>0</v>
      </c>
      <c r="P138" s="68">
        <v>0</v>
      </c>
      <c r="Q138" s="68">
        <v>0</v>
      </c>
      <c r="R138" s="68">
        <v>0</v>
      </c>
      <c r="S138" s="68">
        <v>0</v>
      </c>
      <c r="T138" s="88">
        <v>1980</v>
      </c>
      <c r="U138" s="88">
        <v>1980</v>
      </c>
      <c r="V138" s="88">
        <f>1980/2</f>
        <v>990</v>
      </c>
      <c r="W138" s="88"/>
      <c r="X138" s="88">
        <v>990</v>
      </c>
      <c r="Y138" s="88">
        <f>495*4</f>
        <v>1980</v>
      </c>
      <c r="Z138" s="88">
        <f t="shared" ref="Z138:AB138" si="121">495*4</f>
        <v>1980</v>
      </c>
      <c r="AA138" s="88">
        <f t="shared" si="121"/>
        <v>1980</v>
      </c>
      <c r="AB138" s="88">
        <f t="shared" si="121"/>
        <v>1980</v>
      </c>
      <c r="AC138" s="224">
        <f t="shared" ref="AC138:AC153" si="122">SUM(X138:AB138)</f>
        <v>8910</v>
      </c>
      <c r="AD138" s="260">
        <f t="shared" ref="AD138:AD153" si="123">AC138/$AD$30</f>
        <v>7.8372973550660738E-3</v>
      </c>
      <c r="AE138" s="210"/>
      <c r="AF138" s="210" t="s">
        <v>247</v>
      </c>
      <c r="AG138" s="210"/>
      <c r="AH138" s="210"/>
    </row>
    <row r="139" spans="1:34">
      <c r="A139" s="115" t="s">
        <v>2</v>
      </c>
      <c r="B139" s="115"/>
      <c r="C139" s="115"/>
      <c r="D139" s="10" t="s">
        <v>131</v>
      </c>
      <c r="E139" s="65"/>
      <c r="F139" s="131"/>
      <c r="G139" s="131">
        <f t="shared" ref="G139:G154" si="124">$F139/11</f>
        <v>0</v>
      </c>
      <c r="H139" s="247">
        <f t="shared" si="120"/>
        <v>0</v>
      </c>
      <c r="I139" s="134"/>
      <c r="J139" s="137">
        <v>0</v>
      </c>
      <c r="K139" s="131"/>
      <c r="L139" s="74"/>
      <c r="M139" s="74"/>
      <c r="N139" s="68"/>
      <c r="O139" s="68"/>
      <c r="P139" s="68"/>
      <c r="Q139" s="68"/>
      <c r="R139" s="68"/>
      <c r="S139" s="68"/>
      <c r="T139" s="68"/>
      <c r="U139" s="68"/>
      <c r="V139" s="68"/>
      <c r="W139" s="68"/>
      <c r="X139" s="68"/>
      <c r="Y139" s="68"/>
      <c r="Z139" s="68"/>
      <c r="AA139" s="68"/>
      <c r="AB139" s="68"/>
      <c r="AC139" s="224">
        <f t="shared" si="122"/>
        <v>0</v>
      </c>
      <c r="AD139" s="260">
        <f t="shared" si="123"/>
        <v>0</v>
      </c>
      <c r="AE139" s="210"/>
      <c r="AF139" s="210"/>
      <c r="AG139" s="210"/>
      <c r="AH139" s="210"/>
    </row>
    <row r="140" spans="1:34">
      <c r="A140" s="115" t="s">
        <v>2</v>
      </c>
      <c r="B140" s="115" t="s">
        <v>316</v>
      </c>
      <c r="C140" s="115"/>
      <c r="D140" s="10" t="s">
        <v>132</v>
      </c>
      <c r="E140" s="65"/>
      <c r="F140" s="131">
        <v>6109</v>
      </c>
      <c r="G140" s="131">
        <f t="shared" si="124"/>
        <v>555.36363636363637</v>
      </c>
      <c r="H140" s="137">
        <f t="shared" si="120"/>
        <v>6664.363636363636</v>
      </c>
      <c r="I140" s="134"/>
      <c r="J140" s="137">
        <f>225*12</f>
        <v>2700</v>
      </c>
      <c r="K140" s="131"/>
      <c r="L140" s="74"/>
      <c r="M140" s="74"/>
      <c r="N140" s="68">
        <v>0</v>
      </c>
      <c r="O140" s="68">
        <v>0</v>
      </c>
      <c r="P140" s="68">
        <v>0</v>
      </c>
      <c r="Q140" s="68">
        <v>0</v>
      </c>
      <c r="R140" s="68">
        <v>0</v>
      </c>
      <c r="S140" s="68">
        <v>0</v>
      </c>
      <c r="T140" s="68">
        <v>0</v>
      </c>
      <c r="U140" s="68">
        <v>0</v>
      </c>
      <c r="V140" s="68">
        <v>207.69230769230768</v>
      </c>
      <c r="W140" s="68"/>
      <c r="X140" s="68">
        <v>207.69230769230768</v>
      </c>
      <c r="Y140" s="68">
        <v>207.69230769230768</v>
      </c>
      <c r="Z140" s="68">
        <v>207.69230769230768</v>
      </c>
      <c r="AA140" s="68">
        <v>207.69230769230768</v>
      </c>
      <c r="AB140" s="68">
        <v>207.69230769230768</v>
      </c>
      <c r="AC140" s="224">
        <f t="shared" si="122"/>
        <v>1038.4615384615383</v>
      </c>
      <c r="AD140" s="260">
        <f t="shared" si="123"/>
        <v>9.1343792017087094E-4</v>
      </c>
      <c r="AE140" s="210"/>
      <c r="AF140" s="210"/>
      <c r="AG140" s="210"/>
      <c r="AH140" s="210"/>
    </row>
    <row r="141" spans="1:34">
      <c r="A141" s="115"/>
      <c r="B141" s="115"/>
      <c r="C141" s="115"/>
      <c r="D141" s="10" t="s">
        <v>317</v>
      </c>
      <c r="E141" s="65"/>
      <c r="F141" s="131"/>
      <c r="G141" s="131">
        <f t="shared" si="124"/>
        <v>0</v>
      </c>
      <c r="H141" s="247">
        <f t="shared" si="120"/>
        <v>0</v>
      </c>
      <c r="I141" s="134"/>
      <c r="J141" s="137">
        <v>0</v>
      </c>
      <c r="K141" s="131"/>
      <c r="L141" s="74"/>
      <c r="M141" s="74"/>
      <c r="N141" s="68" t="s">
        <v>318</v>
      </c>
      <c r="O141" s="68" t="s">
        <v>318</v>
      </c>
      <c r="P141" s="68" t="s">
        <v>318</v>
      </c>
      <c r="Q141" s="68" t="s">
        <v>318</v>
      </c>
      <c r="R141" s="68" t="s">
        <v>318</v>
      </c>
      <c r="S141" s="68" t="s">
        <v>318</v>
      </c>
      <c r="T141" s="68" t="s">
        <v>318</v>
      </c>
      <c r="U141" s="68" t="s">
        <v>318</v>
      </c>
      <c r="V141" s="68" t="s">
        <v>318</v>
      </c>
      <c r="W141" s="68"/>
      <c r="X141" s="68" t="s">
        <v>318</v>
      </c>
      <c r="Y141" s="68" t="s">
        <v>318</v>
      </c>
      <c r="Z141" s="68" t="s">
        <v>318</v>
      </c>
      <c r="AA141" s="68" t="s">
        <v>318</v>
      </c>
      <c r="AB141" s="68" t="s">
        <v>318</v>
      </c>
      <c r="AC141" s="224">
        <f t="shared" si="122"/>
        <v>0</v>
      </c>
      <c r="AD141" s="260">
        <f t="shared" si="123"/>
        <v>0</v>
      </c>
      <c r="AE141" s="210"/>
      <c r="AF141" s="210" t="s">
        <v>247</v>
      </c>
      <c r="AG141" s="210"/>
      <c r="AH141" s="210"/>
    </row>
    <row r="142" spans="1:34">
      <c r="A142" s="115"/>
      <c r="B142" s="115" t="s">
        <v>319</v>
      </c>
      <c r="C142" s="115"/>
      <c r="D142" s="10" t="s">
        <v>133</v>
      </c>
      <c r="E142" s="65">
        <v>2400</v>
      </c>
      <c r="F142" s="131">
        <v>7160.96</v>
      </c>
      <c r="G142" s="131">
        <f t="shared" si="124"/>
        <v>650.99636363636364</v>
      </c>
      <c r="H142" s="247">
        <f t="shared" si="120"/>
        <v>7811.9563636363637</v>
      </c>
      <c r="I142" s="134"/>
      <c r="J142" s="137">
        <v>3500</v>
      </c>
      <c r="K142" s="131"/>
      <c r="L142" s="74"/>
      <c r="M142" s="74"/>
      <c r="N142" s="68">
        <v>0</v>
      </c>
      <c r="O142" s="68">
        <v>0</v>
      </c>
      <c r="P142" s="68">
        <v>0</v>
      </c>
      <c r="Q142" s="68">
        <v>0</v>
      </c>
      <c r="R142" s="68">
        <v>0</v>
      </c>
      <c r="S142" s="68">
        <v>0</v>
      </c>
      <c r="T142" s="68">
        <v>0</v>
      </c>
      <c r="U142" s="68">
        <v>0</v>
      </c>
      <c r="V142" s="68">
        <f t="shared" ref="T142:AB153" si="125">$J142/13</f>
        <v>269.23076923076923</v>
      </c>
      <c r="W142" s="68"/>
      <c r="X142" s="68">
        <f t="shared" si="125"/>
        <v>269.23076923076923</v>
      </c>
      <c r="Y142" s="68">
        <f t="shared" si="125"/>
        <v>269.23076923076923</v>
      </c>
      <c r="Z142" s="68">
        <f t="shared" si="125"/>
        <v>269.23076923076923</v>
      </c>
      <c r="AA142" s="68">
        <f t="shared" si="125"/>
        <v>269.23076923076923</v>
      </c>
      <c r="AB142" s="68">
        <f t="shared" si="125"/>
        <v>269.23076923076923</v>
      </c>
      <c r="AC142" s="224">
        <f t="shared" si="122"/>
        <v>1346.1538461538462</v>
      </c>
      <c r="AD142" s="260">
        <f t="shared" si="123"/>
        <v>1.1840861928140922E-3</v>
      </c>
      <c r="AE142" s="210"/>
      <c r="AF142" s="210" t="s">
        <v>247</v>
      </c>
      <c r="AG142" s="210"/>
      <c r="AH142" s="210"/>
    </row>
    <row r="143" spans="1:34">
      <c r="A143" s="115"/>
      <c r="B143" s="115" t="s">
        <v>320</v>
      </c>
      <c r="C143" s="115"/>
      <c r="D143" s="10" t="s">
        <v>134</v>
      </c>
      <c r="E143" s="65">
        <v>3120</v>
      </c>
      <c r="F143" s="131">
        <v>7870.2</v>
      </c>
      <c r="G143" s="131">
        <f t="shared" si="124"/>
        <v>715.4727272727273</v>
      </c>
      <c r="H143" s="247">
        <f t="shared" si="120"/>
        <v>8585.6727272727276</v>
      </c>
      <c r="I143" s="248"/>
      <c r="J143" s="137">
        <v>9583</v>
      </c>
      <c r="K143" s="131"/>
      <c r="L143" s="74"/>
      <c r="M143" s="74"/>
      <c r="N143" s="68">
        <v>0</v>
      </c>
      <c r="O143" s="68">
        <v>0</v>
      </c>
      <c r="P143" s="68">
        <v>0</v>
      </c>
      <c r="Q143" s="68">
        <v>0</v>
      </c>
      <c r="R143" s="68">
        <v>0</v>
      </c>
      <c r="S143" s="68">
        <v>0</v>
      </c>
      <c r="T143" s="68">
        <v>737</v>
      </c>
      <c r="U143" s="68">
        <v>737</v>
      </c>
      <c r="V143" s="68">
        <f t="shared" si="125"/>
        <v>737.15384615384619</v>
      </c>
      <c r="W143" s="68"/>
      <c r="X143" s="68">
        <f t="shared" si="125"/>
        <v>737.15384615384619</v>
      </c>
      <c r="Y143" s="68">
        <f t="shared" si="125"/>
        <v>737.15384615384619</v>
      </c>
      <c r="Z143" s="68">
        <f t="shared" si="125"/>
        <v>737.15384615384619</v>
      </c>
      <c r="AA143" s="68">
        <f t="shared" si="125"/>
        <v>737.15384615384619</v>
      </c>
      <c r="AB143" s="68">
        <f t="shared" si="125"/>
        <v>737.15384615384619</v>
      </c>
      <c r="AC143" s="224">
        <f t="shared" si="122"/>
        <v>3685.7692307692309</v>
      </c>
      <c r="AD143" s="260">
        <f t="shared" si="123"/>
        <v>3.2420279959249846E-3</v>
      </c>
      <c r="AE143" s="210"/>
      <c r="AF143" s="210"/>
      <c r="AG143" s="210"/>
      <c r="AH143" s="210"/>
    </row>
    <row r="144" spans="1:34">
      <c r="A144" s="115"/>
      <c r="B144" s="115" t="s">
        <v>321</v>
      </c>
      <c r="C144" s="115"/>
      <c r="D144" s="10" t="s">
        <v>135</v>
      </c>
      <c r="E144" s="65">
        <v>3600</v>
      </c>
      <c r="F144" s="131">
        <v>180.51</v>
      </c>
      <c r="G144" s="131">
        <f t="shared" si="124"/>
        <v>16.41</v>
      </c>
      <c r="H144" s="247">
        <f t="shared" si="120"/>
        <v>196.92</v>
      </c>
      <c r="I144" s="248"/>
      <c r="J144" s="137">
        <f t="shared" ref="J144:J152" si="126">H144*1.03</f>
        <v>202.82759999999999</v>
      </c>
      <c r="K144" s="131"/>
      <c r="L144" s="74"/>
      <c r="M144" s="74"/>
      <c r="N144" s="68">
        <v>0</v>
      </c>
      <c r="O144" s="68">
        <v>0</v>
      </c>
      <c r="P144" s="68">
        <v>0</v>
      </c>
      <c r="Q144" s="68">
        <v>0</v>
      </c>
      <c r="R144" s="68">
        <v>0</v>
      </c>
      <c r="S144" s="68">
        <v>0</v>
      </c>
      <c r="T144" s="68">
        <v>0</v>
      </c>
      <c r="U144" s="68">
        <v>0</v>
      </c>
      <c r="V144" s="68">
        <f t="shared" si="125"/>
        <v>15.602123076923077</v>
      </c>
      <c r="W144" s="68"/>
      <c r="X144" s="68">
        <f t="shared" si="125"/>
        <v>15.602123076923077</v>
      </c>
      <c r="Y144" s="68">
        <f t="shared" si="125"/>
        <v>15.602123076923077</v>
      </c>
      <c r="Z144" s="68">
        <f t="shared" si="125"/>
        <v>15.602123076923077</v>
      </c>
      <c r="AA144" s="68">
        <f t="shared" si="125"/>
        <v>15.602123076923077</v>
      </c>
      <c r="AB144" s="68">
        <f t="shared" si="125"/>
        <v>15.602123076923077</v>
      </c>
      <c r="AC144" s="224">
        <f t="shared" si="122"/>
        <v>78.010615384615377</v>
      </c>
      <c r="AD144" s="260">
        <f t="shared" si="123"/>
        <v>6.8618674480462719E-5</v>
      </c>
      <c r="AE144" s="210"/>
      <c r="AF144" s="210" t="s">
        <v>247</v>
      </c>
      <c r="AG144" s="210"/>
      <c r="AH144" s="210"/>
    </row>
    <row r="145" spans="1:34" ht="17.100000000000001" thickBot="1">
      <c r="A145" s="115"/>
      <c r="B145" s="115" t="s">
        <v>322</v>
      </c>
      <c r="C145" s="115"/>
      <c r="D145" s="10" t="s">
        <v>136</v>
      </c>
      <c r="E145" s="87">
        <v>135500</v>
      </c>
      <c r="F145" s="171">
        <v>88804.15</v>
      </c>
      <c r="G145" s="171">
        <f t="shared" si="124"/>
        <v>8073.1045454545447</v>
      </c>
      <c r="H145" s="247">
        <f t="shared" si="120"/>
        <v>96877.254545454532</v>
      </c>
      <c r="I145" s="275">
        <f>H145/$H$30</f>
        <v>3.030547250586331E-2</v>
      </c>
      <c r="J145" s="68">
        <f>0.022*J30</f>
        <v>25011.172999999999</v>
      </c>
      <c r="K145" s="275">
        <f t="shared" ref="K145" si="127">J145/$J$30</f>
        <v>2.1999999999999999E-2</v>
      </c>
      <c r="L145" s="74"/>
      <c r="M145" s="74"/>
      <c r="N145" s="68">
        <f t="shared" ref="N145:V145" si="128">0.022*N30</f>
        <v>0</v>
      </c>
      <c r="O145" s="68">
        <f t="shared" si="128"/>
        <v>0</v>
      </c>
      <c r="P145" s="68">
        <f t="shared" si="128"/>
        <v>0</v>
      </c>
      <c r="Q145" s="68">
        <f t="shared" si="128"/>
        <v>0</v>
      </c>
      <c r="R145" s="68">
        <f t="shared" si="128"/>
        <v>0</v>
      </c>
      <c r="S145" s="68">
        <f t="shared" si="128"/>
        <v>0</v>
      </c>
      <c r="T145" s="68">
        <f t="shared" si="128"/>
        <v>0</v>
      </c>
      <c r="U145" s="68">
        <f t="shared" si="128"/>
        <v>0</v>
      </c>
      <c r="V145" s="68">
        <f t="shared" si="128"/>
        <v>0</v>
      </c>
      <c r="W145" s="68"/>
      <c r="X145" s="68">
        <f>0.022*X30</f>
        <v>2613.105</v>
      </c>
      <c r="Y145" s="68">
        <f>0.022*Y30</f>
        <v>5226.21</v>
      </c>
      <c r="Z145" s="68">
        <f>0.022*Z30</f>
        <v>5226.21</v>
      </c>
      <c r="AA145" s="68">
        <f>0.022*AA30</f>
        <v>5972.8239999999996</v>
      </c>
      <c r="AB145" s="68">
        <f>0.022*AB30</f>
        <v>5972.8239999999996</v>
      </c>
      <c r="AC145" s="224">
        <f t="shared" si="122"/>
        <v>25011.173000000003</v>
      </c>
      <c r="AD145" s="260">
        <f t="shared" si="123"/>
        <v>2.2000000000000002E-2</v>
      </c>
      <c r="AE145" s="210"/>
      <c r="AF145" s="210" t="s">
        <v>247</v>
      </c>
      <c r="AG145" s="210"/>
      <c r="AH145" s="210"/>
    </row>
    <row r="146" spans="1:34" ht="17.100000000000001" thickTop="1">
      <c r="A146" s="115"/>
      <c r="B146" s="115" t="s">
        <v>323</v>
      </c>
      <c r="C146" s="115"/>
      <c r="D146" s="10" t="s">
        <v>137</v>
      </c>
      <c r="E146" s="65">
        <v>2800</v>
      </c>
      <c r="F146" s="131">
        <v>1618.13</v>
      </c>
      <c r="G146" s="131">
        <f t="shared" si="124"/>
        <v>147.10272727272729</v>
      </c>
      <c r="H146" s="247">
        <f t="shared" si="120"/>
        <v>1765.2327272727275</v>
      </c>
      <c r="I146" s="248"/>
      <c r="J146" s="137">
        <v>1250</v>
      </c>
      <c r="K146" s="131"/>
      <c r="L146" s="74"/>
      <c r="M146" s="74"/>
      <c r="N146" s="68">
        <v>0</v>
      </c>
      <c r="O146" s="68">
        <v>0</v>
      </c>
      <c r="P146" s="68">
        <v>0</v>
      </c>
      <c r="Q146" s="68">
        <v>0</v>
      </c>
      <c r="R146" s="68">
        <v>0</v>
      </c>
      <c r="S146" s="68">
        <v>0</v>
      </c>
      <c r="T146" s="68">
        <v>0</v>
      </c>
      <c r="U146" s="68">
        <v>0</v>
      </c>
      <c r="V146" s="68">
        <f t="shared" si="125"/>
        <v>96.15384615384616</v>
      </c>
      <c r="W146" s="68"/>
      <c r="X146" s="68">
        <f t="shared" si="125"/>
        <v>96.15384615384616</v>
      </c>
      <c r="Y146" s="68">
        <f t="shared" si="125"/>
        <v>96.15384615384616</v>
      </c>
      <c r="Z146" s="68">
        <f t="shared" si="125"/>
        <v>96.15384615384616</v>
      </c>
      <c r="AA146" s="68">
        <f t="shared" si="125"/>
        <v>96.15384615384616</v>
      </c>
      <c r="AB146" s="68">
        <f t="shared" si="125"/>
        <v>96.15384615384616</v>
      </c>
      <c r="AC146" s="224">
        <f t="shared" si="122"/>
        <v>480.76923076923083</v>
      </c>
      <c r="AD146" s="260">
        <f t="shared" si="123"/>
        <v>4.2288792600503295E-4</v>
      </c>
      <c r="AE146" s="210"/>
      <c r="AF146" s="210" t="s">
        <v>276</v>
      </c>
      <c r="AG146" s="210"/>
      <c r="AH146" s="210"/>
    </row>
    <row r="147" spans="1:34">
      <c r="A147" s="115"/>
      <c r="B147" s="115" t="s">
        <v>324</v>
      </c>
      <c r="C147" s="115"/>
      <c r="D147" s="10" t="s">
        <v>138</v>
      </c>
      <c r="E147" s="87">
        <v>13920</v>
      </c>
      <c r="F147" s="171">
        <v>29884.71</v>
      </c>
      <c r="G147" s="171">
        <f t="shared" si="124"/>
        <v>2716.7918181818181</v>
      </c>
      <c r="H147" s="247">
        <f t="shared" si="120"/>
        <v>32601.501818181816</v>
      </c>
      <c r="I147" s="248"/>
      <c r="J147" s="137">
        <v>20340</v>
      </c>
      <c r="K147" s="131"/>
      <c r="L147" s="74"/>
      <c r="M147" s="74"/>
      <c r="N147" s="68">
        <v>0</v>
      </c>
      <c r="O147" s="68">
        <v>0</v>
      </c>
      <c r="P147" s="68">
        <v>0</v>
      </c>
      <c r="Q147" s="68">
        <v>0</v>
      </c>
      <c r="R147" s="68">
        <v>0</v>
      </c>
      <c r="S147" s="68">
        <v>0</v>
      </c>
      <c r="T147" s="68">
        <v>892</v>
      </c>
      <c r="U147" s="68">
        <v>892</v>
      </c>
      <c r="V147" s="68">
        <v>892</v>
      </c>
      <c r="W147" s="68"/>
      <c r="X147" s="68">
        <v>892</v>
      </c>
      <c r="Y147" s="68">
        <f t="shared" si="125"/>
        <v>1564.6153846153845</v>
      </c>
      <c r="Z147" s="68">
        <f t="shared" si="125"/>
        <v>1564.6153846153845</v>
      </c>
      <c r="AA147" s="68">
        <f t="shared" si="125"/>
        <v>1564.6153846153845</v>
      </c>
      <c r="AB147" s="68">
        <f t="shared" si="125"/>
        <v>1564.6153846153845</v>
      </c>
      <c r="AC147" s="224">
        <f t="shared" si="122"/>
        <v>7150.461538461539</v>
      </c>
      <c r="AD147" s="260">
        <f t="shared" si="123"/>
        <v>6.2895952079558151E-3</v>
      </c>
      <c r="AE147" s="210"/>
      <c r="AF147" s="210" t="s">
        <v>325</v>
      </c>
      <c r="AG147" s="210"/>
      <c r="AH147" s="210"/>
    </row>
    <row r="148" spans="1:34">
      <c r="A148" s="115"/>
      <c r="B148" s="115" t="s">
        <v>326</v>
      </c>
      <c r="C148" s="115"/>
      <c r="D148" s="10" t="s">
        <v>139</v>
      </c>
      <c r="E148" s="65">
        <v>4200</v>
      </c>
      <c r="F148" s="131">
        <v>3930.7</v>
      </c>
      <c r="G148" s="131">
        <f t="shared" si="124"/>
        <v>357.33636363636361</v>
      </c>
      <c r="H148" s="247">
        <f t="shared" si="120"/>
        <v>4288.0363636363636</v>
      </c>
      <c r="I148" s="248"/>
      <c r="J148" s="137">
        <v>3536</v>
      </c>
      <c r="K148" s="131"/>
      <c r="L148" s="74"/>
      <c r="M148" s="74"/>
      <c r="N148" s="68">
        <v>0</v>
      </c>
      <c r="O148" s="68">
        <v>0</v>
      </c>
      <c r="P148" s="68">
        <v>0</v>
      </c>
      <c r="Q148" s="68">
        <v>0</v>
      </c>
      <c r="R148" s="68">
        <v>0</v>
      </c>
      <c r="S148" s="68">
        <v>0</v>
      </c>
      <c r="T148" s="68">
        <v>0</v>
      </c>
      <c r="U148" s="68">
        <v>0</v>
      </c>
      <c r="V148" s="68">
        <f t="shared" si="125"/>
        <v>272</v>
      </c>
      <c r="W148" s="68"/>
      <c r="X148" s="68">
        <f t="shared" si="125"/>
        <v>272</v>
      </c>
      <c r="Y148" s="68">
        <f t="shared" si="125"/>
        <v>272</v>
      </c>
      <c r="Z148" s="68">
        <f t="shared" si="125"/>
        <v>272</v>
      </c>
      <c r="AA148" s="68">
        <f t="shared" si="125"/>
        <v>272</v>
      </c>
      <c r="AB148" s="68">
        <f t="shared" si="125"/>
        <v>272</v>
      </c>
      <c r="AC148" s="224">
        <f t="shared" si="122"/>
        <v>1360</v>
      </c>
      <c r="AD148" s="260">
        <f t="shared" si="123"/>
        <v>1.1962653650830371E-3</v>
      </c>
      <c r="AE148" s="210"/>
      <c r="AF148" s="276" t="s">
        <v>255</v>
      </c>
      <c r="AG148" s="210"/>
      <c r="AH148" s="210"/>
    </row>
    <row r="149" spans="1:34">
      <c r="A149" s="115"/>
      <c r="B149" s="115" t="s">
        <v>327</v>
      </c>
      <c r="C149" s="115"/>
      <c r="D149" s="10" t="s">
        <v>140</v>
      </c>
      <c r="E149" s="65">
        <f>3600+7000</f>
        <v>10600</v>
      </c>
      <c r="F149" s="131">
        <v>3245.65</v>
      </c>
      <c r="G149" s="131">
        <f t="shared" si="124"/>
        <v>295.05909090909091</v>
      </c>
      <c r="H149" s="247">
        <f t="shared" si="120"/>
        <v>3540.7090909090912</v>
      </c>
      <c r="I149" s="248"/>
      <c r="J149" s="137">
        <f t="shared" si="126"/>
        <v>3646.9303636363638</v>
      </c>
      <c r="K149" s="131"/>
      <c r="L149" s="74"/>
      <c r="M149" s="74"/>
      <c r="N149" s="68">
        <v>0</v>
      </c>
      <c r="O149" s="68">
        <v>0</v>
      </c>
      <c r="P149" s="68">
        <v>0</v>
      </c>
      <c r="Q149" s="68">
        <v>0</v>
      </c>
      <c r="R149" s="68">
        <v>0</v>
      </c>
      <c r="S149" s="68">
        <v>0</v>
      </c>
      <c r="T149" s="68">
        <v>0</v>
      </c>
      <c r="U149" s="68">
        <v>0</v>
      </c>
      <c r="V149" s="68">
        <f t="shared" si="125"/>
        <v>280.53310489510488</v>
      </c>
      <c r="W149" s="68"/>
      <c r="X149" s="68">
        <f t="shared" si="125"/>
        <v>280.53310489510488</v>
      </c>
      <c r="Y149" s="68">
        <f t="shared" si="125"/>
        <v>280.53310489510488</v>
      </c>
      <c r="Z149" s="68">
        <f t="shared" si="125"/>
        <v>280.53310489510488</v>
      </c>
      <c r="AA149" s="68">
        <f t="shared" si="125"/>
        <v>280.53310489510488</v>
      </c>
      <c r="AB149" s="68">
        <f t="shared" si="125"/>
        <v>280.53310489510488</v>
      </c>
      <c r="AC149" s="224">
        <f t="shared" si="122"/>
        <v>1402.6655244755243</v>
      </c>
      <c r="AD149" s="260">
        <f t="shared" si="123"/>
        <v>1.2337942542103696E-3</v>
      </c>
      <c r="AE149" s="210"/>
      <c r="AF149" s="210" t="s">
        <v>247</v>
      </c>
      <c r="AG149" s="210"/>
      <c r="AH149" s="210"/>
    </row>
    <row r="150" spans="1:34">
      <c r="A150" s="115"/>
      <c r="B150" s="115"/>
      <c r="C150" s="115"/>
      <c r="D150" s="10" t="s">
        <v>141</v>
      </c>
      <c r="E150" s="65">
        <v>3600</v>
      </c>
      <c r="F150" s="131">
        <v>139</v>
      </c>
      <c r="G150" s="131">
        <f t="shared" si="124"/>
        <v>12.636363636363637</v>
      </c>
      <c r="H150" s="247">
        <f t="shared" si="120"/>
        <v>151.63636363636363</v>
      </c>
      <c r="I150" s="248"/>
      <c r="J150" s="137">
        <v>7220</v>
      </c>
      <c r="K150" s="131"/>
      <c r="L150" s="74"/>
      <c r="M150" s="74"/>
      <c r="N150" s="68">
        <v>0</v>
      </c>
      <c r="O150" s="68">
        <v>0</v>
      </c>
      <c r="P150" s="68">
        <v>0</v>
      </c>
      <c r="Q150" s="68">
        <v>0</v>
      </c>
      <c r="R150" s="68">
        <v>0</v>
      </c>
      <c r="S150" s="68">
        <v>0</v>
      </c>
      <c r="T150" s="68">
        <v>10500</v>
      </c>
      <c r="U150" s="68">
        <v>0</v>
      </c>
      <c r="V150" s="68">
        <f t="shared" si="125"/>
        <v>555.38461538461536</v>
      </c>
      <c r="W150" s="68"/>
      <c r="X150" s="68">
        <f t="shared" si="125"/>
        <v>555.38461538461536</v>
      </c>
      <c r="Y150" s="68">
        <f t="shared" si="125"/>
        <v>555.38461538461536</v>
      </c>
      <c r="Z150" s="68">
        <f t="shared" si="125"/>
        <v>555.38461538461536</v>
      </c>
      <c r="AA150" s="68">
        <f t="shared" si="125"/>
        <v>555.38461538461536</v>
      </c>
      <c r="AB150" s="68">
        <f t="shared" si="125"/>
        <v>555.38461538461536</v>
      </c>
      <c r="AC150" s="224">
        <f t="shared" si="122"/>
        <v>2776.9230769230767</v>
      </c>
      <c r="AD150" s="260">
        <f t="shared" si="123"/>
        <v>2.4426006606050698E-3</v>
      </c>
      <c r="AE150" s="210"/>
      <c r="AF150" s="210" t="s">
        <v>2</v>
      </c>
      <c r="AG150" s="210"/>
      <c r="AH150" s="210"/>
    </row>
    <row r="151" spans="1:34">
      <c r="A151" s="115"/>
      <c r="B151" s="115" t="s">
        <v>328</v>
      </c>
      <c r="C151" s="115"/>
      <c r="D151" s="10" t="s">
        <v>142</v>
      </c>
      <c r="E151" s="65"/>
      <c r="F151" s="131">
        <v>371</v>
      </c>
      <c r="G151" s="131">
        <f t="shared" si="124"/>
        <v>33.727272727272727</v>
      </c>
      <c r="H151" s="247">
        <f t="shared" si="120"/>
        <v>404.72727272727275</v>
      </c>
      <c r="I151" s="248"/>
      <c r="J151" s="137">
        <v>0</v>
      </c>
      <c r="K151" s="131"/>
      <c r="L151" s="74"/>
      <c r="M151" s="74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68"/>
      <c r="AC151" s="224">
        <f t="shared" si="122"/>
        <v>0</v>
      </c>
      <c r="AD151" s="260">
        <f t="shared" si="123"/>
        <v>0</v>
      </c>
      <c r="AE151" s="210"/>
      <c r="AF151" s="210"/>
      <c r="AG151" s="210"/>
      <c r="AH151" s="210"/>
    </row>
    <row r="152" spans="1:34">
      <c r="A152" s="115"/>
      <c r="B152" s="115" t="s">
        <v>329</v>
      </c>
      <c r="C152" s="115"/>
      <c r="D152" s="10" t="s">
        <v>143</v>
      </c>
      <c r="E152" s="65">
        <v>600</v>
      </c>
      <c r="F152" s="131">
        <v>357.04</v>
      </c>
      <c r="G152" s="131">
        <f t="shared" si="124"/>
        <v>32.458181818181821</v>
      </c>
      <c r="H152" s="247">
        <f t="shared" si="120"/>
        <v>389.49818181818182</v>
      </c>
      <c r="I152" s="248"/>
      <c r="J152" s="137">
        <f t="shared" si="126"/>
        <v>401.18312727272729</v>
      </c>
      <c r="K152" s="131"/>
      <c r="L152" s="74"/>
      <c r="M152" s="74"/>
      <c r="N152" s="68">
        <v>0</v>
      </c>
      <c r="O152" s="68">
        <v>0</v>
      </c>
      <c r="P152" s="68">
        <v>0</v>
      </c>
      <c r="Q152" s="68">
        <v>0</v>
      </c>
      <c r="R152" s="68">
        <v>0</v>
      </c>
      <c r="S152" s="68">
        <v>0</v>
      </c>
      <c r="T152" s="68">
        <v>0</v>
      </c>
      <c r="U152" s="68">
        <v>0</v>
      </c>
      <c r="V152" s="68">
        <f t="shared" si="125"/>
        <v>30.860240559440562</v>
      </c>
      <c r="W152" s="68"/>
      <c r="X152" s="68">
        <f t="shared" si="125"/>
        <v>30.860240559440562</v>
      </c>
      <c r="Y152" s="68">
        <f t="shared" si="125"/>
        <v>30.860240559440562</v>
      </c>
      <c r="Z152" s="68">
        <f t="shared" si="125"/>
        <v>30.860240559440562</v>
      </c>
      <c r="AA152" s="68">
        <f t="shared" si="125"/>
        <v>30.860240559440562</v>
      </c>
      <c r="AB152" s="68">
        <f t="shared" si="125"/>
        <v>30.860240559440562</v>
      </c>
      <c r="AC152" s="224">
        <f t="shared" si="122"/>
        <v>154.30120279720282</v>
      </c>
      <c r="AD152" s="260">
        <f t="shared" si="123"/>
        <v>1.3572440051246146E-4</v>
      </c>
      <c r="AE152" s="210"/>
      <c r="AF152" s="210" t="s">
        <v>330</v>
      </c>
      <c r="AG152" s="210"/>
      <c r="AH152" s="210"/>
    </row>
    <row r="153" spans="1:34">
      <c r="A153" s="115" t="s">
        <v>2</v>
      </c>
      <c r="B153" s="115" t="s">
        <v>331</v>
      </c>
      <c r="C153" s="115"/>
      <c r="D153" s="10" t="s">
        <v>144</v>
      </c>
      <c r="E153" s="65">
        <v>5400</v>
      </c>
      <c r="F153" s="131">
        <v>4718.96</v>
      </c>
      <c r="G153" s="131">
        <f t="shared" si="124"/>
        <v>428.99636363636364</v>
      </c>
      <c r="H153" s="247">
        <f t="shared" si="120"/>
        <v>5147.9563636363637</v>
      </c>
      <c r="I153" s="248"/>
      <c r="J153" s="137">
        <v>10407</v>
      </c>
      <c r="K153" s="131"/>
      <c r="L153" s="74"/>
      <c r="M153" s="74"/>
      <c r="N153" s="68">
        <v>0</v>
      </c>
      <c r="O153" s="68">
        <v>0</v>
      </c>
      <c r="P153" s="68">
        <v>0</v>
      </c>
      <c r="Q153" s="68">
        <v>0</v>
      </c>
      <c r="R153" s="68">
        <v>0</v>
      </c>
      <c r="S153" s="68">
        <v>0</v>
      </c>
      <c r="T153" s="68">
        <f t="shared" si="125"/>
        <v>800.53846153846155</v>
      </c>
      <c r="U153" s="68">
        <f t="shared" si="125"/>
        <v>800.53846153846155</v>
      </c>
      <c r="V153" s="68">
        <f t="shared" si="125"/>
        <v>800.53846153846155</v>
      </c>
      <c r="W153" s="68"/>
      <c r="X153" s="68">
        <f t="shared" si="125"/>
        <v>800.53846153846155</v>
      </c>
      <c r="Y153" s="68">
        <f t="shared" si="125"/>
        <v>800.53846153846155</v>
      </c>
      <c r="Z153" s="68">
        <f t="shared" si="125"/>
        <v>800.53846153846155</v>
      </c>
      <c r="AA153" s="68">
        <f t="shared" si="125"/>
        <v>800.53846153846155</v>
      </c>
      <c r="AB153" s="68">
        <f t="shared" si="125"/>
        <v>800.53846153846155</v>
      </c>
      <c r="AC153" s="224">
        <f t="shared" si="122"/>
        <v>4002.6923076923076</v>
      </c>
      <c r="AD153" s="260">
        <f t="shared" si="123"/>
        <v>3.5207957167475018E-3</v>
      </c>
      <c r="AE153" s="210"/>
      <c r="AF153" s="210" t="s">
        <v>255</v>
      </c>
      <c r="AG153" s="210"/>
      <c r="AH153" s="210"/>
    </row>
    <row r="154" spans="1:34">
      <c r="A154" s="115"/>
      <c r="B154" s="115"/>
      <c r="C154" s="115"/>
      <c r="D154" s="10" t="s">
        <v>146</v>
      </c>
      <c r="E154" s="65"/>
      <c r="F154" s="131">
        <v>102</v>
      </c>
      <c r="G154" s="131">
        <f t="shared" si="124"/>
        <v>9.2727272727272734</v>
      </c>
      <c r="H154" s="247">
        <f t="shared" si="120"/>
        <v>111.27272727272728</v>
      </c>
      <c r="I154" s="248"/>
      <c r="J154" s="137"/>
      <c r="K154" s="131"/>
      <c r="L154" s="74"/>
      <c r="M154" s="74"/>
      <c r="N154" s="68"/>
      <c r="O154" s="68"/>
      <c r="P154" s="68"/>
      <c r="Q154" s="68"/>
      <c r="R154" s="68"/>
      <c r="S154" s="68"/>
      <c r="T154" s="68"/>
      <c r="U154" s="68"/>
      <c r="V154" s="68"/>
      <c r="W154" s="68"/>
      <c r="X154" s="68"/>
      <c r="Y154" s="68"/>
      <c r="Z154" s="68"/>
      <c r="AA154" s="68"/>
      <c r="AB154" s="68"/>
      <c r="AC154" s="274"/>
      <c r="AD154" s="260"/>
      <c r="AE154" s="210"/>
      <c r="AF154" s="210"/>
      <c r="AG154" s="210"/>
      <c r="AH154" s="210"/>
    </row>
    <row r="155" spans="1:34" s="3" customFormat="1" ht="17.100000000000001" thickBot="1">
      <c r="A155" s="115" t="s">
        <v>2</v>
      </c>
      <c r="B155" s="115"/>
      <c r="C155" s="115"/>
      <c r="D155" s="11" t="s">
        <v>147</v>
      </c>
      <c r="E155" s="157"/>
      <c r="F155" s="141">
        <f>SUM(F138:F154)</f>
        <v>196819.76</v>
      </c>
      <c r="G155" s="141">
        <f>SUM(G138:G154)</f>
        <v>17892.705454545456</v>
      </c>
      <c r="H155" s="141">
        <f>SUM(H138:H154)</f>
        <v>214712.46545454545</v>
      </c>
      <c r="I155" s="265">
        <f t="shared" ref="I155" si="129">H155/$J$30</f>
        <v>0.18886256314328001</v>
      </c>
      <c r="J155" s="141">
        <f t="shared" ref="J155" si="130">SUM(J138:J153)</f>
        <v>113538.11409090909</v>
      </c>
      <c r="K155" s="266">
        <f>J155/$J$30</f>
        <v>9.9868906988088882E-2</v>
      </c>
      <c r="L155" s="157"/>
      <c r="M155" s="140">
        <v>198529</v>
      </c>
      <c r="N155" s="69">
        <f t="shared" ref="N155:AD155" si="131">SUM(N138:N153)</f>
        <v>0</v>
      </c>
      <c r="O155" s="69">
        <f t="shared" si="131"/>
        <v>0</v>
      </c>
      <c r="P155" s="69">
        <f t="shared" si="131"/>
        <v>0</v>
      </c>
      <c r="Q155" s="69">
        <f t="shared" si="131"/>
        <v>0</v>
      </c>
      <c r="R155" s="69">
        <f t="shared" si="131"/>
        <v>0</v>
      </c>
      <c r="S155" s="69">
        <f t="shared" si="131"/>
        <v>0</v>
      </c>
      <c r="T155" s="69">
        <f t="shared" si="131"/>
        <v>14909.538461538461</v>
      </c>
      <c r="U155" s="69">
        <f t="shared" si="131"/>
        <v>4409.5384615384619</v>
      </c>
      <c r="V155" s="69">
        <f t="shared" si="131"/>
        <v>5147.1493146853145</v>
      </c>
      <c r="W155" s="69"/>
      <c r="X155" s="69">
        <f t="shared" ref="X155" si="132">SUM(X138:X153)</f>
        <v>7760.2543146853131</v>
      </c>
      <c r="Y155" s="69">
        <f t="shared" si="131"/>
        <v>12035.974699300699</v>
      </c>
      <c r="Z155" s="69">
        <f t="shared" si="131"/>
        <v>12035.974699300699</v>
      </c>
      <c r="AA155" s="69">
        <f t="shared" si="131"/>
        <v>12782.588699300697</v>
      </c>
      <c r="AB155" s="69">
        <f t="shared" si="131"/>
        <v>12782.588699300697</v>
      </c>
      <c r="AC155" s="69">
        <f>SUM(AC138:AC153)</f>
        <v>57397.381111888113</v>
      </c>
      <c r="AD155" s="172">
        <f t="shared" si="131"/>
        <v>5.0487131669575767E-2</v>
      </c>
      <c r="AE155" s="3" t="s">
        <v>246</v>
      </c>
      <c r="AH155" s="118">
        <f>SUM(X155:AB155)</f>
        <v>57397.381111888113</v>
      </c>
    </row>
    <row r="156" spans="1:34" s="3" customFormat="1" ht="17.100000000000001" thickTop="1">
      <c r="A156" s="115" t="s">
        <v>2</v>
      </c>
      <c r="B156" s="115"/>
      <c r="C156" s="115"/>
      <c r="D156" s="9"/>
      <c r="E156" s="129"/>
      <c r="F156" s="126"/>
      <c r="G156" s="159"/>
      <c r="H156" s="160"/>
      <c r="I156" s="161"/>
      <c r="J156" s="160"/>
      <c r="K156" s="159"/>
      <c r="L156" s="129"/>
      <c r="M156" s="129"/>
      <c r="N156" s="85"/>
      <c r="O156" s="85"/>
      <c r="P156" s="85"/>
      <c r="Q156" s="85"/>
      <c r="R156" s="85"/>
      <c r="S156" s="85"/>
      <c r="T156" s="85"/>
      <c r="U156" s="85"/>
      <c r="V156" s="85">
        <v>0</v>
      </c>
      <c r="W156" s="85"/>
      <c r="X156" s="85"/>
      <c r="Y156" s="85"/>
      <c r="Z156" s="85"/>
      <c r="AA156" s="85"/>
      <c r="AB156" s="85"/>
      <c r="AC156" s="118"/>
    </row>
    <row r="157" spans="1:34" s="3" customFormat="1">
      <c r="A157" s="115"/>
      <c r="B157" s="115"/>
      <c r="C157" s="115"/>
      <c r="D157" s="9"/>
      <c r="E157" s="129"/>
      <c r="F157" s="126"/>
      <c r="G157" s="159"/>
      <c r="H157" s="160"/>
      <c r="I157" s="161"/>
      <c r="J157" s="160"/>
      <c r="K157" s="159"/>
      <c r="L157" s="129"/>
      <c r="M157" s="129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  <c r="AA157" s="85"/>
      <c r="AB157" s="85"/>
      <c r="AC157" s="118"/>
    </row>
    <row r="158" spans="1:34" s="3" customFormat="1">
      <c r="A158" s="115"/>
      <c r="B158" s="115"/>
      <c r="C158" s="115"/>
      <c r="D158" s="9" t="s">
        <v>332</v>
      </c>
      <c r="E158" s="129"/>
      <c r="F158" s="126"/>
      <c r="G158" s="159"/>
      <c r="H158" s="160"/>
      <c r="I158" s="161"/>
      <c r="J158" s="160"/>
      <c r="K158" s="159"/>
      <c r="L158" s="129"/>
      <c r="M158" s="129"/>
      <c r="N158" s="2" t="s">
        <v>3</v>
      </c>
      <c r="O158" s="2" t="s">
        <v>4</v>
      </c>
      <c r="P158" s="2" t="s">
        <v>5</v>
      </c>
      <c r="Q158" s="2" t="s">
        <v>7</v>
      </c>
      <c r="R158" s="2" t="s">
        <v>8</v>
      </c>
      <c r="S158" s="2" t="s">
        <v>9</v>
      </c>
      <c r="T158" s="2" t="s">
        <v>11</v>
      </c>
      <c r="U158" s="2" t="s">
        <v>12</v>
      </c>
      <c r="V158" s="2" t="s">
        <v>226</v>
      </c>
      <c r="W158" s="2"/>
      <c r="X158" s="2"/>
      <c r="Y158" s="2" t="s">
        <v>16</v>
      </c>
      <c r="Z158" s="2" t="s">
        <v>17</v>
      </c>
      <c r="AA158" s="2" t="s">
        <v>18</v>
      </c>
      <c r="AB158" s="2" t="s">
        <v>19</v>
      </c>
      <c r="AC158" s="2">
        <v>2020</v>
      </c>
    </row>
    <row r="159" spans="1:34" s="3" customFormat="1">
      <c r="A159" s="115"/>
      <c r="B159" s="115"/>
      <c r="C159" s="115"/>
      <c r="D159" s="9"/>
      <c r="E159" s="129"/>
      <c r="F159" s="126"/>
      <c r="G159" s="159"/>
      <c r="H159" s="160"/>
      <c r="I159" s="161"/>
      <c r="J159" s="160"/>
      <c r="K159" s="159"/>
      <c r="L159" s="129"/>
      <c r="M159" s="129"/>
      <c r="N159" s="226" t="s">
        <v>23</v>
      </c>
      <c r="O159" s="226" t="s">
        <v>23</v>
      </c>
      <c r="P159" s="226" t="s">
        <v>23</v>
      </c>
      <c r="Q159" s="226" t="s">
        <v>23</v>
      </c>
      <c r="R159" s="226" t="s">
        <v>23</v>
      </c>
      <c r="S159" s="226" t="s">
        <v>23</v>
      </c>
      <c r="T159" s="226" t="s">
        <v>23</v>
      </c>
      <c r="U159" s="226" t="s">
        <v>23</v>
      </c>
      <c r="V159" s="226" t="s">
        <v>23</v>
      </c>
      <c r="W159" s="226"/>
      <c r="X159" s="226"/>
      <c r="Y159" s="226" t="s">
        <v>23</v>
      </c>
      <c r="Z159" s="226" t="s">
        <v>23</v>
      </c>
      <c r="AA159" s="226" t="s">
        <v>23</v>
      </c>
      <c r="AB159" s="226" t="s">
        <v>23</v>
      </c>
      <c r="AC159" s="49" t="s">
        <v>233</v>
      </c>
    </row>
    <row r="160" spans="1:34" s="3" customFormat="1">
      <c r="A160" s="115"/>
      <c r="B160" s="115"/>
      <c r="C160" s="115"/>
      <c r="D160" s="9"/>
      <c r="E160" s="129"/>
      <c r="F160" s="126"/>
      <c r="G160" s="159"/>
      <c r="H160" s="160"/>
      <c r="I160" s="161"/>
      <c r="J160" s="160"/>
      <c r="K160" s="159"/>
      <c r="L160" s="129"/>
      <c r="M160" s="12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118"/>
    </row>
    <row r="161" spans="1:35">
      <c r="A161" s="115"/>
      <c r="B161" s="115"/>
      <c r="C161" s="115"/>
      <c r="D161" s="9" t="s">
        <v>148</v>
      </c>
      <c r="E161" s="65">
        <v>34000</v>
      </c>
      <c r="F161" s="131"/>
      <c r="G161" s="131"/>
      <c r="H161" s="137"/>
      <c r="I161" s="134"/>
      <c r="J161" s="137"/>
      <c r="K161" s="131"/>
      <c r="L161" s="74"/>
      <c r="M161" s="74"/>
      <c r="N161" s="68"/>
      <c r="O161" s="68"/>
      <c r="P161" s="68"/>
      <c r="Q161" s="68"/>
      <c r="R161" s="68"/>
      <c r="S161" s="68"/>
      <c r="T161" s="68"/>
      <c r="U161" s="68"/>
      <c r="V161" s="68"/>
      <c r="W161" s="68"/>
      <c r="X161" s="68"/>
      <c r="Y161" s="68"/>
      <c r="Z161" s="68"/>
      <c r="AA161" s="68"/>
      <c r="AB161" s="68"/>
      <c r="AC161" s="224"/>
      <c r="AD161" s="210"/>
      <c r="AE161" s="210"/>
      <c r="AF161" s="210"/>
      <c r="AG161" s="210"/>
      <c r="AH161" s="210"/>
      <c r="AI161" s="210"/>
    </row>
    <row r="162" spans="1:35">
      <c r="A162" s="115"/>
      <c r="B162" s="115" t="s">
        <v>333</v>
      </c>
      <c r="C162" s="115"/>
      <c r="D162" s="232" t="s">
        <v>149</v>
      </c>
      <c r="E162" s="208"/>
      <c r="F162" s="246">
        <v>30661.27</v>
      </c>
      <c r="G162" s="246">
        <f>F162/11</f>
        <v>2787.3881818181817</v>
      </c>
      <c r="H162" s="247">
        <f>F162+G162</f>
        <v>33448.65818181818</v>
      </c>
      <c r="I162" s="248"/>
      <c r="J162" s="247">
        <f>AC162</f>
        <v>0</v>
      </c>
      <c r="K162" s="131"/>
      <c r="L162" s="74"/>
      <c r="M162" s="74"/>
      <c r="N162" s="68">
        <v>0</v>
      </c>
      <c r="O162" s="68">
        <v>0</v>
      </c>
      <c r="P162" s="68">
        <v>0</v>
      </c>
      <c r="Q162" s="68">
        <v>0</v>
      </c>
      <c r="R162" s="68">
        <v>0</v>
      </c>
      <c r="S162" s="68">
        <v>0</v>
      </c>
      <c r="T162" s="68">
        <v>0</v>
      </c>
      <c r="U162" s="68">
        <v>0</v>
      </c>
      <c r="V162" s="68"/>
      <c r="W162" s="68"/>
      <c r="X162" s="68"/>
      <c r="Y162" s="68"/>
      <c r="Z162" s="68"/>
      <c r="AA162" s="68"/>
      <c r="AB162" s="68"/>
      <c r="AC162" s="224">
        <f>SUM(N162:AB162)</f>
        <v>0</v>
      </c>
      <c r="AD162" s="260">
        <f>AC162/$AD$30</f>
        <v>0</v>
      </c>
      <c r="AE162" s="210"/>
      <c r="AF162" s="210" t="s">
        <v>276</v>
      </c>
      <c r="AG162" s="210"/>
      <c r="AH162" s="210"/>
      <c r="AI162" s="210"/>
    </row>
    <row r="163" spans="1:35">
      <c r="A163" s="115"/>
      <c r="B163" s="115" t="s">
        <v>334</v>
      </c>
      <c r="C163" s="115"/>
      <c r="D163" s="232" t="s">
        <v>150</v>
      </c>
      <c r="E163" s="277"/>
      <c r="F163" s="278">
        <v>50516.7</v>
      </c>
      <c r="G163" s="278">
        <f>F163/11</f>
        <v>4592.4272727272728</v>
      </c>
      <c r="H163" s="247">
        <f>F163+G163</f>
        <v>55109.127272727274</v>
      </c>
      <c r="I163" s="248"/>
      <c r="J163" s="247">
        <f>AC163</f>
        <v>11723.076923076924</v>
      </c>
      <c r="K163" s="131"/>
      <c r="L163" s="74"/>
      <c r="M163" s="74"/>
      <c r="N163" s="68">
        <v>0</v>
      </c>
      <c r="O163" s="68">
        <v>0</v>
      </c>
      <c r="P163" s="68">
        <v>0</v>
      </c>
      <c r="Q163" s="68">
        <v>0</v>
      </c>
      <c r="R163" s="68">
        <v>0</v>
      </c>
      <c r="S163" s="68">
        <v>0</v>
      </c>
      <c r="T163" s="68">
        <v>0</v>
      </c>
      <c r="U163" s="68">
        <v>0</v>
      </c>
      <c r="V163" s="68"/>
      <c r="W163" s="68"/>
      <c r="X163" s="68">
        <v>0</v>
      </c>
      <c r="Y163" s="68">
        <f t="shared" ref="Y163:AB163" si="133">38100/13</f>
        <v>2930.7692307692309</v>
      </c>
      <c r="Z163" s="68">
        <f t="shared" si="133"/>
        <v>2930.7692307692309</v>
      </c>
      <c r="AA163" s="68">
        <f t="shared" si="133"/>
        <v>2930.7692307692309</v>
      </c>
      <c r="AB163" s="68">
        <f t="shared" si="133"/>
        <v>2930.7692307692309</v>
      </c>
      <c r="AC163" s="224">
        <f t="shared" ref="AC163" si="134">SUM(X163:AB163)</f>
        <v>11723.076923076924</v>
      </c>
      <c r="AD163" s="260">
        <f>AC163/$AD$30</f>
        <v>1.0311699187706722E-2</v>
      </c>
      <c r="AE163" s="210"/>
      <c r="AF163" s="210" t="s">
        <v>276</v>
      </c>
      <c r="AG163" s="210"/>
      <c r="AH163" s="118">
        <f>SUM(X163:AB163)</f>
        <v>11723.076923076924</v>
      </c>
      <c r="AI163" s="210"/>
    </row>
    <row r="164" spans="1:35" ht="17.100000000000001" thickBot="1">
      <c r="A164" s="115" t="s">
        <v>2</v>
      </c>
      <c r="B164" s="115" t="s">
        <v>2</v>
      </c>
      <c r="C164" s="115"/>
      <c r="D164" s="11" t="s">
        <v>148</v>
      </c>
      <c r="E164" s="168"/>
      <c r="F164" s="173">
        <f>SUM(F162:F163)</f>
        <v>81177.97</v>
      </c>
      <c r="G164" s="173">
        <f>SUM(G162:G163)</f>
        <v>7379.8154545454545</v>
      </c>
      <c r="H164" s="173">
        <f>SUM(H162:H163)</f>
        <v>88557.785454545461</v>
      </c>
      <c r="I164" s="265">
        <f t="shared" ref="I164" si="135">H164/$J$30</f>
        <v>7.7896037902740509E-2</v>
      </c>
      <c r="J164" s="174">
        <f>SUM(J162:J163)</f>
        <v>11723.076923076924</v>
      </c>
      <c r="K164" s="266">
        <f>J164/$J$30</f>
        <v>1.0311699187706722E-2</v>
      </c>
      <c r="L164" s="168"/>
      <c r="M164" s="168">
        <v>44118</v>
      </c>
      <c r="N164" s="174">
        <f t="shared" ref="N164:AD164" si="136">SUM(N162:N163)</f>
        <v>0</v>
      </c>
      <c r="O164" s="174">
        <f t="shared" si="136"/>
        <v>0</v>
      </c>
      <c r="P164" s="174">
        <f t="shared" si="136"/>
        <v>0</v>
      </c>
      <c r="Q164" s="174">
        <f t="shared" si="136"/>
        <v>0</v>
      </c>
      <c r="R164" s="174">
        <f t="shared" si="136"/>
        <v>0</v>
      </c>
      <c r="S164" s="174">
        <f t="shared" si="136"/>
        <v>0</v>
      </c>
      <c r="T164" s="174">
        <f t="shared" si="136"/>
        <v>0</v>
      </c>
      <c r="U164" s="174">
        <f t="shared" si="136"/>
        <v>0</v>
      </c>
      <c r="V164" s="174">
        <f t="shared" si="136"/>
        <v>0</v>
      </c>
      <c r="W164" s="174"/>
      <c r="X164" s="174">
        <f t="shared" ref="X164" si="137">SUM(X162:X163)</f>
        <v>0</v>
      </c>
      <c r="Y164" s="174">
        <f t="shared" si="136"/>
        <v>2930.7692307692309</v>
      </c>
      <c r="Z164" s="174">
        <f t="shared" si="136"/>
        <v>2930.7692307692309</v>
      </c>
      <c r="AA164" s="174">
        <f t="shared" si="136"/>
        <v>2930.7692307692309</v>
      </c>
      <c r="AB164" s="174">
        <f t="shared" si="136"/>
        <v>2930.7692307692309</v>
      </c>
      <c r="AC164" s="279">
        <f t="shared" si="136"/>
        <v>11723.076923076924</v>
      </c>
      <c r="AD164" s="280">
        <f t="shared" si="136"/>
        <v>1.0311699187706722E-2</v>
      </c>
      <c r="AE164" s="210" t="s">
        <v>246</v>
      </c>
      <c r="AF164" s="210"/>
      <c r="AG164" s="210"/>
      <c r="AH164" s="210"/>
      <c r="AI164" s="210"/>
    </row>
    <row r="165" spans="1:35" ht="17.100000000000001" thickTop="1">
      <c r="A165" s="115" t="s">
        <v>2</v>
      </c>
      <c r="B165" s="115"/>
      <c r="C165" s="115"/>
      <c r="D165" s="9"/>
      <c r="E165" s="65"/>
      <c r="F165" s="131"/>
      <c r="G165" s="131"/>
      <c r="H165" s="137"/>
      <c r="I165" s="175"/>
      <c r="J165" s="176"/>
      <c r="K165" s="131"/>
      <c r="L165" s="74"/>
      <c r="M165" s="74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  <c r="AA165" s="68"/>
      <c r="AB165" s="68"/>
      <c r="AC165" s="224"/>
      <c r="AD165" s="210"/>
      <c r="AE165" s="210"/>
      <c r="AF165" s="210"/>
      <c r="AG165" s="210"/>
      <c r="AH165" s="210"/>
      <c r="AI165" s="210"/>
    </row>
    <row r="166" spans="1:35">
      <c r="A166" s="115" t="s">
        <v>2</v>
      </c>
      <c r="B166" s="115" t="s">
        <v>2</v>
      </c>
      <c r="C166" s="115"/>
      <c r="D166" s="9" t="s">
        <v>335</v>
      </c>
      <c r="E166" s="65">
        <v>355418</v>
      </c>
      <c r="F166" s="131"/>
      <c r="G166" s="131"/>
      <c r="H166" s="137"/>
      <c r="I166" s="134"/>
      <c r="J166" s="177"/>
      <c r="K166" s="131"/>
      <c r="L166" s="74"/>
      <c r="M166" s="74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  <c r="AA166" s="68"/>
      <c r="AB166" s="68"/>
      <c r="AC166" s="224"/>
      <c r="AD166" s="210"/>
      <c r="AE166" s="210"/>
      <c r="AF166" s="210"/>
      <c r="AG166" s="210"/>
      <c r="AH166" s="210"/>
      <c r="AI166" s="210"/>
    </row>
    <row r="167" spans="1:35">
      <c r="A167" s="115"/>
      <c r="B167" s="115" t="s">
        <v>336</v>
      </c>
      <c r="C167" s="115"/>
      <c r="D167" s="14" t="s">
        <v>152</v>
      </c>
      <c r="E167" s="65"/>
      <c r="F167" s="131">
        <v>219134.58</v>
      </c>
      <c r="G167" s="131">
        <f>$F167/11</f>
        <v>19921.325454545455</v>
      </c>
      <c r="H167" s="247">
        <f>F167+G167</f>
        <v>239055.90545454546</v>
      </c>
      <c r="I167" s="248"/>
      <c r="J167" s="247">
        <f t="shared" ref="J167:J170" si="138">AC167</f>
        <v>24943.309285714284</v>
      </c>
      <c r="K167" s="131" t="s">
        <v>2</v>
      </c>
      <c r="L167" s="74"/>
      <c r="M167" s="74"/>
      <c r="N167" s="68">
        <v>0</v>
      </c>
      <c r="O167" s="68">
        <v>0</v>
      </c>
      <c r="P167" s="68">
        <v>0</v>
      </c>
      <c r="Q167" s="68">
        <v>0</v>
      </c>
      <c r="R167" s="68">
        <v>0</v>
      </c>
      <c r="S167" s="68">
        <v>0</v>
      </c>
      <c r="T167" s="68">
        <f>27308/30*15</f>
        <v>13654</v>
      </c>
      <c r="U167" s="68">
        <v>0</v>
      </c>
      <c r="V167" s="68">
        <v>0</v>
      </c>
      <c r="W167" s="68"/>
      <c r="X167" s="150">
        <f>0.03*(X30/28)*4</f>
        <v>509.04642857142858</v>
      </c>
      <c r="Y167" s="150">
        <f>0.03*(Y30/28)*4</f>
        <v>1018.0928571428572</v>
      </c>
      <c r="Z167" s="150">
        <f>0.03*Z30</f>
        <v>7126.65</v>
      </c>
      <c r="AA167" s="150">
        <f>0.03*AA30</f>
        <v>8144.7599999999993</v>
      </c>
      <c r="AB167" s="150">
        <f>0.03*AB30</f>
        <v>8144.7599999999993</v>
      </c>
      <c r="AC167" s="224">
        <f t="shared" ref="AC167" si="139">SUM(X167:AB167)</f>
        <v>24943.309285714284</v>
      </c>
      <c r="AD167" s="260">
        <f>AC167/$AD$30</f>
        <v>2.1940306609598607E-2</v>
      </c>
      <c r="AE167" s="210"/>
      <c r="AF167" s="210" t="s">
        <v>247</v>
      </c>
      <c r="AG167" s="210"/>
      <c r="AH167" s="210"/>
      <c r="AI167" s="210"/>
    </row>
    <row r="168" spans="1:35">
      <c r="A168" s="115"/>
      <c r="B168" s="115"/>
      <c r="C168" s="115"/>
      <c r="D168" s="14" t="s">
        <v>153</v>
      </c>
      <c r="E168" s="65"/>
      <c r="F168" s="131"/>
      <c r="G168" s="131"/>
      <c r="H168" s="247"/>
      <c r="I168" s="248"/>
      <c r="J168" s="247">
        <f t="shared" si="138"/>
        <v>0</v>
      </c>
      <c r="K168" s="131"/>
      <c r="L168" s="74"/>
      <c r="M168" s="74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150">
        <v>0</v>
      </c>
      <c r="Y168" s="150">
        <v>0</v>
      </c>
      <c r="Z168" s="150">
        <v>0</v>
      </c>
      <c r="AA168" s="150">
        <v>0</v>
      </c>
      <c r="AB168" s="150">
        <v>0</v>
      </c>
      <c r="AC168" s="281">
        <f t="shared" ref="AC168" si="140">SUM(N168:AB168)</f>
        <v>0</v>
      </c>
      <c r="AD168" s="260">
        <f>AC168/$AD$30</f>
        <v>0</v>
      </c>
      <c r="AE168" s="210"/>
      <c r="AF168" s="210"/>
      <c r="AG168" s="210"/>
      <c r="AH168" s="210"/>
      <c r="AI168" s="210"/>
    </row>
    <row r="169" spans="1:35">
      <c r="A169" s="115"/>
      <c r="B169" s="115" t="s">
        <v>337</v>
      </c>
      <c r="C169" s="115"/>
      <c r="D169" s="14" t="s">
        <v>154</v>
      </c>
      <c r="E169" s="65"/>
      <c r="F169" s="131">
        <v>92101.52</v>
      </c>
      <c r="G169" s="131">
        <f>F169/11</f>
        <v>8372.8654545454556</v>
      </c>
      <c r="H169" s="247">
        <f>F169+G169</f>
        <v>100474.38545454547</v>
      </c>
      <c r="I169" s="248"/>
      <c r="J169" s="247">
        <f t="shared" si="138"/>
        <v>0</v>
      </c>
      <c r="K169" s="131"/>
      <c r="L169" s="74"/>
      <c r="M169" s="74"/>
      <c r="N169" s="68">
        <v>0</v>
      </c>
      <c r="O169" s="68">
        <v>0</v>
      </c>
      <c r="P169" s="68">
        <v>0</v>
      </c>
      <c r="Q169" s="68">
        <v>0</v>
      </c>
      <c r="R169" s="68">
        <v>0</v>
      </c>
      <c r="S169" s="68">
        <v>0</v>
      </c>
      <c r="T169" s="68">
        <v>0</v>
      </c>
      <c r="U169" s="68">
        <v>0</v>
      </c>
      <c r="V169" s="73"/>
      <c r="W169" s="73"/>
      <c r="X169" s="150">
        <v>0</v>
      </c>
      <c r="Y169" s="150">
        <v>0</v>
      </c>
      <c r="Z169" s="150">
        <v>0</v>
      </c>
      <c r="AA169" s="150">
        <v>0</v>
      </c>
      <c r="AB169" s="150">
        <v>0</v>
      </c>
      <c r="AC169" s="281">
        <f>SUM(N169:AB169)</f>
        <v>0</v>
      </c>
      <c r="AD169" s="260">
        <f>AC169/$AD$30</f>
        <v>0</v>
      </c>
      <c r="AE169" s="210"/>
      <c r="AF169" s="210"/>
      <c r="AG169" s="210"/>
      <c r="AH169" s="210"/>
      <c r="AI169" s="210"/>
    </row>
    <row r="170" spans="1:35">
      <c r="A170" s="115"/>
      <c r="B170" s="115"/>
      <c r="C170" s="115"/>
      <c r="D170" s="14" t="s">
        <v>155</v>
      </c>
      <c r="E170" s="65"/>
      <c r="F170" s="131"/>
      <c r="G170" s="131"/>
      <c r="H170" s="247"/>
      <c r="I170" s="248"/>
      <c r="J170" s="247">
        <f t="shared" si="138"/>
        <v>192.30769230769229</v>
      </c>
      <c r="K170" s="131"/>
      <c r="L170" s="74"/>
      <c r="M170" s="74"/>
      <c r="N170" s="68">
        <v>0</v>
      </c>
      <c r="O170" s="68">
        <v>0</v>
      </c>
      <c r="P170" s="68">
        <v>0</v>
      </c>
      <c r="Q170" s="68">
        <v>0</v>
      </c>
      <c r="R170" s="68">
        <v>0</v>
      </c>
      <c r="S170" s="68">
        <v>0</v>
      </c>
      <c r="T170" s="68">
        <v>0</v>
      </c>
      <c r="U170" s="68">
        <v>0</v>
      </c>
      <c r="V170" s="73"/>
      <c r="W170" s="73"/>
      <c r="X170" s="73">
        <f t="shared" ref="X170:AB170" si="141">500/13</f>
        <v>38.46153846153846</v>
      </c>
      <c r="Y170" s="73">
        <f t="shared" si="141"/>
        <v>38.46153846153846</v>
      </c>
      <c r="Z170" s="73">
        <f t="shared" si="141"/>
        <v>38.46153846153846</v>
      </c>
      <c r="AA170" s="73">
        <f t="shared" si="141"/>
        <v>38.46153846153846</v>
      </c>
      <c r="AB170" s="73">
        <f t="shared" si="141"/>
        <v>38.46153846153846</v>
      </c>
      <c r="AC170" s="224">
        <f t="shared" ref="AC170:AC171" si="142">SUM(X170:AB170)</f>
        <v>192.30769230769229</v>
      </c>
      <c r="AD170" s="260">
        <f>AC170/$AD$30</f>
        <v>1.6915517040201315E-4</v>
      </c>
      <c r="AE170" s="210"/>
      <c r="AF170" s="210"/>
      <c r="AG170" s="210"/>
      <c r="AH170" s="210"/>
      <c r="AI170" s="210"/>
    </row>
    <row r="171" spans="1:35" ht="17.100000000000001" thickBot="1">
      <c r="A171" s="115"/>
      <c r="B171" s="115" t="s">
        <v>2</v>
      </c>
      <c r="C171" s="115"/>
      <c r="D171" s="11" t="s">
        <v>335</v>
      </c>
      <c r="E171" s="168"/>
      <c r="F171" s="173">
        <f>SUM(F167:F169)</f>
        <v>311236.09999999998</v>
      </c>
      <c r="G171" s="173">
        <f>SUM(G167:G169)</f>
        <v>28294.19090909091</v>
      </c>
      <c r="H171" s="178">
        <f>SUM(H167:H169)</f>
        <v>339530.29090909089</v>
      </c>
      <c r="I171" s="265">
        <f>H171/$H$30</f>
        <v>0.10621302125387298</v>
      </c>
      <c r="J171" s="174">
        <f>SUM(J167:J170)</f>
        <v>25135.616978021975</v>
      </c>
      <c r="K171" s="266">
        <f t="shared" ref="K171" si="143">J171/$J$30</f>
        <v>2.210946178000062E-2</v>
      </c>
      <c r="L171" s="168"/>
      <c r="M171" s="168">
        <v>342357</v>
      </c>
      <c r="N171" s="174">
        <f t="shared" ref="N171:AB171" si="144">SUM(N167:N170)</f>
        <v>0</v>
      </c>
      <c r="O171" s="174">
        <f t="shared" si="144"/>
        <v>0</v>
      </c>
      <c r="P171" s="174">
        <f t="shared" si="144"/>
        <v>0</v>
      </c>
      <c r="Q171" s="174">
        <f t="shared" si="144"/>
        <v>0</v>
      </c>
      <c r="R171" s="174">
        <f t="shared" si="144"/>
        <v>0</v>
      </c>
      <c r="S171" s="174">
        <f t="shared" si="144"/>
        <v>0</v>
      </c>
      <c r="T171" s="174">
        <f t="shared" si="144"/>
        <v>13654</v>
      </c>
      <c r="U171" s="174">
        <f t="shared" si="144"/>
        <v>0</v>
      </c>
      <c r="V171" s="174">
        <f t="shared" si="144"/>
        <v>0</v>
      </c>
      <c r="W171" s="174"/>
      <c r="X171" s="174">
        <f t="shared" ref="X171" si="145">SUM(X167:X170)</f>
        <v>547.50796703296703</v>
      </c>
      <c r="Y171" s="174">
        <f t="shared" si="144"/>
        <v>1056.5543956043957</v>
      </c>
      <c r="Z171" s="174">
        <f t="shared" si="144"/>
        <v>7165.1115384615377</v>
      </c>
      <c r="AA171" s="174">
        <f t="shared" si="144"/>
        <v>8183.2215384615374</v>
      </c>
      <c r="AB171" s="174">
        <f t="shared" si="144"/>
        <v>8183.2215384615374</v>
      </c>
      <c r="AC171" s="279">
        <f t="shared" si="142"/>
        <v>25135.616978021975</v>
      </c>
      <c r="AD171" s="260">
        <f>AC171/$AD$30</f>
        <v>2.210946178000062E-2</v>
      </c>
      <c r="AE171" s="210"/>
      <c r="AF171" s="210"/>
      <c r="AG171" s="210"/>
      <c r="AH171" s="118">
        <f>SUM(X171:AB171)</f>
        <v>25135.616978021975</v>
      </c>
      <c r="AI171" s="210"/>
    </row>
    <row r="172" spans="1:35" ht="17.100000000000001" thickTop="1">
      <c r="A172" s="115"/>
      <c r="B172" s="115"/>
      <c r="C172" s="115"/>
      <c r="D172" s="9"/>
      <c r="E172" s="65"/>
      <c r="F172" s="131"/>
      <c r="G172" s="131"/>
      <c r="H172" s="137"/>
      <c r="I172" s="145"/>
      <c r="J172" s="167"/>
      <c r="K172" s="131"/>
      <c r="L172" s="74"/>
      <c r="M172" s="74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  <c r="AC172" s="224"/>
      <c r="AD172" s="210"/>
      <c r="AE172" s="210"/>
      <c r="AF172" s="210"/>
      <c r="AG172" s="210"/>
      <c r="AH172" s="210"/>
      <c r="AI172" s="210"/>
    </row>
    <row r="173" spans="1:35" s="3" customFormat="1" ht="17.100000000000001" thickBot="1">
      <c r="A173" s="115"/>
      <c r="B173" s="115"/>
      <c r="C173" s="115"/>
      <c r="D173" s="7" t="s">
        <v>157</v>
      </c>
      <c r="E173" s="125"/>
      <c r="F173" s="44">
        <f>F164+F171+F155+F135+F127+F119+F110+F97+F73+F53+F46</f>
        <v>2133890.0699999998</v>
      </c>
      <c r="G173" s="44">
        <f>G164+G171+G155+G135+G127+G119+G110+G97+G73+G53+G46</f>
        <v>192907.79896786148</v>
      </c>
      <c r="H173" s="44">
        <f>H164+H171+H155+H135+H127+H119+H110+H97+H73+H53+H46</f>
        <v>2326797.8689678614</v>
      </c>
      <c r="I173" s="262"/>
      <c r="J173" s="174">
        <f>SUM(J169:J172)</f>
        <v>25327.924670329667</v>
      </c>
      <c r="K173" s="159"/>
      <c r="L173" s="129"/>
      <c r="M173" s="128">
        <f t="shared" ref="M173:V173" si="146">M164+M171+M155+M135+M127+M119+M110+M97+M73+M53+M46</f>
        <v>2661710</v>
      </c>
      <c r="N173" s="128">
        <f t="shared" si="146"/>
        <v>0</v>
      </c>
      <c r="O173" s="128">
        <f t="shared" si="146"/>
        <v>0</v>
      </c>
      <c r="P173" s="128">
        <f t="shared" si="146"/>
        <v>0</v>
      </c>
      <c r="Q173" s="128">
        <f t="shared" si="146"/>
        <v>0</v>
      </c>
      <c r="R173" s="128">
        <f t="shared" si="146"/>
        <v>0</v>
      </c>
      <c r="S173" s="128">
        <f t="shared" si="146"/>
        <v>0</v>
      </c>
      <c r="T173" s="128">
        <f t="shared" si="146"/>
        <v>39869.041230769231</v>
      </c>
      <c r="U173" s="128">
        <f t="shared" si="146"/>
        <v>64402.369230769233</v>
      </c>
      <c r="V173" s="128">
        <f t="shared" si="146"/>
        <v>101022.95091468532</v>
      </c>
      <c r="W173" s="128"/>
      <c r="X173" s="128">
        <f t="shared" ref="X173:AC173" si="147">X164+X171+X155+X135+X127+X119+X110+X97+X73+X53+X46</f>
        <v>83239.526997192617</v>
      </c>
      <c r="Y173" s="128">
        <f t="shared" si="147"/>
        <v>156515.64007893071</v>
      </c>
      <c r="Z173" s="128">
        <f t="shared" si="147"/>
        <v>163965.25222178784</v>
      </c>
      <c r="AA173" s="128">
        <f t="shared" si="147"/>
        <v>178869.19143629502</v>
      </c>
      <c r="AB173" s="128">
        <f t="shared" si="147"/>
        <v>179141.35383629499</v>
      </c>
      <c r="AC173" s="44">
        <f t="shared" si="147"/>
        <v>761730.96457050124</v>
      </c>
      <c r="AD173" s="260">
        <f>AC173/$AD$30</f>
        <v>0.67002380178454757</v>
      </c>
    </row>
    <row r="174" spans="1:35" s="3" customFormat="1" ht="18" thickTop="1" thickBot="1">
      <c r="A174" s="115"/>
      <c r="B174" s="115"/>
      <c r="C174" s="115"/>
      <c r="D174" s="13" t="s">
        <v>158</v>
      </c>
      <c r="E174" s="157"/>
      <c r="F174" s="67">
        <f>F42-F173</f>
        <v>-297.22000000020489</v>
      </c>
      <c r="G174" s="67">
        <f>G42-G173</f>
        <v>7913.5333077193645</v>
      </c>
      <c r="H174" s="67">
        <f>H42-H173</f>
        <v>7616.3133077197708</v>
      </c>
      <c r="I174" s="265">
        <f t="shared" ref="I174" si="148">H174/$J$30</f>
        <v>6.6993616320927835E-3</v>
      </c>
      <c r="J174" s="179">
        <f>J42-J173</f>
        <v>834429.34764431475</v>
      </c>
      <c r="K174" s="266">
        <f>J174/$J$30</f>
        <v>0.73396980014391666</v>
      </c>
      <c r="L174" s="157"/>
      <c r="M174" s="179">
        <f t="shared" ref="M174:V174" si="149">M42-M173</f>
        <v>646874</v>
      </c>
      <c r="N174" s="67">
        <f t="shared" si="149"/>
        <v>0</v>
      </c>
      <c r="O174" s="67">
        <f t="shared" si="149"/>
        <v>0</v>
      </c>
      <c r="P174" s="67">
        <f t="shared" si="149"/>
        <v>0</v>
      </c>
      <c r="Q174" s="67">
        <f t="shared" si="149"/>
        <v>0</v>
      </c>
      <c r="R174" s="67">
        <f t="shared" si="149"/>
        <v>0</v>
      </c>
      <c r="S174" s="67">
        <f t="shared" si="149"/>
        <v>0</v>
      </c>
      <c r="T174" s="67">
        <f t="shared" si="149"/>
        <v>-39869.041230769231</v>
      </c>
      <c r="U174" s="67">
        <f t="shared" si="149"/>
        <v>-64402.369230769233</v>
      </c>
      <c r="V174" s="67">
        <f t="shared" si="149"/>
        <v>-101022.95091468532</v>
      </c>
      <c r="W174" s="67"/>
      <c r="X174" s="67">
        <f t="shared" ref="X174:AC174" si="150">X42-X173</f>
        <v>6585.76936422789</v>
      </c>
      <c r="Y174" s="67">
        <f t="shared" si="150"/>
        <v>23134.952643910307</v>
      </c>
      <c r="Z174" s="67">
        <f t="shared" si="150"/>
        <v>15685.340501053171</v>
      </c>
      <c r="AA174" s="67">
        <f t="shared" si="150"/>
        <v>26446.203817475907</v>
      </c>
      <c r="AB174" s="67">
        <f t="shared" si="150"/>
        <v>26174.041417475935</v>
      </c>
      <c r="AC174" s="67">
        <f t="shared" si="150"/>
        <v>98026.307744143065</v>
      </c>
      <c r="AD174" s="282">
        <f>AC174/$AD$30</f>
        <v>8.6224615309771657E-2</v>
      </c>
      <c r="AE174" s="3" t="s">
        <v>246</v>
      </c>
      <c r="AH174" s="118">
        <f>SUM(X174:AB174)</f>
        <v>98026.307744143211</v>
      </c>
      <c r="AI174" s="118">
        <f>+Y174+Z174+AA174+AB174</f>
        <v>91440.538379915321</v>
      </c>
    </row>
    <row r="175" spans="1:35" s="3" customFormat="1" ht="17.100000000000001" thickTop="1">
      <c r="A175" s="115"/>
      <c r="B175" s="115"/>
      <c r="C175" s="115"/>
      <c r="D175" s="7"/>
      <c r="E175" s="129"/>
      <c r="F175" s="86"/>
      <c r="G175" s="86"/>
      <c r="H175" s="180"/>
      <c r="I175" s="181"/>
      <c r="J175" s="180"/>
      <c r="K175" s="182"/>
      <c r="L175" s="129"/>
      <c r="M175" s="129"/>
      <c r="N175" s="86"/>
      <c r="O175" s="86"/>
      <c r="P175" s="86"/>
      <c r="Q175" s="86"/>
      <c r="R175" s="86"/>
      <c r="S175" s="86"/>
      <c r="T175" s="86"/>
      <c r="U175" s="86"/>
      <c r="V175" s="86"/>
      <c r="W175" s="86"/>
      <c r="X175" s="86"/>
      <c r="Y175" s="86"/>
      <c r="Z175" s="86"/>
      <c r="AA175" s="86"/>
      <c r="AB175" s="86"/>
      <c r="AC175" s="118"/>
      <c r="AD175" s="86"/>
    </row>
    <row r="176" spans="1:35" s="3" customFormat="1">
      <c r="A176" s="115"/>
      <c r="B176" s="115"/>
      <c r="C176" s="115"/>
      <c r="D176" s="7"/>
      <c r="E176" s="129"/>
      <c r="F176" s="86"/>
      <c r="G176" s="86"/>
      <c r="H176" s="183"/>
      <c r="I176" s="184"/>
      <c r="J176" s="183"/>
      <c r="K176" s="159"/>
      <c r="L176" s="129"/>
      <c r="M176" s="129"/>
      <c r="N176" s="86"/>
      <c r="O176" s="86"/>
      <c r="P176" s="86"/>
      <c r="Q176" s="86"/>
      <c r="R176" s="86"/>
      <c r="S176" s="86"/>
      <c r="T176" s="86"/>
      <c r="U176" s="86"/>
      <c r="V176" s="86"/>
      <c r="W176" s="86"/>
      <c r="X176" s="86"/>
      <c r="Y176" s="86"/>
      <c r="Z176" s="86"/>
      <c r="AA176" s="86"/>
      <c r="AB176" s="86"/>
      <c r="AC176" s="118"/>
      <c r="AD176" s="86"/>
    </row>
    <row r="177" spans="1:35">
      <c r="A177" s="115"/>
      <c r="B177" s="115"/>
      <c r="C177" s="115"/>
      <c r="D177" s="7" t="s">
        <v>160</v>
      </c>
      <c r="E177" s="130"/>
      <c r="F177" s="131"/>
      <c r="G177" s="133"/>
      <c r="H177" s="133"/>
      <c r="I177" s="134"/>
      <c r="J177" s="133"/>
      <c r="K177" s="132"/>
      <c r="L177" s="136"/>
      <c r="M177" s="136"/>
      <c r="N177" s="222"/>
      <c r="O177" s="222"/>
      <c r="P177" s="222"/>
      <c r="Q177" s="222"/>
      <c r="R177" s="222"/>
      <c r="S177" s="222"/>
      <c r="T177" s="222"/>
      <c r="U177" s="222"/>
      <c r="V177" s="222"/>
      <c r="W177" s="222"/>
      <c r="X177" s="222"/>
      <c r="Y177" s="222"/>
      <c r="Z177" s="222"/>
      <c r="AA177" s="222"/>
      <c r="AB177" s="222"/>
      <c r="AC177" s="210"/>
      <c r="AD177" s="210"/>
      <c r="AE177" s="210"/>
      <c r="AF177" s="210"/>
      <c r="AG177" s="210"/>
      <c r="AH177" s="210"/>
      <c r="AI177" s="210"/>
    </row>
    <row r="178" spans="1:35">
      <c r="A178" s="115"/>
      <c r="B178" s="115"/>
      <c r="C178" s="115"/>
      <c r="D178" s="14" t="s">
        <v>161</v>
      </c>
      <c r="E178" s="185">
        <v>0.05</v>
      </c>
      <c r="F178" s="131">
        <v>0</v>
      </c>
      <c r="G178" s="186"/>
      <c r="H178" s="247">
        <f t="shared" ref="H178:H182" si="151">F178+G178</f>
        <v>0</v>
      </c>
      <c r="I178" s="134"/>
      <c r="J178" s="68">
        <f>+AC178</f>
        <v>0</v>
      </c>
      <c r="K178" s="187"/>
      <c r="L178" s="188"/>
      <c r="M178" s="74">
        <v>191406</v>
      </c>
      <c r="N178" s="68">
        <v>0</v>
      </c>
      <c r="O178" s="68">
        <v>0</v>
      </c>
      <c r="P178" s="68">
        <v>0</v>
      </c>
      <c r="Q178" s="68">
        <v>0</v>
      </c>
      <c r="R178" s="68">
        <v>0</v>
      </c>
      <c r="S178" s="68">
        <v>0</v>
      </c>
      <c r="T178" s="68">
        <v>0</v>
      </c>
      <c r="U178" s="68"/>
      <c r="V178" s="68" t="s">
        <v>2</v>
      </c>
      <c r="W178" s="68"/>
      <c r="X178" s="68"/>
      <c r="Y178" s="68"/>
      <c r="Z178" s="68"/>
      <c r="AA178" s="68"/>
      <c r="AB178" s="68"/>
      <c r="AC178" s="68">
        <f>SUM(N178:AB178)</f>
        <v>0</v>
      </c>
      <c r="AD178" s="270" t="s">
        <v>2</v>
      </c>
      <c r="AE178" s="210"/>
      <c r="AF178" s="210"/>
      <c r="AG178" s="210" t="s">
        <v>2</v>
      </c>
      <c r="AH178" s="210"/>
      <c r="AI178" s="210"/>
    </row>
    <row r="179" spans="1:35">
      <c r="A179" s="115"/>
      <c r="B179" s="210"/>
      <c r="C179" s="210"/>
      <c r="D179" s="14" t="s">
        <v>338</v>
      </c>
      <c r="E179" s="185"/>
      <c r="F179" s="131">
        <v>0</v>
      </c>
      <c r="G179" s="186"/>
      <c r="H179" s="247">
        <f t="shared" si="151"/>
        <v>0</v>
      </c>
      <c r="I179" s="248"/>
      <c r="J179" s="137">
        <v>0</v>
      </c>
      <c r="K179" s="187"/>
      <c r="L179" s="188"/>
      <c r="M179" s="188"/>
      <c r="N179" s="68">
        <v>0</v>
      </c>
      <c r="O179" s="68">
        <v>0</v>
      </c>
      <c r="P179" s="68">
        <v>0</v>
      </c>
      <c r="Q179" s="68">
        <v>0</v>
      </c>
      <c r="R179" s="68">
        <v>0</v>
      </c>
      <c r="S179" s="68">
        <v>0</v>
      </c>
      <c r="T179" s="68">
        <v>0</v>
      </c>
      <c r="U179" s="68">
        <v>0</v>
      </c>
      <c r="V179" s="68">
        <v>0</v>
      </c>
      <c r="W179" s="68"/>
      <c r="X179" s="68"/>
      <c r="Y179" s="68">
        <v>0</v>
      </c>
      <c r="Z179" s="68">
        <v>0</v>
      </c>
      <c r="AA179" s="68">
        <v>0</v>
      </c>
      <c r="AB179" s="68">
        <v>0</v>
      </c>
      <c r="AC179" s="224">
        <v>0</v>
      </c>
      <c r="AD179" s="272" t="s">
        <v>2</v>
      </c>
      <c r="AE179" s="210"/>
      <c r="AF179" s="210" t="s">
        <v>247</v>
      </c>
      <c r="AG179" s="210"/>
      <c r="AH179" s="210"/>
      <c r="AI179" s="210"/>
    </row>
    <row r="180" spans="1:35">
      <c r="A180" s="210"/>
      <c r="B180" s="210"/>
      <c r="C180" s="210"/>
      <c r="D180" s="14" t="s">
        <v>164</v>
      </c>
      <c r="E180" s="185"/>
      <c r="F180" s="131"/>
      <c r="G180" s="186"/>
      <c r="H180" s="247">
        <f t="shared" si="151"/>
        <v>0</v>
      </c>
      <c r="I180" s="248"/>
      <c r="J180" s="137">
        <v>0</v>
      </c>
      <c r="K180" s="187"/>
      <c r="L180" s="188"/>
      <c r="M180" s="188"/>
      <c r="N180" s="68">
        <f t="shared" ref="N180:AB181" si="152">$J180/13</f>
        <v>0</v>
      </c>
      <c r="O180" s="68">
        <f t="shared" si="152"/>
        <v>0</v>
      </c>
      <c r="P180" s="68">
        <v>0</v>
      </c>
      <c r="Q180" s="68">
        <v>0</v>
      </c>
      <c r="R180" s="68">
        <v>0</v>
      </c>
      <c r="S180" s="68">
        <v>0</v>
      </c>
      <c r="T180" s="68">
        <v>0</v>
      </c>
      <c r="U180" s="68">
        <v>0</v>
      </c>
      <c r="V180" s="68">
        <f t="shared" si="152"/>
        <v>0</v>
      </c>
      <c r="W180" s="68"/>
      <c r="X180" s="68"/>
      <c r="Y180" s="68">
        <f t="shared" si="152"/>
        <v>0</v>
      </c>
      <c r="Z180" s="68">
        <f t="shared" si="152"/>
        <v>0</v>
      </c>
      <c r="AA180" s="68">
        <f t="shared" si="152"/>
        <v>0</v>
      </c>
      <c r="AB180" s="68">
        <f t="shared" si="152"/>
        <v>0</v>
      </c>
      <c r="AC180" s="224">
        <f>SUM(N180:AB180)</f>
        <v>0</v>
      </c>
      <c r="AD180" s="224"/>
      <c r="AE180" s="68" t="s">
        <v>2</v>
      </c>
      <c r="AF180" s="68" t="s">
        <v>2</v>
      </c>
      <c r="AG180" s="68" t="s">
        <v>2</v>
      </c>
      <c r="AH180" s="210"/>
      <c r="AI180" s="210"/>
    </row>
    <row r="181" spans="1:35">
      <c r="A181" s="210"/>
      <c r="B181" s="210"/>
      <c r="C181" s="210"/>
      <c r="D181" s="14" t="s">
        <v>165</v>
      </c>
      <c r="E181" s="65">
        <v>59800</v>
      </c>
      <c r="F181" s="131">
        <v>97912.87</v>
      </c>
      <c r="G181" s="137">
        <f>$F181/10</f>
        <v>9791.2870000000003</v>
      </c>
      <c r="H181" s="247">
        <f t="shared" si="151"/>
        <v>107704.15699999999</v>
      </c>
      <c r="I181" s="248"/>
      <c r="J181" s="137">
        <v>107704</v>
      </c>
      <c r="K181" s="131"/>
      <c r="L181" s="74"/>
      <c r="M181" s="74">
        <v>79412</v>
      </c>
      <c r="N181" s="68">
        <v>0</v>
      </c>
      <c r="O181" s="68">
        <v>0</v>
      </c>
      <c r="P181" s="68">
        <v>0</v>
      </c>
      <c r="Q181" s="68">
        <v>0</v>
      </c>
      <c r="R181" s="68">
        <v>0</v>
      </c>
      <c r="S181" s="68">
        <v>0</v>
      </c>
      <c r="T181" s="68">
        <v>8285</v>
      </c>
      <c r="U181" s="68">
        <v>8285</v>
      </c>
      <c r="V181" s="88">
        <f>($J181/13)/2</f>
        <v>4142.4615384615381</v>
      </c>
      <c r="W181" s="88"/>
      <c r="X181" s="88">
        <f>($J181/13)/2</f>
        <v>4142.4615384615381</v>
      </c>
      <c r="Y181" s="88">
        <f t="shared" si="152"/>
        <v>8284.9230769230762</v>
      </c>
      <c r="Z181" s="88">
        <f t="shared" si="152"/>
        <v>8284.9230769230762</v>
      </c>
      <c r="AA181" s="88">
        <f t="shared" si="152"/>
        <v>8284.9230769230762</v>
      </c>
      <c r="AB181" s="88">
        <f t="shared" si="152"/>
        <v>8284.9230769230762</v>
      </c>
      <c r="AC181" s="224">
        <f>SUM(X181:AB181)</f>
        <v>37282.153846153844</v>
      </c>
      <c r="AD181" s="272">
        <f t="shared" ref="AD181:AD183" si="153">AC181/$AD$30</f>
        <v>3.2793639251361167E-2</v>
      </c>
      <c r="AE181" s="68"/>
      <c r="AF181" s="68"/>
      <c r="AG181" s="68"/>
      <c r="AH181" s="118" t="s">
        <v>2</v>
      </c>
      <c r="AI181" s="210"/>
    </row>
    <row r="182" spans="1:35" s="3" customFormat="1">
      <c r="B182" s="115" t="s">
        <v>339</v>
      </c>
      <c r="C182" s="115"/>
      <c r="D182" s="14" t="s">
        <v>340</v>
      </c>
      <c r="E182" s="65"/>
      <c r="F182" s="131">
        <f>925.36+1000</f>
        <v>1925.3600000000001</v>
      </c>
      <c r="G182" s="131">
        <f>F182/11</f>
        <v>175.03272727272727</v>
      </c>
      <c r="H182" s="247">
        <f t="shared" si="151"/>
        <v>2100.3927272727274</v>
      </c>
      <c r="I182" s="134"/>
      <c r="J182" s="137"/>
      <c r="K182" s="131"/>
      <c r="L182" s="74"/>
      <c r="M182" s="74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  <c r="AA182" s="68"/>
      <c r="AB182" s="68"/>
      <c r="AC182" s="68" t="s">
        <v>2</v>
      </c>
      <c r="AD182" s="68"/>
    </row>
    <row r="183" spans="1:35" s="3" customFormat="1" ht="17.100000000000001" thickBot="1">
      <c r="D183" s="189" t="s">
        <v>167</v>
      </c>
      <c r="E183" s="190"/>
      <c r="F183" s="191">
        <f>SUM(F178:F182)</f>
        <v>99838.23</v>
      </c>
      <c r="G183" s="192">
        <f>SUM(G178:G182)</f>
        <v>9966.3197272727284</v>
      </c>
      <c r="H183" s="192">
        <f>SUM(H178:H182)</f>
        <v>109804.54972727272</v>
      </c>
      <c r="I183" s="265">
        <f t="shared" ref="I183:I186" si="154">H183/$J$30</f>
        <v>9.6584838064172354E-2</v>
      </c>
      <c r="J183" s="192">
        <f>SUM(J178:J182)</f>
        <v>107704</v>
      </c>
      <c r="K183" s="266">
        <f>J183/$J$30</f>
        <v>9.4737180059487808E-2</v>
      </c>
      <c r="L183" s="190"/>
      <c r="M183" s="192">
        <f>SUM(M178:M182)</f>
        <v>270818</v>
      </c>
      <c r="N183" s="193">
        <f t="shared" ref="N183:V183" si="155">SUM(N178:N181)</f>
        <v>0</v>
      </c>
      <c r="O183" s="193">
        <f t="shared" si="155"/>
        <v>0</v>
      </c>
      <c r="P183" s="193">
        <f t="shared" si="155"/>
        <v>0</v>
      </c>
      <c r="Q183" s="193">
        <f t="shared" si="155"/>
        <v>0</v>
      </c>
      <c r="R183" s="193">
        <f t="shared" si="155"/>
        <v>0</v>
      </c>
      <c r="S183" s="193">
        <f t="shared" si="155"/>
        <v>0</v>
      </c>
      <c r="T183" s="193">
        <f t="shared" si="155"/>
        <v>8285</v>
      </c>
      <c r="U183" s="193">
        <f t="shared" si="155"/>
        <v>8285</v>
      </c>
      <c r="V183" s="193">
        <f t="shared" si="155"/>
        <v>4142.4615384615381</v>
      </c>
      <c r="W183" s="193"/>
      <c r="X183" s="193">
        <f>SUM(X178:X181)</f>
        <v>4142.4615384615381</v>
      </c>
      <c r="Y183" s="193">
        <f>SUM(Y178:Y181)</f>
        <v>8284.9230769230762</v>
      </c>
      <c r="Z183" s="193">
        <f>SUM(Z178:Z181)</f>
        <v>8284.9230769230762</v>
      </c>
      <c r="AA183" s="193">
        <f>SUM(AA178:AA181)</f>
        <v>8284.9230769230762</v>
      </c>
      <c r="AB183" s="193">
        <f>SUM(AB178:AB181)</f>
        <v>8284.9230769230762</v>
      </c>
      <c r="AC183" s="283">
        <f t="shared" ref="AC183" si="156">SUM(X183:AB183)</f>
        <v>37282.153846153844</v>
      </c>
      <c r="AD183" s="284">
        <f t="shared" si="153"/>
        <v>3.2793639251361167E-2</v>
      </c>
      <c r="AH183" s="118">
        <f>SUM(X183:AB183)</f>
        <v>37282.153846153844</v>
      </c>
    </row>
    <row r="184" spans="1:35" s="3" customFormat="1" ht="17.100000000000001" thickTop="1">
      <c r="D184" s="189"/>
      <c r="E184" s="190"/>
      <c r="F184" s="191"/>
      <c r="G184" s="194"/>
      <c r="H184" s="194"/>
      <c r="I184" s="195"/>
      <c r="J184" s="194"/>
      <c r="K184" s="196"/>
      <c r="L184" s="190"/>
      <c r="M184" s="190"/>
      <c r="N184" s="193"/>
      <c r="O184" s="193"/>
      <c r="P184" s="193"/>
      <c r="Q184" s="193"/>
      <c r="R184" s="193"/>
      <c r="S184" s="193"/>
      <c r="T184" s="193"/>
      <c r="U184" s="193"/>
      <c r="V184" s="193"/>
      <c r="W184" s="193"/>
      <c r="X184" s="193"/>
      <c r="Y184" s="193"/>
      <c r="Z184" s="193"/>
      <c r="AA184" s="193"/>
      <c r="AB184" s="193"/>
      <c r="AC184" s="118"/>
      <c r="AD184" s="72"/>
    </row>
    <row r="185" spans="1:35" s="3" customFormat="1" ht="17.100000000000001" thickBot="1">
      <c r="D185" s="189" t="s">
        <v>341</v>
      </c>
      <c r="E185" s="190"/>
      <c r="F185" s="197">
        <f>F174-F183</f>
        <v>-100135.4500000002</v>
      </c>
      <c r="G185" s="197">
        <f>G174-G183</f>
        <v>-2052.7864195533639</v>
      </c>
      <c r="H185" s="198">
        <f>H174-H183</f>
        <v>-102188.23641955295</v>
      </c>
      <c r="I185" s="265">
        <f t="shared" si="154"/>
        <v>-8.9885476432079572E-2</v>
      </c>
      <c r="J185" s="198">
        <f>J174-J183</f>
        <v>726725.34764431475</v>
      </c>
      <c r="K185" s="266">
        <f>J185/$J$30</f>
        <v>0.63923262008442883</v>
      </c>
      <c r="L185" s="190"/>
      <c r="M185" s="198">
        <f t="shared" ref="M185:V185" si="157">M174-M183</f>
        <v>376056</v>
      </c>
      <c r="N185" s="197">
        <f t="shared" si="157"/>
        <v>0</v>
      </c>
      <c r="O185" s="197">
        <f t="shared" si="157"/>
        <v>0</v>
      </c>
      <c r="P185" s="197">
        <f t="shared" si="157"/>
        <v>0</v>
      </c>
      <c r="Q185" s="197">
        <f t="shared" si="157"/>
        <v>0</v>
      </c>
      <c r="R185" s="197">
        <f t="shared" si="157"/>
        <v>0</v>
      </c>
      <c r="S185" s="197">
        <f t="shared" si="157"/>
        <v>0</v>
      </c>
      <c r="T185" s="197">
        <f t="shared" si="157"/>
        <v>-48154.041230769231</v>
      </c>
      <c r="U185" s="197">
        <f t="shared" si="157"/>
        <v>-72687.369230769225</v>
      </c>
      <c r="V185" s="197">
        <f t="shared" si="157"/>
        <v>-105165.41245314686</v>
      </c>
      <c r="W185" s="197"/>
      <c r="X185" s="197">
        <f t="shared" ref="X185:AD185" si="158">X174-X183</f>
        <v>2443.3078257663519</v>
      </c>
      <c r="Y185" s="197">
        <f t="shared" si="158"/>
        <v>14850.02956698723</v>
      </c>
      <c r="Z185" s="197">
        <f t="shared" si="158"/>
        <v>7400.4174241300952</v>
      </c>
      <c r="AA185" s="197">
        <f t="shared" si="158"/>
        <v>18161.280740552829</v>
      </c>
      <c r="AB185" s="197">
        <f t="shared" si="158"/>
        <v>17889.118340552857</v>
      </c>
      <c r="AC185" s="197">
        <f t="shared" si="158"/>
        <v>60744.153897989221</v>
      </c>
      <c r="AD185" s="197">
        <f t="shared" si="158"/>
        <v>5.343097605841049E-2</v>
      </c>
      <c r="AH185" s="3" t="s">
        <v>263</v>
      </c>
      <c r="AI185" s="118">
        <f>+Y185+Z185+AA185+AB185</f>
        <v>58300.846072223008</v>
      </c>
    </row>
    <row r="186" spans="1:35" s="3" customFormat="1" ht="18" thickTop="1" thickBot="1">
      <c r="D186" s="13" t="s">
        <v>342</v>
      </c>
      <c r="E186" s="157"/>
      <c r="F186" s="140">
        <f>F185+F181</f>
        <v>-2222.5800000002055</v>
      </c>
      <c r="G186" s="140">
        <f t="shared" ref="G186:H186" si="159">G185+G181</f>
        <v>7738.5005804466364</v>
      </c>
      <c r="H186" s="140">
        <f t="shared" si="159"/>
        <v>5515.9205804470403</v>
      </c>
      <c r="I186" s="265">
        <f t="shared" si="154"/>
        <v>4.8518417256893506E-3</v>
      </c>
      <c r="J186" s="158">
        <f>J185+J181</f>
        <v>834429.34764431475</v>
      </c>
      <c r="K186" s="266">
        <f>J186/$J$30</f>
        <v>0.73396980014391666</v>
      </c>
      <c r="L186" s="157"/>
      <c r="M186" s="158">
        <f>M185+M181</f>
        <v>455468</v>
      </c>
      <c r="N186" s="69">
        <f>N185+N181</f>
        <v>0</v>
      </c>
      <c r="O186" s="69">
        <f t="shared" ref="O186:AB186" si="160">O185+O181</f>
        <v>0</v>
      </c>
      <c r="P186" s="69">
        <f t="shared" si="160"/>
        <v>0</v>
      </c>
      <c r="Q186" s="69">
        <f t="shared" si="160"/>
        <v>0</v>
      </c>
      <c r="R186" s="69">
        <f t="shared" si="160"/>
        <v>0</v>
      </c>
      <c r="S186" s="69">
        <f t="shared" si="160"/>
        <v>0</v>
      </c>
      <c r="T186" s="69">
        <f t="shared" si="160"/>
        <v>-39869.041230769231</v>
      </c>
      <c r="U186" s="69">
        <f t="shared" si="160"/>
        <v>-64402.369230769225</v>
      </c>
      <c r="V186" s="69">
        <f t="shared" si="160"/>
        <v>-101022.95091468532</v>
      </c>
      <c r="W186" s="69"/>
      <c r="X186" s="69">
        <f t="shared" si="160"/>
        <v>6585.76936422789</v>
      </c>
      <c r="Y186" s="69">
        <f t="shared" si="160"/>
        <v>23134.952643910307</v>
      </c>
      <c r="Z186" s="69">
        <f t="shared" si="160"/>
        <v>15685.340501053171</v>
      </c>
      <c r="AA186" s="69">
        <f t="shared" si="160"/>
        <v>26446.203817475907</v>
      </c>
      <c r="AB186" s="69">
        <f t="shared" si="160"/>
        <v>26174.041417475935</v>
      </c>
      <c r="AC186" s="69">
        <f>AC185+AC181</f>
        <v>98026.307744143065</v>
      </c>
      <c r="AD186" s="285">
        <f>AC186/$AD$30</f>
        <v>8.6224615309771657E-2</v>
      </c>
      <c r="AH186" s="118">
        <f>SUM(X186:AB186)</f>
        <v>98026.307744143211</v>
      </c>
      <c r="AI186" s="118">
        <f>+Y186+Z186+AA186+AB186</f>
        <v>91440.538379915321</v>
      </c>
    </row>
    <row r="187" spans="1:35" s="3" customFormat="1" ht="17.100000000000001" thickTop="1">
      <c r="D187" s="199" t="s">
        <v>2</v>
      </c>
      <c r="E187" s="129"/>
      <c r="F187" s="129"/>
      <c r="G187" s="129"/>
      <c r="H187" s="129" t="s">
        <v>2</v>
      </c>
      <c r="I187" s="200"/>
      <c r="J187" s="129" t="s">
        <v>2</v>
      </c>
      <c r="K187" s="129"/>
      <c r="L187" s="129"/>
      <c r="M187" s="129"/>
      <c r="N187" s="199"/>
      <c r="O187" s="199"/>
      <c r="P187" s="199"/>
      <c r="Q187" s="199"/>
      <c r="R187" s="199"/>
      <c r="S187" s="199"/>
      <c r="T187" s="199"/>
      <c r="U187" s="199"/>
      <c r="V187" s="199"/>
      <c r="W187" s="199"/>
      <c r="X187" s="199"/>
      <c r="Y187" s="199"/>
      <c r="Z187" s="199"/>
      <c r="AA187" s="199"/>
      <c r="AB187" s="199"/>
      <c r="AC187" s="199"/>
      <c r="AD187" s="199"/>
      <c r="AE187" s="201"/>
      <c r="AF187" s="201"/>
      <c r="AG187" s="201"/>
    </row>
    <row r="188" spans="1:35" s="3" customFormat="1">
      <c r="D188" s="199"/>
      <c r="E188" s="129"/>
      <c r="F188" s="129"/>
      <c r="G188" s="129"/>
      <c r="H188" s="129"/>
      <c r="I188" s="200"/>
      <c r="J188" s="129"/>
      <c r="K188" s="129"/>
      <c r="L188" s="129"/>
      <c r="M188" s="129"/>
      <c r="N188" s="199"/>
      <c r="O188" s="199"/>
      <c r="P188" s="199"/>
      <c r="Q188" s="199"/>
      <c r="R188" s="199"/>
      <c r="S188" s="199"/>
      <c r="T188" s="199"/>
      <c r="U188" s="199"/>
      <c r="V188" s="199"/>
      <c r="W188" s="199"/>
      <c r="X188" s="199"/>
      <c r="Y188" s="199"/>
      <c r="Z188" s="199"/>
      <c r="AA188" s="199"/>
      <c r="AB188" s="199"/>
      <c r="AC188" s="199"/>
      <c r="AD188" s="199"/>
      <c r="AE188" s="201"/>
      <c r="AF188" s="201"/>
      <c r="AG188" s="201"/>
    </row>
    <row r="189" spans="1:35" s="3" customFormat="1">
      <c r="D189" s="7"/>
      <c r="E189" s="129"/>
      <c r="F189" s="129"/>
      <c r="G189" s="129"/>
      <c r="H189" s="129"/>
      <c r="I189" s="200"/>
      <c r="J189" s="129"/>
      <c r="K189" s="129"/>
      <c r="L189" s="129"/>
      <c r="M189" s="129"/>
      <c r="N189" s="86"/>
      <c r="O189" s="86"/>
      <c r="P189" s="86"/>
      <c r="Q189" s="86"/>
      <c r="R189" s="86"/>
      <c r="S189" s="86"/>
      <c r="T189" s="86"/>
      <c r="U189" s="86"/>
      <c r="V189" s="86"/>
      <c r="W189" s="86"/>
      <c r="X189" s="86"/>
      <c r="Y189" s="86"/>
      <c r="Z189" s="86"/>
      <c r="AA189" s="86"/>
      <c r="AB189" s="86"/>
      <c r="AC189" s="118"/>
      <c r="AD189" s="72"/>
    </row>
    <row r="190" spans="1:35" s="3" customFormat="1">
      <c r="D190" s="7"/>
      <c r="E190" s="129"/>
      <c r="F190" s="129"/>
      <c r="G190" s="129"/>
      <c r="H190" s="129"/>
      <c r="I190" s="200"/>
      <c r="J190" s="129"/>
      <c r="K190" s="129"/>
      <c r="L190" s="202"/>
      <c r="M190" s="202"/>
      <c r="N190" s="202"/>
      <c r="O190" s="202"/>
      <c r="P190" s="202"/>
      <c r="Q190" s="202"/>
      <c r="R190" s="202"/>
      <c r="S190" s="202"/>
      <c r="T190" s="202"/>
      <c r="U190" s="202"/>
      <c r="V190" s="202"/>
      <c r="W190" s="202"/>
      <c r="X190" s="202"/>
      <c r="Y190" s="202"/>
      <c r="Z190" s="202"/>
      <c r="AA190" s="202"/>
      <c r="AB190" s="202"/>
      <c r="AC190" s="202"/>
      <c r="AD190" s="202"/>
    </row>
    <row r="191" spans="1:35" s="3" customFormat="1">
      <c r="D191" s="7"/>
      <c r="E191" s="129"/>
      <c r="F191" s="129"/>
      <c r="G191" s="129"/>
      <c r="H191" s="129"/>
      <c r="I191" s="200"/>
      <c r="J191" s="129"/>
      <c r="K191" s="129"/>
      <c r="L191" s="202"/>
      <c r="M191" s="202"/>
      <c r="N191" s="202"/>
      <c r="O191" s="202"/>
      <c r="P191" s="202"/>
      <c r="Q191" s="202"/>
      <c r="R191" s="202"/>
      <c r="S191" s="202"/>
      <c r="T191" s="202"/>
      <c r="U191" s="202"/>
      <c r="V191" s="202"/>
      <c r="W191" s="202"/>
      <c r="X191" s="202"/>
      <c r="Y191" s="202"/>
      <c r="Z191" s="202"/>
      <c r="AA191" s="202"/>
      <c r="AB191" s="202"/>
      <c r="AC191" s="202"/>
      <c r="AD191" s="202"/>
    </row>
    <row r="192" spans="1:35" s="3" customFormat="1">
      <c r="D192" s="7"/>
      <c r="E192" s="129"/>
      <c r="F192" s="129"/>
      <c r="G192" s="129"/>
      <c r="H192" s="129"/>
      <c r="I192" s="200"/>
      <c r="J192" s="129"/>
      <c r="K192" s="129"/>
      <c r="L192" s="202"/>
      <c r="M192" s="202"/>
      <c r="N192" s="202"/>
      <c r="O192" s="202"/>
      <c r="P192" s="202"/>
      <c r="Q192" s="202"/>
      <c r="R192" s="202"/>
      <c r="S192" s="202"/>
      <c r="T192" s="202"/>
      <c r="U192" s="202"/>
      <c r="V192" s="202"/>
      <c r="W192" s="202"/>
      <c r="X192" s="202"/>
      <c r="Y192" s="202"/>
      <c r="Z192" s="202"/>
      <c r="AA192" s="202"/>
      <c r="AB192" s="202"/>
      <c r="AC192" s="202"/>
      <c r="AD192" s="202"/>
    </row>
    <row r="193" spans="4:32" s="3" customFormat="1">
      <c r="D193" s="7"/>
      <c r="E193" s="129"/>
      <c r="F193" s="129"/>
      <c r="G193" s="129"/>
      <c r="H193" s="129"/>
      <c r="I193" s="200"/>
      <c r="J193" s="129"/>
      <c r="K193" s="129"/>
      <c r="L193" s="202"/>
      <c r="M193" s="202"/>
      <c r="N193" s="202"/>
      <c r="O193" s="202"/>
      <c r="P193" s="202"/>
      <c r="Q193" s="202"/>
      <c r="R193" s="202"/>
      <c r="S193" s="202"/>
      <c r="T193" s="202"/>
      <c r="U193" s="202"/>
      <c r="V193" s="202"/>
      <c r="W193" s="202"/>
      <c r="X193" s="202"/>
      <c r="Y193" s="202"/>
      <c r="Z193" s="202"/>
      <c r="AA193" s="202"/>
      <c r="AB193" s="202"/>
      <c r="AC193" s="202"/>
      <c r="AD193" s="202"/>
    </row>
    <row r="194" spans="4:32" s="3" customFormat="1">
      <c r="D194" s="7" t="s">
        <v>2</v>
      </c>
      <c r="E194" s="203"/>
      <c r="F194" s="203"/>
      <c r="G194" s="203"/>
      <c r="H194" s="203"/>
      <c r="I194" s="204"/>
      <c r="J194" s="203"/>
      <c r="K194" s="203"/>
      <c r="L194" s="203"/>
      <c r="M194" s="203"/>
      <c r="N194" s="205"/>
      <c r="O194" s="205"/>
      <c r="P194" s="205"/>
      <c r="Q194" s="205"/>
      <c r="R194" s="205"/>
      <c r="S194" s="205" t="s">
        <v>2</v>
      </c>
      <c r="T194" s="205"/>
      <c r="U194" s="205"/>
      <c r="V194" s="205"/>
      <c r="W194" s="205"/>
      <c r="X194" s="205"/>
      <c r="Y194" s="205"/>
      <c r="Z194" s="205"/>
      <c r="AA194" s="205"/>
      <c r="AB194" s="205"/>
      <c r="AC194" s="202" t="s">
        <v>2</v>
      </c>
    </row>
    <row r="195" spans="4:32" s="3" customFormat="1">
      <c r="D195" s="7"/>
      <c r="E195" s="203"/>
      <c r="F195" s="203"/>
      <c r="G195" s="203"/>
      <c r="H195" s="203"/>
      <c r="I195" s="204"/>
      <c r="J195" s="203"/>
      <c r="K195" s="203"/>
      <c r="L195" s="203"/>
      <c r="M195" s="203"/>
      <c r="N195" s="205"/>
      <c r="O195" s="205"/>
      <c r="P195" s="205"/>
      <c r="Q195" s="205"/>
      <c r="R195" s="205"/>
      <c r="S195" s="205"/>
      <c r="T195" s="205"/>
      <c r="U195" s="205"/>
      <c r="V195" s="205"/>
      <c r="W195" s="205"/>
      <c r="X195" s="205"/>
      <c r="Y195" s="205"/>
      <c r="Z195" s="205"/>
      <c r="AA195" s="205"/>
      <c r="AB195" s="205"/>
      <c r="AC195" s="205"/>
    </row>
    <row r="196" spans="4:32" s="3" customFormat="1">
      <c r="D196" s="7"/>
      <c r="E196" s="203"/>
      <c r="F196" s="203"/>
      <c r="G196" s="203"/>
      <c r="H196" s="203"/>
      <c r="I196" s="204"/>
      <c r="J196" s="203"/>
      <c r="K196" s="203"/>
      <c r="L196" s="203"/>
      <c r="M196" s="203"/>
      <c r="N196" s="205"/>
      <c r="O196" s="205"/>
      <c r="P196" s="205"/>
      <c r="Q196" s="205"/>
      <c r="R196" s="205"/>
      <c r="S196" s="205"/>
      <c r="T196" s="205"/>
      <c r="U196" s="205"/>
      <c r="V196" s="205"/>
      <c r="W196" s="205"/>
      <c r="X196" s="205"/>
      <c r="Y196" s="205"/>
      <c r="Z196" s="205"/>
      <c r="AA196" s="205"/>
      <c r="AB196" s="205"/>
      <c r="AC196" s="205"/>
    </row>
    <row r="197" spans="4:32" s="3" customFormat="1">
      <c r="D197" s="7"/>
      <c r="E197" s="203"/>
      <c r="F197" s="203"/>
      <c r="G197" s="203"/>
      <c r="H197" s="203"/>
      <c r="I197" s="204"/>
      <c r="J197" s="203"/>
      <c r="K197" s="203"/>
      <c r="L197" s="203"/>
      <c r="M197" s="203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  <c r="AA197" s="55"/>
      <c r="AB197" s="55"/>
      <c r="AC197" s="118"/>
    </row>
    <row r="198" spans="4:32" s="3" customFormat="1" hidden="1">
      <c r="D198" s="7"/>
      <c r="E198" s="203"/>
      <c r="F198" s="203"/>
      <c r="G198" s="203"/>
      <c r="H198" s="203"/>
      <c r="I198" s="204"/>
      <c r="J198" s="203"/>
      <c r="K198" s="203"/>
      <c r="L198" s="203"/>
      <c r="M198" s="203"/>
      <c r="N198" s="2" t="s">
        <v>3</v>
      </c>
      <c r="O198" s="2" t="s">
        <v>4</v>
      </c>
      <c r="P198" s="2" t="s">
        <v>5</v>
      </c>
      <c r="Q198" s="2" t="s">
        <v>7</v>
      </c>
      <c r="R198" s="2" t="s">
        <v>8</v>
      </c>
      <c r="S198" s="2" t="s">
        <v>9</v>
      </c>
      <c r="T198" s="2" t="s">
        <v>11</v>
      </c>
      <c r="U198" s="2" t="s">
        <v>12</v>
      </c>
      <c r="V198" s="2" t="s">
        <v>226</v>
      </c>
      <c r="W198" s="2"/>
      <c r="X198" s="2"/>
      <c r="Y198" s="2" t="s">
        <v>16</v>
      </c>
      <c r="Z198" s="2" t="s">
        <v>17</v>
      </c>
      <c r="AA198" s="2" t="s">
        <v>18</v>
      </c>
      <c r="AB198" s="2" t="s">
        <v>19</v>
      </c>
      <c r="AC198" s="2">
        <v>2016</v>
      </c>
    </row>
    <row r="199" spans="4:32" hidden="1">
      <c r="D199" s="7"/>
      <c r="E199" s="203"/>
      <c r="F199" s="203"/>
      <c r="G199" s="203"/>
      <c r="H199" s="203"/>
      <c r="I199" s="204"/>
      <c r="J199" s="203"/>
      <c r="K199" s="203"/>
      <c r="L199" s="203"/>
      <c r="M199" s="203"/>
      <c r="N199" s="226" t="s">
        <v>23</v>
      </c>
      <c r="O199" s="226" t="s">
        <v>23</v>
      </c>
      <c r="P199" s="226" t="s">
        <v>23</v>
      </c>
      <c r="Q199" s="226" t="s">
        <v>23</v>
      </c>
      <c r="R199" s="226" t="s">
        <v>23</v>
      </c>
      <c r="S199" s="226" t="s">
        <v>23</v>
      </c>
      <c r="T199" s="226" t="s">
        <v>23</v>
      </c>
      <c r="U199" s="226" t="s">
        <v>23</v>
      </c>
      <c r="V199" s="226" t="s">
        <v>23</v>
      </c>
      <c r="W199" s="226"/>
      <c r="X199" s="226"/>
      <c r="Y199" s="226" t="s">
        <v>23</v>
      </c>
      <c r="Z199" s="226" t="s">
        <v>23</v>
      </c>
      <c r="AA199" s="226" t="s">
        <v>23</v>
      </c>
      <c r="AB199" s="226" t="s">
        <v>23</v>
      </c>
      <c r="AC199" s="49" t="s">
        <v>233</v>
      </c>
      <c r="AD199" s="3"/>
      <c r="AE199" s="210"/>
      <c r="AF199" s="210"/>
    </row>
    <row r="200" spans="4:32" hidden="1">
      <c r="D200" s="5" t="s">
        <v>343</v>
      </c>
      <c r="E200" s="215"/>
      <c r="F200" s="215"/>
      <c r="G200" s="215"/>
      <c r="H200" s="215"/>
      <c r="I200" s="221"/>
      <c r="J200" s="215"/>
      <c r="K200" s="215"/>
      <c r="L200" s="215"/>
      <c r="M200" s="215"/>
      <c r="N200" s="210"/>
      <c r="O200" s="210"/>
      <c r="P200" s="210"/>
      <c r="Q200" s="210"/>
      <c r="R200" s="210"/>
      <c r="S200" s="210"/>
      <c r="T200" s="210"/>
      <c r="U200" s="210"/>
      <c r="V200" s="210"/>
      <c r="W200" s="210"/>
      <c r="X200" s="210"/>
      <c r="Y200" s="210"/>
      <c r="Z200" s="210"/>
      <c r="AA200" s="210"/>
      <c r="AB200" s="210"/>
      <c r="AC200" s="210"/>
      <c r="AD200" s="210"/>
      <c r="AE200" s="210"/>
      <c r="AF200" s="210"/>
    </row>
    <row r="201" spans="4:32" hidden="1">
      <c r="D201" s="5"/>
      <c r="E201" s="215"/>
      <c r="F201" s="215"/>
      <c r="G201" s="215"/>
      <c r="H201" s="215"/>
      <c r="I201" s="221"/>
      <c r="J201" s="215"/>
      <c r="K201" s="215"/>
      <c r="L201" s="215"/>
      <c r="M201" s="215"/>
      <c r="N201" s="210"/>
      <c r="O201" s="210"/>
      <c r="P201" s="210"/>
      <c r="Q201" s="210"/>
      <c r="R201" s="210"/>
      <c r="S201" s="210"/>
      <c r="T201" s="210"/>
      <c r="U201" s="210"/>
      <c r="V201" s="210"/>
      <c r="W201" s="210"/>
      <c r="X201" s="210"/>
      <c r="Y201" s="210"/>
      <c r="Z201" s="210"/>
      <c r="AA201" s="210"/>
      <c r="AB201" s="210"/>
      <c r="AC201" s="210"/>
      <c r="AD201" s="210"/>
      <c r="AE201" s="210"/>
      <c r="AF201" s="210"/>
    </row>
    <row r="202" spans="4:32" hidden="1">
      <c r="D202" s="5" t="s">
        <v>344</v>
      </c>
      <c r="E202" s="215"/>
      <c r="F202" s="215"/>
      <c r="G202" s="215"/>
      <c r="H202" s="215"/>
      <c r="I202" s="221"/>
      <c r="J202" s="215"/>
      <c r="K202" s="215"/>
      <c r="L202" s="215"/>
      <c r="M202" s="215"/>
      <c r="N202" s="210"/>
      <c r="O202" s="210"/>
      <c r="P202" s="210"/>
      <c r="Q202" s="210"/>
      <c r="R202" s="210"/>
      <c r="S202" s="210"/>
      <c r="T202" s="210"/>
      <c r="U202" s="210"/>
      <c r="V202" s="210"/>
      <c r="W202" s="210"/>
      <c r="X202" s="210"/>
      <c r="Y202" s="210"/>
      <c r="Z202" s="210"/>
      <c r="AA202" s="210"/>
      <c r="AB202" s="210"/>
      <c r="AC202" s="210"/>
      <c r="AD202" s="210"/>
      <c r="AE202" s="210"/>
      <c r="AF202" s="210"/>
    </row>
    <row r="203" spans="4:32" hidden="1">
      <c r="D203" s="286" t="s">
        <v>345</v>
      </c>
      <c r="E203" s="215"/>
      <c r="F203" s="215"/>
      <c r="G203" s="215"/>
      <c r="H203" s="215"/>
      <c r="I203" s="221"/>
      <c r="J203" s="215"/>
      <c r="K203" s="215"/>
      <c r="L203" s="215"/>
      <c r="M203" s="215"/>
      <c r="N203" s="224">
        <f>0.315*N205</f>
        <v>0</v>
      </c>
      <c r="O203" s="224">
        <f>0.315*O205</f>
        <v>0</v>
      </c>
      <c r="P203" s="224">
        <f t="shared" ref="P203:AB203" si="161">0.315*P205</f>
        <v>0</v>
      </c>
      <c r="Q203" s="224">
        <f t="shared" si="161"/>
        <v>0</v>
      </c>
      <c r="R203" s="224">
        <f t="shared" si="161"/>
        <v>0</v>
      </c>
      <c r="S203" s="224">
        <f t="shared" si="161"/>
        <v>0</v>
      </c>
      <c r="T203" s="224">
        <f t="shared" si="161"/>
        <v>0</v>
      </c>
      <c r="U203" s="224">
        <f t="shared" si="161"/>
        <v>0</v>
      </c>
      <c r="V203" s="224">
        <f t="shared" si="161"/>
        <v>0</v>
      </c>
      <c r="W203" s="224"/>
      <c r="X203" s="224"/>
      <c r="Y203" s="224">
        <f t="shared" si="161"/>
        <v>2494.3274999999999</v>
      </c>
      <c r="Z203" s="224">
        <f t="shared" si="161"/>
        <v>2494.3274999999999</v>
      </c>
      <c r="AA203" s="224">
        <f t="shared" si="161"/>
        <v>2850.6660000000002</v>
      </c>
      <c r="AB203" s="224">
        <f t="shared" si="161"/>
        <v>2850.6660000000002</v>
      </c>
      <c r="AC203" s="224">
        <f>0.315*AC205-1</f>
        <v>10688.987000000001</v>
      </c>
      <c r="AD203" s="210"/>
      <c r="AE203" s="210"/>
      <c r="AF203" s="210"/>
    </row>
    <row r="204" spans="4:32" hidden="1">
      <c r="D204" s="286" t="s">
        <v>346</v>
      </c>
      <c r="E204" s="215"/>
      <c r="F204" s="215"/>
      <c r="G204" s="215"/>
      <c r="H204" s="215"/>
      <c r="I204" s="221"/>
      <c r="J204" s="215"/>
      <c r="K204" s="215"/>
      <c r="L204" s="215"/>
      <c r="M204" s="215"/>
      <c r="N204" s="224">
        <f>0.685*N205</f>
        <v>0</v>
      </c>
      <c r="O204" s="224">
        <f>0.685*O205</f>
        <v>0</v>
      </c>
      <c r="P204" s="224">
        <f t="shared" ref="P204:AB204" si="162">0.685*P205</f>
        <v>0</v>
      </c>
      <c r="Q204" s="224">
        <f t="shared" si="162"/>
        <v>0</v>
      </c>
      <c r="R204" s="224">
        <f t="shared" si="162"/>
        <v>0</v>
      </c>
      <c r="S204" s="224">
        <f t="shared" si="162"/>
        <v>0</v>
      </c>
      <c r="T204" s="224">
        <f t="shared" si="162"/>
        <v>0</v>
      </c>
      <c r="U204" s="224">
        <f t="shared" si="162"/>
        <v>0</v>
      </c>
      <c r="V204" s="224">
        <f t="shared" si="162"/>
        <v>0</v>
      </c>
      <c r="W204" s="224"/>
      <c r="X204" s="224"/>
      <c r="Y204" s="224">
        <f t="shared" si="162"/>
        <v>5424.1725000000006</v>
      </c>
      <c r="Z204" s="224">
        <f t="shared" si="162"/>
        <v>5424.1725000000006</v>
      </c>
      <c r="AA204" s="224">
        <f t="shared" si="162"/>
        <v>6199.0673333333343</v>
      </c>
      <c r="AB204" s="224">
        <f t="shared" si="162"/>
        <v>6199.0673333333343</v>
      </c>
      <c r="AC204" s="224">
        <f>SUM(O204:AB204)</f>
        <v>23246.479666666666</v>
      </c>
      <c r="AD204" s="210"/>
      <c r="AE204" s="210"/>
      <c r="AF204" s="210"/>
    </row>
    <row r="205" spans="4:32" ht="17.100000000000001" hidden="1" thickBot="1">
      <c r="D205" s="6" t="s">
        <v>347</v>
      </c>
      <c r="E205" s="287"/>
      <c r="F205" s="287"/>
      <c r="G205" s="287"/>
      <c r="H205" s="287"/>
      <c r="I205" s="288"/>
      <c r="J205" s="287"/>
      <c r="K205" s="287"/>
      <c r="L205" s="287"/>
      <c r="M205" s="287"/>
      <c r="N205" s="279">
        <f t="shared" ref="N205:V205" si="163">N30/30</f>
        <v>0</v>
      </c>
      <c r="O205" s="279">
        <f t="shared" si="163"/>
        <v>0</v>
      </c>
      <c r="P205" s="279">
        <f t="shared" si="163"/>
        <v>0</v>
      </c>
      <c r="Q205" s="279">
        <f t="shared" si="163"/>
        <v>0</v>
      </c>
      <c r="R205" s="279">
        <f t="shared" si="163"/>
        <v>0</v>
      </c>
      <c r="S205" s="279">
        <f t="shared" si="163"/>
        <v>0</v>
      </c>
      <c r="T205" s="279">
        <f t="shared" si="163"/>
        <v>0</v>
      </c>
      <c r="U205" s="279">
        <f t="shared" si="163"/>
        <v>0</v>
      </c>
      <c r="V205" s="279">
        <f t="shared" si="163"/>
        <v>0</v>
      </c>
      <c r="W205" s="279"/>
      <c r="X205" s="279"/>
      <c r="Y205" s="279">
        <f>Y30/30</f>
        <v>7918.5</v>
      </c>
      <c r="Z205" s="279">
        <f>Z30/30</f>
        <v>7918.5</v>
      </c>
      <c r="AA205" s="279">
        <f>AA30/30</f>
        <v>9049.7333333333336</v>
      </c>
      <c r="AB205" s="279">
        <f>AB30/30</f>
        <v>9049.7333333333336</v>
      </c>
      <c r="AC205" s="279">
        <f>SUM(O205:AB205)</f>
        <v>33936.466666666667</v>
      </c>
      <c r="AD205" s="210"/>
      <c r="AE205" s="210"/>
      <c r="AF205" s="210"/>
    </row>
    <row r="206" spans="4:32" hidden="1">
      <c r="D206" s="210"/>
      <c r="E206" s="215"/>
      <c r="F206" s="215"/>
      <c r="G206" s="215"/>
      <c r="H206" s="215"/>
      <c r="I206" s="221"/>
      <c r="J206" s="215"/>
      <c r="K206" s="215"/>
      <c r="L206" s="215"/>
      <c r="M206" s="215"/>
      <c r="N206" s="210"/>
      <c r="O206" s="210"/>
      <c r="P206" s="210"/>
      <c r="Q206" s="210"/>
      <c r="R206" s="210"/>
      <c r="S206" s="210"/>
      <c r="T206" s="210"/>
      <c r="U206" s="210"/>
      <c r="V206" s="210"/>
      <c r="W206" s="210"/>
      <c r="X206" s="210"/>
      <c r="Y206" s="210"/>
      <c r="Z206" s="210"/>
      <c r="AA206" s="210"/>
      <c r="AB206" s="210"/>
      <c r="AC206" s="210"/>
      <c r="AD206" s="210"/>
      <c r="AE206" s="210"/>
      <c r="AF206" s="210"/>
    </row>
    <row r="207" spans="4:32" hidden="1">
      <c r="D207" s="9" t="s">
        <v>348</v>
      </c>
      <c r="E207" s="215"/>
      <c r="F207" s="215"/>
      <c r="G207" s="215"/>
      <c r="H207" s="215"/>
      <c r="I207" s="221"/>
      <c r="J207" s="215"/>
      <c r="K207" s="215"/>
      <c r="L207" s="215"/>
      <c r="M207" s="215"/>
      <c r="N207" s="210"/>
      <c r="O207" s="210"/>
      <c r="P207" s="210"/>
      <c r="Q207" s="210"/>
      <c r="R207" s="210"/>
      <c r="S207" s="210"/>
      <c r="T207" s="210"/>
      <c r="U207" s="210"/>
      <c r="V207" s="210"/>
      <c r="W207" s="210"/>
      <c r="X207" s="210"/>
      <c r="Y207" s="210"/>
      <c r="Z207" s="210"/>
      <c r="AA207" s="210"/>
      <c r="AB207" s="210"/>
      <c r="AC207" s="210"/>
      <c r="AD207" s="210"/>
      <c r="AE207" s="224" t="s">
        <v>2</v>
      </c>
      <c r="AF207" s="224" t="s">
        <v>2</v>
      </c>
    </row>
    <row r="208" spans="4:32" hidden="1">
      <c r="D208" s="10" t="s">
        <v>349</v>
      </c>
      <c r="E208" s="215"/>
      <c r="F208" s="215"/>
      <c r="G208" s="215"/>
      <c r="H208" s="215"/>
      <c r="I208" s="221"/>
      <c r="J208" s="215"/>
      <c r="K208" s="215"/>
      <c r="L208" s="215"/>
      <c r="M208" s="215"/>
      <c r="N208" s="220">
        <v>2337</v>
      </c>
      <c r="O208" s="220">
        <v>2337</v>
      </c>
      <c r="P208" s="220">
        <v>2337</v>
      </c>
      <c r="Q208" s="220">
        <v>2743</v>
      </c>
      <c r="R208" s="220">
        <v>2743</v>
      </c>
      <c r="S208" s="220">
        <v>2743</v>
      </c>
      <c r="T208" s="220">
        <v>2851</v>
      </c>
      <c r="U208" s="220">
        <v>2851</v>
      </c>
      <c r="V208" s="220">
        <v>2851</v>
      </c>
      <c r="W208" s="220"/>
      <c r="X208" s="220"/>
      <c r="Y208" s="220">
        <v>3020</v>
      </c>
      <c r="Z208" s="220">
        <v>3020</v>
      </c>
      <c r="AA208" s="220">
        <v>3020</v>
      </c>
      <c r="AB208" s="220">
        <v>3020</v>
      </c>
      <c r="AC208" s="224">
        <f>SUM(N208:AB208)</f>
        <v>35873</v>
      </c>
      <c r="AD208" s="224" t="s">
        <v>2</v>
      </c>
      <c r="AE208" s="210"/>
      <c r="AF208" s="210"/>
    </row>
    <row r="209" spans="4:29" hidden="1">
      <c r="D209" s="10" t="s">
        <v>350</v>
      </c>
      <c r="E209" s="215"/>
      <c r="F209" s="215"/>
      <c r="G209" s="215"/>
      <c r="H209" s="215"/>
      <c r="I209" s="221"/>
      <c r="J209" s="215"/>
      <c r="K209" s="215"/>
      <c r="L209" s="215"/>
      <c r="M209" s="215"/>
      <c r="N209" s="220">
        <v>540</v>
      </c>
      <c r="O209" s="220">
        <v>540</v>
      </c>
      <c r="P209" s="220">
        <v>540</v>
      </c>
      <c r="Q209" s="220">
        <v>565</v>
      </c>
      <c r="R209" s="220">
        <v>565</v>
      </c>
      <c r="S209" s="220">
        <v>565</v>
      </c>
      <c r="T209" s="220">
        <v>585</v>
      </c>
      <c r="U209" s="220">
        <v>585</v>
      </c>
      <c r="V209" s="220">
        <v>585</v>
      </c>
      <c r="W209" s="220"/>
      <c r="X209" s="220"/>
      <c r="Y209" s="220">
        <v>605</v>
      </c>
      <c r="Z209" s="220">
        <v>605</v>
      </c>
      <c r="AA209" s="220">
        <v>605</v>
      </c>
      <c r="AB209" s="220">
        <v>605</v>
      </c>
      <c r="AC209" s="220">
        <f>SUM(N209:AB209)</f>
        <v>7490</v>
      </c>
    </row>
    <row r="210" spans="4:29" hidden="1">
      <c r="D210" s="10" t="s">
        <v>351</v>
      </c>
      <c r="E210" s="215"/>
      <c r="F210" s="215"/>
      <c r="G210" s="215"/>
      <c r="H210" s="215"/>
      <c r="I210" s="221"/>
      <c r="J210" s="215"/>
      <c r="K210" s="215"/>
      <c r="L210" s="215"/>
      <c r="M210" s="215"/>
      <c r="N210" s="220">
        <f t="shared" ref="N210:S210" si="164">2396-200</f>
        <v>2196</v>
      </c>
      <c r="O210" s="220">
        <f t="shared" si="164"/>
        <v>2196</v>
      </c>
      <c r="P210" s="220">
        <f t="shared" si="164"/>
        <v>2196</v>
      </c>
      <c r="Q210" s="220">
        <f t="shared" si="164"/>
        <v>2196</v>
      </c>
      <c r="R210" s="220">
        <f t="shared" si="164"/>
        <v>2196</v>
      </c>
      <c r="S210" s="220">
        <f t="shared" si="164"/>
        <v>2196</v>
      </c>
      <c r="T210" s="220">
        <f t="shared" ref="T210:AB210" si="165">2522-200</f>
        <v>2322</v>
      </c>
      <c r="U210" s="220">
        <f t="shared" si="165"/>
        <v>2322</v>
      </c>
      <c r="V210" s="220">
        <f t="shared" si="165"/>
        <v>2322</v>
      </c>
      <c r="W210" s="220"/>
      <c r="X210" s="220"/>
      <c r="Y210" s="220">
        <f t="shared" si="165"/>
        <v>2322</v>
      </c>
      <c r="Z210" s="220">
        <f t="shared" si="165"/>
        <v>2322</v>
      </c>
      <c r="AA210" s="220">
        <f t="shared" si="165"/>
        <v>2322</v>
      </c>
      <c r="AB210" s="220">
        <f t="shared" si="165"/>
        <v>2322</v>
      </c>
      <c r="AC210" s="220">
        <f>SUM(N210:AB210)</f>
        <v>29430</v>
      </c>
    </row>
    <row r="211" spans="4:29" hidden="1">
      <c r="D211" s="10" t="s">
        <v>178</v>
      </c>
      <c r="E211" s="215"/>
      <c r="F211" s="215"/>
      <c r="G211" s="215"/>
      <c r="H211" s="215"/>
      <c r="I211" s="221"/>
      <c r="J211" s="215"/>
      <c r="K211" s="215"/>
      <c r="L211" s="215"/>
      <c r="M211" s="215"/>
      <c r="N211" s="220">
        <f>36*4</f>
        <v>144</v>
      </c>
      <c r="O211" s="220">
        <f t="shared" ref="O211:AC211" si="166">36*4</f>
        <v>144</v>
      </c>
      <c r="P211" s="220">
        <f t="shared" si="166"/>
        <v>144</v>
      </c>
      <c r="Q211" s="220">
        <f t="shared" si="166"/>
        <v>144</v>
      </c>
      <c r="R211" s="220">
        <f t="shared" si="166"/>
        <v>144</v>
      </c>
      <c r="S211" s="220">
        <f t="shared" si="166"/>
        <v>144</v>
      </c>
      <c r="T211" s="220">
        <f t="shared" si="166"/>
        <v>144</v>
      </c>
      <c r="U211" s="220">
        <f t="shared" si="166"/>
        <v>144</v>
      </c>
      <c r="V211" s="220">
        <f t="shared" si="166"/>
        <v>144</v>
      </c>
      <c r="W211" s="220"/>
      <c r="X211" s="220"/>
      <c r="Y211" s="220">
        <f t="shared" si="166"/>
        <v>144</v>
      </c>
      <c r="Z211" s="220">
        <f t="shared" si="166"/>
        <v>144</v>
      </c>
      <c r="AA211" s="220">
        <f t="shared" si="166"/>
        <v>144</v>
      </c>
      <c r="AB211" s="220">
        <f t="shared" si="166"/>
        <v>144</v>
      </c>
      <c r="AC211" s="220">
        <f t="shared" si="166"/>
        <v>144</v>
      </c>
    </row>
    <row r="212" spans="4:29" ht="17.100000000000001" hidden="1" thickBot="1">
      <c r="D212" s="11" t="s">
        <v>352</v>
      </c>
      <c r="E212" s="206"/>
      <c r="F212" s="206"/>
      <c r="G212" s="206"/>
      <c r="H212" s="206"/>
      <c r="I212" s="207"/>
      <c r="J212" s="206"/>
      <c r="K212" s="206"/>
      <c r="L212" s="206"/>
      <c r="M212" s="206"/>
      <c r="N212" s="169">
        <f>SUM(N208:N211)</f>
        <v>5217</v>
      </c>
      <c r="O212" s="169">
        <f t="shared" ref="O212:AC212" si="167">SUM(O208:O210)</f>
        <v>5073</v>
      </c>
      <c r="P212" s="169">
        <f t="shared" si="167"/>
        <v>5073</v>
      </c>
      <c r="Q212" s="169">
        <f t="shared" si="167"/>
        <v>5504</v>
      </c>
      <c r="R212" s="169">
        <f t="shared" si="167"/>
        <v>5504</v>
      </c>
      <c r="S212" s="169">
        <f t="shared" si="167"/>
        <v>5504</v>
      </c>
      <c r="T212" s="169">
        <f t="shared" si="167"/>
        <v>5758</v>
      </c>
      <c r="U212" s="169">
        <f t="shared" si="167"/>
        <v>5758</v>
      </c>
      <c r="V212" s="169">
        <f t="shared" si="167"/>
        <v>5758</v>
      </c>
      <c r="W212" s="169"/>
      <c r="X212" s="169"/>
      <c r="Y212" s="169">
        <f t="shared" si="167"/>
        <v>5947</v>
      </c>
      <c r="Z212" s="169">
        <f t="shared" si="167"/>
        <v>5947</v>
      </c>
      <c r="AA212" s="169">
        <f t="shared" si="167"/>
        <v>5947</v>
      </c>
      <c r="AB212" s="169">
        <f t="shared" si="167"/>
        <v>5947</v>
      </c>
      <c r="AC212" s="169">
        <f t="shared" si="167"/>
        <v>72793</v>
      </c>
    </row>
    <row r="213" spans="4:29" hidden="1">
      <c r="D213" s="210"/>
      <c r="E213" s="215"/>
      <c r="F213" s="215"/>
      <c r="G213" s="215"/>
      <c r="H213" s="215"/>
      <c r="I213" s="221"/>
      <c r="J213" s="215"/>
      <c r="K213" s="215"/>
      <c r="L213" s="215"/>
      <c r="M213" s="215"/>
      <c r="N213" s="210"/>
      <c r="O213" s="210"/>
      <c r="P213" s="210"/>
      <c r="Q213" s="210"/>
      <c r="R213" s="210"/>
      <c r="S213" s="210"/>
      <c r="T213" s="210"/>
      <c r="U213" s="210"/>
      <c r="V213" s="210"/>
      <c r="W213" s="210"/>
      <c r="X213" s="210"/>
      <c r="Y213" s="210"/>
      <c r="Z213" s="210"/>
      <c r="AA213" s="210"/>
      <c r="AB213" s="210"/>
      <c r="AC213" s="210"/>
    </row>
    <row r="214" spans="4:29" hidden="1">
      <c r="D214" s="9" t="s">
        <v>353</v>
      </c>
      <c r="E214" s="215"/>
      <c r="F214" s="215"/>
      <c r="G214" s="215"/>
      <c r="H214" s="215"/>
      <c r="I214" s="221"/>
      <c r="J214" s="215"/>
      <c r="K214" s="215"/>
      <c r="L214" s="215"/>
      <c r="M214" s="215"/>
      <c r="N214" s="210"/>
      <c r="O214" s="210"/>
      <c r="P214" s="210"/>
      <c r="Q214" s="210"/>
      <c r="R214" s="210"/>
      <c r="S214" s="210"/>
      <c r="T214" s="210"/>
      <c r="U214" s="210"/>
      <c r="V214" s="210"/>
      <c r="W214" s="210"/>
      <c r="X214" s="210"/>
      <c r="Y214" s="210"/>
      <c r="Z214" s="210"/>
      <c r="AA214" s="210"/>
      <c r="AB214" s="210"/>
      <c r="AC214" s="210"/>
    </row>
    <row r="215" spans="4:29" hidden="1">
      <c r="D215" s="10" t="s">
        <v>44</v>
      </c>
      <c r="E215" s="215"/>
      <c r="F215" s="215"/>
      <c r="G215" s="215"/>
      <c r="H215" s="215"/>
      <c r="I215" s="221"/>
      <c r="J215" s="215"/>
      <c r="K215" s="215"/>
      <c r="L215" s="215"/>
      <c r="M215" s="215"/>
      <c r="N215" s="229" t="e">
        <f>+N208/N205</f>
        <v>#DIV/0!</v>
      </c>
      <c r="O215" s="229" t="e">
        <f>+O208/O205</f>
        <v>#DIV/0!</v>
      </c>
      <c r="P215" s="229" t="e">
        <f t="shared" ref="P215:AC215" si="168">+P208/P205</f>
        <v>#DIV/0!</v>
      </c>
      <c r="Q215" s="229" t="e">
        <f t="shared" si="168"/>
        <v>#DIV/0!</v>
      </c>
      <c r="R215" s="229" t="e">
        <f t="shared" si="168"/>
        <v>#DIV/0!</v>
      </c>
      <c r="S215" s="229" t="e">
        <f t="shared" si="168"/>
        <v>#DIV/0!</v>
      </c>
      <c r="T215" s="229" t="e">
        <f t="shared" si="168"/>
        <v>#DIV/0!</v>
      </c>
      <c r="U215" s="229" t="e">
        <f t="shared" si="168"/>
        <v>#DIV/0!</v>
      </c>
      <c r="V215" s="229" t="e">
        <f t="shared" si="168"/>
        <v>#DIV/0!</v>
      </c>
      <c r="W215" s="229"/>
      <c r="X215" s="229"/>
      <c r="Y215" s="229">
        <f t="shared" si="168"/>
        <v>0.38138536338953083</v>
      </c>
      <c r="Z215" s="229">
        <f t="shared" si="168"/>
        <v>0.38138536338953083</v>
      </c>
      <c r="AA215" s="229">
        <f t="shared" si="168"/>
        <v>0.33371149057799127</v>
      </c>
      <c r="AB215" s="229">
        <f t="shared" si="168"/>
        <v>0.33371149057799127</v>
      </c>
      <c r="AC215" s="229">
        <f t="shared" si="168"/>
        <v>1.0570634931548559</v>
      </c>
    </row>
    <row r="216" spans="4:29" hidden="1">
      <c r="D216" s="10" t="s">
        <v>45</v>
      </c>
      <c r="E216" s="215"/>
      <c r="F216" s="215"/>
      <c r="G216" s="215"/>
      <c r="H216" s="215"/>
      <c r="I216" s="221"/>
      <c r="J216" s="215"/>
      <c r="K216" s="215"/>
      <c r="L216" s="215"/>
      <c r="M216" s="215"/>
      <c r="N216" s="229" t="e">
        <f>+N209/N205</f>
        <v>#DIV/0!</v>
      </c>
      <c r="O216" s="229" t="e">
        <f>+O209/O205</f>
        <v>#DIV/0!</v>
      </c>
      <c r="P216" s="229" t="e">
        <f t="shared" ref="P216:AC216" si="169">+P209/P205</f>
        <v>#DIV/0!</v>
      </c>
      <c r="Q216" s="229" t="e">
        <f t="shared" si="169"/>
        <v>#DIV/0!</v>
      </c>
      <c r="R216" s="229" t="e">
        <f t="shared" si="169"/>
        <v>#DIV/0!</v>
      </c>
      <c r="S216" s="229" t="e">
        <f t="shared" si="169"/>
        <v>#DIV/0!</v>
      </c>
      <c r="T216" s="229" t="e">
        <f t="shared" si="169"/>
        <v>#DIV/0!</v>
      </c>
      <c r="U216" s="229" t="e">
        <f t="shared" si="169"/>
        <v>#DIV/0!</v>
      </c>
      <c r="V216" s="229" t="e">
        <f t="shared" si="169"/>
        <v>#DIV/0!</v>
      </c>
      <c r="W216" s="229"/>
      <c r="X216" s="229"/>
      <c r="Y216" s="229">
        <f t="shared" si="169"/>
        <v>7.640335922207489E-2</v>
      </c>
      <c r="Z216" s="229">
        <f t="shared" si="169"/>
        <v>7.640335922207489E-2</v>
      </c>
      <c r="AA216" s="229">
        <f t="shared" si="169"/>
        <v>6.6852798609167124E-2</v>
      </c>
      <c r="AB216" s="229">
        <f t="shared" si="169"/>
        <v>6.6852798609167124E-2</v>
      </c>
      <c r="AC216" s="229">
        <f t="shared" si="169"/>
        <v>0.22070653593872472</v>
      </c>
    </row>
    <row r="217" spans="4:29" hidden="1">
      <c r="D217" s="10" t="s">
        <v>354</v>
      </c>
      <c r="E217" s="215"/>
      <c r="F217" s="215"/>
      <c r="G217" s="215"/>
      <c r="H217" s="215"/>
      <c r="I217" s="221"/>
      <c r="J217" s="215"/>
      <c r="K217" s="215"/>
      <c r="L217" s="215"/>
      <c r="M217" s="215"/>
      <c r="N217" s="229" t="e">
        <f>+N210/N205</f>
        <v>#DIV/0!</v>
      </c>
      <c r="O217" s="229" t="e">
        <f t="shared" ref="O217:AC217" si="170">+O210/O205</f>
        <v>#DIV/0!</v>
      </c>
      <c r="P217" s="229" t="e">
        <f t="shared" si="170"/>
        <v>#DIV/0!</v>
      </c>
      <c r="Q217" s="229" t="e">
        <f t="shared" si="170"/>
        <v>#DIV/0!</v>
      </c>
      <c r="R217" s="229" t="e">
        <f t="shared" si="170"/>
        <v>#DIV/0!</v>
      </c>
      <c r="S217" s="229" t="e">
        <f t="shared" si="170"/>
        <v>#DIV/0!</v>
      </c>
      <c r="T217" s="229" t="e">
        <f t="shared" si="170"/>
        <v>#DIV/0!</v>
      </c>
      <c r="U217" s="229" t="e">
        <f t="shared" si="170"/>
        <v>#DIV/0!</v>
      </c>
      <c r="V217" s="229" t="e">
        <f t="shared" si="170"/>
        <v>#DIV/0!</v>
      </c>
      <c r="W217" s="229"/>
      <c r="X217" s="229"/>
      <c r="Y217" s="229">
        <f t="shared" si="170"/>
        <v>0.2932373555597651</v>
      </c>
      <c r="Z217" s="229">
        <f t="shared" si="170"/>
        <v>0.2932373555597651</v>
      </c>
      <c r="AA217" s="229">
        <f t="shared" si="170"/>
        <v>0.25658214606691909</v>
      </c>
      <c r="AB217" s="229">
        <f t="shared" si="170"/>
        <v>0.25658214606691909</v>
      </c>
      <c r="AC217" s="229">
        <f t="shared" si="170"/>
        <v>0.86720872532398774</v>
      </c>
    </row>
    <row r="218" spans="4:29" ht="17.100000000000001" hidden="1" thickBot="1">
      <c r="D218" s="11" t="s">
        <v>355</v>
      </c>
      <c r="E218" s="287"/>
      <c r="F218" s="287"/>
      <c r="G218" s="287"/>
      <c r="H218" s="287"/>
      <c r="I218" s="288"/>
      <c r="J218" s="287"/>
      <c r="K218" s="287"/>
      <c r="L218" s="287"/>
      <c r="M218" s="287"/>
      <c r="N218" s="289" t="e">
        <f>SUM(N215:N217)</f>
        <v>#DIV/0!</v>
      </c>
      <c r="O218" s="289" t="e">
        <f t="shared" ref="O218:AC218" si="171">SUM(O215:O217)</f>
        <v>#DIV/0!</v>
      </c>
      <c r="P218" s="289" t="e">
        <f t="shared" si="171"/>
        <v>#DIV/0!</v>
      </c>
      <c r="Q218" s="289" t="e">
        <f t="shared" si="171"/>
        <v>#DIV/0!</v>
      </c>
      <c r="R218" s="289" t="e">
        <f t="shared" si="171"/>
        <v>#DIV/0!</v>
      </c>
      <c r="S218" s="289" t="e">
        <f t="shared" si="171"/>
        <v>#DIV/0!</v>
      </c>
      <c r="T218" s="289" t="e">
        <f t="shared" si="171"/>
        <v>#DIV/0!</v>
      </c>
      <c r="U218" s="289" t="e">
        <f t="shared" si="171"/>
        <v>#DIV/0!</v>
      </c>
      <c r="V218" s="289" t="e">
        <f t="shared" si="171"/>
        <v>#DIV/0!</v>
      </c>
      <c r="W218" s="289"/>
      <c r="X218" s="289"/>
      <c r="Y218" s="289">
        <f t="shared" si="171"/>
        <v>0.7510260781713709</v>
      </c>
      <c r="Z218" s="289">
        <f t="shared" si="171"/>
        <v>0.7510260781713709</v>
      </c>
      <c r="AA218" s="289">
        <f t="shared" si="171"/>
        <v>0.65714643525407745</v>
      </c>
      <c r="AB218" s="289">
        <f t="shared" si="171"/>
        <v>0.65714643525407745</v>
      </c>
      <c r="AC218" s="289">
        <f t="shared" si="171"/>
        <v>2.1449787544175685</v>
      </c>
    </row>
    <row r="219" spans="4:29" hidden="1">
      <c r="D219" s="210"/>
      <c r="E219" s="215"/>
      <c r="F219" s="215"/>
      <c r="G219" s="215"/>
      <c r="H219" s="215"/>
      <c r="I219" s="221"/>
      <c r="J219" s="215"/>
      <c r="K219" s="215"/>
      <c r="L219" s="215"/>
      <c r="M219" s="215"/>
      <c r="N219" s="210"/>
      <c r="O219" s="210"/>
      <c r="P219" s="210"/>
      <c r="Q219" s="210"/>
      <c r="R219" s="210"/>
      <c r="S219" s="210"/>
      <c r="T219" s="210"/>
      <c r="U219" s="210"/>
      <c r="V219" s="210"/>
      <c r="W219" s="210"/>
      <c r="X219" s="210"/>
      <c r="Y219" s="210"/>
      <c r="Z219" s="210"/>
      <c r="AA219" s="210"/>
      <c r="AB219" s="210"/>
      <c r="AC219" s="210"/>
    </row>
    <row r="220" spans="4:29" hidden="1">
      <c r="D220" s="210"/>
      <c r="E220" s="215"/>
      <c r="F220" s="215"/>
      <c r="G220" s="215"/>
      <c r="H220" s="215"/>
      <c r="I220" s="221"/>
      <c r="J220" s="215"/>
      <c r="K220" s="215"/>
      <c r="L220" s="215"/>
      <c r="M220" s="215"/>
      <c r="N220" s="210"/>
      <c r="O220" s="210"/>
      <c r="P220" s="210"/>
      <c r="Q220" s="210"/>
      <c r="R220" s="210"/>
      <c r="S220" s="210"/>
      <c r="T220" s="210"/>
      <c r="U220" s="210"/>
      <c r="V220" s="210"/>
      <c r="W220" s="210"/>
      <c r="X220" s="210"/>
      <c r="Y220" s="210"/>
      <c r="Z220" s="210"/>
      <c r="AA220" s="210"/>
      <c r="AB220" s="210"/>
      <c r="AC220" s="210"/>
    </row>
  </sheetData>
  <mergeCells count="2">
    <mergeCell ref="Q5:W5"/>
    <mergeCell ref="T18:V18"/>
  </mergeCells>
  <printOptions horizontalCentered="1" verticalCentered="1"/>
  <pageMargins left="0.25" right="0.25" top="0.75" bottom="0.75" header="0.3" footer="0.3"/>
  <pageSetup scale="50" pageOrder="overThenDown" orientation="landscape"/>
  <rowBreaks count="1" manualBreakCount="1">
    <brk id="74" max="16383" man="1"/>
  </rowBreak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b2e9c34-3b46-4e2a-aa45-dfbb4bee9e43">
      <Terms xmlns="http://schemas.microsoft.com/office/infopath/2007/PartnerControls"/>
    </lcf76f155ced4ddcb4097134ff3c332f>
    <TaxCatchAll xmlns="25321137-ec22-470f-9a30-4a1bea9c43a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0C32DF4CA9904A868893D3BDD6D6CD" ma:contentTypeVersion="16" ma:contentTypeDescription="Create a new document." ma:contentTypeScope="" ma:versionID="4698f107eacc988f073972ac715b8142">
  <xsd:schema xmlns:xsd="http://www.w3.org/2001/XMLSchema" xmlns:xs="http://www.w3.org/2001/XMLSchema" xmlns:p="http://schemas.microsoft.com/office/2006/metadata/properties" xmlns:ns2="5b2e9c34-3b46-4e2a-aa45-dfbb4bee9e43" xmlns:ns3="25321137-ec22-470f-9a30-4a1bea9c43a9" targetNamespace="http://schemas.microsoft.com/office/2006/metadata/properties" ma:root="true" ma:fieldsID="d07a407dcf9b0f76c29374019845cee8" ns2:_="" ns3:_="">
    <xsd:import namespace="5b2e9c34-3b46-4e2a-aa45-dfbb4bee9e43"/>
    <xsd:import namespace="25321137-ec22-470f-9a30-4a1bea9c43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2e9c34-3b46-4e2a-aa45-dfbb4bee9e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03bd534-3c83-462d-affb-d1c4071c3a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321137-ec22-470f-9a30-4a1bea9c43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37ea12b-b842-44ae-9d50-bc781bd44fc8}" ma:internalName="TaxCatchAll" ma:showField="CatchAllData" ma:web="25321137-ec22-470f-9a30-4a1bea9c43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8D970D-25E4-4B2F-8ED7-F1A45495E703}"/>
</file>

<file path=customXml/itemProps2.xml><?xml version="1.0" encoding="utf-8"?>
<ds:datastoreItem xmlns:ds="http://schemas.openxmlformats.org/officeDocument/2006/customXml" ds:itemID="{45D95970-8835-4D52-8378-E38EB701C49B}"/>
</file>

<file path=customXml/itemProps3.xml><?xml version="1.0" encoding="utf-8"?>
<ds:datastoreItem xmlns:ds="http://schemas.openxmlformats.org/officeDocument/2006/customXml" ds:itemID="{7C3D3C3D-644E-4AA9-9FD8-210A4473FE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/>
  <cp:revision/>
  <dcterms:created xsi:type="dcterms:W3CDTF">2017-02-02T17:33:17Z</dcterms:created>
  <dcterms:modified xsi:type="dcterms:W3CDTF">2023-02-28T14:14:20Z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0x0101008D0C32DF4CA9904A868893D3BDD6D6CD</vt:lpwstr>
  </property>
</Properties>
</file>