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culator" sheetId="1" r:id="rId4"/>
    <sheet state="hidden" name="Formulas" sheetId="2" r:id="rId5"/>
  </sheets>
  <definedNames>
    <definedName name="lg_std_size_under20_clothing">Formulas!$O$24</definedName>
    <definedName name="md_oversize_fbaCost">Formulas!$L$13</definedName>
    <definedName name="lg_std_under20_fbaCost_clothing">Formulas!$L$24</definedName>
    <definedName name="lg_std_size_12to16">Formulas!$O$8</definedName>
    <definedName name="item_width">Calculator!$C$19</definedName>
    <definedName name="cbm_20ft_container">Formulas!$C$55</definedName>
    <definedName name="lg_std_size_2to3_fbaCost">Formulas!$L$10</definedName>
    <definedName name="lg_std_size_12to16_clothing">Formulas!$O$21</definedName>
    <definedName name="sm_std_size_12to16_clothing">Formulas!$O$18</definedName>
    <definedName name="dim_weight_divisor">Calculator!$C$29</definedName>
    <definedName name="std_size_under6oz">Formulas!$O$6</definedName>
    <definedName name="size_tier">Calculator!$C$22</definedName>
    <definedName name="lg_std_size_6to12_clothing">Formulas!$O$20</definedName>
    <definedName name="lg_std_size_12to16Cost">Formulas!$L$8</definedName>
    <definedName name="sm_oversize_fbaCost">Formulas!$L$12</definedName>
    <definedName name="dim_weight">Calculator!$C$31</definedName>
    <definedName name="sm_std_size_6to12_fbaCost_clothing">Formulas!$L$17</definedName>
    <definedName name="cbm_40ft_container">Formulas!$C$56</definedName>
    <definedName name="girth">Calculator!$C$28</definedName>
    <definedName name="lg_std_size_2to3">Formulas!$O$10</definedName>
    <definedName name="sm_std_size_6to12">Formulas!$O$4</definedName>
    <definedName name="lg_std_size_under6oz">Formulas!$O$6</definedName>
    <definedName name="sm_std_fbaCost">Formulas!$L$3</definedName>
    <definedName name="lg_std_size_2to3_fbaCost_clothing">Formulas!$L$23</definedName>
    <definedName name="sm_std_size_6to12_fbaCost">Formulas!$L$4</definedName>
    <definedName name="sm_std_size_clothing">Formulas!$O$16</definedName>
    <definedName name="lg_std_size_6to12Cost_clothing">Formulas!$L$20</definedName>
    <definedName name="sp_oversize_fbaCost">Formulas!$L$15</definedName>
    <definedName name="lg_std_size_under2_clothing">Formulas!$O$22</definedName>
    <definedName name="sp_oversize">Formulas!$O$15</definedName>
    <definedName name="lg_std_fbaCost">Formulas!$L$6</definedName>
    <definedName name="sm_oversize">Formulas!$O$12</definedName>
    <definedName name="std_under6oz">Formulas!$O$6</definedName>
    <definedName name="item_weight">Calculator!$C$21</definedName>
    <definedName name="sm_std_size_12to16_fbaCost_clothing">Formulas!$L$18</definedName>
    <definedName name="lg_std_size_2to3_clothing">Formulas!$O$23</definedName>
    <definedName name="lg_std_size_12to16Cost_clothing">Formulas!$L$21</definedName>
    <definedName name="sm_std_size_12to16_fbaCost">Formulas!$L$5</definedName>
    <definedName name="lg_std_fbaCost_clothing">Formulas!$L$19</definedName>
    <definedName name="lg_std_under20_fbaCost">Formulas!$L$11</definedName>
    <definedName name="sm_std_size">Formulas!$O$3</definedName>
    <definedName name="lg_oversize_fbaCost">Formulas!$L$14</definedName>
    <definedName name="item_cbm">Calculator!$C$25</definedName>
    <definedName name="lg_std_under2_fbaCost">Formulas!$L$9</definedName>
    <definedName name="lg_oversize">Formulas!$O$14</definedName>
    <definedName name="sm_std_size_6to12_clothing">Formulas!$O$17</definedName>
    <definedName name="lg_std_under2_fbaCost_clothing">Formulas!$L$22</definedName>
    <definedName name="sm_std_size_12to16">Formulas!$O$5</definedName>
    <definedName name="lg_std_size_6to12">Formulas!$O$7</definedName>
    <definedName name="max_width">Formulas!$D$2</definedName>
    <definedName name="sm_std_fbaCost_clothing">Formulas!$L$16</definedName>
    <definedName name="md_oversize">Formulas!$O$13</definedName>
    <definedName name="sale_price">Calculator!$C$17</definedName>
    <definedName name="item_length">Calculator!$C$18</definedName>
    <definedName name="lg_std_size_under6oz_clothing">Formulas!$O$19</definedName>
    <definedName name="lg_std_size_under20">Formulas!$O$11</definedName>
    <definedName name="outbound_weight">Calculator!$C$33</definedName>
    <definedName name="lg_std_size_6to12Cost">Formulas!$L$7</definedName>
    <definedName name="item_height">Calculator!$C$20</definedName>
    <definedName name="lg_oversize_fbaCosst">Formulas!$L$14</definedName>
    <definedName name="max_height">Formulas!$E$2</definedName>
    <definedName name="max_weight">Formulas!$B$2</definedName>
    <definedName name="lg_std_size_under2">Formulas!$O$9</definedName>
    <definedName name="max_length">Formulas!$C$2</definedName>
    <definedName hidden="1" name="Google_Sheet_Link_1025646564">lg_std_under2_fbaCost</definedName>
    <definedName hidden="1" name="Google_Sheet_Link_1067254098">sm_std_size_6to12_fbaCost_clothing</definedName>
    <definedName hidden="1" name="Google_Sheet_Link_1071944559">sp_oversize_fbaCost</definedName>
    <definedName hidden="1" name="Google_Sheet_Link_1073591913">lg_std_size_6to12_clothing</definedName>
    <definedName hidden="1" name="Google_Sheet_Link_1083267082">item_weight</definedName>
    <definedName hidden="1" name="Google_Sheet_Link_1119718474">lg_std_size_12to16Cost</definedName>
    <definedName hidden="1" name="Google_Sheet_Link_121865082">lg_std_size_6to12</definedName>
    <definedName hidden="1" name="Google_Sheet_Link_1248538944">lg_std_fbaCost_clothing</definedName>
    <definedName hidden="1" name="Google_Sheet_Link_1253378718">lg_std_size_under20_clothing</definedName>
    <definedName hidden="1" name="Google_Sheet_Link_12899194">lg_std_size_12to16</definedName>
    <definedName hidden="1" name="Google_Sheet_Link_1310132159">std_under6oz</definedName>
    <definedName hidden="1" name="Google_Sheet_Link_1332418809">sm_std_size_6to12</definedName>
    <definedName hidden="1" name="Google_Sheet_Link_1342861336">lg_std_size_under20</definedName>
    <definedName hidden="1" name="Google_Sheet_Link_1353343963">lg_oversize</definedName>
    <definedName hidden="1" name="Google_Sheet_Link_1382187843">dim_weight</definedName>
    <definedName hidden="1" name="Google_Sheet_Link_1395574139">sm_std_size_12to16</definedName>
    <definedName hidden="1" name="Google_Sheet_Link_1429261311">lg_std_size_under2</definedName>
    <definedName hidden="1" name="Google_Sheet_Link_1434331134">sm_oversize</definedName>
    <definedName hidden="1" name="Google_Sheet_Link_1463151461">lg_std_under20_fbaCost_clothing</definedName>
    <definedName hidden="1" name="Google_Sheet_Link_1470496558">girth</definedName>
    <definedName hidden="1" name="Google_Sheet_Link_1499674143">md_oversize</definedName>
    <definedName hidden="1" name="Google_Sheet_Link_1557736136">lg_std_size_6to12Cost</definedName>
    <definedName hidden="1" name="Google_Sheet_Link_1601444115">max_weight</definedName>
    <definedName hidden="1" name="Google_Sheet_Link_163269589">lg_std_size_6to12Cost_clothing</definedName>
    <definedName hidden="1" name="Google_Sheet_Link_165778671">max_width</definedName>
    <definedName hidden="1" name="Google_Sheet_Link_1672048443">item_height</definedName>
    <definedName hidden="1" name="Google_Sheet_Link_1685284316">sm_std_size</definedName>
    <definedName hidden="1" name="Google_Sheet_Link_169118025">lg_oversize_fbaCosst</definedName>
    <definedName hidden="1" name="Google_Sheet_Link_1740866394">lg_std_size_12to16_clothing</definedName>
    <definedName hidden="1" name="Google_Sheet_Link_1747654000">md_oversize_fbaCost</definedName>
    <definedName hidden="1" name="Google_Sheet_Link_1772028190">lg_std_size_2to3_clothing</definedName>
    <definedName hidden="1" name="Google_Sheet_Link_180083957">sm_std_fbaCost_clothing</definedName>
    <definedName hidden="1" name="Google_Sheet_Link_1819706381">cbm_20ft_container</definedName>
    <definedName hidden="1" name="Google_Sheet_Link_1848932529">sm_std_size_12to16_clothing</definedName>
    <definedName hidden="1" name="Google_Sheet_Link_1881033335">sm_oversize_fbaCost</definedName>
    <definedName hidden="1" name="Google_Sheet_Link_1945412822">sm_std_size_clothing</definedName>
    <definedName hidden="1" name="Google_Sheet_Link_1952853920">max_height</definedName>
    <definedName hidden="1" name="Google_Sheet_Link_2011204032">lg_std_fbaCost</definedName>
    <definedName hidden="1" name="Google_Sheet_Link_2054200391">lg_std_size_2to3</definedName>
    <definedName hidden="1" name="Google_Sheet_Link_2096112202">lg_std_size_under6oz_clothing</definedName>
    <definedName hidden="1" name="Google_Sheet_Link_2115247408">item_width</definedName>
    <definedName hidden="1" name="Google_Sheet_Link_2121722312">lg_std_size_under2_clothing</definedName>
    <definedName hidden="1" name="Google_Sheet_Link_2142672011">sp_oversize</definedName>
    <definedName hidden="1" name="Google_Sheet_Link_230013350">lg_std_size_2to3_fbaCost_clothing</definedName>
    <definedName hidden="1" name="Google_Sheet_Link_2739018">sm_std_fbaCost</definedName>
    <definedName hidden="1" name="Google_Sheet_Link_303414719">dim_weight_divisor</definedName>
    <definedName hidden="1" name="Google_Sheet_Link_328861624">sm_std_size_12to16_fbaCost_clothing</definedName>
    <definedName hidden="1" name="Google_Sheet_Link_412054662">lg_std_under20_fbaCost</definedName>
    <definedName hidden="1" name="Google_Sheet_Link_427411736">size_tier</definedName>
    <definedName hidden="1" name="Google_Sheet_Link_434367463">lg_std_under2_fbaCost_clothing</definedName>
    <definedName hidden="1" name="Google_Sheet_Link_478161011">lg_std_size_12to16Cost_clothing</definedName>
    <definedName hidden="1" name="Google_Sheet_Link_489348494">lg_oversize_fbaCost</definedName>
    <definedName hidden="1" name="Google_Sheet_Link_533492214">cbm_40ft_container</definedName>
    <definedName hidden="1" name="Google_Sheet_Link_556667545">max_length</definedName>
    <definedName hidden="1" name="Google_Sheet_Link_568398649">sm_std_size_12to16_fbaCost</definedName>
    <definedName hidden="1" name="Google_Sheet_Link_642820831">item_length</definedName>
    <definedName hidden="1" name="Google_Sheet_Link_643899950">outbound_weight</definedName>
    <definedName hidden="1" name="Google_Sheet_Link_658342951">lg_std_size_under6oz</definedName>
    <definedName hidden="1" name="Google_Sheet_Link_666844082">sm_std_size_6to12_fbaCost</definedName>
    <definedName hidden="1" name="Google_Sheet_Link_709517535">item_cbm</definedName>
    <definedName hidden="1" name="Google_Sheet_Link_772949468">std_size_under6oz</definedName>
    <definedName hidden="1" name="Google_Sheet_Link_831940314">sm_std_size_6to12_clothing</definedName>
    <definedName hidden="1" name="Google_Sheet_Link_861916921">sale_price</definedName>
    <definedName hidden="1" name="Google_Sheet_Link_933866312">lg_std_size_2to3_fbaCost</definedName>
  </definedNames>
  <calcPr/>
  <extLst>
    <ext uri="GoogleSheetsCustomDataVersion1">
      <go:sheetsCustomData xmlns:go="http://customooxmlschemas.google.com/" r:id="rId6" roundtripDataSignature="AMtx7mg/WbeGcoBVLy7KzTpDyG3+9D41hw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C56">
      <text>
        <t xml:space="preserve">Only applicable to first production run
======</t>
      </text>
    </comment>
    <comment authorId="0" ref="C57">
      <text>
        <t xml:space="preserve">Only applicable to first production run
======</t>
      </text>
    </comment>
    <comment authorId="0" ref="D63">
      <text>
        <t xml:space="preserve">Estimate only - based upon monthly stock turnover
======</t>
      </text>
    </comment>
    <comment authorId="0" ref="D69">
      <text>
        <t xml:space="preserve">Estimate only - based upon monthly stock turnover
======</t>
      </text>
    </comment>
    <comment authorId="0" ref="D46">
      <text>
        <t xml:space="preserve">======
ID#AAAAHa3csmQ
Microsoft Office User    (2020-12-13 23:20:49)
Average of Storage Fees During Year
Peak: Oct - Dec
Non Peak: Jan - Sep</t>
      </text>
    </comment>
    <comment authorId="0" ref="C39">
      <text>
        <t xml:space="preserve">======
ID#AAAAJ9dOlos
Kimberlee French    (2020-07-10 01:27:03)
Only applicable to first production run</t>
      </text>
    </comment>
  </commentList>
  <extLst>
    <ext uri="GoogleSheetsCustomDataVersion1">
      <go:sheetsCustomData xmlns:go="http://customooxmlschemas.google.com/" r:id="rId1" roundtripDataSignature="AMtx7mir3lR030wJ9Jn2vu5B50pO14XoXg=="/>
    </ext>
  </extLst>
</comments>
</file>

<file path=xl/sharedStrings.xml><?xml version="1.0" encoding="utf-8"?>
<sst xmlns="http://schemas.openxmlformats.org/spreadsheetml/2006/main" count="170" uniqueCount="148">
  <si>
    <t>Disclaimer - Amazon regularly updates rates/conditions please use this worksheet as a GUIDE only. Updated for June 2021.</t>
  </si>
  <si>
    <t xml:space="preserve">Instructions: </t>
  </si>
  <si>
    <t xml:space="preserve">This spreadsheet is for the United States marketplace. </t>
  </si>
  <si>
    <t>Ensure all costs are in USD</t>
  </si>
  <si>
    <t>Please complete grey shadded cells only</t>
  </si>
  <si>
    <t>Description</t>
  </si>
  <si>
    <t>Value</t>
  </si>
  <si>
    <t>Subtotal</t>
  </si>
  <si>
    <t>FBA Fulfillment Cost</t>
  </si>
  <si>
    <t>Product Name</t>
  </si>
  <si>
    <t>Down Jacket</t>
  </si>
  <si>
    <t>Units</t>
  </si>
  <si>
    <t>Sale Price on Amazon</t>
  </si>
  <si>
    <t>Length (inches)</t>
  </si>
  <si>
    <t>Width (inches)</t>
  </si>
  <si>
    <t>Height (inches)</t>
  </si>
  <si>
    <t>Weight (lbs)</t>
  </si>
  <si>
    <t>Size Tier</t>
  </si>
  <si>
    <t>Cubic Inches</t>
  </si>
  <si>
    <t>Cubic Feet</t>
  </si>
  <si>
    <t>Cubic Meters</t>
  </si>
  <si>
    <t>Units in 20' Container</t>
  </si>
  <si>
    <t>Units in 40' Container</t>
  </si>
  <si>
    <t>Girth</t>
  </si>
  <si>
    <t>Dimensional Weight Divisor</t>
  </si>
  <si>
    <t>Dimensional Weight Applicable?</t>
  </si>
  <si>
    <t>Dimensional Weight (lbs)</t>
  </si>
  <si>
    <t>Packaging Weight</t>
  </si>
  <si>
    <t>Outbound Weight for FBA Cost</t>
  </si>
  <si>
    <t>FBA Cost</t>
  </si>
  <si>
    <t>Amazon Referral Fees</t>
  </si>
  <si>
    <t>Category</t>
  </si>
  <si>
    <t>Clothing &amp; Accessories</t>
  </si>
  <si>
    <t>Referral Fee %</t>
  </si>
  <si>
    <t>Minimum Fee</t>
  </si>
  <si>
    <t>Total Amazon Referral Fees</t>
  </si>
  <si>
    <t>Amazon Storage Fees</t>
  </si>
  <si>
    <t>Estimated Months of Storage</t>
  </si>
  <si>
    <t>Non-Peak Storage Rates</t>
  </si>
  <si>
    <t>Applied - Non-Peak Storage Rates</t>
  </si>
  <si>
    <t>Peak Storage Rates</t>
  </si>
  <si>
    <t>Applied - Peak Storage Rates</t>
  </si>
  <si>
    <t>Avg. Storage Fees/Item</t>
  </si>
  <si>
    <t>Costs of Goods (Landed Costs)</t>
  </si>
  <si>
    <t>Manufacturer cost</t>
  </si>
  <si>
    <t>Packaging Cost</t>
  </si>
  <si>
    <t>Freight</t>
  </si>
  <si>
    <t>Inspection Fees</t>
  </si>
  <si>
    <t>Duties Rate</t>
  </si>
  <si>
    <t>Warehouse storage, receiving, out fees</t>
  </si>
  <si>
    <t>Landed cost inc Shipping FBA</t>
  </si>
  <si>
    <t>Branding</t>
  </si>
  <si>
    <t>Logo Creation</t>
  </si>
  <si>
    <t>Photography / Videography</t>
  </si>
  <si>
    <t>Total branding cost per unit</t>
  </si>
  <si>
    <t>Advertising</t>
  </si>
  <si>
    <t xml:space="preserve">Monthly PPC Budget </t>
  </si>
  <si>
    <t xml:space="preserve">Monthly Off Amazon Advert Spend </t>
  </si>
  <si>
    <t>Other: ie Discounts/Promos</t>
  </si>
  <si>
    <t>Total monthly advertising cost per unit</t>
  </si>
  <si>
    <t>Other</t>
  </si>
  <si>
    <t>Other: ie Sample expenses</t>
  </si>
  <si>
    <t>Other: ie Consultancy Fees</t>
  </si>
  <si>
    <t>Total monthly additional cost per unit</t>
  </si>
  <si>
    <t>Summary</t>
  </si>
  <si>
    <t>Total Profit Per Unit</t>
  </si>
  <si>
    <t>Total Profit Margin</t>
  </si>
  <si>
    <t>Pro Tips!</t>
  </si>
  <si>
    <t>1. Above is a guide ONLY</t>
  </si>
  <si>
    <t>2. Check out the ZG Launch Score (KWOF Tool) to help with inventory planning</t>
  </si>
  <si>
    <t>3. Check out the PPC Bid cost (KWOF Tool) to help with PPC budgeting</t>
  </si>
  <si>
    <t>4. Check out Freightos for a free freight calculator -  https://www.freightos.com/freight-tools/freight-rate-calculator-free-tool/</t>
  </si>
  <si>
    <t>5. Check out CBM Calculator to calcualte consignments weight and volume - https://www.cbmcalculator.com/</t>
  </si>
  <si>
    <t>max weight</t>
  </si>
  <si>
    <t>max length</t>
  </si>
  <si>
    <t>max width</t>
  </si>
  <si>
    <t>max height</t>
  </si>
  <si>
    <t>max_lengirth</t>
  </si>
  <si>
    <t>Dim Weighted?</t>
  </si>
  <si>
    <t>DimWeight</t>
  </si>
  <si>
    <t>FBA Base Cost</t>
  </si>
  <si>
    <t>FBA Cost/lbs</t>
  </si>
  <si>
    <t>Total FBA Cost</t>
  </si>
  <si>
    <t>Storage Cost/CFT (Jan-Sept)</t>
  </si>
  <si>
    <t>Storage Cost/CFT (Oct-Dec)</t>
  </si>
  <si>
    <t>size tier</t>
  </si>
  <si>
    <t>No</t>
  </si>
  <si>
    <t>Standard-size less than 6oz</t>
  </si>
  <si>
    <t>Standard-size small 6-12oz</t>
  </si>
  <si>
    <t>Yes</t>
  </si>
  <si>
    <t>Standard-size small 12-16oz</t>
  </si>
  <si>
    <t>Large standard-size less than 6oz</t>
  </si>
  <si>
    <t>Large standard-size 6-12oz</t>
  </si>
  <si>
    <t>Large standard-size 12-16oz</t>
  </si>
  <si>
    <t>Large standard-size one lb to two lb</t>
  </si>
  <si>
    <t>Large standard-size two lb to three lb</t>
  </si>
  <si>
    <t>Large standard-size over three lb</t>
  </si>
  <si>
    <t>Small oversize</t>
  </si>
  <si>
    <t>Medium oversize</t>
  </si>
  <si>
    <t>Large oversize</t>
  </si>
  <si>
    <t>Special oversize</t>
  </si>
  <si>
    <t>Standard-size less than 6oz (clothing)</t>
  </si>
  <si>
    <t>Standard-size small 6-12oz (clothing)</t>
  </si>
  <si>
    <t>Standard-size small 12-16oz (clothing)</t>
  </si>
  <si>
    <t>Large standard-size less than 6oz (clothing)</t>
  </si>
  <si>
    <t>Large standard-size 6-12oz (clothing)</t>
  </si>
  <si>
    <t>Large standard-size 12-16oz (clothing)</t>
  </si>
  <si>
    <t>Large standard-size one lb to two lb (clothing)</t>
  </si>
  <si>
    <t>Large standard-size two lb to three lb (clothing)</t>
  </si>
  <si>
    <t>Large standard-size over three lb (clothing)</t>
  </si>
  <si>
    <t>Categories</t>
  </si>
  <si>
    <t>Referral % Tier 1</t>
  </si>
  <si>
    <t>Referral % Tier 2</t>
  </si>
  <si>
    <t>Referral % to Use</t>
  </si>
  <si>
    <t>Minimum</t>
  </si>
  <si>
    <t>Cost</t>
  </si>
  <si>
    <t>Notes</t>
  </si>
  <si>
    <t>Default</t>
  </si>
  <si>
    <t xml:space="preserve">Automotive &amp; Powersports </t>
  </si>
  <si>
    <t>Beauty</t>
  </si>
  <si>
    <t>8% for products with a price up to $10.00 15% for products with a price above $10.00</t>
  </si>
  <si>
    <t>Camera and Photo</t>
  </si>
  <si>
    <t>Cell Phone Devices</t>
  </si>
  <si>
    <t>Consumer Electronics</t>
  </si>
  <si>
    <t xml:space="preserve">Electronics Accessories </t>
  </si>
  <si>
    <t>15% for the portion of the total sales price up to $100; and 8% for any portion of the total sales price greater than $100</t>
  </si>
  <si>
    <t>Furniture &amp; Décor</t>
  </si>
  <si>
    <t>15 % for the portion of the total sales price up to $200.00 10% for any portion of the sales price greater than $200.00 (excluding mattresses, which will be charged 15% on all sale prices);</t>
  </si>
  <si>
    <t>Grocery &amp; Gourmet Food</t>
  </si>
  <si>
    <t>Health &amp; Personal Care</t>
  </si>
  <si>
    <t>Home &amp; Garden (including Pet Supplies)</t>
  </si>
  <si>
    <t>Jewelry</t>
  </si>
  <si>
    <t>20% for the portion of the total sales price up to $250.00 5% for any portion of the total sales price greater than $250.00</t>
  </si>
  <si>
    <t xml:space="preserve">Kitchen </t>
  </si>
  <si>
    <t>Luggage &amp; Travel Accessories</t>
  </si>
  <si>
    <t xml:space="preserve">Major Appliances </t>
  </si>
  <si>
    <t xml:space="preserve">Musical Instruments </t>
  </si>
  <si>
    <t>Office Products</t>
  </si>
  <si>
    <t>Outdoors</t>
  </si>
  <si>
    <t>Personal Computers</t>
  </si>
  <si>
    <t xml:space="preserve">Shoes, Handbags &amp; Sunglasses </t>
  </si>
  <si>
    <t xml:space="preserve">Sports (excluding Sports Collectibles) </t>
  </si>
  <si>
    <t>Tools &amp; Home Improvement</t>
  </si>
  <si>
    <t>Toys &amp; Games</t>
  </si>
  <si>
    <t>Watches</t>
  </si>
  <si>
    <t>16% for the portion of the total sales price up to $1,500; and 3% for any portion of the total sales price greater than $1,500</t>
  </si>
  <si>
    <t>20' Container CBM</t>
  </si>
  <si>
    <t>40' Container CBM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</si>
</sst>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&quot;$&quot;#,##0.00;[Red]\-&quot;$&quot;#,##0.00"/>
    <numFmt numFmtId="165" formatCode="0.0000"/>
    <numFmt numFmtId="166" formatCode="&quot;$&quot;#,##0.00"/>
    <numFmt numFmtId="167" formatCode="&quot;$&quot;#,##0.00_);[Red]\(&quot;$&quot;#,##0.00\)"/>
    <numFmt numFmtId="168" formatCode="_(&quot;$&quot;* #,##0.00_);_(&quot;$&quot;* \(#,##0.00\);_(&quot;$&quot;* &quot;-&quot;??_);_(@_)"/>
  </numFmts>
  <fonts count="16">
    <font>
      <sz val="11.0"/>
      <color theme="1"/>
      <name val="Arial"/>
    </font>
    <font>
      <sz val="10.0"/>
      <color theme="1"/>
      <name val="Arial"/>
    </font>
    <font>
      <sz val="11.0"/>
      <color theme="1"/>
      <name val="Calibri"/>
    </font>
    <font>
      <b/>
      <sz val="16.0"/>
      <color theme="1"/>
      <name val="Calibri"/>
    </font>
    <font/>
    <font>
      <b/>
      <sz val="12.0"/>
      <color theme="1"/>
      <name val="Calibri"/>
    </font>
    <font>
      <b/>
      <sz val="11.0"/>
      <color theme="1"/>
      <name val="Calibri"/>
    </font>
    <font>
      <sz val="11.0"/>
      <color rgb="FF000000"/>
      <name val="Calibri"/>
    </font>
    <font>
      <color rgb="FF000000"/>
      <name val="Calibri"/>
    </font>
    <font>
      <b/>
      <sz val="11.0"/>
      <color rgb="FF000000"/>
      <name val="Calibri"/>
    </font>
    <font>
      <b/>
      <sz val="11.0"/>
      <color rgb="FF303942"/>
      <name val="Calibri"/>
    </font>
    <font>
      <sz val="11.0"/>
      <color rgb="FF303942"/>
      <name val="Calibri"/>
    </font>
    <font>
      <b/>
      <sz val="14.0"/>
      <color rgb="FF000000"/>
      <name val="Calibri"/>
    </font>
    <font>
      <u/>
      <sz val="11.0"/>
      <color rgb="FF000000"/>
      <name val="Calibri"/>
    </font>
    <font>
      <color theme="1"/>
      <name val="Calibri"/>
    </font>
    <font>
      <sz val="11.0"/>
      <color rgb="FF111111"/>
      <name val="Calibri"/>
    </font>
  </fonts>
  <fills count="8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32C5D2"/>
        <bgColor rgb="FF32C5D2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</fills>
  <borders count="19">
    <border/>
    <border>
      <left/>
      <right/>
      <top/>
      <bottom/>
    </border>
    <border>
      <left/>
      <top/>
      <bottom/>
    </border>
    <border>
      <top/>
      <bottom/>
    </border>
    <border>
      <left/>
      <right/>
      <top/>
    </border>
    <border>
      <left/>
      <top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right/>
      <top/>
      <bottom/>
    </border>
    <border>
      <left/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3" fontId="2" numFmtId="0" xfId="0" applyBorder="1" applyFill="1" applyFont="1"/>
    <xf borderId="1" fillId="3" fontId="1" numFmtId="0" xfId="0" applyBorder="1" applyFont="1"/>
    <xf borderId="1" fillId="2" fontId="2" numFmtId="0" xfId="0" applyBorder="1" applyFont="1"/>
    <xf borderId="2" fillId="3" fontId="3" numFmtId="0" xfId="0" applyAlignment="1" applyBorder="1" applyFont="1">
      <alignment horizontal="center"/>
    </xf>
    <xf borderId="3" fillId="0" fontId="4" numFmtId="0" xfId="0" applyBorder="1" applyFont="1"/>
    <xf borderId="2" fillId="2" fontId="2" numFmtId="11" xfId="0" applyAlignment="1" applyBorder="1" applyFont="1" applyNumberFormat="1">
      <alignment horizontal="left" shrinkToFit="0" wrapText="1"/>
    </xf>
    <xf borderId="2" fillId="2" fontId="2" numFmtId="0" xfId="0" applyBorder="1" applyFont="1"/>
    <xf borderId="4" fillId="4" fontId="5" numFmtId="0" xfId="0" applyAlignment="1" applyBorder="1" applyFill="1" applyFont="1">
      <alignment vertical="bottom"/>
    </xf>
    <xf borderId="5" fillId="2" fontId="2" numFmtId="0" xfId="0" applyBorder="1" applyFont="1"/>
    <xf borderId="6" fillId="4" fontId="6" numFmtId="0" xfId="0" applyAlignment="1" applyBorder="1" applyFont="1">
      <alignment shrinkToFit="0" vertical="bottom" wrapText="0"/>
    </xf>
    <xf borderId="6" fillId="2" fontId="2" numFmtId="0" xfId="0" applyBorder="1" applyFont="1"/>
    <xf borderId="3" fillId="2" fontId="2" numFmtId="0" xfId="0" applyBorder="1" applyFont="1"/>
    <xf borderId="6" fillId="4" fontId="6" numFmtId="0" xfId="0" applyAlignment="1" applyBorder="1" applyFont="1">
      <alignment vertical="bottom"/>
    </xf>
    <xf borderId="7" fillId="2" fontId="2" numFmtId="0" xfId="0" applyBorder="1" applyFont="1"/>
    <xf borderId="8" fillId="2" fontId="6" numFmtId="0" xfId="0" applyAlignment="1" applyBorder="1" applyFont="1">
      <alignment horizontal="center"/>
    </xf>
    <xf borderId="9" fillId="0" fontId="4" numFmtId="0" xfId="0" applyBorder="1" applyFont="1"/>
    <xf borderId="10" fillId="3" fontId="6" numFmtId="0" xfId="0" applyBorder="1" applyFont="1"/>
    <xf borderId="10" fillId="3" fontId="6" numFmtId="164" xfId="0" applyAlignment="1" applyBorder="1" applyFont="1" applyNumberFormat="1">
      <alignment horizontal="center"/>
    </xf>
    <xf borderId="10" fillId="3" fontId="6" numFmtId="0" xfId="0" applyAlignment="1" applyBorder="1" applyFont="1">
      <alignment horizontal="center"/>
    </xf>
    <xf borderId="11" fillId="3" fontId="6" numFmtId="0" xfId="0" applyAlignment="1" applyBorder="1" applyFont="1">
      <alignment horizontal="center"/>
    </xf>
    <xf borderId="12" fillId="0" fontId="4" numFmtId="0" xfId="0" applyBorder="1" applyFont="1"/>
    <xf borderId="13" fillId="0" fontId="4" numFmtId="0" xfId="0" applyBorder="1" applyFont="1"/>
    <xf borderId="14" fillId="2" fontId="2" numFmtId="0" xfId="0" applyBorder="1" applyFont="1"/>
    <xf borderId="10" fillId="5" fontId="7" numFmtId="164" xfId="0" applyAlignment="1" applyBorder="1" applyFill="1" applyFont="1" applyNumberFormat="1">
      <alignment horizontal="right"/>
    </xf>
    <xf borderId="10" fillId="2" fontId="2" numFmtId="0" xfId="0" applyBorder="1" applyFont="1"/>
    <xf borderId="10" fillId="5" fontId="7" numFmtId="0" xfId="0" applyAlignment="1" applyBorder="1" applyFont="1">
      <alignment horizontal="right"/>
    </xf>
    <xf borderId="10" fillId="2" fontId="7" numFmtId="0" xfId="0" applyBorder="1" applyFont="1"/>
    <xf borderId="14" fillId="2" fontId="7" numFmtId="0" xfId="0" applyBorder="1" applyFont="1"/>
    <xf borderId="10" fillId="2" fontId="2" numFmtId="0" xfId="0" applyAlignment="1" applyBorder="1" applyFont="1">
      <alignment horizontal="right"/>
    </xf>
    <xf borderId="10" fillId="2" fontId="2" numFmtId="0" xfId="0" applyAlignment="1" applyBorder="1" applyFont="1">
      <alignment horizontal="center"/>
    </xf>
    <xf borderId="10" fillId="2" fontId="2" numFmtId="165" xfId="0" applyBorder="1" applyFont="1" applyNumberFormat="1"/>
    <xf borderId="10" fillId="0" fontId="7" numFmtId="1" xfId="0" applyAlignment="1" applyBorder="1" applyFont="1" applyNumberFormat="1">
      <alignment horizontal="right" shrinkToFit="0" vertical="bottom" wrapText="0"/>
    </xf>
    <xf borderId="15" fillId="0" fontId="7" numFmtId="1" xfId="0" applyAlignment="1" applyBorder="1" applyFont="1" applyNumberFormat="1">
      <alignment horizontal="right" shrinkToFit="0" vertical="bottom" wrapText="0"/>
    </xf>
    <xf borderId="10" fillId="2" fontId="2" numFmtId="2" xfId="0" applyBorder="1" applyFont="1" applyNumberFormat="1"/>
    <xf borderId="10" fillId="2" fontId="2" numFmtId="0" xfId="0" applyAlignment="1" applyBorder="1" applyFont="1">
      <alignment shrinkToFit="0" wrapText="1"/>
    </xf>
    <xf borderId="10" fillId="0" fontId="8" numFmtId="0" xfId="0" applyAlignment="1" applyBorder="1" applyFont="1">
      <alignment horizontal="right" vertical="bottom"/>
    </xf>
    <xf borderId="16" fillId="2" fontId="2" numFmtId="0" xfId="0" applyBorder="1" applyFont="1"/>
    <xf borderId="17" fillId="0" fontId="7" numFmtId="2" xfId="0" applyAlignment="1" applyBorder="1" applyFont="1" applyNumberFormat="1">
      <alignment horizontal="right" shrinkToFit="0" vertical="bottom" wrapText="0"/>
    </xf>
    <xf borderId="10" fillId="0" fontId="8" numFmtId="2" xfId="0" applyAlignment="1" applyBorder="1" applyFont="1" applyNumberFormat="1">
      <alignment horizontal="right" vertical="bottom"/>
    </xf>
    <xf borderId="10" fillId="0" fontId="2" numFmtId="0" xfId="0" applyBorder="1" applyFont="1"/>
    <xf borderId="15" fillId="0" fontId="8" numFmtId="1" xfId="0" applyAlignment="1" applyBorder="1" applyFont="1" applyNumberFormat="1">
      <alignment horizontal="right" vertical="bottom"/>
    </xf>
    <xf borderId="11" fillId="2" fontId="6" numFmtId="0" xfId="0" applyAlignment="1" applyBorder="1" applyFont="1">
      <alignment horizontal="left" shrinkToFit="0" wrapText="1"/>
    </xf>
    <xf borderId="10" fillId="2" fontId="6" numFmtId="166" xfId="0" applyAlignment="1" applyBorder="1" applyFont="1" applyNumberFormat="1">
      <alignment horizontal="center" shrinkToFit="0" wrapText="1"/>
    </xf>
    <xf borderId="11" fillId="3" fontId="6" numFmtId="0" xfId="0" applyAlignment="1" applyBorder="1" applyFont="1">
      <alignment horizontal="center" shrinkToFit="0" wrapText="1"/>
    </xf>
    <xf borderId="14" fillId="5" fontId="7" numFmtId="0" xfId="0" applyAlignment="1" applyBorder="1" applyFont="1">
      <alignment horizontal="center" shrinkToFit="0" wrapText="1"/>
    </xf>
    <xf borderId="10" fillId="2" fontId="2" numFmtId="9" xfId="0" applyAlignment="1" applyBorder="1" applyFont="1" applyNumberFormat="1">
      <alignment shrinkToFit="0" wrapText="1"/>
    </xf>
    <xf borderId="10" fillId="2" fontId="2" numFmtId="166" xfId="0" applyAlignment="1" applyBorder="1" applyFont="1" applyNumberFormat="1">
      <alignment shrinkToFit="0" wrapText="1"/>
    </xf>
    <xf borderId="11" fillId="3" fontId="9" numFmtId="0" xfId="0" applyAlignment="1" applyBorder="1" applyFont="1">
      <alignment horizontal="center" shrinkToFit="0" wrapText="1"/>
    </xf>
    <xf borderId="10" fillId="5" fontId="7" numFmtId="0" xfId="0" applyAlignment="1" applyBorder="1" applyFont="1">
      <alignment shrinkToFit="0" wrapText="1"/>
    </xf>
    <xf borderId="10" fillId="2" fontId="6" numFmtId="0" xfId="0" applyAlignment="1" applyBorder="1" applyFont="1">
      <alignment horizontal="center" shrinkToFit="0" wrapText="1"/>
    </xf>
    <xf borderId="10" fillId="2" fontId="7" numFmtId="0" xfId="0" applyAlignment="1" applyBorder="1" applyFont="1">
      <alignment shrinkToFit="0" wrapText="1"/>
    </xf>
    <xf borderId="10" fillId="2" fontId="2" numFmtId="166" xfId="0" applyAlignment="1" applyBorder="1" applyFont="1" applyNumberFormat="1">
      <alignment horizontal="right" shrinkToFit="0" wrapText="1"/>
    </xf>
    <xf borderId="10" fillId="2" fontId="2" numFmtId="166" xfId="0" applyBorder="1" applyFont="1" applyNumberFormat="1"/>
    <xf borderId="10" fillId="2" fontId="7" numFmtId="0" xfId="0" applyAlignment="1" applyBorder="1" applyFont="1">
      <alignment horizontal="left" shrinkToFit="0" wrapText="1"/>
    </xf>
    <xf borderId="11" fillId="2" fontId="9" numFmtId="0" xfId="0" applyAlignment="1" applyBorder="1" applyFont="1">
      <alignment horizontal="left" shrinkToFit="0" wrapText="1"/>
    </xf>
    <xf borderId="10" fillId="5" fontId="7" numFmtId="167" xfId="0" applyAlignment="1" applyBorder="1" applyFont="1" applyNumberFormat="1">
      <alignment horizontal="right" shrinkToFit="0" wrapText="1"/>
    </xf>
    <xf borderId="10" fillId="2" fontId="2" numFmtId="167" xfId="0" applyAlignment="1" applyBorder="1" applyFont="1" applyNumberFormat="1">
      <alignment shrinkToFit="0" wrapText="1"/>
    </xf>
    <xf borderId="1" fillId="2" fontId="2" numFmtId="167" xfId="0" applyBorder="1" applyFont="1" applyNumberFormat="1"/>
    <xf borderId="10" fillId="5" fontId="2" numFmtId="167" xfId="0" applyAlignment="1" applyBorder="1" applyFont="1" applyNumberFormat="1">
      <alignment horizontal="right" shrinkToFit="0" wrapText="1"/>
    </xf>
    <xf borderId="10" fillId="5" fontId="2" numFmtId="9" xfId="0" applyAlignment="1" applyBorder="1" applyFont="1" applyNumberFormat="1">
      <alignment horizontal="right" shrinkToFit="0" wrapText="1"/>
    </xf>
    <xf borderId="11" fillId="2" fontId="10" numFmtId="0" xfId="0" applyAlignment="1" applyBorder="1" applyFont="1">
      <alignment horizontal="left" shrinkToFit="0" wrapText="1"/>
    </xf>
    <xf borderId="10" fillId="2" fontId="6" numFmtId="167" xfId="0" applyAlignment="1" applyBorder="1" applyFont="1" applyNumberFormat="1">
      <alignment horizontal="center" shrinkToFit="0" wrapText="1"/>
    </xf>
    <xf borderId="11" fillId="3" fontId="10" numFmtId="0" xfId="0" applyAlignment="1" applyBorder="1" applyFont="1">
      <alignment horizontal="center" shrinkToFit="0" wrapText="1"/>
    </xf>
    <xf borderId="10" fillId="2" fontId="11" numFmtId="0" xfId="0" applyAlignment="1" applyBorder="1" applyFont="1">
      <alignment shrinkToFit="0" wrapText="1"/>
    </xf>
    <xf borderId="10" fillId="5" fontId="2" numFmtId="168" xfId="0" applyAlignment="1" applyBorder="1" applyFont="1" applyNumberFormat="1">
      <alignment shrinkToFit="0" wrapText="1"/>
    </xf>
    <xf borderId="10" fillId="6" fontId="11" numFmtId="0" xfId="0" applyAlignment="1" applyBorder="1" applyFill="1" applyFont="1">
      <alignment shrinkToFit="0" wrapText="1"/>
    </xf>
    <xf borderId="10" fillId="2" fontId="6" numFmtId="167" xfId="0" applyAlignment="1" applyBorder="1" applyFont="1" applyNumberFormat="1">
      <alignment horizontal="center"/>
    </xf>
    <xf borderId="10" fillId="2" fontId="6" numFmtId="10" xfId="0" applyAlignment="1" applyBorder="1" applyFont="1" applyNumberFormat="1">
      <alignment horizontal="center"/>
    </xf>
    <xf borderId="1" fillId="2" fontId="12" numFmtId="0" xfId="0" applyBorder="1" applyFont="1"/>
    <xf quotePrefix="1" borderId="1" fillId="2" fontId="7" numFmtId="0" xfId="0" applyBorder="1" applyFont="1"/>
    <xf quotePrefix="1" borderId="1" fillId="2" fontId="13" numFmtId="0" xfId="0" applyBorder="1" applyFont="1"/>
    <xf borderId="10" fillId="0" fontId="6" numFmtId="0" xfId="0" applyBorder="1" applyFont="1"/>
    <xf borderId="10" fillId="7" fontId="2" numFmtId="0" xfId="0" applyBorder="1" applyFill="1" applyFont="1"/>
    <xf borderId="10" fillId="7" fontId="7" numFmtId="0" xfId="0" applyAlignment="1" applyBorder="1" applyFont="1">
      <alignment shrinkToFit="0" vertical="bottom" wrapText="0"/>
    </xf>
    <xf borderId="10" fillId="7" fontId="2" numFmtId="2" xfId="0" applyBorder="1" applyFont="1" applyNumberFormat="1"/>
    <xf borderId="15" fillId="7" fontId="7" numFmtId="0" xfId="0" applyAlignment="1" applyBorder="1" applyFont="1">
      <alignment shrinkToFit="0" vertical="bottom" wrapText="0"/>
    </xf>
    <xf borderId="15" fillId="7" fontId="7" numFmtId="0" xfId="0" applyAlignment="1" applyBorder="1" applyFont="1">
      <alignment horizontal="right" shrinkToFit="0" vertical="bottom" wrapText="0"/>
    </xf>
    <xf borderId="0" fillId="0" fontId="14" numFmtId="0" xfId="0" applyFont="1"/>
    <xf borderId="18" fillId="7" fontId="2" numFmtId="0" xfId="0" applyBorder="1" applyFont="1"/>
    <xf borderId="10" fillId="0" fontId="2" numFmtId="166" xfId="0" applyBorder="1" applyFont="1" applyNumberFormat="1"/>
    <xf borderId="10" fillId="0" fontId="15" numFmtId="0" xfId="0" applyBorder="1" applyFont="1"/>
    <xf borderId="10" fillId="0" fontId="7" numFmtId="0" xfId="0" applyBorder="1" applyFont="1"/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1</xdr:row>
      <xdr:rowOff>47625</xdr:rowOff>
    </xdr:from>
    <xdr:ext cx="1676400" cy="2381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85296"/>
      </a:hlink>
      <a:folHlink>
        <a:srgbClr val="08529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www.freightos.com/freight-tools/freight-rate-calculator-free-tool/" TargetMode="External"/><Relationship Id="rId3" Type="http://schemas.openxmlformats.org/officeDocument/2006/relationships/hyperlink" Target="https://www.cbmcalculator.com/" TargetMode="Externa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.13"/>
    <col customWidth="1" min="2" max="2" width="30.88"/>
    <col customWidth="1" min="3" max="3" width="24.0"/>
    <col customWidth="1" min="4" max="4" width="16.88"/>
    <col customWidth="1" min="5" max="5" width="7.63"/>
    <col customWidth="1" min="6" max="6" width="8.13"/>
    <col customWidth="1" min="7" max="7" width="10.63"/>
    <col customWidth="1" min="8" max="8" width="7.63"/>
    <col customWidth="1" min="9" max="9" width="10.13"/>
    <col customWidth="1" min="10" max="25" width="7.63"/>
  </cols>
  <sheetData>
    <row r="1">
      <c r="A1" s="1"/>
      <c r="B1" s="2"/>
      <c r="C1" s="3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4"/>
      <c r="X1" s="4"/>
      <c r="Y1" s="4"/>
    </row>
    <row r="2">
      <c r="A2" s="1"/>
      <c r="B2" s="3"/>
      <c r="C2" s="3"/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4"/>
      <c r="W2" s="4"/>
      <c r="X2" s="4"/>
      <c r="Y2" s="4"/>
    </row>
    <row r="3">
      <c r="A3" s="4"/>
      <c r="B3" s="5"/>
      <c r="C3" s="6"/>
      <c r="D3" s="6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>
      <c r="A4" s="4"/>
      <c r="B4" s="2"/>
      <c r="C4" s="2"/>
      <c r="D4" s="2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ht="30.75" customHeight="1">
      <c r="A6" s="4"/>
      <c r="B6" s="7" t="s">
        <v>0</v>
      </c>
      <c r="C6" s="6"/>
      <c r="D6" s="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>
      <c r="A7" s="4"/>
      <c r="B7" s="8"/>
      <c r="C7" s="8"/>
      <c r="D7" s="8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>
      <c r="A8" s="4"/>
      <c r="B8" s="9" t="s">
        <v>1</v>
      </c>
      <c r="C8" s="10"/>
      <c r="D8" s="8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>
      <c r="A9" s="8"/>
      <c r="B9" s="11" t="s">
        <v>2</v>
      </c>
      <c r="C9" s="12"/>
      <c r="D9" s="13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>
      <c r="A10" s="8"/>
      <c r="B10" s="14" t="s">
        <v>3</v>
      </c>
      <c r="C10" s="12"/>
      <c r="D10" s="1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>
      <c r="A11" s="8"/>
      <c r="B11" s="14" t="s">
        <v>4</v>
      </c>
      <c r="C11" s="12"/>
      <c r="D11" s="1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>
      <c r="A12" s="4"/>
      <c r="B12" s="16"/>
      <c r="C12" s="17"/>
      <c r="D12" s="17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>
      <c r="A13" s="4"/>
      <c r="B13" s="18" t="s">
        <v>5</v>
      </c>
      <c r="C13" s="19" t="s">
        <v>6</v>
      </c>
      <c r="D13" s="20" t="s">
        <v>7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>
      <c r="A14" s="4"/>
      <c r="B14" s="21" t="s">
        <v>8</v>
      </c>
      <c r="C14" s="22"/>
      <c r="D14" s="2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ht="18.0" customHeight="1">
      <c r="A15" s="4"/>
      <c r="B15" s="24" t="s">
        <v>9</v>
      </c>
      <c r="C15" s="25" t="s">
        <v>10</v>
      </c>
      <c r="D15" s="26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ht="18.0" customHeight="1">
      <c r="A16" s="4"/>
      <c r="B16" s="24" t="s">
        <v>11</v>
      </c>
      <c r="C16" s="27">
        <v>1000.0</v>
      </c>
      <c r="D16" s="28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ht="18.0" customHeight="1">
      <c r="A17" s="4"/>
      <c r="B17" s="24" t="s">
        <v>12</v>
      </c>
      <c r="C17" s="25">
        <v>120.0</v>
      </c>
      <c r="D17" s="26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ht="18.0" customHeight="1">
      <c r="A18" s="4"/>
      <c r="B18" s="29" t="s">
        <v>13</v>
      </c>
      <c r="C18" s="27">
        <v>14.5</v>
      </c>
      <c r="D18" s="26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ht="18.0" customHeight="1">
      <c r="A19" s="4"/>
      <c r="B19" s="29" t="s">
        <v>14</v>
      </c>
      <c r="C19" s="27">
        <v>11.6</v>
      </c>
      <c r="D19" s="26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ht="18.0" customHeight="1">
      <c r="A20" s="4"/>
      <c r="B20" s="29" t="s">
        <v>15</v>
      </c>
      <c r="C20" s="27">
        <v>3.7</v>
      </c>
      <c r="D20" s="26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ht="18.0" customHeight="1">
      <c r="A21" s="4"/>
      <c r="B21" s="29" t="s">
        <v>16</v>
      </c>
      <c r="C21" s="27">
        <v>3.3</v>
      </c>
      <c r="D21" s="26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ht="15.75" hidden="1" customHeight="1">
      <c r="A22" s="4"/>
      <c r="B22" s="24" t="s">
        <v>17</v>
      </c>
      <c r="C22" s="30" t="str">
        <f>IF(AND(C36="Clothing &amp; Accessories",item_weight&lt;=Formulas!B16,item_length&lt;=Formulas!C16,item_width&lt;=Formulas!D16,item_height&lt;=Formulas!E16),sm_std_size_clothing, IF(AND(C36="Clothing &amp; Accessories",item_weight&lt;=Formulas!B17,item_length&lt;=Formulas!C17,item_width&lt;=Formulas!D17,item_height&lt;=Formulas!E17),sm_std_size_6to12_clothing,
IF(AND(C36="Clothing &amp; Accessories",item_weight&lt;=Formulas!B18,item_length&lt;=Formulas!C18,item_width&lt;=Formulas!D18,item_height&lt;=Formulas!E18),sm_std_size_12to16_clothing,
IF(AND(C36="Clothing &amp; Accessories",item_weight&lt;=Formulas!B19,item_length&lt;=Formulas!C19,item_width&lt;=Formulas!D19,item_height&lt;=Formulas!E19),lg_std_size_under6oz_clothing, IF(AND(C36="Clothing &amp; Accessories",item_weight&lt;=Formulas!B20,item_length&lt;=Formulas!C20,item_width&lt;=Formulas!D20,item_height&lt;=Formulas!E20),lg_std_size_6to12_clothing, 
IF(AND(C36="Clothing &amp; Accessories",item_weight&lt;=Formulas!B21,item_length&lt;=Formulas!C21,item_width&lt;=Formulas!D21,item_height&lt;=Formulas!E21),lg_std_size_12to16_clothing,
IF(AND(C36="Clothing &amp; Accessories",item_weight&lt;=Formulas!B22,item_length&lt;=Formulas!C22,item_width&lt;=Formulas!D22,item_height&lt;=Formulas!E22),lg_std_size_under2_clothing,
IF(AND(C36="Clothing &amp; Accessories",item_weight&lt;=Formulas!B23,item_length&lt;=Formulas!C23,item_width&lt;=Formulas!D23,item_height&lt;=Formulas!E23),lg_std_size_2to3_clothing, 
IF(AND(item_weight&lt;=Formulas!B3,item_length&lt;=Formulas!C3,item_width&lt;=Formulas!D3,item_height&lt;=Formulas!E3),sm_std_size, IF(AND(item_weight&lt;=Formulas!B4,item_length&lt;=Formulas!C4,item_width&lt;=Formulas!D4,item_height&lt;=Formulas!E4),sm_std_size_6to12,
IF(AND(item_weight&lt;=Formulas!B5,item_length&lt;=Formulas!C5,item_width&lt;=Formulas!D5,item_height&lt;=Formulas!E5),sm_std_size_12to16,
IF(AND(item_weight&lt;=Formulas!B6,item_length&lt;=Formulas!C6,item_width&lt;=Formulas!D6,item_height&lt;=Formulas!E6),lg_std_size_under6oz,
IF(AND(item_weight&lt;=Formulas!B7,item_length&lt;=Formulas!C7,item_width&lt;=Formulas!D7,item_height&lt;=Formulas!E7),lg_std_size_6to12, IF(AND(item_weight&lt;=Formulas!B8,item_length&lt;=Formulas!C8,item_width&lt;=Formulas!D8,item_height&lt;=Formulas!E8),lg_std_size_12to16,
IF(AND(item_weight&lt;=Formulas!B9,item_length&lt;=Formulas!C9,item_width&lt;=Formulas!D9,item_height&lt;=Formulas!E9),lg_std_size_under2,
IF(AND(item_weight&lt;=Formulas!B10,item_length&lt;=Formulas!C10,item_width&lt;=Formulas!D10,item_height&lt;=Formulas!E10),lg_std_size_2to3,
IF(AND(item_weight&lt;=Formulas!B11,item_length&lt;=Formulas!C11,item_width&lt;=Formulas!D11,item_height&lt;=Formulas!E11),lg_std_size_under20,
IF(AND(item_weight&lt;=Formulas!B12,item_length&lt;=Formulas!C12,item_width&lt;=Formulas!D12,(item_length+girth)&lt;=Formulas!F12),sm_oversize,
IF(AND(item_weight&lt;=Formulas!B13,item_length&lt;=Formulas!C13,(item_length+girth)&lt;=Formulas!F13),md_oversize,
IF(AND(item_weight&lt;=Formulas!B14,item_length&lt;=Formulas!C14,(item_length+girth)&lt;=Formulas!F14),lg_oversize,sp_oversize))))))))))))))))))))</f>
        <v>Large standard-size over three lb</v>
      </c>
      <c r="D22" s="3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ht="15.75" hidden="1" customHeight="1">
      <c r="A23" s="4"/>
      <c r="B23" s="26" t="s">
        <v>18</v>
      </c>
      <c r="C23" s="26">
        <f>PRODUCT(C18:C20)</f>
        <v>622.34</v>
      </c>
      <c r="D23" s="31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ht="15.75" hidden="1" customHeight="1">
      <c r="A24" s="4"/>
      <c r="B24" s="26" t="s">
        <v>19</v>
      </c>
      <c r="C24" s="32">
        <f>C23/1728</f>
        <v>0.360150463</v>
      </c>
      <c r="D24" s="31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ht="15.75" hidden="1" customHeight="1">
      <c r="A25" s="4"/>
      <c r="B25" s="26" t="s">
        <v>20</v>
      </c>
      <c r="C25" s="32">
        <f>((item_length*2.54)*(item_width*2.54)*(item_height*2.54))/1000000</f>
        <v>0.01019832541</v>
      </c>
      <c r="D25" s="31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ht="15.75" hidden="1" customHeight="1">
      <c r="A26" s="4"/>
      <c r="B26" s="26" t="s">
        <v>21</v>
      </c>
      <c r="C26" s="33">
        <f>(cbm_20ft_container/item_cbm)</f>
        <v>2647.493477</v>
      </c>
      <c r="D26" s="31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ht="15.75" hidden="1" customHeight="1">
      <c r="A27" s="4"/>
      <c r="B27" s="26" t="s">
        <v>22</v>
      </c>
      <c r="C27" s="34">
        <f>cbm_40ft_container/item_cbm</f>
        <v>5589.152896</v>
      </c>
      <c r="D27" s="31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ht="15.75" hidden="1" customHeight="1">
      <c r="A28" s="4"/>
      <c r="B28" s="26" t="s">
        <v>23</v>
      </c>
      <c r="C28" s="35">
        <f>2*(item_width+item_height)</f>
        <v>30.6</v>
      </c>
      <c r="D28" s="31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ht="15.75" hidden="1" customHeight="1">
      <c r="A29" s="4"/>
      <c r="B29" s="26" t="s">
        <v>24</v>
      </c>
      <c r="C29" s="26">
        <v>139.0</v>
      </c>
      <c r="D29" s="31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ht="15.75" hidden="1" customHeight="1">
      <c r="A30" s="4"/>
      <c r="B30" s="36" t="s">
        <v>25</v>
      </c>
      <c r="C30" s="37" t="str">
        <f t="array" ref="C30">INDEX(Formulas!G3:O24, MATCH(size_tier,Formulas!O3:O24, 0), 2)</f>
        <v>Yes</v>
      </c>
      <c r="D30" s="31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hidden="1">
      <c r="A31" s="4"/>
      <c r="B31" s="38" t="s">
        <v>26</v>
      </c>
      <c r="C31" s="39">
        <f t="array" ref="C31">IF(C30="No", "N/A",INDEX(Formulas!G3:O24, MATCH(size_tier,Formulas!O3:O24, 0), 3))</f>
        <v>4.477266187</v>
      </c>
      <c r="D31" s="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hidden="1">
      <c r="A32" s="4"/>
      <c r="B32" s="36" t="s">
        <v>27</v>
      </c>
      <c r="C32" s="40">
        <v>0.0</v>
      </c>
      <c r="D32" s="41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hidden="1">
      <c r="A33" s="4"/>
      <c r="B33" s="36" t="s">
        <v>28</v>
      </c>
      <c r="C33" s="42">
        <f>IF(C30="Yes", IF(C31&gt;item_weight,ROUNDUP(dim_weight+C32,0),ROUNDUP(item_weight+C32,0)),ROUNDUP(item_weight+C32,0))</f>
        <v>5</v>
      </c>
      <c r="D33" s="41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>
      <c r="A34" s="4"/>
      <c r="B34" s="43" t="s">
        <v>29</v>
      </c>
      <c r="C34" s="23"/>
      <c r="D34" s="44">
        <f>IF(size_tier=sm_std_size_clothing,sm_std_fbaCost_clothing,                                   
IF(size_tier=sm_std_size_6to12_clothing,sm_std_size_6to12_fbaCost_clothing,
IF(size_tier=sm_std_size_12to16_clothing,sm_std_size_12to16_fbaCost_clothing,
IF(size_tier=lg_std_size_under6oz_clothing,lg_std_fbaCost_clothing,
IF(size_tier=lg_std_size_6to12_clothing,lg_std_size_6to12Cost_clothing,                           IF(size_tier=lg_std_size_12to16_clothing,lg_std_size_12to16Cost_clothing,
IF(size_tier=lg_std_size_under2_clothing,lg_std_under2_fbaCost_clothing,
IF(size_tier=lg_std_size_2to3_clothing,lg_std_size_2to3_fbaCost_clothing,                         
IF(size_tier=sm_std_size,sm_std_fbaCost,                                                                          IF(size_tier=sm_std_size_6to12,sm_std_size_6to12_fbaCost,
IF(size_tier=sm_std_size_12to16,sm_std_size_12to16_fbaCost,
IF(size_tier=lg_std_size_under6oz,lg_std_fbaCost,
IF(size_tier=lg_std_size_6to12,lg_std_size_6to12Cost,                                                                 
IF(size_tier=lg_std_size_12to16,lg_std_size_12to16Cost,
IF(size_tier=lg_std_size_under2,lg_std_under2_fbaCost,
IF(size_tier=lg_std_size_2to3,lg_std_size_2to3_fbaCost,
IF(size_tier=lg_std_size_under20,lg_std_under20_fbaCost,
IF(size_tier=sm_oversize,sm_oversize_fbaCost,
IF(size_tier=md_oversize,md_oversize_fbaCost,
IF(size_tier=lg_oversize,lg_oversize_fbaCosst,
IF(size_tier=sp_oversize,sp_oversize_fbaCost,0)))))))))))))))))))))</f>
        <v>6.28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>
      <c r="A35" s="4"/>
      <c r="B35" s="45" t="s">
        <v>30</v>
      </c>
      <c r="C35" s="22"/>
      <c r="D35" s="23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>
      <c r="A36" s="4"/>
      <c r="B36" s="36" t="s">
        <v>31</v>
      </c>
      <c r="C36" s="46" t="s">
        <v>32</v>
      </c>
      <c r="D36" s="4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>
      <c r="A37" s="4"/>
      <c r="B37" s="36" t="s">
        <v>33</v>
      </c>
      <c r="C37" s="47">
        <f>VLOOKUP(C36,Formulas!$B$27:$F$51, 4, FALSE)</f>
        <v>0.17</v>
      </c>
      <c r="D37" s="4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>
      <c r="A38" s="4"/>
      <c r="B38" s="36" t="s">
        <v>34</v>
      </c>
      <c r="C38" s="48">
        <f>VLOOKUP(C36,Formulas!$B$27:$F$51, 5, FALSE)</f>
        <v>0.3</v>
      </c>
      <c r="D38" s="4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>
      <c r="A39" s="4"/>
      <c r="B39" s="43" t="s">
        <v>35</v>
      </c>
      <c r="C39" s="23"/>
      <c r="D39" s="44">
        <f>VLOOKUP(C36,Formulas!$B$27:$G$51, 6, FALSE)</f>
        <v>20.4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>
      <c r="A40" s="4"/>
      <c r="B40" s="49" t="s">
        <v>36</v>
      </c>
      <c r="C40" s="22"/>
      <c r="D40" s="23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>
      <c r="A41" s="4"/>
      <c r="B41" s="36" t="s">
        <v>37</v>
      </c>
      <c r="C41" s="50">
        <v>3.0</v>
      </c>
      <c r="D41" s="5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hidden="1">
      <c r="A42" s="4"/>
      <c r="B42" s="52" t="s">
        <v>38</v>
      </c>
      <c r="C42" s="53">
        <f t="array" ref="C42">INDEX(Formulas!M3:M24, MATCH(size_tier,Formulas!O3:O24, 0))</f>
        <v>0.75</v>
      </c>
      <c r="D42" s="4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hidden="1">
      <c r="A43" s="4"/>
      <c r="B43" s="52" t="s">
        <v>39</v>
      </c>
      <c r="C43" s="54">
        <f>C42*C24*C41</f>
        <v>0.8103385417</v>
      </c>
      <c r="D43" s="4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hidden="1">
      <c r="A44" s="4"/>
      <c r="B44" s="52" t="s">
        <v>40</v>
      </c>
      <c r="C44" s="53">
        <f t="array" ref="C44">INDEX(Formulas!N3:N24, MATCH(size_tier,Formulas!O3:O24, 0))</f>
        <v>2.4</v>
      </c>
      <c r="D44" s="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hidden="1">
      <c r="A45" s="4"/>
      <c r="B45" s="55" t="s">
        <v>41</v>
      </c>
      <c r="C45" s="54">
        <f>C44*C24*C41</f>
        <v>2.593083333</v>
      </c>
      <c r="D45" s="4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>
      <c r="A46" s="4"/>
      <c r="B46" s="56" t="s">
        <v>42</v>
      </c>
      <c r="C46" s="23"/>
      <c r="D46" s="44">
        <f>(((C44*3/12)+(C42*9/12))*C41)*C24</f>
        <v>1.25602474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>
      <c r="A47" s="4"/>
      <c r="B47" s="45" t="s">
        <v>43</v>
      </c>
      <c r="C47" s="22"/>
      <c r="D47" s="23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>
      <c r="A48" s="4"/>
      <c r="B48" s="36" t="s">
        <v>44</v>
      </c>
      <c r="C48" s="57">
        <v>50.0</v>
      </c>
      <c r="D48" s="36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>
      <c r="A49" s="4"/>
      <c r="B49" s="36" t="s">
        <v>45</v>
      </c>
      <c r="C49" s="57">
        <v>1.0</v>
      </c>
      <c r="D49" s="36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ht="15.75" customHeight="1">
      <c r="A50" s="4"/>
      <c r="B50" s="36" t="s">
        <v>46</v>
      </c>
      <c r="C50" s="57">
        <f>13000/6000</f>
        <v>2.166666667</v>
      </c>
      <c r="D50" s="58"/>
      <c r="E50" s="4"/>
      <c r="F50" s="5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ht="15.75" customHeight="1">
      <c r="A51" s="4"/>
      <c r="B51" s="36" t="s">
        <v>47</v>
      </c>
      <c r="C51" s="60">
        <v>0.1</v>
      </c>
      <c r="D51" s="36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ht="15.75" customHeight="1">
      <c r="A52" s="4"/>
      <c r="B52" s="36" t="s">
        <v>48</v>
      </c>
      <c r="C52" s="61">
        <v>0.07</v>
      </c>
      <c r="D52" s="36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ht="15.75" customHeight="1">
      <c r="A53" s="4"/>
      <c r="B53" s="36" t="s">
        <v>49</v>
      </c>
      <c r="C53" s="60">
        <v>0.2</v>
      </c>
      <c r="D53" s="36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ht="15.75" customHeight="1">
      <c r="A54" s="4"/>
      <c r="B54" s="62" t="s">
        <v>50</v>
      </c>
      <c r="C54" s="23"/>
      <c r="D54" s="63">
        <f>C48+C49+C50+C51+(C48*C52)+C53</f>
        <v>56.96666667</v>
      </c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ht="15.75" customHeight="1">
      <c r="A55" s="4"/>
      <c r="B55" s="64" t="s">
        <v>51</v>
      </c>
      <c r="C55" s="22"/>
      <c r="D55" s="23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ht="15.75" customHeight="1">
      <c r="A56" s="4"/>
      <c r="B56" s="65" t="s">
        <v>52</v>
      </c>
      <c r="C56" s="66">
        <v>0.0</v>
      </c>
      <c r="D56" s="63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ht="15.75" customHeight="1">
      <c r="A57" s="4"/>
      <c r="B57" s="65" t="s">
        <v>53</v>
      </c>
      <c r="C57" s="66">
        <v>0.0</v>
      </c>
      <c r="D57" s="63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ht="15.75" customHeight="1">
      <c r="A58" s="4"/>
      <c r="B58" s="62" t="s">
        <v>54</v>
      </c>
      <c r="C58" s="23"/>
      <c r="D58" s="63">
        <f>(C57+C56)/C16</f>
        <v>0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ht="15.0" customHeight="1">
      <c r="A59" s="4"/>
      <c r="B59" s="64" t="s">
        <v>55</v>
      </c>
      <c r="C59" s="22"/>
      <c r="D59" s="23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ht="15.75" customHeight="1">
      <c r="A60" s="4"/>
      <c r="B60" s="65" t="s">
        <v>56</v>
      </c>
      <c r="C60" s="66">
        <v>2000.0</v>
      </c>
      <c r="D60" s="63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ht="15.75" customHeight="1">
      <c r="A61" s="4"/>
      <c r="B61" s="65" t="s">
        <v>57</v>
      </c>
      <c r="C61" s="66"/>
      <c r="D61" s="63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ht="15.75" customHeight="1">
      <c r="A62" s="4"/>
      <c r="B62" s="67" t="s">
        <v>58</v>
      </c>
      <c r="C62" s="66">
        <v>0.0</v>
      </c>
      <c r="D62" s="63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ht="15.75" customHeight="1">
      <c r="A63" s="4"/>
      <c r="B63" s="62" t="s">
        <v>59</v>
      </c>
      <c r="C63" s="23"/>
      <c r="D63" s="63">
        <f>SUM(C60:C62)/C16</f>
        <v>2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ht="15.0" customHeight="1">
      <c r="A64" s="4"/>
      <c r="B64" s="64" t="s">
        <v>60</v>
      </c>
      <c r="C64" s="22"/>
      <c r="D64" s="23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ht="15.75" customHeight="1">
      <c r="A65" s="4"/>
      <c r="B65" s="67" t="s">
        <v>61</v>
      </c>
      <c r="C65" s="66"/>
      <c r="D65" s="63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ht="15.75" customHeight="1">
      <c r="A66" s="4"/>
      <c r="B66" s="67" t="s">
        <v>62</v>
      </c>
      <c r="C66" s="66"/>
      <c r="D66" s="63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ht="15.75" customHeight="1">
      <c r="A67" s="4"/>
      <c r="B67" s="67"/>
      <c r="C67" s="66"/>
      <c r="D67" s="63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ht="15.75" customHeight="1">
      <c r="A68" s="4"/>
      <c r="B68" s="67"/>
      <c r="C68" s="66"/>
      <c r="D68" s="63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ht="15.75" customHeight="1">
      <c r="A69" s="4"/>
      <c r="B69" s="62" t="s">
        <v>63</v>
      </c>
      <c r="C69" s="23"/>
      <c r="D69" s="63">
        <f>SUM(C65:C68)/C16</f>
        <v>0</v>
      </c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ht="18.0" customHeight="1">
      <c r="A70" s="4"/>
      <c r="B70" s="64" t="s">
        <v>64</v>
      </c>
      <c r="C70" s="22"/>
      <c r="D70" s="23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ht="15.75" customHeight="1">
      <c r="A71" s="4"/>
      <c r="B71" s="36" t="s">
        <v>65</v>
      </c>
      <c r="C71" s="26"/>
      <c r="D71" s="68">
        <f>C17-D34-D39-D46-D54-D58-D69-D63</f>
        <v>33.09730859</v>
      </c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ht="15.75" customHeight="1">
      <c r="A72" s="4"/>
      <c r="B72" s="36" t="s">
        <v>66</v>
      </c>
      <c r="C72" s="26"/>
      <c r="D72" s="69">
        <f>D71/C17</f>
        <v>0.2758109049</v>
      </c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ht="15.75" customHeight="1">
      <c r="A74" s="4"/>
      <c r="B74" s="70" t="s">
        <v>67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ht="15.75" customHeight="1">
      <c r="A75" s="4"/>
      <c r="B75" s="71" t="s">
        <v>68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ht="15.75" customHeight="1">
      <c r="A76" s="4"/>
      <c r="B76" s="71" t="s">
        <v>69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ht="15.75" customHeight="1">
      <c r="A77" s="4"/>
      <c r="B77" s="71" t="s">
        <v>70</v>
      </c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ht="15.75" customHeight="1">
      <c r="A78" s="4"/>
      <c r="B78" s="72" t="s">
        <v>71</v>
      </c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ht="15.75" customHeight="1">
      <c r="A79" s="4"/>
      <c r="B79" s="72" t="s">
        <v>72</v>
      </c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</row>
    <row r="1001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</row>
    <row r="1002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</row>
    <row r="1003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ht="15.75" customHeight="1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</row>
    <row r="1005" ht="15.75" customHeight="1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</row>
    <row r="1006" ht="15.75" customHeight="1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</row>
    <row r="1007" ht="15.75" customHeight="1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</row>
    <row r="1008" ht="15.75" customHeight="1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</row>
    <row r="1009" ht="15.75" customHeight="1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</row>
    <row r="1010" ht="15.75" customHeight="1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</row>
  </sheetData>
  <mergeCells count="18">
    <mergeCell ref="B3:D3"/>
    <mergeCell ref="B6:D6"/>
    <mergeCell ref="B12:D12"/>
    <mergeCell ref="B14:D14"/>
    <mergeCell ref="B34:C34"/>
    <mergeCell ref="B35:D35"/>
    <mergeCell ref="B40:D40"/>
    <mergeCell ref="B63:C63"/>
    <mergeCell ref="B64:D64"/>
    <mergeCell ref="B69:C69"/>
    <mergeCell ref="B70:D70"/>
    <mergeCell ref="B39:C39"/>
    <mergeCell ref="B46:C46"/>
    <mergeCell ref="B47:D47"/>
    <mergeCell ref="B54:C54"/>
    <mergeCell ref="B55:D55"/>
    <mergeCell ref="B58:C58"/>
    <mergeCell ref="B59:D59"/>
  </mergeCells>
  <dataValidations>
    <dataValidation type="list" allowBlank="1" showErrorMessage="1" sqref="C36">
      <formula1>Formulas!$B$27:$B$51</formula1>
    </dataValidation>
  </dataValidations>
  <hyperlinks>
    <hyperlink r:id="rId2" ref="B78"/>
    <hyperlink r:id="rId3" ref="B79"/>
  </hyperlinks>
  <printOptions/>
  <pageMargins bottom="0.75" footer="0.0" header="0.0" left="0.7" right="0.7" top="0.75"/>
  <pageSetup orientation="portrait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63"/>
    <col customWidth="1" min="2" max="2" width="12.5"/>
    <col customWidth="1" min="3" max="4" width="13.5"/>
    <col customWidth="1" min="5" max="5" width="14.0"/>
    <col customWidth="1" min="6" max="6" width="11.13"/>
    <col customWidth="1" min="7" max="7" width="14.38"/>
    <col customWidth="1" min="9" max="9" width="10.0"/>
    <col customWidth="1" min="10" max="10" width="11.13"/>
    <col customWidth="1" min="11" max="11" width="10.0"/>
    <col customWidth="1" min="12" max="12" width="11.5"/>
    <col customWidth="1" min="13" max="13" width="11.25"/>
    <col customWidth="1" min="14" max="14" width="8.88"/>
    <col customWidth="1" min="15" max="15" width="28.13"/>
    <col customWidth="1" min="16" max="26" width="7.63"/>
  </cols>
  <sheetData>
    <row r="2">
      <c r="B2" s="73" t="s">
        <v>73</v>
      </c>
      <c r="C2" s="73" t="s">
        <v>74</v>
      </c>
      <c r="D2" s="73" t="s">
        <v>75</v>
      </c>
      <c r="E2" s="73" t="s">
        <v>76</v>
      </c>
      <c r="F2" s="73" t="s">
        <v>77</v>
      </c>
      <c r="G2" s="73" t="s">
        <v>27</v>
      </c>
      <c r="H2" s="73" t="s">
        <v>78</v>
      </c>
      <c r="I2" s="73" t="s">
        <v>79</v>
      </c>
      <c r="J2" s="73" t="s">
        <v>80</v>
      </c>
      <c r="K2" s="73" t="s">
        <v>81</v>
      </c>
      <c r="L2" s="73" t="s">
        <v>82</v>
      </c>
      <c r="M2" s="73" t="s">
        <v>83</v>
      </c>
      <c r="N2" s="73" t="s">
        <v>84</v>
      </c>
      <c r="O2" s="73" t="s">
        <v>85</v>
      </c>
    </row>
    <row r="3">
      <c r="B3" s="74">
        <v>0.375</v>
      </c>
      <c r="C3" s="74">
        <v>15.0</v>
      </c>
      <c r="D3" s="74">
        <v>12.0</v>
      </c>
      <c r="E3" s="74">
        <v>0.75</v>
      </c>
      <c r="F3" s="74"/>
      <c r="G3" s="74">
        <v>0.0</v>
      </c>
      <c r="H3" s="75" t="s">
        <v>86</v>
      </c>
      <c r="I3" s="75"/>
      <c r="J3" s="76">
        <v>2.7</v>
      </c>
      <c r="K3" s="74"/>
      <c r="L3" s="76">
        <f>J3+(K3*(outbound_weight-2))</f>
        <v>2.7</v>
      </c>
      <c r="M3" s="74">
        <v>0.75</v>
      </c>
      <c r="N3" s="74">
        <v>2.4</v>
      </c>
      <c r="O3" s="74" t="s">
        <v>87</v>
      </c>
    </row>
    <row r="4">
      <c r="B4" s="74">
        <v>0.75</v>
      </c>
      <c r="C4" s="74">
        <v>15.0</v>
      </c>
      <c r="D4" s="74">
        <v>12.0</v>
      </c>
      <c r="E4" s="74">
        <v>0.75</v>
      </c>
      <c r="F4" s="74"/>
      <c r="G4" s="74">
        <v>0.0</v>
      </c>
      <c r="H4" s="77" t="s">
        <v>86</v>
      </c>
      <c r="I4" s="77"/>
      <c r="J4" s="76">
        <v>2.84</v>
      </c>
      <c r="K4" s="74"/>
      <c r="L4" s="76">
        <f>J4+(K4*(outbound_weight-2))</f>
        <v>2.84</v>
      </c>
      <c r="M4" s="74">
        <v>0.75</v>
      </c>
      <c r="N4" s="74">
        <v>2.4</v>
      </c>
      <c r="O4" s="74" t="s">
        <v>88</v>
      </c>
    </row>
    <row r="5">
      <c r="B5" s="74">
        <v>1.0</v>
      </c>
      <c r="C5" s="74">
        <v>15.0</v>
      </c>
      <c r="D5" s="74">
        <v>12.0</v>
      </c>
      <c r="E5" s="74">
        <v>0.75</v>
      </c>
      <c r="F5" s="74"/>
      <c r="G5" s="74">
        <v>0.0</v>
      </c>
      <c r="H5" s="77" t="s">
        <v>89</v>
      </c>
      <c r="I5" s="78">
        <f>(item_length*item_width*item_height)/dim_weight_divisor</f>
        <v>4.477266187</v>
      </c>
      <c r="J5" s="76">
        <v>3.32</v>
      </c>
      <c r="K5" s="74"/>
      <c r="L5" s="76">
        <f>J5+(K5*(outbound_weight-2))</f>
        <v>3.32</v>
      </c>
      <c r="M5" s="74">
        <v>0.75</v>
      </c>
      <c r="N5" s="74">
        <v>2.4</v>
      </c>
      <c r="O5" s="74" t="s">
        <v>90</v>
      </c>
    </row>
    <row r="6">
      <c r="B6" s="74">
        <v>0.375</v>
      </c>
      <c r="C6" s="74">
        <v>18.0</v>
      </c>
      <c r="D6" s="74">
        <v>14.0</v>
      </c>
      <c r="E6" s="74">
        <v>8.0</v>
      </c>
      <c r="F6" s="74"/>
      <c r="G6" s="74">
        <v>0.0</v>
      </c>
      <c r="H6" s="77" t="s">
        <v>86</v>
      </c>
      <c r="I6" s="77"/>
      <c r="J6" s="74">
        <v>3.47</v>
      </c>
      <c r="K6" s="74"/>
      <c r="L6" s="76">
        <f>J6+(K6*(outbound_weight-2))</f>
        <v>3.47</v>
      </c>
      <c r="M6" s="74">
        <v>0.75</v>
      </c>
      <c r="N6" s="74">
        <v>2.4</v>
      </c>
      <c r="O6" s="74" t="s">
        <v>91</v>
      </c>
    </row>
    <row r="7">
      <c r="B7" s="74">
        <v>0.75</v>
      </c>
      <c r="C7" s="74">
        <v>18.0</v>
      </c>
      <c r="D7" s="74">
        <v>14.0</v>
      </c>
      <c r="E7" s="74">
        <v>8.0</v>
      </c>
      <c r="F7" s="74"/>
      <c r="G7" s="74">
        <v>0.0</v>
      </c>
      <c r="H7" s="77" t="s">
        <v>86</v>
      </c>
      <c r="I7" s="77"/>
      <c r="J7" s="74">
        <v>3.64</v>
      </c>
      <c r="K7" s="74"/>
      <c r="L7" s="74">
        <f>J7+(K7*(outbound_weight-2))</f>
        <v>3.64</v>
      </c>
      <c r="M7" s="74">
        <v>0.75</v>
      </c>
      <c r="N7" s="74">
        <v>2.4</v>
      </c>
      <c r="O7" s="74" t="s">
        <v>92</v>
      </c>
    </row>
    <row r="8">
      <c r="B8" s="74">
        <v>1.0</v>
      </c>
      <c r="C8" s="74">
        <v>18.0</v>
      </c>
      <c r="D8" s="74">
        <v>14.0</v>
      </c>
      <c r="E8" s="74">
        <v>8.0</v>
      </c>
      <c r="F8" s="74"/>
      <c r="G8" s="74">
        <v>0.0</v>
      </c>
      <c r="H8" s="77" t="s">
        <v>86</v>
      </c>
      <c r="I8" s="78">
        <f>(item_length*item_width*item_height)/dim_weight_divisor</f>
        <v>4.477266187</v>
      </c>
      <c r="J8" s="74">
        <v>4.25</v>
      </c>
      <c r="K8" s="74"/>
      <c r="L8" s="74">
        <f>J8+(K8*(outbound_weight-2))</f>
        <v>4.25</v>
      </c>
      <c r="M8" s="74">
        <v>0.75</v>
      </c>
      <c r="N8" s="74">
        <v>2.4</v>
      </c>
      <c r="O8" s="74" t="s">
        <v>93</v>
      </c>
    </row>
    <row r="9">
      <c r="B9" s="74">
        <v>2.0</v>
      </c>
      <c r="C9" s="74">
        <v>18.0</v>
      </c>
      <c r="D9" s="74">
        <v>14.0</v>
      </c>
      <c r="E9" s="74">
        <v>8.0</v>
      </c>
      <c r="F9" s="74"/>
      <c r="G9" s="74">
        <v>0.0</v>
      </c>
      <c r="H9" s="77" t="s">
        <v>86</v>
      </c>
      <c r="I9" s="78">
        <f>(item_length*item_width*item_height)/dim_weight_divisor</f>
        <v>4.477266187</v>
      </c>
      <c r="J9" s="74">
        <v>4.95</v>
      </c>
      <c r="K9" s="74"/>
      <c r="L9" s="74">
        <f>J9+(K9*(outbound_weight-2))</f>
        <v>4.95</v>
      </c>
      <c r="M9" s="74">
        <v>0.75</v>
      </c>
      <c r="N9" s="74">
        <v>2.4</v>
      </c>
      <c r="O9" s="74" t="s">
        <v>94</v>
      </c>
    </row>
    <row r="10">
      <c r="B10" s="74">
        <v>3.0</v>
      </c>
      <c r="C10" s="74">
        <v>18.0</v>
      </c>
      <c r="D10" s="74">
        <v>14.0</v>
      </c>
      <c r="E10" s="74">
        <v>8.0</v>
      </c>
      <c r="F10" s="74"/>
      <c r="G10" s="74">
        <v>0.0</v>
      </c>
      <c r="H10" s="77" t="s">
        <v>86</v>
      </c>
      <c r="I10" s="78">
        <f>(item_length*item_width*item_height)/dim_weight_divisor</f>
        <v>4.477266187</v>
      </c>
      <c r="J10" s="74">
        <v>5.68</v>
      </c>
      <c r="K10" s="74"/>
      <c r="L10" s="74">
        <f>IF(outbound_weight&gt;2, (J10+(K10*(outbound_weight-2))), J10)</f>
        <v>5.68</v>
      </c>
      <c r="M10" s="74">
        <v>0.75</v>
      </c>
      <c r="N10" s="74">
        <v>2.4</v>
      </c>
      <c r="O10" s="74" t="s">
        <v>95</v>
      </c>
    </row>
    <row r="11">
      <c r="B11" s="74">
        <v>20.0</v>
      </c>
      <c r="C11" s="74">
        <v>18.0</v>
      </c>
      <c r="D11" s="74">
        <v>14.0</v>
      </c>
      <c r="E11" s="74">
        <v>8.0</v>
      </c>
      <c r="F11" s="74"/>
      <c r="G11" s="74">
        <v>0.0</v>
      </c>
      <c r="H11" s="77" t="s">
        <v>89</v>
      </c>
      <c r="I11" s="78">
        <f>(item_length*item_width*item_height)/dim_weight_divisor</f>
        <v>4.477266187</v>
      </c>
      <c r="J11" s="74">
        <v>5.68</v>
      </c>
      <c r="K11" s="74">
        <v>0.3</v>
      </c>
      <c r="L11" s="74">
        <f>IF(outbound_weight&gt;3, (J11+(K11*(outbound_weight-3))), J11)</f>
        <v>6.28</v>
      </c>
      <c r="M11" s="74">
        <v>0.75</v>
      </c>
      <c r="N11" s="74">
        <v>2.4</v>
      </c>
      <c r="O11" s="74" t="s">
        <v>96</v>
      </c>
      <c r="Q11" s="79">
        <v>3.35</v>
      </c>
    </row>
    <row r="12">
      <c r="B12" s="74">
        <v>70.0</v>
      </c>
      <c r="C12" s="74">
        <v>60.0</v>
      </c>
      <c r="D12" s="74">
        <v>30.0</v>
      </c>
      <c r="E12" s="74"/>
      <c r="F12" s="74">
        <v>130.0</v>
      </c>
      <c r="G12" s="74">
        <v>0.0</v>
      </c>
      <c r="H12" s="77" t="s">
        <v>89</v>
      </c>
      <c r="I12" s="78">
        <f>(item_length*item_width*item_height)/dim_weight_divisor</f>
        <v>4.477266187</v>
      </c>
      <c r="J12" s="74">
        <v>8.66</v>
      </c>
      <c r="K12" s="74">
        <v>0.38</v>
      </c>
      <c r="L12" s="74">
        <f>IF(outbound_weight&gt;1, (J12+(K12*(outbound_weight-1))), J12)</f>
        <v>10.18</v>
      </c>
      <c r="M12" s="74">
        <v>0.48</v>
      </c>
      <c r="N12" s="74">
        <v>1.2</v>
      </c>
      <c r="O12" s="74" t="s">
        <v>97</v>
      </c>
      <c r="Q12" s="79">
        <f>J11</f>
        <v>5.68</v>
      </c>
    </row>
    <row r="13">
      <c r="B13" s="74">
        <v>150.0</v>
      </c>
      <c r="C13" s="74">
        <v>108.0</v>
      </c>
      <c r="D13" s="74"/>
      <c r="E13" s="74"/>
      <c r="F13" s="74">
        <v>130.0</v>
      </c>
      <c r="G13" s="74">
        <v>0.0</v>
      </c>
      <c r="H13" s="77" t="s">
        <v>89</v>
      </c>
      <c r="I13" s="78">
        <f>(item_length*item_width*item_height)/dim_weight_divisor</f>
        <v>4.477266187</v>
      </c>
      <c r="J13" s="74">
        <v>11.37</v>
      </c>
      <c r="K13" s="74">
        <v>0.39</v>
      </c>
      <c r="L13" s="74">
        <f>IF(outbound_weight&gt;1, (J13+(K13*(outbound_weight-1))), J13)</f>
        <v>12.93</v>
      </c>
      <c r="M13" s="74">
        <v>0.48</v>
      </c>
      <c r="N13" s="74">
        <v>1.2</v>
      </c>
      <c r="O13" s="74" t="s">
        <v>98</v>
      </c>
      <c r="Q13" s="79">
        <f>0.35*K11</f>
        <v>0.105</v>
      </c>
    </row>
    <row r="14">
      <c r="B14" s="74">
        <v>150.0</v>
      </c>
      <c r="C14" s="74">
        <v>108.0</v>
      </c>
      <c r="D14" s="74"/>
      <c r="E14" s="74"/>
      <c r="F14" s="74">
        <v>165.0</v>
      </c>
      <c r="G14" s="74">
        <v>0.0</v>
      </c>
      <c r="H14" s="77" t="s">
        <v>89</v>
      </c>
      <c r="I14" s="78">
        <f>(item_length*item_width*item_height)/dim_weight_divisor</f>
        <v>4.477266187</v>
      </c>
      <c r="J14" s="74">
        <v>76.57</v>
      </c>
      <c r="K14" s="74">
        <v>0.79</v>
      </c>
      <c r="L14" s="74">
        <f>IF(outbound_weight&gt;70, (J14+(K14*(outbound_weight-90))), J14)</f>
        <v>76.57</v>
      </c>
      <c r="M14" s="74">
        <v>0.48</v>
      </c>
      <c r="N14" s="74">
        <v>1.2</v>
      </c>
      <c r="O14" s="74" t="s">
        <v>99</v>
      </c>
    </row>
    <row r="15">
      <c r="B15" s="74"/>
      <c r="C15" s="74"/>
      <c r="D15" s="74"/>
      <c r="E15" s="74"/>
      <c r="F15" s="74"/>
      <c r="G15" s="80">
        <v>0.0</v>
      </c>
      <c r="H15" s="77"/>
      <c r="I15" s="77"/>
      <c r="J15" s="74">
        <v>138.11</v>
      </c>
      <c r="K15" s="74">
        <v>0.79</v>
      </c>
      <c r="L15" s="74">
        <f>IF(outbound_weight&gt;150, (J15+(K15*(outbound_weight-90))), J15)</f>
        <v>138.11</v>
      </c>
      <c r="M15" s="74">
        <v>0.48</v>
      </c>
      <c r="N15" s="74">
        <v>1.2</v>
      </c>
      <c r="O15" s="74" t="s">
        <v>100</v>
      </c>
    </row>
    <row r="16">
      <c r="B16" s="74">
        <v>0.375</v>
      </c>
      <c r="C16" s="74">
        <v>15.0</v>
      </c>
      <c r="D16" s="74">
        <v>12.0</v>
      </c>
      <c r="E16" s="74">
        <v>0.75</v>
      </c>
      <c r="F16" s="74"/>
      <c r="G16" s="74">
        <v>0.0</v>
      </c>
      <c r="H16" s="77" t="s">
        <v>86</v>
      </c>
      <c r="I16" s="77"/>
      <c r="J16" s="76">
        <v>3.0</v>
      </c>
      <c r="K16" s="74"/>
      <c r="L16" s="76">
        <f>J16+(K16*(outbound_weight-2))</f>
        <v>3</v>
      </c>
      <c r="M16" s="74">
        <v>0.75</v>
      </c>
      <c r="N16" s="74">
        <v>2.4</v>
      </c>
      <c r="O16" s="74" t="s">
        <v>101</v>
      </c>
    </row>
    <row r="17">
      <c r="B17" s="74">
        <v>0.75</v>
      </c>
      <c r="C17" s="74">
        <v>15.0</v>
      </c>
      <c r="D17" s="74">
        <v>12.0</v>
      </c>
      <c r="E17" s="74">
        <v>0.75</v>
      </c>
      <c r="F17" s="74"/>
      <c r="G17" s="74">
        <v>0.0</v>
      </c>
      <c r="H17" s="77" t="s">
        <v>86</v>
      </c>
      <c r="I17" s="77"/>
      <c r="J17" s="76">
        <v>3.14</v>
      </c>
      <c r="K17" s="74"/>
      <c r="L17" s="76">
        <f>J17+(K17*(outbound_weight-2))</f>
        <v>3.14</v>
      </c>
      <c r="M17" s="74">
        <v>0.75</v>
      </c>
      <c r="N17" s="74">
        <v>2.4</v>
      </c>
      <c r="O17" s="74" t="s">
        <v>102</v>
      </c>
    </row>
    <row r="18">
      <c r="B18" s="74">
        <v>1.0</v>
      </c>
      <c r="C18" s="74">
        <v>15.0</v>
      </c>
      <c r="D18" s="74">
        <v>12.0</v>
      </c>
      <c r="E18" s="74">
        <v>0.75</v>
      </c>
      <c r="F18" s="74"/>
      <c r="G18" s="74">
        <v>0.0</v>
      </c>
      <c r="H18" s="77" t="s">
        <v>86</v>
      </c>
      <c r="I18" s="78">
        <f>(item_length*item_width*item_height)/dim_weight_divisor</f>
        <v>4.477266187</v>
      </c>
      <c r="J18" s="76">
        <v>3.62</v>
      </c>
      <c r="K18" s="74"/>
      <c r="L18" s="76">
        <f>J18+(K18*(outbound_weight-2))</f>
        <v>3.62</v>
      </c>
      <c r="M18" s="74">
        <v>0.75</v>
      </c>
      <c r="N18" s="74">
        <v>2.4</v>
      </c>
      <c r="O18" s="74" t="s">
        <v>103</v>
      </c>
    </row>
    <row r="19">
      <c r="B19" s="74">
        <v>0.375</v>
      </c>
      <c r="C19" s="74">
        <v>18.0</v>
      </c>
      <c r="D19" s="74">
        <v>14.0</v>
      </c>
      <c r="E19" s="74">
        <v>8.0</v>
      </c>
      <c r="F19" s="74"/>
      <c r="G19" s="74">
        <v>0.0</v>
      </c>
      <c r="H19" s="77" t="s">
        <v>86</v>
      </c>
      <c r="I19" s="77"/>
      <c r="J19" s="74">
        <v>3.87</v>
      </c>
      <c r="K19" s="74"/>
      <c r="L19" s="74">
        <f>J19+(K19*(outbound_weight-2))</f>
        <v>3.87</v>
      </c>
      <c r="M19" s="74">
        <v>0.75</v>
      </c>
      <c r="N19" s="74">
        <v>2.4</v>
      </c>
      <c r="O19" s="74" t="s">
        <v>104</v>
      </c>
    </row>
    <row r="20">
      <c r="B20" s="74">
        <v>0.75</v>
      </c>
      <c r="C20" s="74">
        <v>18.0</v>
      </c>
      <c r="D20" s="74">
        <v>14.0</v>
      </c>
      <c r="E20" s="74">
        <v>8.0</v>
      </c>
      <c r="F20" s="74"/>
      <c r="G20" s="74">
        <v>0.0</v>
      </c>
      <c r="H20" s="77" t="s">
        <v>86</v>
      </c>
      <c r="I20" s="77"/>
      <c r="J20" s="74">
        <v>4.04</v>
      </c>
      <c r="K20" s="74"/>
      <c r="L20" s="74">
        <f>J20+(K20*(outbound_weight-2))</f>
        <v>4.04</v>
      </c>
      <c r="M20" s="74">
        <v>0.75</v>
      </c>
      <c r="N20" s="74">
        <v>2.4</v>
      </c>
      <c r="O20" s="74" t="s">
        <v>105</v>
      </c>
    </row>
    <row r="21">
      <c r="B21" s="74">
        <v>1.0</v>
      </c>
      <c r="C21" s="74">
        <v>18.0</v>
      </c>
      <c r="D21" s="74">
        <v>14.0</v>
      </c>
      <c r="E21" s="74">
        <v>8.0</v>
      </c>
      <c r="F21" s="74"/>
      <c r="G21" s="74">
        <v>0.0</v>
      </c>
      <c r="H21" s="77" t="s">
        <v>86</v>
      </c>
      <c r="I21" s="78">
        <f>(item_length*item_width*item_height)/dim_weight_divisor</f>
        <v>4.477266187</v>
      </c>
      <c r="J21" s="74">
        <v>4.65</v>
      </c>
      <c r="K21" s="74"/>
      <c r="L21" s="74">
        <f>J21+(K21*(outbound_weight-2))</f>
        <v>4.65</v>
      </c>
      <c r="M21" s="74">
        <v>0.75</v>
      </c>
      <c r="N21" s="74">
        <v>2.4</v>
      </c>
      <c r="O21" s="74" t="s">
        <v>106</v>
      </c>
      <c r="Q21" s="30"/>
    </row>
    <row r="22">
      <c r="B22" s="74">
        <v>2.0</v>
      </c>
      <c r="C22" s="74">
        <v>18.0</v>
      </c>
      <c r="D22" s="74">
        <v>14.0</v>
      </c>
      <c r="E22" s="74">
        <v>8.0</v>
      </c>
      <c r="F22" s="74"/>
      <c r="G22" s="74">
        <v>0.0</v>
      </c>
      <c r="H22" s="77" t="s">
        <v>86</v>
      </c>
      <c r="I22" s="78">
        <f>(item_length*item_width*item_height)/dim_weight_divisor</f>
        <v>4.477266187</v>
      </c>
      <c r="J22" s="74">
        <v>5.35</v>
      </c>
      <c r="K22" s="74"/>
      <c r="L22" s="74">
        <f>J22+(K22*(outbound_weight-2))</f>
        <v>5.35</v>
      </c>
      <c r="M22" s="74">
        <v>0.75</v>
      </c>
      <c r="N22" s="74">
        <v>2.4</v>
      </c>
      <c r="O22" s="74" t="s">
        <v>107</v>
      </c>
    </row>
    <row r="23">
      <c r="B23" s="74">
        <v>3.0</v>
      </c>
      <c r="C23" s="74">
        <v>18.0</v>
      </c>
      <c r="D23" s="74">
        <v>14.0</v>
      </c>
      <c r="E23" s="74">
        <v>8.0</v>
      </c>
      <c r="F23" s="74"/>
      <c r="G23" s="74">
        <v>0.0</v>
      </c>
      <c r="H23" s="77" t="s">
        <v>86</v>
      </c>
      <c r="I23" s="78">
        <f>(item_length*item_width*item_height)/dim_weight_divisor</f>
        <v>4.477266187</v>
      </c>
      <c r="J23" s="74">
        <v>6.08</v>
      </c>
      <c r="K23" s="74"/>
      <c r="L23" s="74">
        <f>IF(outbound_weight&gt;2, (J23+(K23*(outbound_weight-2))), J23)</f>
        <v>6.08</v>
      </c>
      <c r="M23" s="74">
        <v>0.75</v>
      </c>
      <c r="N23" s="74">
        <v>2.4</v>
      </c>
      <c r="O23" s="74" t="s">
        <v>108</v>
      </c>
    </row>
    <row r="24">
      <c r="B24" s="74">
        <v>20.0</v>
      </c>
      <c r="C24" s="74">
        <v>18.0</v>
      </c>
      <c r="D24" s="74">
        <v>14.0</v>
      </c>
      <c r="E24" s="74">
        <v>8.0</v>
      </c>
      <c r="F24" s="74"/>
      <c r="G24" s="74">
        <v>0.0</v>
      </c>
      <c r="H24" s="77" t="s">
        <v>89</v>
      </c>
      <c r="I24" s="78">
        <f>(item_length*item_width*item_height)/dim_weight_divisor</f>
        <v>4.477266187</v>
      </c>
      <c r="J24" s="74">
        <v>6.08</v>
      </c>
      <c r="K24" s="74">
        <v>0.3</v>
      </c>
      <c r="L24" s="74">
        <f>IF(outbound_weight&gt;3, (J24+(K24*(outbound_weight-3))), J24)</f>
        <v>6.68</v>
      </c>
      <c r="M24" s="74">
        <v>0.75</v>
      </c>
      <c r="N24" s="74">
        <v>2.4</v>
      </c>
      <c r="O24" s="74" t="s">
        <v>109</v>
      </c>
    </row>
    <row r="25" ht="15.75" customHeight="1"/>
    <row r="26" ht="15.75" customHeight="1">
      <c r="B26" s="73" t="s">
        <v>110</v>
      </c>
      <c r="C26" s="73" t="s">
        <v>111</v>
      </c>
      <c r="D26" s="73" t="s">
        <v>112</v>
      </c>
      <c r="E26" s="73" t="s">
        <v>113</v>
      </c>
      <c r="F26" s="73" t="s">
        <v>114</v>
      </c>
      <c r="G26" s="73" t="s">
        <v>115</v>
      </c>
      <c r="H26" s="73"/>
      <c r="I26" s="73"/>
      <c r="J26" s="73" t="s">
        <v>116</v>
      </c>
    </row>
    <row r="27" ht="15.75" customHeight="1">
      <c r="B27" s="41" t="s">
        <v>117</v>
      </c>
      <c r="C27" s="41">
        <v>0.15</v>
      </c>
      <c r="D27" s="41"/>
      <c r="E27" s="41">
        <f t="shared" ref="E27:E28" si="1">C27</f>
        <v>0.15</v>
      </c>
      <c r="F27" s="81">
        <v>0.3</v>
      </c>
      <c r="G27" s="41">
        <f>IF(sale_price*Formulas!C27&gt;F27,(sale_price*E27), F27)</f>
        <v>18</v>
      </c>
      <c r="H27" s="41"/>
      <c r="I27" s="41"/>
      <c r="J27" s="41"/>
    </row>
    <row r="28" ht="15.75" customHeight="1">
      <c r="B28" s="41" t="s">
        <v>118</v>
      </c>
      <c r="C28" s="41">
        <v>0.12</v>
      </c>
      <c r="D28" s="41"/>
      <c r="E28" s="41">
        <f t="shared" si="1"/>
        <v>0.12</v>
      </c>
      <c r="F28" s="81">
        <v>0.3</v>
      </c>
      <c r="G28" s="41">
        <f>IF(sale_price*Formulas!C28&gt;F28,(sale_price*E28), F28)</f>
        <v>14.4</v>
      </c>
      <c r="H28" s="41"/>
      <c r="I28" s="41"/>
      <c r="J28" s="41"/>
    </row>
    <row r="29" ht="15.75" customHeight="1">
      <c r="B29" s="41" t="s">
        <v>119</v>
      </c>
      <c r="C29" s="41">
        <v>0.08</v>
      </c>
      <c r="D29" s="41">
        <v>0.15</v>
      </c>
      <c r="E29" s="41">
        <f>IF(sale_price&lt;10,C29, D29)</f>
        <v>0.15</v>
      </c>
      <c r="F29" s="81">
        <v>0.3</v>
      </c>
      <c r="G29" s="41">
        <f>IF(sale_price*Formulas!C29&gt;F29,(sale_price*E29), F29)</f>
        <v>18</v>
      </c>
      <c r="H29" s="41"/>
      <c r="I29" s="41"/>
      <c r="J29" s="41" t="s">
        <v>120</v>
      </c>
    </row>
    <row r="30" ht="15.75" customHeight="1">
      <c r="B30" s="82" t="s">
        <v>121</v>
      </c>
      <c r="C30" s="41">
        <v>0.08</v>
      </c>
      <c r="D30" s="41"/>
      <c r="E30" s="41">
        <f t="shared" ref="E30:E36" si="2">C30</f>
        <v>0.08</v>
      </c>
      <c r="F30" s="81">
        <v>0.3</v>
      </c>
      <c r="G30" s="41">
        <f>IF(sale_price*Formulas!C30&gt;F30,(sale_price*E30), F30)</f>
        <v>9.6</v>
      </c>
      <c r="H30" s="41"/>
      <c r="I30" s="41"/>
      <c r="J30" s="41"/>
    </row>
    <row r="31" ht="15.75" customHeight="1">
      <c r="B31" s="41" t="s">
        <v>122</v>
      </c>
      <c r="C31" s="41">
        <v>0.08</v>
      </c>
      <c r="D31" s="41"/>
      <c r="E31" s="41">
        <f t="shared" si="2"/>
        <v>0.08</v>
      </c>
      <c r="F31" s="81">
        <v>0.3</v>
      </c>
      <c r="G31" s="41">
        <f>IF(sale_price*Formulas!C31&gt;F31,(sale_price*E31), F31)</f>
        <v>9.6</v>
      </c>
      <c r="H31" s="41"/>
      <c r="I31" s="41"/>
      <c r="J31" s="41"/>
    </row>
    <row r="32" ht="15.75" customHeight="1">
      <c r="B32" s="41" t="s">
        <v>32</v>
      </c>
      <c r="C32" s="41">
        <v>0.17</v>
      </c>
      <c r="D32" s="41"/>
      <c r="E32" s="41">
        <f t="shared" si="2"/>
        <v>0.17</v>
      </c>
      <c r="F32" s="81">
        <v>0.3</v>
      </c>
      <c r="G32" s="41">
        <f>IF(sale_price*Formulas!C32&gt;F32,(sale_price*E32), F32)</f>
        <v>20.4</v>
      </c>
      <c r="H32" s="41"/>
      <c r="I32" s="41"/>
      <c r="J32" s="41"/>
    </row>
    <row r="33" ht="15.75" customHeight="1">
      <c r="B33" s="41" t="s">
        <v>123</v>
      </c>
      <c r="C33" s="41">
        <v>0.08</v>
      </c>
      <c r="D33" s="41"/>
      <c r="E33" s="41">
        <f t="shared" si="2"/>
        <v>0.08</v>
      </c>
      <c r="F33" s="81">
        <v>0.3</v>
      </c>
      <c r="G33" s="41">
        <f>IF(sale_price*Formulas!C33&gt;F33,(sale_price*E33), F33)</f>
        <v>9.6</v>
      </c>
      <c r="H33" s="41"/>
      <c r="I33" s="41"/>
      <c r="J33" s="41"/>
    </row>
    <row r="34" ht="15.75" customHeight="1">
      <c r="B34" s="41" t="s">
        <v>124</v>
      </c>
      <c r="C34" s="41">
        <v>0.15</v>
      </c>
      <c r="D34" s="41">
        <v>0.08</v>
      </c>
      <c r="E34" s="41">
        <f t="shared" si="2"/>
        <v>0.15</v>
      </c>
      <c r="F34" s="81">
        <v>0.3</v>
      </c>
      <c r="G34" s="41">
        <f>IF(sale_price*Formulas!C34&gt;E34,IF(sale_price&lt;100, (sale_price*Formulas!C34), ((sale_price-100)*D34)+(100*Formulas!C34)),Formulas!E34)</f>
        <v>16.6</v>
      </c>
      <c r="H34" s="41"/>
      <c r="I34" s="41"/>
      <c r="J34" s="41" t="s">
        <v>125</v>
      </c>
    </row>
    <row r="35" ht="15.75" customHeight="1">
      <c r="B35" s="41" t="s">
        <v>126</v>
      </c>
      <c r="C35" s="41">
        <v>0.15</v>
      </c>
      <c r="D35" s="41">
        <v>0.1</v>
      </c>
      <c r="E35" s="41">
        <f t="shared" si="2"/>
        <v>0.15</v>
      </c>
      <c r="F35" s="81">
        <v>0.3</v>
      </c>
      <c r="G35" s="41">
        <f>IF(sale_price*Formulas!C35&gt;E35,IF(sale_price&lt;200, (sale_price*Formulas!C35), ((sale_price-200)*D35)+(200*Formulas!C35)),Formulas!E35)</f>
        <v>18</v>
      </c>
      <c r="H35" s="41"/>
      <c r="I35" s="41"/>
      <c r="J35" s="41" t="s">
        <v>127</v>
      </c>
    </row>
    <row r="36" ht="15.75" customHeight="1">
      <c r="B36" s="41" t="s">
        <v>128</v>
      </c>
      <c r="C36" s="41">
        <v>0.15</v>
      </c>
      <c r="D36" s="41"/>
      <c r="E36" s="41">
        <f t="shared" si="2"/>
        <v>0.15</v>
      </c>
      <c r="F36" s="81">
        <v>0.3</v>
      </c>
      <c r="G36" s="41">
        <f>IF(sale_price*Formulas!C36&gt;F36,(sale_price*E36), F36)</f>
        <v>18</v>
      </c>
      <c r="H36" s="41"/>
      <c r="I36" s="41"/>
      <c r="J36" s="41"/>
    </row>
    <row r="37" ht="15.75" customHeight="1">
      <c r="B37" s="41" t="s">
        <v>129</v>
      </c>
      <c r="C37" s="41">
        <v>0.08</v>
      </c>
      <c r="D37" s="41">
        <v>0.15</v>
      </c>
      <c r="E37" s="41">
        <f>IF(sale_price&lt;10,C37, D37)</f>
        <v>0.15</v>
      </c>
      <c r="F37" s="81">
        <v>0.3</v>
      </c>
      <c r="G37" s="41">
        <f>IF(sale_price*Formulas!C37&gt;F37,(sale_price*E37), F37)</f>
        <v>18</v>
      </c>
      <c r="H37" s="41"/>
      <c r="I37" s="41"/>
      <c r="J37" s="41" t="s">
        <v>120</v>
      </c>
    </row>
    <row r="38" ht="15.75" customHeight="1">
      <c r="B38" s="41" t="s">
        <v>130</v>
      </c>
      <c r="C38" s="41">
        <v>0.15</v>
      </c>
      <c r="D38" s="83">
        <v>0.15</v>
      </c>
      <c r="E38" s="41">
        <f>IF(sale_price&lt;15,C38, D38)</f>
        <v>0.15</v>
      </c>
      <c r="F38" s="81">
        <v>0.3</v>
      </c>
      <c r="G38" s="41">
        <f>IF(sale_price*Formulas!C38&gt;F38,(sale_price*E38), F38)</f>
        <v>18</v>
      </c>
      <c r="H38" s="41"/>
      <c r="I38" s="41"/>
      <c r="J38" s="41"/>
    </row>
    <row r="39" ht="15.75" customHeight="1">
      <c r="B39" s="41" t="s">
        <v>131</v>
      </c>
      <c r="C39" s="41">
        <v>0.2</v>
      </c>
      <c r="D39" s="41">
        <v>0.05</v>
      </c>
      <c r="E39" s="41">
        <f t="shared" ref="E39:E51" si="3">C39</f>
        <v>0.2</v>
      </c>
      <c r="F39" s="81">
        <v>0.3</v>
      </c>
      <c r="G39" s="41">
        <f>IF(sale_price*Formulas!C39&gt;E39,IF(sale_price&lt;250, (sale_price*Formulas!C39), ((sale_price-250)*D39)+(250*Formulas!C39)),Formulas!E39)</f>
        <v>24</v>
      </c>
      <c r="H39" s="41"/>
      <c r="I39" s="41"/>
      <c r="J39" s="41" t="s">
        <v>132</v>
      </c>
    </row>
    <row r="40" ht="15.75" customHeight="1">
      <c r="B40" s="41" t="s">
        <v>133</v>
      </c>
      <c r="C40" s="41">
        <v>0.15</v>
      </c>
      <c r="D40" s="41"/>
      <c r="E40" s="41">
        <f t="shared" si="3"/>
        <v>0.15</v>
      </c>
      <c r="F40" s="81">
        <v>0.3</v>
      </c>
      <c r="G40" s="41">
        <f>IF(sale_price*Formulas!C40&gt;F40,(sale_price*E40), F40)</f>
        <v>18</v>
      </c>
      <c r="H40" s="41"/>
      <c r="I40" s="41"/>
      <c r="J40" s="41"/>
    </row>
    <row r="41" ht="15.75" customHeight="1">
      <c r="B41" s="41" t="s">
        <v>134</v>
      </c>
      <c r="C41" s="41">
        <v>0.15</v>
      </c>
      <c r="D41" s="41"/>
      <c r="E41" s="41">
        <f t="shared" si="3"/>
        <v>0.15</v>
      </c>
      <c r="F41" s="81">
        <v>0.3</v>
      </c>
      <c r="G41" s="41">
        <f>IF(sale_price*Formulas!C41&gt;F41,(sale_price*E41), F41)</f>
        <v>18</v>
      </c>
      <c r="H41" s="41"/>
      <c r="I41" s="41"/>
      <c r="J41" s="41"/>
    </row>
    <row r="42" ht="15.75" customHeight="1">
      <c r="B42" s="41" t="s">
        <v>135</v>
      </c>
      <c r="C42" s="41">
        <v>0.15</v>
      </c>
      <c r="D42" s="41"/>
      <c r="E42" s="41">
        <f t="shared" si="3"/>
        <v>0.15</v>
      </c>
      <c r="F42" s="81">
        <v>0.3</v>
      </c>
      <c r="G42" s="41">
        <f>IF(sale_price*Formulas!C42&gt;F42,(sale_price*E42), F42)</f>
        <v>18</v>
      </c>
      <c r="H42" s="41"/>
      <c r="I42" s="41"/>
      <c r="J42" s="41"/>
    </row>
    <row r="43" ht="15.75" customHeight="1">
      <c r="B43" s="41" t="s">
        <v>136</v>
      </c>
      <c r="C43" s="41">
        <v>0.15</v>
      </c>
      <c r="D43" s="41"/>
      <c r="E43" s="41">
        <f t="shared" si="3"/>
        <v>0.15</v>
      </c>
      <c r="F43" s="81">
        <v>0.3</v>
      </c>
      <c r="G43" s="41">
        <f>IF(sale_price*Formulas!C43&gt;F43,(sale_price*E43), F43)</f>
        <v>18</v>
      </c>
      <c r="H43" s="41"/>
      <c r="I43" s="41"/>
      <c r="J43" s="41"/>
    </row>
    <row r="44" ht="15.75" customHeight="1">
      <c r="B44" s="41" t="s">
        <v>137</v>
      </c>
      <c r="C44" s="41">
        <v>0.15</v>
      </c>
      <c r="D44" s="41"/>
      <c r="E44" s="41">
        <f t="shared" si="3"/>
        <v>0.15</v>
      </c>
      <c r="F44" s="81">
        <v>0.3</v>
      </c>
      <c r="G44" s="41">
        <f>IF(sale_price*Formulas!C44&gt;F44,(sale_price*E44), F44)</f>
        <v>18</v>
      </c>
      <c r="H44" s="41"/>
      <c r="I44" s="41"/>
      <c r="J44" s="41"/>
    </row>
    <row r="45" ht="15.75" customHeight="1">
      <c r="B45" s="41" t="s">
        <v>138</v>
      </c>
      <c r="C45" s="41">
        <v>0.15</v>
      </c>
      <c r="D45" s="41"/>
      <c r="E45" s="41">
        <f t="shared" si="3"/>
        <v>0.15</v>
      </c>
      <c r="F45" s="81">
        <v>0.3</v>
      </c>
      <c r="G45" s="41">
        <f>IF(sale_price*Formulas!C45&gt;F45,(sale_price*E45), F45)</f>
        <v>18</v>
      </c>
      <c r="H45" s="41"/>
      <c r="I45" s="41"/>
      <c r="J45" s="41"/>
    </row>
    <row r="46" ht="15.75" customHeight="1">
      <c r="B46" s="41" t="s">
        <v>139</v>
      </c>
      <c r="C46" s="41">
        <v>0.15</v>
      </c>
      <c r="D46" s="41"/>
      <c r="E46" s="41">
        <f t="shared" si="3"/>
        <v>0.15</v>
      </c>
      <c r="F46" s="81">
        <v>0.3</v>
      </c>
      <c r="G46" s="41">
        <f>IF(sale_price*Formulas!C46&gt;F46,(sale_price*E46), F46)</f>
        <v>18</v>
      </c>
      <c r="H46" s="41"/>
      <c r="I46" s="41"/>
      <c r="J46" s="41"/>
    </row>
    <row r="47" ht="15.75" customHeight="1">
      <c r="B47" s="41" t="s">
        <v>140</v>
      </c>
      <c r="C47" s="41">
        <v>0.15</v>
      </c>
      <c r="D47" s="41"/>
      <c r="E47" s="41">
        <f t="shared" si="3"/>
        <v>0.15</v>
      </c>
      <c r="F47" s="81">
        <v>0.3</v>
      </c>
      <c r="G47" s="41">
        <f>IF(sale_price*Formulas!C47&gt;F47,(sale_price*E47), F47)</f>
        <v>18</v>
      </c>
      <c r="H47" s="41"/>
      <c r="I47" s="41"/>
      <c r="J47" s="41"/>
    </row>
    <row r="48" ht="15.75" customHeight="1">
      <c r="B48" s="41" t="s">
        <v>141</v>
      </c>
      <c r="C48" s="41">
        <v>0.15</v>
      </c>
      <c r="D48" s="41"/>
      <c r="E48" s="41">
        <f t="shared" si="3"/>
        <v>0.15</v>
      </c>
      <c r="F48" s="81">
        <v>0.3</v>
      </c>
      <c r="G48" s="41">
        <f>IF(sale_price*Formulas!C48&gt;F48,(sale_price*E48), F48)</f>
        <v>18</v>
      </c>
      <c r="H48" s="41"/>
      <c r="I48" s="41"/>
      <c r="J48" s="41"/>
    </row>
    <row r="49" ht="15.75" customHeight="1">
      <c r="B49" s="41" t="s">
        <v>142</v>
      </c>
      <c r="C49" s="41">
        <v>0.15</v>
      </c>
      <c r="D49" s="41"/>
      <c r="E49" s="41">
        <f t="shared" si="3"/>
        <v>0.15</v>
      </c>
      <c r="F49" s="81">
        <v>0.3</v>
      </c>
      <c r="G49" s="41">
        <f>IF(sale_price*Formulas!C49&gt;F49,(sale_price*E49), F49)</f>
        <v>18</v>
      </c>
      <c r="H49" s="41"/>
      <c r="I49" s="41"/>
      <c r="J49" s="41"/>
    </row>
    <row r="50" ht="15.75" customHeight="1">
      <c r="B50" s="41" t="s">
        <v>143</v>
      </c>
      <c r="C50" s="41">
        <v>0.15</v>
      </c>
      <c r="D50" s="41"/>
      <c r="E50" s="41">
        <f t="shared" si="3"/>
        <v>0.15</v>
      </c>
      <c r="F50" s="81">
        <v>0.3</v>
      </c>
      <c r="G50" s="41">
        <f>IF(sale_price*Formulas!C50&gt;F50,(sale_price*E50), F50)</f>
        <v>18</v>
      </c>
      <c r="H50" s="41"/>
      <c r="I50" s="41"/>
      <c r="J50" s="41"/>
    </row>
    <row r="51" ht="15.75" customHeight="1">
      <c r="B51" s="41" t="s">
        <v>144</v>
      </c>
      <c r="C51" s="41">
        <v>0.16</v>
      </c>
      <c r="D51" s="41">
        <v>0.03</v>
      </c>
      <c r="E51" s="41">
        <f t="shared" si="3"/>
        <v>0.16</v>
      </c>
      <c r="F51" s="81">
        <v>2.0</v>
      </c>
      <c r="G51" s="41">
        <f>IF(sale_price*Formulas!C51&gt;E51,IF(sale_price&lt;1500, (sale_price*Formulas!C51), ((sale_price-1500)*D51)+(1500*Formulas!C51)),Formulas!E51)</f>
        <v>19.2</v>
      </c>
      <c r="H51" s="41"/>
      <c r="I51" s="41"/>
      <c r="J51" s="41" t="s">
        <v>145</v>
      </c>
    </row>
    <row r="52" ht="15.75" customHeight="1"/>
    <row r="53" ht="15.75" customHeight="1"/>
    <row r="54" ht="15.75" customHeight="1"/>
    <row r="55" ht="15.75" customHeight="1">
      <c r="B55" s="41" t="s">
        <v>146</v>
      </c>
      <c r="C55" s="41">
        <v>27.0</v>
      </c>
    </row>
    <row r="56" ht="15.75" customHeight="1">
      <c r="B56" s="41" t="s">
        <v>147</v>
      </c>
      <c r="C56" s="41">
        <v>57.0</v>
      </c>
    </row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