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14.xml.rels" ContentType="application/vnd.openxmlformats-package.relationships+xml"/>
  <Override PartName="/xl/worksheets/_rels/sheet8.xml.rels" ContentType="application/vnd.openxmlformats-package.relationships+xml"/>
  <Override PartName="/xl/worksheets/_rels/sheet11.xml.rels" ContentType="application/vnd.openxmlformats-package.relationships+xml"/>
  <Override PartName="/xl/worksheets/_rels/sheet6.xml.rels" ContentType="application/vnd.openxmlformats-package.relationships+xml"/>
  <Override PartName="/xl/worksheets/_rels/sheet12.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16.xml.rels" ContentType="application/vnd.openxmlformats-package.relationships+xml"/>
  <Override PartName="/xl/worksheets/_rels/sheet15.xml.rels" ContentType="application/vnd.openxmlformats-package.relationships+xml"/>
  <Override PartName="/xl/worksheets/_rels/sheet9.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7.xml.rels" ContentType="application/vnd.openxmlformats-package.relationships+xml"/>
  <Override PartName="/xl/worksheets/_rels/sheet13.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vmlDrawing1.vml" ContentType="application/vnd.openxmlformats-officedocument.vmlDrawing"/>
  <Override PartName="/xl/drawings/drawing5.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xl/comments4.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How to Use" sheetId="2" state="visible" r:id="rId4"/>
    <sheet name="NRM2 Reference" sheetId="3" state="visible" r:id="rId5"/>
    <sheet name="BoQ Summary" sheetId="4" state="visible" r:id="rId6"/>
    <sheet name="1 Preliminaries" sheetId="5" state="visible" r:id="rId7"/>
    <sheet name="2 Substructure" sheetId="6" state="visible" r:id="rId8"/>
    <sheet name="3 Superstructure" sheetId="7" state="visible" r:id="rId9"/>
    <sheet name="4 Envelope and Roof" sheetId="8" state="visible" r:id="rId10"/>
    <sheet name="5 Openings and Joinery" sheetId="9" state="visible" r:id="rId11"/>
    <sheet name="6 Finishes" sheetId="10" state="visible" r:id="rId12"/>
    <sheet name="7 FF and E" sheetId="11" state="visible" r:id="rId13"/>
    <sheet name="8 Services" sheetId="12" state="visible" r:id="rId14"/>
    <sheet name="9 External Works" sheetId="13" state="visible" r:id="rId15"/>
    <sheet name="Rate Build-Up" sheetId="14" state="visible" r:id="rId16"/>
    <sheet name="Prov Sums and Risk" sheetId="15" state="visible" r:id="rId17"/>
    <sheet name="Tender Comparison" sheetId="16" state="visible" r:id="rId18"/>
    <sheet name="Lists" sheetId="17" state="hidden" r:id="rId19"/>
  </sheets>
  <definedNames>
    <definedName function="false" hidden="false" localSheetId="4" name="_xlnm.Print_Titles" vbProcedure="false">'1 Preliminaries'!$6:$6</definedName>
    <definedName function="false" hidden="false" localSheetId="5" name="_xlnm.Print_Titles" vbProcedure="false">'2 Substructure'!$6:$6</definedName>
    <definedName function="false" hidden="false" localSheetId="6" name="_xlnm.Print_Titles" vbProcedure="false">'3 Superstructure'!$6:$6</definedName>
    <definedName function="false" hidden="false" localSheetId="7" name="_xlnm.Print_Titles" vbProcedure="false">'4 Envelope and Roof'!$6:$6</definedName>
    <definedName function="false" hidden="false" localSheetId="8" name="_xlnm.Print_Titles" vbProcedure="false">'5 Openings and Joinery'!$6:$6</definedName>
    <definedName function="false" hidden="false" localSheetId="9" name="_xlnm.Print_Titles" vbProcedure="false">'6 Finishes'!$6:$6</definedName>
    <definedName function="false" hidden="false" localSheetId="10" name="_xlnm.Print_Titles" vbProcedure="false">'7 FF and E'!$6:$6</definedName>
    <definedName function="false" hidden="false" localSheetId="11" name="_xlnm.Print_Titles" vbProcedure="false">'8 Services'!$6:$6</definedName>
    <definedName function="false" hidden="false" localSheetId="12" name="_xlnm.Print_Titles" vbProcedure="false">'9 External Works'!$6:$6</definedName>
    <definedName function="false" hidden="false" localSheetId="3" name="_xlnm.Print_Titles" vbProcedure="false">'BoQ Summary'!$5:$5</definedName>
    <definedName function="false" hidden="false" localSheetId="13" name="_xlnm.Print_Titles" vbProcedure="false">'Rate Build-Up'!$7:$7</definedName>
    <definedName function="false" hidden="false" localSheetId="15" name="_xlnm.Print_Titles" vbProcedure="false">'Tender Comparison'!$9:$9</definedName>
  </definedNames>
  <calcPr iterateCount="100" refMode="A1" iterate="false" iterateDelta="0.0001"/>
  <extLst>
    <ext xmlns:loext="http://schemas.libreoffice.org/" uri="{7626C862-2A13-11E5-B345-FEFF819CDC9F}">
      <loext:extCalcPr stringRefSyntax="ExcelA1"/>
    </ext>
  </extLst>
</workbook>
</file>

<file path=xl/comments4.xml><?xml version="1.0" encoding="utf-8"?>
<comments xmlns="http://schemas.openxmlformats.org/spreadsheetml/2006/main" xmlns:xdr="http://schemas.openxmlformats.org/drawingml/2006/spreadsheetDrawing">
  <authors>
    <author>Unknown Author</author>
  </authors>
  <commentList>
    <comment ref="E40" authorId="0">
      <text>
        <r>
          <rPr>
            <sz val="10"/>
            <rFont val="Arial"/>
            <family val="2"/>
          </rPr>
          <t xml:space="preserve">Grand total. Every component above is a live link to a bill sheet, the preliminaries sheet, the provisional sums and risk sheet, or a percentage on the Cover sheet. Nothing on this sheet is typed except cell E36.</t>
        </r>
      </text>
    </comment>
  </commentList>
</comments>
</file>

<file path=xl/sharedStrings.xml><?xml version="1.0" encoding="utf-8"?>
<sst xmlns="http://schemas.openxmlformats.org/spreadsheetml/2006/main" count="1187" uniqueCount="804">
  <si>
    <t xml:space="preserve">BILL OF QUANTITIES  –  MASTER TEMPLATE</t>
  </si>
  <si>
    <t xml:space="preserve">Measured and formatted in accordance with the RICS New Rules of Measurement 2 (NRM2): Detailed measurement for building works</t>
  </si>
  <si>
    <t xml:space="preserve">Currency neutral – every currency label in this workbook is driven by the currency code in cell C10.</t>
  </si>
  <si>
    <t xml:space="preserve">1.  PROJECT INFORMATION</t>
  </si>
  <si>
    <t xml:space="preserve">www.mastt.com</t>
  </si>
  <si>
    <t xml:space="preserve">Project name</t>
  </si>
  <si>
    <t xml:space="preserve">Example Project – Commercial Office Fit-out and Base Build</t>
  </si>
  <si>
    <t xml:space="preserve">Project number</t>
  </si>
  <si>
    <t xml:space="preserve">PRJ-0001</t>
  </si>
  <si>
    <t xml:space="preserve">Client / Employer</t>
  </si>
  <si>
    <t xml:space="preserve">Enter client name</t>
  </si>
  <si>
    <t xml:space="preserve">Project location</t>
  </si>
  <si>
    <t xml:space="preserve">Enter location</t>
  </si>
  <si>
    <t xml:space="preserve">Currency code (drives all currency labels)</t>
  </si>
  <si>
    <t xml:space="preserve">CUR</t>
  </si>
  <si>
    <t xml:space="preserve">Replace 'CUR' with AUD, GBP, USD, NZD, EUR etc. Every column heading and note that shows a currency reads this cell.</t>
  </si>
  <si>
    <t xml:space="preserve">Date of bill of quantities</t>
  </si>
  <si>
    <t xml:space="preserve">2026-08-10</t>
  </si>
  <si>
    <t xml:space="preserve">Prepared by (quantity surveyor)</t>
  </si>
  <si>
    <t xml:space="preserve">Enter name</t>
  </si>
  <si>
    <t xml:space="preserve">Checked by</t>
  </si>
  <si>
    <t xml:space="preserve">Contract duration (weeks)</t>
  </si>
  <si>
    <t xml:space="preserve">Drives the time-related preliminaries on Bill No. 1.</t>
  </si>
  <si>
    <t xml:space="preserve">Basis of measurement</t>
  </si>
  <si>
    <t xml:space="preserve">RICS NRM2 – Detailed measurement for building works</t>
  </si>
  <si>
    <t xml:space="preserve">Cost base date</t>
  </si>
  <si>
    <t xml:space="preserve">Estimate status</t>
  </si>
  <si>
    <t xml:space="preserve">Pre-tender estimate</t>
  </si>
  <si>
    <t xml:space="preserve">Revision</t>
  </si>
  <si>
    <t xml:space="preserve">Rev A</t>
  </si>
  <si>
    <t xml:space="preserve">2.  GLOBAL PRICING ASSUMPTIONS</t>
  </si>
  <si>
    <t xml:space="preserve">Default all-in labour rate (per hour)</t>
  </si>
  <si>
    <t xml:space="preserve">Default feeding every row of the 'Rate Build-Up' sheet.</t>
  </si>
  <si>
    <t xml:space="preserve">Default material waste allowance (%)</t>
  </si>
  <si>
    <t xml:space="preserve">Applied to material cost in the rate build-ups.</t>
  </si>
  <si>
    <t xml:space="preserve">Main contractor's overheads (%)</t>
  </si>
  <si>
    <t xml:space="preserve">Main contractor's profit (%)</t>
  </si>
  <si>
    <t xml:space="preserve">Overheads and profit included in the measured rates?</t>
  </si>
  <si>
    <t xml:space="preserve">Yes</t>
  </si>
  <si>
    <t xml:space="preserve">Yes = O&amp;P is added inside each rate build-up and the summary O&amp;P line is nil. No = rates are net cost and O&amp;P is added once on the summary. This switch prevents double counting.</t>
  </si>
  <si>
    <t xml:space="preserve">Builder's work in connection (% of services)</t>
  </si>
  <si>
    <t xml:space="preserve">Drives the BWIC allowance item in NRM2 §41 on Bill No. 8.</t>
  </si>
  <si>
    <t xml:space="preserve">3.  RISK ALLOWANCES, INFLATION AND TAX</t>
  </si>
  <si>
    <t xml:space="preserve">Design development risk (%)</t>
  </si>
  <si>
    <t xml:space="preserve">NRM2 risk allowances are applied on the 'Prov Sums and Risk' sheet.</t>
  </si>
  <si>
    <t xml:space="preserve">Construction risk (%)</t>
  </si>
  <si>
    <t xml:space="preserve">Employer change risk (%)</t>
  </si>
  <si>
    <t xml:space="preserve">Employer other risk (%)</t>
  </si>
  <si>
    <t xml:space="preserve">Tender inflation, to date of tender return (%)</t>
  </si>
  <si>
    <t xml:space="preserve">Construction inflation, to mid-point of construction (%)</t>
  </si>
  <si>
    <t xml:space="preserve">Tax – GST / VAT (%)</t>
  </si>
  <si>
    <t xml:space="preserve">Set to 0.00% if the bill is to be presented exclusive of tax.</t>
  </si>
  <si>
    <t xml:space="preserve">4.  DAYWORK PERCENTAGE ADDITIONS</t>
  </si>
  <si>
    <t xml:space="preserve">Daywork – labour, percentage addition (%)</t>
  </si>
  <si>
    <t xml:space="preserve">Daywork – materials, percentage addition (%)</t>
  </si>
  <si>
    <t xml:space="preserve">Daywork – plant, percentage addition (%)</t>
  </si>
  <si>
    <t xml:space="preserve">Colour convention</t>
  </si>
  <si>
    <t xml:space="preserve">Blue bold text on an amber fill</t>
  </si>
  <si>
    <t xml:space="preserve">An input. Type over it.</t>
  </si>
  <si>
    <t xml:space="preserve">Black text</t>
  </si>
  <si>
    <t xml:space="preserve">A formula calculated inside the same sheet. Do not overtype.</t>
  </si>
  <si>
    <t xml:space="preserve">Green text</t>
  </si>
  <si>
    <t xml:space="preserve">A live link to another sheet. Do not overtype.</t>
  </si>
  <si>
    <t xml:space="preserve">Grey italic text</t>
  </si>
  <si>
    <t xml:space="preserve">Guidance, notes and NRM2 references.</t>
  </si>
  <si>
    <t xml:space="preserve">A Mastt template.  Construction project controls, cost management and reporting –</t>
  </si>
  <si>
    <t xml:space="preserve">Every item pre-filled with 'EXAMPLE —' is an illustrative worked entry. Delete the example rows before issuing this bill.</t>
  </si>
  <si>
    <t xml:space="preserve">HOW TO USE THIS TEMPLATE</t>
  </si>
  <si>
    <t xml:space="preserve">A bill of quantities measured and formatted to RICS NRM2. Work through the sheets in the order below.</t>
  </si>
  <si>
    <t xml:space="preserve">Step 1 – Cover</t>
  </si>
  <si>
    <t xml:space="preserve">Set the currency code, contract duration and every global percentage. These cells drive the whole workbook: change the currency code in C10 and every column heading in every sheet re-labels itself.</t>
  </si>
  <si>
    <t xml:space="preserve">Step 2 – Rate Build-Up</t>
  </si>
  <si>
    <t xml:space="preserve">Build up your all-in rates from labour hours, material quantity and cost, waste, plant and sub-contract cost. Give each build-up a reference (BU-01, BU-02 …). The all-in rate in column P is what the bills pick up.</t>
  </si>
  <si>
    <t xml:space="preserve">Step 3 – Bill No. 1, Preliminaries</t>
  </si>
  <si>
    <t xml:space="preserve">Price NRM2 §1 as a fixed charge, a time-related charge, or both. The duration column is linked to the Cover sheet, so changing the programme reprices every time-related item at once.</t>
  </si>
  <si>
    <t xml:space="preserve">Step 4 – Bills No. 2 to 9</t>
  </si>
  <si>
    <t xml:space="preserve">Measure the work. Each bill is divided into NRM2 work sections with the section number shown on every line. For each item enter a description, unit, and quantity, then either type a rate in 'Manual rate' or enter a build-up reference in 'BU ref' — the 'Rate applied' column takes the build-up rate when a reference is present and the manual rate otherwise.</t>
  </si>
  <si>
    <t xml:space="preserve">Step 5 – Prov Sums and Risk</t>
  </si>
  <si>
    <t xml:space="preserve">Schedule the defined and undefined provisional sums, the dayworks, the four NRM2 risk allowances and any credits for arisings. Risk percentages come from the Cover sheet and are applied to sub-total H on the summary.</t>
  </si>
  <si>
    <t xml:space="preserve">Step 6 – BoQ Summary</t>
  </si>
  <si>
    <t xml:space="preserve">Nothing here is typed except cell E36. Every other figure is a live link. Three reconciliation checks at the bottom confirm that the bills, the components and the grand total agree.</t>
  </si>
  <si>
    <t xml:space="preserve">Step 7 – Tender Comparison</t>
  </si>
  <si>
    <t xml:space="preserve">Enter each tenderer's priced summary in the blue columns. The estimate column, the lowest tender, the variances, the ranking and the name of the lowest tenderer all calculate themselves.</t>
  </si>
  <si>
    <t xml:space="preserve">Which cells may I type in?</t>
  </si>
  <si>
    <t xml:space="preserve">A formula inside the same sheet. Leave it alone.</t>
  </si>
  <si>
    <t xml:space="preserve">A live link to another sheet. Leave it alone.</t>
  </si>
  <si>
    <t xml:space="preserve">A row that turns pink</t>
  </si>
  <si>
    <t xml:space="preserve">A quantity has been entered with no valid rate — either the rate is missing or the build-up reference does not exist.</t>
  </si>
  <si>
    <t xml:space="preserve">Anything beginning 'EXAMPLE —'</t>
  </si>
  <si>
    <t xml:space="preserve">An illustrative worked entry with an indicative rate. It is not a price. Delete every example row before you issue the bill.</t>
  </si>
  <si>
    <t xml:space="preserve">Assumptions built into the template</t>
  </si>
  <si>
    <t xml:space="preserve">•</t>
  </si>
  <si>
    <t xml:space="preserve">All indicative rates and quantities are illustrative placeholders written for this template. They are not benchmarked market rates and must be replaced.</t>
  </si>
  <si>
    <t xml:space="preserve">Overheads and profit are counted once. The switch in Cover!C25 decides whether they sit inside each rate build-up or are added as a single line on the summary — never both.</t>
  </si>
  <si>
    <t xml:space="preserve">Risk allowances are applied to sub-total H on the summary (measured works, preliminaries, provisional sums, dayworks and credits). Change the reference in column F of the 'Prov Sums and Risk' sheet if your convention differs.</t>
  </si>
  <si>
    <t xml:space="preserve">Construction inflation is applied to the sub-total after tender inflation, which compounds the two. Set either to zero if your convention is simple rather than compound escalation.</t>
  </si>
  <si>
    <t xml:space="preserve">Builder's work in connection is calculated as a percentage of the four services sections above it on Bill No. 8, at the rate set in Cover!C26.</t>
  </si>
  <si>
    <t xml:space="preserve">Quantities are measured net as fixed in position per NRM2. Waste is priced in the rate, in the waste column of the build-up sheet.</t>
  </si>
  <si>
    <t xml:space="preserve">Source for the work section structure: RICS, NRM 2: Detailed measurement for building works, Part 3 — the 41 numbered work sections.</t>
  </si>
  <si>
    <t xml:space="preserve">A Mastt template</t>
  </si>
  <si>
    <t xml:space="preserve">Mastt is construction project controls software for capital project owners – budgets, contracts, variations, payments, risk and reporting in one place. If you are running this bill of quantities across a portfolio rather than a single spreadsheet, that is what Mastt is for.</t>
  </si>
  <si>
    <t xml:space="preserve">NRM2 FORMAT AND WORK SECTION REFERENCE</t>
  </si>
  <si>
    <t xml:space="preserve">The rules</t>
  </si>
  <si>
    <t xml:space="preserve">RICS New Rules of Measurement, Volume 2 (NRM2): Detailed measurement for building works. NRM1 covers order of cost estimating and elemental cost planning; NRM3 covers building maintenance works.</t>
  </si>
  <si>
    <t xml:space="preserve">Part 1</t>
  </si>
  <si>
    <t xml:space="preserve">General – purpose, use and definitions.</t>
  </si>
  <si>
    <t xml:space="preserve">Part 2</t>
  </si>
  <si>
    <t xml:space="preserve">Rules for detailed measurement of building works – the content, structure and format of bills of quantities, including preliminaries, provisional sums (defined and undefined), prime cost sums, dayworks, risk allowances, credits, the information required, and the treatment of contractor designed works.</t>
  </si>
  <si>
    <t xml:space="preserve">Part 3</t>
  </si>
  <si>
    <t xml:space="preserve">Tabulated rules of measurement for building works – 41 numbered work sections, each set out in the same tabulated format: Level 1 (group), Level 2 (sub-group) and Level 3 (item), with the unit of measurement, and the measurement rules, definition rules, coverage rules and non-measurable items for each.</t>
  </si>
  <si>
    <t xml:space="preserve">Appendices</t>
  </si>
  <si>
    <t xml:space="preserve">Templates for the preliminaries pricing schedule, the elemental and work section summaries, and for provisional sums, risks and credits.</t>
  </si>
  <si>
    <t xml:space="preserve">BoQ formats</t>
  </si>
  <si>
    <t xml:space="preserve">NRM2 allows a bill to be broken down elementally, by work section, by work package, or in a work breakdown structure that suits the procurement route. This workbook uses a work section breakdown grouped into nine bills, with the NRM2 section number carried on every line.</t>
  </si>
  <si>
    <t xml:space="preserve">Units</t>
  </si>
  <si>
    <t xml:space="preserve">m (linear), m2 (superficial), m3 (cubic), kg and t (weight), nr (enumerated), item, sum, and week or hour for time-related items. Quantities are measured net as fixed in position; no allowance is made for waste in the measured quantity – waste belongs in the rate.</t>
  </si>
  <si>
    <t xml:space="preserve">Rounding</t>
  </si>
  <si>
    <t xml:space="preserve">NRM2 requires quantities to be given to the nearest whole unit, except where a quantity is less than one unit, in which case two decimal places are given.</t>
  </si>
  <si>
    <t xml:space="preserve">Provisional sums</t>
  </si>
  <si>
    <t xml:space="preserve">A defined provisional sum has known nature, quantity, programme and access; the contractor allows for it in the programme and preliminaries. An undefined provisional sum does not, and the contractor is not deemed to have made that allowance.</t>
  </si>
  <si>
    <t xml:space="preserve">Risk</t>
  </si>
  <si>
    <t xml:space="preserve">NRM2 allocates risk across four categories: design development risks, construction risks, employer change risks and employer other risks.</t>
  </si>
  <si>
    <t xml:space="preserve">THE 41 NRM2 WORK SECTIONS</t>
  </si>
  <si>
    <t xml:space="preserve">Section</t>
  </si>
  <si>
    <t xml:space="preserve">NRM2 work section title</t>
  </si>
  <si>
    <t xml:space="preserve">Typical units</t>
  </si>
  <si>
    <t xml:space="preserve">Bill in this workbook</t>
  </si>
  <si>
    <t xml:space="preserve">Preliminaries</t>
  </si>
  <si>
    <t xml:space="preserve">item / wk / sum</t>
  </si>
  <si>
    <t xml:space="preserve">1 Preliminaries</t>
  </si>
  <si>
    <t xml:space="preserve">Off-site manufactured materials, components or buildings</t>
  </si>
  <si>
    <t xml:space="preserve">nr / item</t>
  </si>
  <si>
    <t xml:space="preserve">2 Substructure</t>
  </si>
  <si>
    <t xml:space="preserve">Demolitions</t>
  </si>
  <si>
    <t xml:space="preserve">m2 / m3 / item</t>
  </si>
  <si>
    <t xml:space="preserve">Alterations, repairs and conservation</t>
  </si>
  <si>
    <t xml:space="preserve">nr / m / item</t>
  </si>
  <si>
    <t xml:space="preserve">Excavating and filling</t>
  </si>
  <si>
    <t xml:space="preserve">m2 / m3</t>
  </si>
  <si>
    <t xml:space="preserve">Ground remediation and soil stabilisation</t>
  </si>
  <si>
    <t xml:space="preserve">m3 / t / item</t>
  </si>
  <si>
    <t xml:space="preserve">Piling</t>
  </si>
  <si>
    <t xml:space="preserve">m / nr</t>
  </si>
  <si>
    <t xml:space="preserve">Underpinning</t>
  </si>
  <si>
    <t xml:space="preserve">Diaphragm walls and embedded retaining walls</t>
  </si>
  <si>
    <t xml:space="preserve">m2 / m</t>
  </si>
  <si>
    <t xml:space="preserve">Crib walls, gabions and reinforced earth</t>
  </si>
  <si>
    <t xml:space="preserve">In-situ concrete works</t>
  </si>
  <si>
    <t xml:space="preserve">m3 / m2 / t</t>
  </si>
  <si>
    <t xml:space="preserve">3 Superstructure</t>
  </si>
  <si>
    <t xml:space="preserve">Precast/composite concrete</t>
  </si>
  <si>
    <t xml:space="preserve">m2 / nr</t>
  </si>
  <si>
    <t xml:space="preserve">Precast concrete</t>
  </si>
  <si>
    <t xml:space="preserve">nr / m</t>
  </si>
  <si>
    <t xml:space="preserve">Masonry</t>
  </si>
  <si>
    <t xml:space="preserve">m2 / m / nr</t>
  </si>
  <si>
    <t xml:space="preserve">Structural metalwork</t>
  </si>
  <si>
    <t xml:space="preserve">t / nr / m2</t>
  </si>
  <si>
    <t xml:space="preserve">Carpentry</t>
  </si>
  <si>
    <t xml:space="preserve">m / m2 / nr</t>
  </si>
  <si>
    <t xml:space="preserve">Sheet roof coverings</t>
  </si>
  <si>
    <t xml:space="preserve">4 Envelope and Roof</t>
  </si>
  <si>
    <t xml:space="preserve">Tile and slate roof and wall coverings</t>
  </si>
  <si>
    <t xml:space="preserve">Waterproofing</t>
  </si>
  <si>
    <t xml:space="preserve">Proprietary walls, linings and partitions</t>
  </si>
  <si>
    <t xml:space="preserve">Cladding and covering</t>
  </si>
  <si>
    <t xml:space="preserve">General joinery</t>
  </si>
  <si>
    <t xml:space="preserve">m / nr / m2</t>
  </si>
  <si>
    <t xml:space="preserve">5 Openings and Joinery</t>
  </si>
  <si>
    <t xml:space="preserve">Windows, screens and lights</t>
  </si>
  <si>
    <t xml:space="preserve">nr / m2</t>
  </si>
  <si>
    <t xml:space="preserve">Doors, shutters and hatches</t>
  </si>
  <si>
    <t xml:space="preserve">nr</t>
  </si>
  <si>
    <t xml:space="preserve">Stairs, walkways and balustrades</t>
  </si>
  <si>
    <t xml:space="preserve">Metalwork</t>
  </si>
  <si>
    <t xml:space="preserve">nr / m / kg</t>
  </si>
  <si>
    <t xml:space="preserve">Glazing</t>
  </si>
  <si>
    <t xml:space="preserve">Floor, wall, ceiling and roof finishings</t>
  </si>
  <si>
    <t xml:space="preserve">6 Finishes</t>
  </si>
  <si>
    <t xml:space="preserve">Decoration</t>
  </si>
  <si>
    <t xml:space="preserve">Suspended ceilings</t>
  </si>
  <si>
    <t xml:space="preserve">m2</t>
  </si>
  <si>
    <t xml:space="preserve">Insulation, fire stopping and fire protection</t>
  </si>
  <si>
    <t xml:space="preserve">Furniture, fittings and equipment</t>
  </si>
  <si>
    <t xml:space="preserve">7 FF and E</t>
  </si>
  <si>
    <t xml:space="preserve">Drainage above ground</t>
  </si>
  <si>
    <t xml:space="preserve">8 Services</t>
  </si>
  <si>
    <t xml:space="preserve">Drainage below ground</t>
  </si>
  <si>
    <t xml:space="preserve">m / nr / item</t>
  </si>
  <si>
    <t xml:space="preserve">9 External Works</t>
  </si>
  <si>
    <t xml:space="preserve">Site works</t>
  </si>
  <si>
    <t xml:space="preserve">m2 / m / item</t>
  </si>
  <si>
    <t xml:space="preserve">Fencing</t>
  </si>
  <si>
    <t xml:space="preserve">Soft landscaping</t>
  </si>
  <si>
    <t xml:space="preserve">Mechanical services</t>
  </si>
  <si>
    <t xml:space="preserve">m2 / nr / item</t>
  </si>
  <si>
    <t xml:space="preserve">Electrical services</t>
  </si>
  <si>
    <t xml:space="preserve">Transportation systems</t>
  </si>
  <si>
    <t xml:space="preserve">Builder's work in connection with mechanical, electrical and transportation installations</t>
  </si>
  <si>
    <t xml:space="preserve">nr / item / %</t>
  </si>
  <si>
    <t xml:space="preserve">Total of all 41 work sections (equals sub-total C on the BoQ Summary)</t>
  </si>
  <si>
    <t xml:space="preserve">Check against the BoQ Summary</t>
  </si>
  <si>
    <t xml:space="preserve">BILL OF QUANTITIES  –  SUMMARY</t>
  </si>
  <si>
    <t xml:space="preserve">Ref</t>
  </si>
  <si>
    <t xml:space="preserve">Description</t>
  </si>
  <si>
    <t xml:space="preserve">NRM2 reference</t>
  </si>
  <si>
    <t xml:space="preserve">Basis / rate</t>
  </si>
  <si>
    <t xml:space="preserve">% of works</t>
  </si>
  <si>
    <t xml:space="preserve">Notes</t>
  </si>
  <si>
    <t xml:space="preserve">1</t>
  </si>
  <si>
    <t xml:space="preserve">NRM2 §1</t>
  </si>
  <si>
    <t xml:space="preserve">2</t>
  </si>
  <si>
    <t xml:space="preserve">Substructure and Groundworks</t>
  </si>
  <si>
    <t xml:space="preserve">NRM2 §2 to §10</t>
  </si>
  <si>
    <t xml:space="preserve">3</t>
  </si>
  <si>
    <t xml:space="preserve">Superstructure – Frame, Upper Floors, Walls, Carpentry</t>
  </si>
  <si>
    <t xml:space="preserve">NRM2 §11 to §16</t>
  </si>
  <si>
    <t xml:space="preserve">4</t>
  </si>
  <si>
    <t xml:space="preserve">Roof Coverings, Waterproofing, Linings and Cladding</t>
  </si>
  <si>
    <t xml:space="preserve">NRM2 §17 to §21</t>
  </si>
  <si>
    <t xml:space="preserve">5</t>
  </si>
  <si>
    <t xml:space="preserve">Joinery, Windows, Doors, Stairs, Metalwork and Glazing</t>
  </si>
  <si>
    <t xml:space="preserve">NRM2 §22 to §27</t>
  </si>
  <si>
    <t xml:space="preserve">6</t>
  </si>
  <si>
    <t xml:space="preserve">Finishes, Decoration, Suspended Ceilings and Fire Protection</t>
  </si>
  <si>
    <t xml:space="preserve">NRM2 §28 to §31</t>
  </si>
  <si>
    <t xml:space="preserve">7</t>
  </si>
  <si>
    <t xml:space="preserve">Furniture, Fittings and Equipment</t>
  </si>
  <si>
    <t xml:space="preserve">NRM2 §32</t>
  </si>
  <si>
    <t xml:space="preserve">8</t>
  </si>
  <si>
    <t xml:space="preserve">Building Services and Builder's Work in Connection</t>
  </si>
  <si>
    <t xml:space="preserve">NRM2 §33, §38 to §41</t>
  </si>
  <si>
    <t xml:space="preserve">9</t>
  </si>
  <si>
    <t xml:space="preserve">External Works, Below Ground Drainage and Landscaping</t>
  </si>
  <si>
    <t xml:space="preserve">NRM2 §34 to §37</t>
  </si>
  <si>
    <t xml:space="preserve">A</t>
  </si>
  <si>
    <t xml:space="preserve">NET MEASURED WORKS  (Bills 2 to 9, excluding preliminaries)</t>
  </si>
  <si>
    <t xml:space="preserve">B</t>
  </si>
  <si>
    <t xml:space="preserve">Preliminaries  (Bill 1)</t>
  </si>
  <si>
    <t xml:space="preserve">C</t>
  </si>
  <si>
    <t xml:space="preserve">SUB-TOTAL – MEASURED WORKS AND PRELIMINARIES</t>
  </si>
  <si>
    <t xml:space="preserve">D</t>
  </si>
  <si>
    <t xml:space="preserve">Defined provisional sums</t>
  </si>
  <si>
    <t xml:space="preserve">From the 'Prov Sums and Risk' sheet, block A</t>
  </si>
  <si>
    <t xml:space="preserve">E</t>
  </si>
  <si>
    <t xml:space="preserve">Undefined provisional sums</t>
  </si>
  <si>
    <t xml:space="preserve">Block B – programme and preliminaries consequences not allowed for</t>
  </si>
  <si>
    <t xml:space="preserve">F</t>
  </si>
  <si>
    <t xml:space="preserve">Dayworks</t>
  </si>
  <si>
    <t xml:space="preserve">Block C</t>
  </si>
  <si>
    <t xml:space="preserve">G</t>
  </si>
  <si>
    <t xml:space="preserve">Credits for arisings</t>
  </si>
  <si>
    <t xml:space="preserve">Block E – entered as negative values</t>
  </si>
  <si>
    <t xml:space="preserve">H</t>
  </si>
  <si>
    <t xml:space="preserve">SUB-TOTAL</t>
  </si>
  <si>
    <t xml:space="preserve">This is the base for the risk allowances</t>
  </si>
  <si>
    <t xml:space="preserve">I</t>
  </si>
  <si>
    <t xml:space="preserve">Main contractor's overheads and profit, where not already included in the measured rates</t>
  </si>
  <si>
    <t xml:space="preserve">Nil while Cover!C25 = 'Yes', because O&amp;P is inside each rate build-up</t>
  </si>
  <si>
    <t xml:space="preserve">J</t>
  </si>
  <si>
    <t xml:space="preserve">K</t>
  </si>
  <si>
    <t xml:space="preserve">Risk allowances  (design development, construction, employer change, employer other)</t>
  </si>
  <si>
    <t xml:space="preserve">From the 'Prov Sums and Risk' sheet, block D</t>
  </si>
  <si>
    <t xml:space="preserve">L</t>
  </si>
  <si>
    <t xml:space="preserve">M</t>
  </si>
  <si>
    <t xml:space="preserve">Tender inflation, to date of tender return</t>
  </si>
  <si>
    <t xml:space="preserve">N</t>
  </si>
  <si>
    <t xml:space="preserve">Construction inflation, to mid-point of construction</t>
  </si>
  <si>
    <t xml:space="preserve">O</t>
  </si>
  <si>
    <t xml:space="preserve">SUB-TOTAL – CONSTRUCTION COST</t>
  </si>
  <si>
    <t xml:space="preserve">P</t>
  </si>
  <si>
    <t xml:space="preserve">Contractor design fees and other adjustments</t>
  </si>
  <si>
    <t xml:space="preserve">Enter a value directly in cell E36 if required</t>
  </si>
  <si>
    <t xml:space="preserve">Q</t>
  </si>
  <si>
    <t xml:space="preserve">SUB-TOTAL – EXCLUDING TAX</t>
  </si>
  <si>
    <t xml:space="preserve">R</t>
  </si>
  <si>
    <t xml:space="preserve">Tax  (GST / VAT)</t>
  </si>
  <si>
    <t xml:space="preserve">S</t>
  </si>
  <si>
    <t xml:space="preserve">TOTAL BILL OF QUANTITIES  (INCLUDING TAX)</t>
  </si>
  <si>
    <t xml:space="preserve">Checks</t>
  </si>
  <si>
    <t xml:space="preserve">Sum of the nine bills equals the works and preliminaries sub-total</t>
  </si>
  <si>
    <t xml:space="preserve">Overheads and profit are counted once only</t>
  </si>
  <si>
    <t xml:space="preserve">Total is the sum of every component</t>
  </si>
  <si>
    <t xml:space="preserve">mastt.com</t>
  </si>
  <si>
    <t xml:space="preserve">BILL No. 1  –  PRELIMINARIES  (NRM2 §1)</t>
  </si>
  <si>
    <t xml:space="preserve">NRM2 splits preliminaries into the Employer's requirements (§1.1) and the Main contractor's cost items (§1.2), each priced as a fixed charge and/or a time-related charge.</t>
  </si>
  <si>
    <t xml:space="preserve">BILL 1 TOTAL, CARRIED TO SUMMARY</t>
  </si>
  <si>
    <t xml:space="preserve">Duration (weeks)</t>
  </si>
  <si>
    <t xml:space="preserve">Notes and assumptions</t>
  </si>
  <si>
    <t xml:space="preserve">1.1</t>
  </si>
  <si>
    <t xml:space="preserve">EMPLOYER'S REQUIREMENTS (NRM2 §1.1)</t>
  </si>
  <si>
    <t xml:space="preserve">1.1.1</t>
  </si>
  <si>
    <t xml:space="preserve">EXAMPLE — Site accommodation required by the Employer – offices, meeting rooms, welfare for the Employer's representatives</t>
  </si>
  <si>
    <t xml:space="preserve">Fixed charge covers set up and removal</t>
  </si>
  <si>
    <t xml:space="preserve">1.1.2</t>
  </si>
  <si>
    <t xml:space="preserve">EXAMPLE — Site records required by the Employer – progress photographs, as-built records, O&amp;M documentation</t>
  </si>
  <si>
    <t xml:space="preserve">1.1.3</t>
  </si>
  <si>
    <t xml:space="preserve">EXAMPLE — Completion and post-completion requirements – handover, training, defects rectification period attendance</t>
  </si>
  <si>
    <t xml:space="preserve">Subtotal – EMPLOYER'S REQUIREMENTS (NRM2 §1.1)</t>
  </si>
  <si>
    <t xml:space="preserve">1.2</t>
  </si>
  <si>
    <t xml:space="preserve">MAIN CONTRACTOR'S COST ITEMS (NRM2 §1.2)</t>
  </si>
  <si>
    <t xml:space="preserve">1.2.1</t>
  </si>
  <si>
    <t xml:space="preserve">EXAMPLE — Management and staff – project manager, site manager, engineers, QS, safety officer, administration</t>
  </si>
  <si>
    <t xml:space="preserve">Time related; duration linked to Cover sheet</t>
  </si>
  <si>
    <t xml:space="preserve">1.2.2</t>
  </si>
  <si>
    <t xml:space="preserve">EXAMPLE — Site establishment – site offices, stores, compounds, sheds, welfare, furniture, IT and consumables</t>
  </si>
  <si>
    <t xml:space="preserve">1.2.3</t>
  </si>
  <si>
    <t xml:space="preserve">EXAMPLE — Temporary services – temporary power, water, lighting, telecommunications and drainage; including consumption</t>
  </si>
  <si>
    <t xml:space="preserve">1.2.4</t>
  </si>
  <si>
    <t xml:space="preserve">EXAMPLE — Security – hoardings, fencing, gates, gantries, CCTV, security staff and alarms</t>
  </si>
  <si>
    <t xml:space="preserve">1.2.5</t>
  </si>
  <si>
    <t xml:space="preserve">EXAMPLE — Safety and environmental protection – safety programme, barriers, environmental controls, dust and noise mitigation</t>
  </si>
  <si>
    <t xml:space="preserve">1.2.6</t>
  </si>
  <si>
    <t xml:space="preserve">EXAMPLE — Control and protection – setting out, surveys, protection of existing and completed works, samples and testing</t>
  </si>
  <si>
    <t xml:space="preserve">1.2.7</t>
  </si>
  <si>
    <t xml:space="preserve">EXAMPLE — Mechanical plant – tower crane, hoists, mobile cranes, forklifts, small plant and scaffolding not measured in the works</t>
  </si>
  <si>
    <t xml:space="preserve">1.2.8</t>
  </si>
  <si>
    <t xml:space="preserve">Temporary works – access scaffolding, temporary roads, propping, temporary bridges and traffic management</t>
  </si>
  <si>
    <t xml:space="preserve">1.2.9</t>
  </si>
  <si>
    <t xml:space="preserve">Site records – the Contractor's own records, programme and progress reporting</t>
  </si>
  <si>
    <t xml:space="preserve">1.2.10</t>
  </si>
  <si>
    <t xml:space="preserve">Completion and post-completion requirements – testing, commissioning witnessing, handover documentation</t>
  </si>
  <si>
    <t xml:space="preserve">1.2.11</t>
  </si>
  <si>
    <t xml:space="preserve">Cleaning – site tidy, builder's clean and final clean on completion</t>
  </si>
  <si>
    <t xml:space="preserve">1.2.12</t>
  </si>
  <si>
    <t xml:space="preserve">Fees and charges – statutory fees, permits, licences, authority inspections and connections</t>
  </si>
  <si>
    <t xml:space="preserve">1.2.13</t>
  </si>
  <si>
    <t xml:space="preserve">Site services – temporary works designer, third party attendance and other site services</t>
  </si>
  <si>
    <t xml:space="preserve">1.2.14</t>
  </si>
  <si>
    <t xml:space="preserve">Insurances, bonds, guarantees and warranties – works insurance, public liability, performance bond, parent company guarantee, collateral warranties</t>
  </si>
  <si>
    <t xml:space="preserve">Subtotal – MAIN CONTRACTOR'S COST ITEMS (NRM2 §1.2)</t>
  </si>
  <si>
    <t xml:space="preserve">BILL No. 2  –  SUBSTRUCTURE AND GROUNDWORKS</t>
  </si>
  <si>
    <t xml:space="preserve">NRM2 §2 to §10.  Quantities are measured net as fixed in position in accordance with NRM2 Part 3.</t>
  </si>
  <si>
    <t xml:space="preserve">BILL TOTAL, CARRIED TO SUMMARY</t>
  </si>
  <si>
    <t xml:space="preserve">Item ref</t>
  </si>
  <si>
    <t xml:space="preserve">NRM2 ref</t>
  </si>
  <si>
    <t xml:space="preserve">Unit</t>
  </si>
  <si>
    <t xml:space="preserve">Quantity</t>
  </si>
  <si>
    <t xml:space="preserve">BU ref</t>
  </si>
  <si>
    <t xml:space="preserve">§2</t>
  </si>
  <si>
    <t xml:space="preserve">NRM2 Work Section 2 – Off-site manufactured materials, components or buildings</t>
  </si>
  <si>
    <t xml:space="preserve">Units: nr / item</t>
  </si>
  <si>
    <t xml:space="preserve">2.01</t>
  </si>
  <si>
    <t xml:space="preserve">EXAMPLE — Precast modular plant room, factory assembled and finished, delivered and craned into final position; including sealing to structure</t>
  </si>
  <si>
    <t xml:space="preserve">Off-site manufactured – measured as a complete unit</t>
  </si>
  <si>
    <t xml:space="preserve">Subtotal – NRM2 §2 Off-site manufactured materials, components or buildings</t>
  </si>
  <si>
    <t xml:space="preserve">§3</t>
  </si>
  <si>
    <t xml:space="preserve">NRM2 Work Section 3 – Demolitions</t>
  </si>
  <si>
    <t xml:space="preserve">Units: m2 / m3 / item</t>
  </si>
  <si>
    <t xml:space="preserve">3.01</t>
  </si>
  <si>
    <t xml:space="preserve">EXAMPLE — Demolish existing single storey brick outbuilding, 240 m3, remove arisings from site; including capping off of live services</t>
  </si>
  <si>
    <t xml:space="preserve">item</t>
  </si>
  <si>
    <t xml:space="preserve">Credits for arisings measured on 'Prov Sums and Risk'</t>
  </si>
  <si>
    <t xml:space="preserve">3.02</t>
  </si>
  <si>
    <t xml:space="preserve">EXAMPLE — Break out existing reinforced concrete ground slab, 200 mm thick, and cart away</t>
  </si>
  <si>
    <t xml:space="preserve">Subtotal – NRM2 §3 Demolitions</t>
  </si>
  <si>
    <t xml:space="preserve">§4</t>
  </si>
  <si>
    <t xml:space="preserve">NRM2 Work Section 4 – Alterations, repairs and conservation</t>
  </si>
  <si>
    <t xml:space="preserve">Units: nr / m / item</t>
  </si>
  <si>
    <t xml:space="preserve">4.01</t>
  </si>
  <si>
    <t xml:space="preserve">EXAMPLE — Form new structural opening 2100 x 2400 mm in existing 350 mm masonry wall; including temporary support, precast lintel and making good</t>
  </si>
  <si>
    <t xml:space="preserve">Subtotal – NRM2 §4 Alterations, repairs and conservation</t>
  </si>
  <si>
    <t xml:space="preserve">§5</t>
  </si>
  <si>
    <t xml:space="preserve">NRM2 Work Section 5 – Excavating and filling</t>
  </si>
  <si>
    <t xml:space="preserve">Units: m2 / m3</t>
  </si>
  <si>
    <t xml:space="preserve">5.01</t>
  </si>
  <si>
    <t xml:space="preserve">EXAMPLE — Site clearance; remove vegetation and topsoil average 200 mm deep; stockpile on site for re-use</t>
  </si>
  <si>
    <t xml:space="preserve">5.02</t>
  </si>
  <si>
    <t xml:space="preserve">EXAMPLE — Bulk excavation to reduce levels, maximum depth not exceeding 2.00 m, in firm clay; disposal off site</t>
  </si>
  <si>
    <t xml:space="preserve">m3</t>
  </si>
  <si>
    <t xml:space="preserve">BU-01</t>
  </si>
  <si>
    <t xml:space="preserve">Rate driven by build-up BU-01</t>
  </si>
  <si>
    <t xml:space="preserve">5.03</t>
  </si>
  <si>
    <t xml:space="preserve">EXAMPLE — Excavating trenches for foundations, width exceeding 0.60 m, maximum depth not exceeding 2.00 m</t>
  </si>
  <si>
    <t xml:space="preserve">5.04</t>
  </si>
  <si>
    <t xml:space="preserve">EXAMPLE — Imported granular fill Type 1, deposited and compacted in 150 mm layers</t>
  </si>
  <si>
    <t xml:space="preserve">Subtotal – NRM2 §5 Excavating and filling</t>
  </si>
  <si>
    <t xml:space="preserve">§6</t>
  </si>
  <si>
    <t xml:space="preserve">NRM2 Work Section 6 – Ground remediation and soil stabilisation</t>
  </si>
  <si>
    <t xml:space="preserve">Units: m3 / t / item</t>
  </si>
  <si>
    <t xml:space="preserve">6.01</t>
  </si>
  <si>
    <t xml:space="preserve">EXAMPLE — Removal of hydrocarbon contaminated soil to licensed landfill; including classification, haulage and tipping fees</t>
  </si>
  <si>
    <t xml:space="preserve">t</t>
  </si>
  <si>
    <t xml:space="preserve">Confirm waste classification before pricing</t>
  </si>
  <si>
    <t xml:space="preserve">Subtotal – NRM2 §6 Ground remediation and soil stabilisation</t>
  </si>
  <si>
    <t xml:space="preserve">§7</t>
  </si>
  <si>
    <t xml:space="preserve">NRM2 Work Section 7 – Piling</t>
  </si>
  <si>
    <t xml:space="preserve">Units: m / nr</t>
  </si>
  <si>
    <t xml:space="preserve">7.01</t>
  </si>
  <si>
    <t xml:space="preserve">EXAMPLE — 600 mm diameter CFA bored piles, 18.00 m deep, including reinforcement cage</t>
  </si>
  <si>
    <t xml:space="preserve">m</t>
  </si>
  <si>
    <t xml:space="preserve">7.02</t>
  </si>
  <si>
    <t xml:space="preserve">EXAMPLE — Cut off pile heads and prepare projecting reinforcement</t>
  </si>
  <si>
    <t xml:space="preserve">Subtotal – NRM2 §7 Piling</t>
  </si>
  <si>
    <t xml:space="preserve">§8</t>
  </si>
  <si>
    <t xml:space="preserve">NRM2 Work Section 8 – Underpinning</t>
  </si>
  <si>
    <t xml:space="preserve">8.01</t>
  </si>
  <si>
    <t xml:space="preserve">EXAMPLE — Traditional mass concrete underpinning in 1.00 m bays, 1.50 m deep below underside of existing footing</t>
  </si>
  <si>
    <t xml:space="preserve">Subtotal – NRM2 §8 Underpinning</t>
  </si>
  <si>
    <t xml:space="preserve">§9</t>
  </si>
  <si>
    <t xml:space="preserve">NRM2 Work Section 9 – Diaphragm walls and embedded retaining walls</t>
  </si>
  <si>
    <t xml:space="preserve">Units: m2 / m</t>
  </si>
  <si>
    <t xml:space="preserve">9.01</t>
  </si>
  <si>
    <t xml:space="preserve">EXAMPLE — Secant piled retaining wall, 750 mm diameter piles, 14.00 m deep, hard/firm arrangement</t>
  </si>
  <si>
    <t xml:space="preserve">Subtotal – NRM2 §9 Diaphragm walls and embedded retaining walls</t>
  </si>
  <si>
    <t xml:space="preserve">§10</t>
  </si>
  <si>
    <t xml:space="preserve">NRM2 Work Section 10 – Crib walls, gabions and reinforced earth</t>
  </si>
  <si>
    <t xml:space="preserve">10.01</t>
  </si>
  <si>
    <t xml:space="preserve">EXAMPLE — Gabion retaining wall 2.00 m high, 1.00 m wide baskets; including geotextile and drainage layer</t>
  </si>
  <si>
    <t xml:space="preserve">Subtotal – NRM2 §10 Crib walls, gabions and reinforced earth</t>
  </si>
  <si>
    <t xml:space="preserve">BILL No. 3  –  SUPERSTRUCTURE: FRAME, WALLS AND CARPENTRY</t>
  </si>
  <si>
    <t xml:space="preserve">NRM2 §11 to §16.  Quantities are measured net as fixed in position in accordance with NRM2 Part 3.</t>
  </si>
  <si>
    <t xml:space="preserve">§11</t>
  </si>
  <si>
    <t xml:space="preserve">NRM2 Work Section 11 – In-situ concrete works</t>
  </si>
  <si>
    <t xml:space="preserve">Units: m3 / m2 / t</t>
  </si>
  <si>
    <t xml:space="preserve">11.01</t>
  </si>
  <si>
    <t xml:space="preserve">EXAMPLE — In-situ reinforced concrete C32/40 to pile caps, thickness exceeding 500 mm</t>
  </si>
  <si>
    <t xml:space="preserve">11.02</t>
  </si>
  <si>
    <t xml:space="preserve">EXAMPLE — In-situ reinforced concrete C32/40 to horizontal suspended slabs, 250 mm thick</t>
  </si>
  <si>
    <t xml:space="preserve">BU-02</t>
  </si>
  <si>
    <t xml:space="preserve">Rate driven by build-up BU-02</t>
  </si>
  <si>
    <t xml:space="preserve">11.03</t>
  </si>
  <si>
    <t xml:space="preserve">EXAMPLE — Reinforcement; high yield deformed bars to BS 4449, 16 mm diameter; bent, cut and fixed</t>
  </si>
  <si>
    <t xml:space="preserve">BU-03</t>
  </si>
  <si>
    <t xml:space="preserve">Rate driven by build-up BU-03</t>
  </si>
  <si>
    <t xml:space="preserve">11.04</t>
  </si>
  <si>
    <t xml:space="preserve">EXAMPLE — Formwork to soffits of horizontal slabs, height to soffit 3.00–4.50 m</t>
  </si>
  <si>
    <t xml:space="preserve">BU-04</t>
  </si>
  <si>
    <t xml:space="preserve">Rate driven by build-up BU-04</t>
  </si>
  <si>
    <t xml:space="preserve">Subtotal – NRM2 §11 In-situ concrete works</t>
  </si>
  <si>
    <t xml:space="preserve">§12</t>
  </si>
  <si>
    <t xml:space="preserve">NRM2 Work Section 12 – Precast/composite concrete</t>
  </si>
  <si>
    <t xml:space="preserve">Units: m2 / nr</t>
  </si>
  <si>
    <t xml:space="preserve">12.01</t>
  </si>
  <si>
    <t xml:space="preserve">EXAMPLE — Precast concrete composite plank floor, 150 mm plank with 75 mm structural topping</t>
  </si>
  <si>
    <t xml:space="preserve">Subtotal – NRM2 §12 Precast/composite concrete</t>
  </si>
  <si>
    <t xml:space="preserve">§13</t>
  </si>
  <si>
    <t xml:space="preserve">NRM2 Work Section 13 – Precast concrete</t>
  </si>
  <si>
    <t xml:space="preserve">Units: nr / m</t>
  </si>
  <si>
    <t xml:space="preserve">13.01</t>
  </si>
  <si>
    <t xml:space="preserve">EXAMPLE — Precast concrete stair flight, 2.70 m rise, including half landing</t>
  </si>
  <si>
    <t xml:space="preserve">Subtotal – NRM2 §13 Precast concrete</t>
  </si>
  <si>
    <t xml:space="preserve">§14</t>
  </si>
  <si>
    <t xml:space="preserve">NRM2 Work Section 14 – Masonry</t>
  </si>
  <si>
    <t xml:space="preserve">Units: m2 / m / nr</t>
  </si>
  <si>
    <t xml:space="preserve">14.01</t>
  </si>
  <si>
    <t xml:space="preserve">EXAMPLE — Facing brickwork, 102.5 mm skin, stretcher bond in gauged mortar; including wall ties and movement joints</t>
  </si>
  <si>
    <t xml:space="preserve">BU-05</t>
  </si>
  <si>
    <t xml:space="preserve">Rate driven by build-up BU-05</t>
  </si>
  <si>
    <t xml:space="preserve">14.02</t>
  </si>
  <si>
    <t xml:space="preserve">EXAMPLE — Blockwork, 140 mm dense concrete blocks, to inner skin of cavity wall</t>
  </si>
  <si>
    <t xml:space="preserve">BU-06</t>
  </si>
  <si>
    <t xml:space="preserve">Rate driven by build-up BU-06</t>
  </si>
  <si>
    <t xml:space="preserve">Subtotal – NRM2 §14 Masonry</t>
  </si>
  <si>
    <t xml:space="preserve">§15</t>
  </si>
  <si>
    <t xml:space="preserve">NRM2 Work Section 15 – Structural metalwork</t>
  </si>
  <si>
    <t xml:space="preserve">Units: t / nr / m2</t>
  </si>
  <si>
    <t xml:space="preserve">15.01</t>
  </si>
  <si>
    <t xml:space="preserve">EXAMPLE — Structural steel framing; universal beams and columns, fabricated, delivered and erected, including all connections</t>
  </si>
  <si>
    <t xml:space="preserve">15.02</t>
  </si>
  <si>
    <t xml:space="preserve">EXAMPLE — Intumescent coating to structural steelwork, 90 minute fire rating, off-site applied</t>
  </si>
  <si>
    <t xml:space="preserve">Subtotal – NRM2 §15 Structural metalwork</t>
  </si>
  <si>
    <t xml:space="preserve">§16</t>
  </si>
  <si>
    <t xml:space="preserve">NRM2 Work Section 16 – Carpentry</t>
  </si>
  <si>
    <t xml:space="preserve">Units: m / m2 / nr</t>
  </si>
  <si>
    <t xml:space="preserve">16.01</t>
  </si>
  <si>
    <t xml:space="preserve">EXAMPLE — Softwood roof trusses at 600 mm centres, 9.00 m span, including bracing and strapping</t>
  </si>
  <si>
    <t xml:space="preserve">16.02</t>
  </si>
  <si>
    <t xml:space="preserve">EXAMPLE — Structural softwood floor joists 47 x 220 mm at 400 mm centres</t>
  </si>
  <si>
    <t xml:space="preserve">Subtotal – NRM2 §16 Carpentry</t>
  </si>
  <si>
    <t xml:space="preserve">BILL No. 4  –  ROOF COVERINGS, WATERPROOFING, LININGS AND CLADDING</t>
  </si>
  <si>
    <t xml:space="preserve">NRM2 §17 to §21.  Quantities are measured net as fixed in position in accordance with NRM2 Part 3.</t>
  </si>
  <si>
    <t xml:space="preserve">§17</t>
  </si>
  <si>
    <t xml:space="preserve">NRM2 Work Section 17 – Sheet roof coverings</t>
  </si>
  <si>
    <t xml:space="preserve">17.01</t>
  </si>
  <si>
    <t xml:space="preserve">EXAMPLE — Single ply PVC membrane roof covering, mechanically fixed; including vapour control layer and 150 mm PIR insulation</t>
  </si>
  <si>
    <t xml:space="preserve">Subtotal – NRM2 §17 Sheet roof coverings</t>
  </si>
  <si>
    <t xml:space="preserve">§18</t>
  </si>
  <si>
    <t xml:space="preserve">NRM2 Work Section 18 – Tile and slate roof and wall coverings</t>
  </si>
  <si>
    <t xml:space="preserve">18.01</t>
  </si>
  <si>
    <t xml:space="preserve">EXAMPLE — Natural slate roof covering 500 x 250 mm on battens and breather membrane; pitch 35 degrees</t>
  </si>
  <si>
    <t xml:space="preserve">Subtotal – NRM2 §18 Tile and slate roof and wall coverings</t>
  </si>
  <si>
    <t xml:space="preserve">§19</t>
  </si>
  <si>
    <t xml:space="preserve">NRM2 Work Section 19 – Waterproofing</t>
  </si>
  <si>
    <t xml:space="preserve">19.01</t>
  </si>
  <si>
    <t xml:space="preserve">EXAMPLE — Two coat liquid applied waterproofing to below ground concrete walls</t>
  </si>
  <si>
    <t xml:space="preserve">19.02</t>
  </si>
  <si>
    <t xml:space="preserve">EXAMPLE — Hot melt waterproofing to podium deck; including protection board</t>
  </si>
  <si>
    <t xml:space="preserve">Subtotal – NRM2 §19 Waterproofing</t>
  </si>
  <si>
    <t xml:space="preserve">§20</t>
  </si>
  <si>
    <t xml:space="preserve">NRM2 Work Section 20 – Proprietary walls, linings and partitions</t>
  </si>
  <si>
    <t xml:space="preserve">20.01</t>
  </si>
  <si>
    <t xml:space="preserve">EXAMPLE — Metal stud partition, 92 mm studs, two layers 15 mm fire rated board each side, 60 minute FRL; including acoustic insulation</t>
  </si>
  <si>
    <t xml:space="preserve">BU-07</t>
  </si>
  <si>
    <t xml:space="preserve">Rate driven by build-up BU-07</t>
  </si>
  <si>
    <t xml:space="preserve">Subtotal – NRM2 §20 Proprietary walls, linings and partitions</t>
  </si>
  <si>
    <t xml:space="preserve">§21</t>
  </si>
  <si>
    <t xml:space="preserve">NRM2 Work Section 21 – Cladding and covering</t>
  </si>
  <si>
    <t xml:space="preserve">21.01</t>
  </si>
  <si>
    <t xml:space="preserve">EXAMPLE — Unitised glazed curtain walling, double glazed, thermally broken; including all framing, fixings and perimeter sealing</t>
  </si>
  <si>
    <t xml:space="preserve">21.02</t>
  </si>
  <si>
    <t xml:space="preserve">EXAMPLE — Insulated composite metal wall panel, 100 mm core, horizontally laid</t>
  </si>
  <si>
    <t xml:space="preserve">Subtotal – NRM2 §21 Cladding and covering</t>
  </si>
  <si>
    <t xml:space="preserve">BILL No. 5  –  JOINERY, WINDOWS, DOORS, STAIRS, METALWORK AND GLAZING</t>
  </si>
  <si>
    <t xml:space="preserve">NRM2 §22 to §27.  Quantities are measured net as fixed in position in accordance with NRM2 Part 3.</t>
  </si>
  <si>
    <t xml:space="preserve">§22</t>
  </si>
  <si>
    <t xml:space="preserve">NRM2 Work Section 22 – General joinery</t>
  </si>
  <si>
    <t xml:space="preserve">Units: m / nr / m2</t>
  </si>
  <si>
    <t xml:space="preserve">22.01</t>
  </si>
  <si>
    <t xml:space="preserve">EXAMPLE — MDF skirting 19 x 150 mm, painted finish; plugged and screwed</t>
  </si>
  <si>
    <t xml:space="preserve">22.02</t>
  </si>
  <si>
    <t xml:space="preserve">EXAMPLE — Purpose made reception desk, solid surface top, 4.50 m long</t>
  </si>
  <si>
    <t xml:space="preserve">Subtotal – NRM2 §22 General joinery</t>
  </si>
  <si>
    <t xml:space="preserve">§23</t>
  </si>
  <si>
    <t xml:space="preserve">NRM2 Work Section 23 – Windows, screens and lights</t>
  </si>
  <si>
    <t xml:space="preserve">Units: nr / m2</t>
  </si>
  <si>
    <t xml:space="preserve">23.01</t>
  </si>
  <si>
    <t xml:space="preserve">EXAMPLE — Aluminium framed double glazed window 1800 x 1500 mm; including ironmongery, sealing and making good</t>
  </si>
  <si>
    <t xml:space="preserve">Subtotal – NRM2 §23 Windows, screens and lights</t>
  </si>
  <si>
    <t xml:space="preserve">§24</t>
  </si>
  <si>
    <t xml:space="preserve">NRM2 Work Section 24 – Doors, shutters and hatches</t>
  </si>
  <si>
    <t xml:space="preserve">Units: nr</t>
  </si>
  <si>
    <t xml:space="preserve">24.01</t>
  </si>
  <si>
    <t xml:space="preserve">EXAMPLE — Single leaf 60 minute fire door, solid core, hardwood veneer; including frame, seals and ironmongery</t>
  </si>
  <si>
    <t xml:space="preserve">24.02</t>
  </si>
  <si>
    <t xml:space="preserve">EXAMPLE — Powered roller shutter door 4000 x 4500 mm; including controls</t>
  </si>
  <si>
    <t xml:space="preserve">Subtotal – NRM2 §24 Doors, shutters and hatches</t>
  </si>
  <si>
    <t xml:space="preserve">§25</t>
  </si>
  <si>
    <t xml:space="preserve">NRM2 Work Section 25 – Stairs, walkways and balustrades</t>
  </si>
  <si>
    <t xml:space="preserve">25.01</t>
  </si>
  <si>
    <t xml:space="preserve">EXAMPLE — Galvanised steel escape stair, 3.60 m rise; including landings, treads and handrails</t>
  </si>
  <si>
    <t xml:space="preserve">25.02</t>
  </si>
  <si>
    <t xml:space="preserve">EXAMPLE — Stainless steel and glass balustrade, 1100 mm high</t>
  </si>
  <si>
    <t xml:space="preserve">Subtotal – NRM2 §25 Stairs, walkways and balustrades</t>
  </si>
  <si>
    <t xml:space="preserve">§26</t>
  </si>
  <si>
    <t xml:space="preserve">NRM2 Work Section 26 – Metalwork</t>
  </si>
  <si>
    <t xml:space="preserve">Units: nr / m / kg</t>
  </si>
  <si>
    <t xml:space="preserve">26.01</t>
  </si>
  <si>
    <t xml:space="preserve">EXAMPLE — Galvanised steel bollards 150 mm diameter, set in concrete</t>
  </si>
  <si>
    <t xml:space="preserve">Subtotal – NRM2 §26 Metalwork</t>
  </si>
  <si>
    <t xml:space="preserve">§27</t>
  </si>
  <si>
    <t xml:space="preserve">NRM2 Work Section 27 – Glazing</t>
  </si>
  <si>
    <t xml:space="preserve">27.01</t>
  </si>
  <si>
    <t xml:space="preserve">EXAMPLE — Internal frameless glazed partition, 12 mm toughened glass; including floor and head channels</t>
  </si>
  <si>
    <t xml:space="preserve">Subtotal – NRM2 §27 Glazing</t>
  </si>
  <si>
    <t xml:space="preserve">BILL No. 6  –  FINISHES, DECORATION, CEILINGS AND FIRE PROTECTION</t>
  </si>
  <si>
    <t xml:space="preserve">NRM2 §28 to §31.  Quantities are measured net as fixed in position in accordance with NRM2 Part 3.</t>
  </si>
  <si>
    <t xml:space="preserve">§28</t>
  </si>
  <si>
    <t xml:space="preserve">NRM2 Work Section 28 – Floor, wall, ceiling and roof finishings</t>
  </si>
  <si>
    <t xml:space="preserve">28.01</t>
  </si>
  <si>
    <t xml:space="preserve">EXAMPLE — Cement:sand screed 65 mm thick to floors, steel float finish</t>
  </si>
  <si>
    <t xml:space="preserve">BU-10</t>
  </si>
  <si>
    <t xml:space="preserve">Rate driven by build-up BU-10</t>
  </si>
  <si>
    <t xml:space="preserve">28.02</t>
  </si>
  <si>
    <t xml:space="preserve">EXAMPLE — Porcelain floor tiling 600 x 600 mm; including adhesive, grout and trims</t>
  </si>
  <si>
    <t xml:space="preserve">28.03</t>
  </si>
  <si>
    <t xml:space="preserve">EXAMPLE — Carpet tiles, heavy commercial grade; including underlay and trims</t>
  </si>
  <si>
    <t xml:space="preserve">28.04</t>
  </si>
  <si>
    <t xml:space="preserve">EXAMPLE — Plaster skim to walls on plasterboard, two coat 3 mm</t>
  </si>
  <si>
    <t xml:space="preserve">BU-08</t>
  </si>
  <si>
    <t xml:space="preserve">Rate driven by build-up BU-08</t>
  </si>
  <si>
    <t xml:space="preserve">Subtotal – NRM2 §28 Floor, wall, ceiling and roof finishings</t>
  </si>
  <si>
    <t xml:space="preserve">§29</t>
  </si>
  <si>
    <t xml:space="preserve">NRM2 Work Section 29 – Decoration</t>
  </si>
  <si>
    <t xml:space="preserve">29.01</t>
  </si>
  <si>
    <t xml:space="preserve">EXAMPLE — Emulsion paint; one mist and two full coats to plastered walls</t>
  </si>
  <si>
    <t xml:space="preserve">BU-09</t>
  </si>
  <si>
    <t xml:space="preserve">Rate driven by build-up BU-09</t>
  </si>
  <si>
    <t xml:space="preserve">29.02</t>
  </si>
  <si>
    <t xml:space="preserve">EXAMPLE — Gloss paint to metalwork; prepared, primed and three coats</t>
  </si>
  <si>
    <t xml:space="preserve">Subtotal – NRM2 §29 Decoration</t>
  </si>
  <si>
    <t xml:space="preserve">§30</t>
  </si>
  <si>
    <t xml:space="preserve">NRM2 Work Section 30 – Suspended ceilings</t>
  </si>
  <si>
    <t xml:space="preserve">Units: m2</t>
  </si>
  <si>
    <t xml:space="preserve">30.01</t>
  </si>
  <si>
    <t xml:space="preserve">EXAMPLE — Suspended ceiling; 600 x 600 mm mineral fibre tiles on exposed grid, void 400 mm</t>
  </si>
  <si>
    <t xml:space="preserve">Subtotal – NRM2 §30 Suspended ceilings</t>
  </si>
  <si>
    <t xml:space="preserve">§31</t>
  </si>
  <si>
    <t xml:space="preserve">NRM2 Work Section 31 – Insulation, fire stopping and fire protection</t>
  </si>
  <si>
    <t xml:space="preserve">31.01</t>
  </si>
  <si>
    <t xml:space="preserve">EXAMPLE — Fire stopping to service penetrations through fire rated walls and floors, 120 minute</t>
  </si>
  <si>
    <t xml:space="preserve">31.02</t>
  </si>
  <si>
    <t xml:space="preserve">EXAMPLE — Cavity fire barrier, 60 minute, to perimeter of curtain walling at each floor level</t>
  </si>
  <si>
    <t xml:space="preserve">Subtotal – NRM2 §31 Insulation, fire stopping and fire protection</t>
  </si>
  <si>
    <t xml:space="preserve">BILL No. 7  –  FURNITURE, FITTINGS AND EQUIPMENT</t>
  </si>
  <si>
    <t xml:space="preserve">NRM2 §32.  Quantities are measured net as fixed in position in accordance with NRM2 Part 3.</t>
  </si>
  <si>
    <t xml:space="preserve">§32</t>
  </si>
  <si>
    <t xml:space="preserve">NRM2 Work Section 32 – Furniture, fittings and equipment</t>
  </si>
  <si>
    <t xml:space="preserve">32.01</t>
  </si>
  <si>
    <t xml:space="preserve">EXAMPLE — Sanitary fittings; WC suite, close coupled, including seat, cistern and connections</t>
  </si>
  <si>
    <t xml:space="preserve">32.02</t>
  </si>
  <si>
    <t xml:space="preserve">EXAMPLE — Fitted kitchenette units, 3.60 m run; including benchtop, sink, tapware and appliances</t>
  </si>
  <si>
    <t xml:space="preserve">32.03</t>
  </si>
  <si>
    <t xml:space="preserve">EXAMPLE — Loose furniture allowance; open plan workstation, chair and pedestal</t>
  </si>
  <si>
    <t xml:space="preserve">Confirm whether FF&amp;E is in contract or client direct</t>
  </si>
  <si>
    <t xml:space="preserve">Subtotal – NRM2 §32 Furniture, fittings and equipment</t>
  </si>
  <si>
    <t xml:space="preserve">BILL No. 8  –  BUILDING SERVICES AND BUILDER'S WORK IN CONNECTION</t>
  </si>
  <si>
    <t xml:space="preserve">NRM2 §33, §38 to §41.  Quantities are measured net as fixed in position in accordance with NRM2 Part 3.</t>
  </si>
  <si>
    <t xml:space="preserve">§33</t>
  </si>
  <si>
    <t xml:space="preserve">NRM2 Work Section 33 – Drainage above ground</t>
  </si>
  <si>
    <t xml:space="preserve">33.01</t>
  </si>
  <si>
    <t xml:space="preserve">EXAMPLE — uPVC soil and vent pipe 100 mm diameter; including brackets, fittings and testing</t>
  </si>
  <si>
    <t xml:space="preserve">33.02</t>
  </si>
  <si>
    <t xml:space="preserve">EXAMPLE — Rainwater downpipe, aluminium 100 mm diameter; including brackets</t>
  </si>
  <si>
    <t xml:space="preserve">Subtotal – NRM2 §33 Drainage above ground</t>
  </si>
  <si>
    <t xml:space="preserve">§38</t>
  </si>
  <si>
    <t xml:space="preserve">NRM2 Work Section 38 – Mechanical services</t>
  </si>
  <si>
    <t xml:space="preserve">Units: m2 / nr / item</t>
  </si>
  <si>
    <t xml:space="preserve">38.01</t>
  </si>
  <si>
    <t xml:space="preserve">EXAMPLE — Air conditioning; VRF system with ducted fan coil units, complete installation, testing and commissioning</t>
  </si>
  <si>
    <t xml:space="preserve">38.02</t>
  </si>
  <si>
    <t xml:space="preserve">EXAMPLE — Mechanical ventilation to sanitary areas and plant rooms, complete</t>
  </si>
  <si>
    <t xml:space="preserve">38.03</t>
  </si>
  <si>
    <t xml:space="preserve">EXAMPLE — Hydraulic services; hot and cold water reticulation, complete</t>
  </si>
  <si>
    <t xml:space="preserve">Subtotal – NRM2 §38 Mechanical services</t>
  </si>
  <si>
    <t xml:space="preserve">§39</t>
  </si>
  <si>
    <t xml:space="preserve">NRM2 Work Section 39 – Electrical services</t>
  </si>
  <si>
    <t xml:space="preserve">39.01</t>
  </si>
  <si>
    <t xml:space="preserve">EXAMPLE — Main switchboard 2000 A, Form 4 Type 2; including metering and power factor correction</t>
  </si>
  <si>
    <t xml:space="preserve">39.02</t>
  </si>
  <si>
    <t xml:space="preserve">EXAMPLE — Lighting and small power to general office areas; LED luminaires, complete with controls</t>
  </si>
  <si>
    <t xml:space="preserve">39.03</t>
  </si>
  <si>
    <t xml:space="preserve">EXAMPLE — Fire detection and alarm system, addressable, complete</t>
  </si>
  <si>
    <t xml:space="preserve">Subtotal – NRM2 §39 Electrical services</t>
  </si>
  <si>
    <t xml:space="preserve">§40</t>
  </si>
  <si>
    <t xml:space="preserve">NRM2 Work Section 40 – Transportation systems</t>
  </si>
  <si>
    <t xml:space="preserve">40.01</t>
  </si>
  <si>
    <t xml:space="preserve">EXAMPLE — Passenger lift, 1600 kg / 21 person, 8 stops, 1.6 m/s; including shaft equipment and commissioning</t>
  </si>
  <si>
    <t xml:space="preserve">Subtotal – NRM2 §40 Transportation systems</t>
  </si>
  <si>
    <t xml:space="preserve">§41</t>
  </si>
  <si>
    <t xml:space="preserve">NRM2 Work Section 41 – Builder's work in connection with mechanical, electrical and transportation installations</t>
  </si>
  <si>
    <t xml:space="preserve">Units: nr / item / %</t>
  </si>
  <si>
    <t xml:space="preserve">41.01</t>
  </si>
  <si>
    <t xml:space="preserve">EXAMPLE — Builder's work in connection with mechanical, electrical and transportation installations – percentage allowance</t>
  </si>
  <si>
    <t xml:space="preserve">Rate = BWIC % (Cover C36) x services sections above</t>
  </si>
  <si>
    <t xml:space="preserve">Subtotal – NRM2 §41 Builder's work in connection with mechanical, electrical and transportation installations</t>
  </si>
  <si>
    <t xml:space="preserve">BILL No. 9  –  EXTERNAL WORKS, BELOW GROUND DRAINAGE AND LANDSCAPING</t>
  </si>
  <si>
    <t xml:space="preserve">NRM2 §34 to §37.  Quantities are measured net as fixed in position in accordance with NRM2 Part 3.</t>
  </si>
  <si>
    <t xml:space="preserve">§34</t>
  </si>
  <si>
    <t xml:space="preserve">NRM2 Work Section 34 – Drainage below ground</t>
  </si>
  <si>
    <t xml:space="preserve">Units: m / nr / item</t>
  </si>
  <si>
    <t xml:space="preserve">34.01</t>
  </si>
  <si>
    <t xml:space="preserve">EXAMPLE — Excavate trench, lay 225 mm diameter uPVC drain, bed and surround in granular material, backfill and compact</t>
  </si>
  <si>
    <t xml:space="preserve">34.02</t>
  </si>
  <si>
    <t xml:space="preserve">EXAMPLE — Precast concrete manhole 1200 mm diameter, 2.50 m deep; including cover and frame Class D400</t>
  </si>
  <si>
    <t xml:space="preserve">34.03</t>
  </si>
  <si>
    <t xml:space="preserve">EXAMPLE — Stormwater detention tank, 240 m3 modular crate system; including geotextile wrap and connections</t>
  </si>
  <si>
    <t xml:space="preserve">Subtotal – NRM2 §34 Drainage below ground</t>
  </si>
  <si>
    <t xml:space="preserve">§35</t>
  </si>
  <si>
    <t xml:space="preserve">NRM2 Work Section 35 – Site works</t>
  </si>
  <si>
    <t xml:space="preserve">Units: m2 / m / item</t>
  </si>
  <si>
    <t xml:space="preserve">35.01</t>
  </si>
  <si>
    <t xml:space="preserve">EXAMPLE — Asphalt pavement to car park; 40 mm wearing course on 60 mm base course on 250 mm compacted sub-base</t>
  </si>
  <si>
    <t xml:space="preserve">35.02</t>
  </si>
  <si>
    <t xml:space="preserve">EXAMPLE — Precast concrete kerb 150 x 300 mm on concrete foundation and haunching</t>
  </si>
  <si>
    <t xml:space="preserve">35.03</t>
  </si>
  <si>
    <t xml:space="preserve">EXAMPLE — Line marking, wheel stops and pavement signage to car park</t>
  </si>
  <si>
    <t xml:space="preserve">Subtotal – NRM2 §35 Site works</t>
  </si>
  <si>
    <t xml:space="preserve">§36</t>
  </si>
  <si>
    <t xml:space="preserve">NRM2 Work Section 36 – Fencing</t>
  </si>
  <si>
    <t xml:space="preserve">36.01</t>
  </si>
  <si>
    <t xml:space="preserve">EXAMPLE — Palisade fencing 2.40 m high, galvanised and powder coated; including posts set in concrete</t>
  </si>
  <si>
    <t xml:space="preserve">36.02</t>
  </si>
  <si>
    <t xml:space="preserve">EXAMPLE — Sliding vehicle gate 6.00 m wide, motorised; including controls</t>
  </si>
  <si>
    <t xml:space="preserve">Subtotal – NRM2 §36 Fencing</t>
  </si>
  <si>
    <t xml:space="preserve">§37</t>
  </si>
  <si>
    <t xml:space="preserve">NRM2 Work Section 37 – Soft landscaping</t>
  </si>
  <si>
    <t xml:space="preserve">37.01</t>
  </si>
  <si>
    <t xml:space="preserve">EXAMPLE — Topsoil 300 mm deep and turf to landscape areas</t>
  </si>
  <si>
    <t xml:space="preserve">37.02</t>
  </si>
  <si>
    <t xml:space="preserve">EXAMPLE — Advanced tree planting, 100 litre container; including staking, mulch and 12 month maintenance</t>
  </si>
  <si>
    <t xml:space="preserve">Subtotal – NRM2 §37 Soft landscaping</t>
  </si>
  <si>
    <t xml:space="preserve">RATE BUILD-UP  –  LABOUR, MATERIAL, PLANT AND SUB-CONTRACT ANALYSIS</t>
  </si>
  <si>
    <t xml:space="preserve">Enter a build-up reference in the 'BU Ref' column of any bill and the rate below is applied automatically. Rows left blank are inert.</t>
  </si>
  <si>
    <t xml:space="preserve">BU Ref</t>
  </si>
  <si>
    <t xml:space="preserve">Description of rate build-up</t>
  </si>
  <si>
    <t xml:space="preserve">Labour hrs / unit</t>
  </si>
  <si>
    <t xml:space="preserve">Labour rate / hr</t>
  </si>
  <si>
    <t xml:space="preserve">Labour cost</t>
  </si>
  <si>
    <t xml:space="preserve">Material qty / unit</t>
  </si>
  <si>
    <t xml:space="preserve">Material cost / qty</t>
  </si>
  <si>
    <t xml:space="preserve">Waste %</t>
  </si>
  <si>
    <t xml:space="preserve">Material cost</t>
  </si>
  <si>
    <t xml:space="preserve">Plant cost / unit</t>
  </si>
  <si>
    <t xml:space="preserve">Sub-contract / other</t>
  </si>
  <si>
    <t xml:space="preserve">Net cost</t>
  </si>
  <si>
    <t xml:space="preserve">Overheads %</t>
  </si>
  <si>
    <t xml:space="preserve">Profit %</t>
  </si>
  <si>
    <t xml:space="preserve">ALL-IN RATE</t>
  </si>
  <si>
    <t xml:space="preserve">EXAMPLE — Bulk excavation to reduce levels, firm clay, disposal off site</t>
  </si>
  <si>
    <t xml:space="preserve">Disposal priced as sub-contract tipping</t>
  </si>
  <si>
    <t xml:space="preserve">EXAMPLE — In-situ reinforced concrete C32/40 to suspended slabs</t>
  </si>
  <si>
    <t xml:space="preserve">Material qty = 1 m3 concrete per m3 placed</t>
  </si>
  <si>
    <t xml:space="preserve">EXAMPLE — Reinforcement, high yield deformed bar, cut, bent and fixed</t>
  </si>
  <si>
    <t xml:space="preserve">Waste allowance covers offcuts and laps</t>
  </si>
  <si>
    <t xml:space="preserve">EXAMPLE — Formwork to soffits of horizontal slabs, 3.00-4.50 m to soffit</t>
  </si>
  <si>
    <t xml:space="preserve">Material assumes 6 uses of ply and props</t>
  </si>
  <si>
    <t xml:space="preserve">EXAMPLE — Facing brickwork, 102.5 mm skin, stretcher bond</t>
  </si>
  <si>
    <t xml:space="preserve">60 bricks per m2 in stretcher bond</t>
  </si>
  <si>
    <t xml:space="preserve">EXAMPLE — Blockwork, 140 mm dense concrete blocks, inner skin</t>
  </si>
  <si>
    <t xml:space="preserve">10 blocks per m2</t>
  </si>
  <si>
    <t xml:space="preserve">EXAMPLE — Metal stud partition 92 mm, 2 x 15 mm board each side, 60 min FRL</t>
  </si>
  <si>
    <t xml:space="preserve">Material rate is a composite per m2 of partition</t>
  </si>
  <si>
    <t xml:space="preserve">EXAMPLE — Emulsion paint, one mist and two full coats to plastered walls</t>
  </si>
  <si>
    <t xml:space="preserve">0.32 litres per m2 over three coats</t>
  </si>
  <si>
    <t xml:space="preserve">EXAMPLE — Cement:sand screed 65 mm thick, steel float finish</t>
  </si>
  <si>
    <t xml:space="preserve">0.07 m3 of screed per m2 at 65 mm</t>
  </si>
  <si>
    <t xml:space="preserve">PROVISIONAL SUMS, DAYWORKS, RISK ALLOWANCES AND CREDITS</t>
  </si>
  <si>
    <t xml:space="preserve">NRM2 Part 2 requires provisional sums to be stated as defined or undefined, dayworks to be scheduled, risk to be allocated across four categories, and credits for arisings to be shown separately.</t>
  </si>
  <si>
    <t xml:space="preserve">A.  DEFINED PROVISIONAL SUMS</t>
  </si>
  <si>
    <t xml:space="preserve">A defined provisional sum is work not yet fully designed but for which the nature, quantity, programme and access are known. The contractor is deemed to have allowed for it in the programme and preliminaries.</t>
  </si>
  <si>
    <t xml:space="preserve">Quantity / basis</t>
  </si>
  <si>
    <t xml:space="preserve">Rate / % addition</t>
  </si>
  <si>
    <t xml:space="preserve">PS-01</t>
  </si>
  <si>
    <t xml:space="preserve">EXAMPLE — Provisional sum for signage and wayfinding package</t>
  </si>
  <si>
    <t xml:space="preserve">Design intent issued; scope and location known</t>
  </si>
  <si>
    <t xml:space="preserve">PS-02</t>
  </si>
  <si>
    <t xml:space="preserve">EXAMPLE — Provisional sum for external landscape feature paving</t>
  </si>
  <si>
    <t xml:space="preserve">Extent shown on landscape concept drawing L-101</t>
  </si>
  <si>
    <t xml:space="preserve">Subtotal A – Defined provisional sums</t>
  </si>
  <si>
    <t xml:space="preserve">B.  UNDEFINED PROVISIONAL SUMS</t>
  </si>
  <si>
    <t xml:space="preserve">An undefined provisional sum is work for which the information above is not available. The contractor is NOT deemed to have made allowance in the programme or preliminaries; instruction of the work may carry time and preliminaries consequences.</t>
  </si>
  <si>
    <t xml:space="preserve">PS-11</t>
  </si>
  <si>
    <t xml:space="preserve">EXAMPLE — Provisional sum for unforeseen ground conditions and obstructions below existing slab</t>
  </si>
  <si>
    <t xml:space="preserve">Scope unknown pending intrusive investigation</t>
  </si>
  <si>
    <t xml:space="preserve">PS-12</t>
  </si>
  <si>
    <t xml:space="preserve">EXAMPLE — Provisional sum for statutory authority connection charges</t>
  </si>
  <si>
    <t xml:space="preserve">Authority quotations not yet received</t>
  </si>
  <si>
    <t xml:space="preserve">Subtotal B – Undefined provisional sums</t>
  </si>
  <si>
    <t xml:space="preserve">C.  DAYWORKS SCHEDULE</t>
  </si>
  <si>
    <t xml:space="preserve">Percentage additions are entered on the Cover sheet and flow through to the rows below. Labour is priced on hours x rate; materials and plant are priced on net value.</t>
  </si>
  <si>
    <t xml:space="preserve">DW-01</t>
  </si>
  <si>
    <t xml:space="preserve">Daywork – labour; provisional allowance of hours at the all-in labour rate, plus percentage addition</t>
  </si>
  <si>
    <t xml:space="preserve">Hours are a provisional allowance only</t>
  </si>
  <si>
    <t xml:space="preserve">DW-02</t>
  </si>
  <si>
    <t xml:space="preserve">Daywork – materials; provisional net value plus percentage addition</t>
  </si>
  <si>
    <t xml:space="preserve">Net value at invoice cost</t>
  </si>
  <si>
    <t xml:space="preserve">DW-03</t>
  </si>
  <si>
    <t xml:space="preserve">Daywork – plant; provisional net value plus percentage addition</t>
  </si>
  <si>
    <t xml:space="preserve">Net value at hire cost</t>
  </si>
  <si>
    <t xml:space="preserve">Subtotal C – Dayworks</t>
  </si>
  <si>
    <t xml:space="preserve">D.  RISK ALLOWANCES  (NRM2 Part 2 – four risk categories)</t>
  </si>
  <si>
    <t xml:space="preserve">Percentages are applied to the sub-total of measured works, preliminaries, provisional sums, dayworks and credits ('BoQ Summary'!E24). Enter a lump sum in the 'Rate or value' column instead if the risk has been quantified directly.</t>
  </si>
  <si>
    <t xml:space="preserve">RK-01</t>
  </si>
  <si>
    <t xml:space="preserve">Design development risks – allowance for the development of the design from the current stage to construction information</t>
  </si>
  <si>
    <t xml:space="preserve">% of sub-total H</t>
  </si>
  <si>
    <t xml:space="preserve">Percentage linked to the Cover sheet</t>
  </si>
  <si>
    <t xml:space="preserve">RK-02</t>
  </si>
  <si>
    <t xml:space="preserve">Construction risks – allowance for risks that materialise during construction (ground, weather, access, sequencing, defects)</t>
  </si>
  <si>
    <t xml:space="preserve">RK-03</t>
  </si>
  <si>
    <t xml:space="preserve">Employer change risks – allowance for changes in the Employer's requirements, scope and standards</t>
  </si>
  <si>
    <t xml:space="preserve">RK-04</t>
  </si>
  <si>
    <t xml:space="preserve">Employer other risks – allowance for late release of information, third party and statutory delays, and other Employer-side risks</t>
  </si>
  <si>
    <t xml:space="preserve">Subtotal D – Risk allowances</t>
  </si>
  <si>
    <t xml:space="preserve">E.  CREDITS FOR MATERIALS ARISING FROM DEMOLITION AND ALTERATION</t>
  </si>
  <si>
    <t xml:space="preserve">Credits are entered as negative values so that they reduce the bill total automatically.</t>
  </si>
  <si>
    <t xml:space="preserve">CR-01</t>
  </si>
  <si>
    <t xml:space="preserve">EXAMPLE — Credit for salvaged structural steel arising from demolition (NRM2 §3)</t>
  </si>
  <si>
    <t xml:space="preserve">Entered as a negative value</t>
  </si>
  <si>
    <t xml:space="preserve">CR-02</t>
  </si>
  <si>
    <t xml:space="preserve">EXAMPLE — Credit for reclaimed facing bricks retained by the Contractor</t>
  </si>
  <si>
    <t xml:space="preserve">Subtotal E – Credits</t>
  </si>
  <si>
    <t xml:space="preserve">MEMORANDUM – total of blocks A to E (each block is carried separately to the summary)</t>
  </si>
  <si>
    <t xml:space="preserve">TENDER COMPARISON  –  BILL OF QUANTITIES BASIS</t>
  </si>
  <si>
    <t xml:space="preserve">The pre-tender estimate column is linked live to the BoQ Summary. Enter each tenderer's priced summary in the blue columns only.</t>
  </si>
  <si>
    <t xml:space="preserve">Tenderer name</t>
  </si>
  <si>
    <t xml:space="preserve">Tenderer 1</t>
  </si>
  <si>
    <t xml:space="preserve">Tenderer 2</t>
  </si>
  <si>
    <t xml:space="preserve">Tenderer 3</t>
  </si>
  <si>
    <t xml:space="preserve">Tender date</t>
  </si>
  <si>
    <t xml:space="preserve">Qualifications / departures noted</t>
  </si>
  <si>
    <t xml:space="preserve">Variance %</t>
  </si>
  <si>
    <t xml:space="preserve">Provisional sums, dayworks and credits</t>
  </si>
  <si>
    <t xml:space="preserve">Main contractor's overheads and profit adjustment</t>
  </si>
  <si>
    <t xml:space="preserve">Risk allowances</t>
  </si>
  <si>
    <t xml:space="preserve">Inflation – tender and construction</t>
  </si>
  <si>
    <t xml:space="preserve">TOTAL EXCLUDING TAX</t>
  </si>
  <si>
    <t xml:space="preserve">Tax (GST / VAT)</t>
  </si>
  <si>
    <t xml:space="preserve">TENDER TOTAL, INCLUDING TAX</t>
  </si>
  <si>
    <t xml:space="preserve">Variance against the pre-tender estimate</t>
  </si>
  <si>
    <t xml:space="preserve">Variance against the pre-tender estimate (%)</t>
  </si>
  <si>
    <t xml:space="preserve">Ranking (1 = lowest tender)</t>
  </si>
  <si>
    <t xml:space="preserve">Lowest tenderer</t>
  </si>
  <si>
    <t xml:space="preserve">Lowest tender total, including tax</t>
  </si>
  <si>
    <t xml:space="preserve">Normalisation notes – record here any qualification, exclusion, alternative or arithmetic correction applied before comparison.</t>
  </si>
  <si>
    <t xml:space="preserve">Units of measurement (NRM2)</t>
  </si>
  <si>
    <t xml:space="preserve">Yes / No</t>
  </si>
  <si>
    <t xml:space="preserve">Item type</t>
  </si>
  <si>
    <t xml:space="preserve">Measured work</t>
  </si>
  <si>
    <t xml:space="preserve">sum</t>
  </si>
  <si>
    <t xml:space="preserve">No</t>
  </si>
  <si>
    <t xml:space="preserve">Provisional sum (defined)</t>
  </si>
  <si>
    <t xml:space="preserve">Provisional sum (undefined)</t>
  </si>
  <si>
    <t xml:space="preserve">Prime cost sum</t>
  </si>
  <si>
    <t xml:space="preserve">Daywork</t>
  </si>
  <si>
    <t xml:space="preserve">Contractor designed work</t>
  </si>
  <si>
    <t xml:space="preserve">kg</t>
  </si>
  <si>
    <t xml:space="preserve">Risk allowance</t>
  </si>
  <si>
    <t xml:space="preserve">Credit</t>
  </si>
  <si>
    <t xml:space="preserve">hr</t>
  </si>
  <si>
    <t xml:space="preserve">wk</t>
  </si>
  <si>
    <t xml:space="preserve">day</t>
  </si>
  <si>
    <t xml:space="preserve">%</t>
  </si>
  <si>
    <t xml:space="preserve">prov sum</t>
  </si>
</sst>
</file>

<file path=xl/styles.xml><?xml version="1.0" encoding="utf-8"?>
<styleSheet xmlns="http://schemas.openxmlformats.org/spreadsheetml/2006/main">
  <numFmts count="6">
    <numFmt numFmtId="164" formatCode="General"/>
    <numFmt numFmtId="165" formatCode="#,##0"/>
    <numFmt numFmtId="166" formatCode="#,##0.00;\(#,##0.00\);\-"/>
    <numFmt numFmtId="167" formatCode="0.00%"/>
    <numFmt numFmtId="168" formatCode="0.0%"/>
    <numFmt numFmtId="169" formatCode="#,##0.000"/>
  </numFmts>
  <fonts count="44">
    <font>
      <sz val="11"/>
      <color theme="1"/>
      <name val="Calibri"/>
      <family val="2"/>
      <charset val="1"/>
    </font>
    <font>
      <sz val="10"/>
      <name val="Arial"/>
      <family val="0"/>
    </font>
    <font>
      <sz val="10"/>
      <name val="Arial"/>
      <family val="0"/>
    </font>
    <font>
      <sz val="10"/>
      <name val="Arial"/>
      <family val="0"/>
    </font>
    <font>
      <b val="true"/>
      <sz val="18"/>
      <color rgb="FF133246"/>
      <name val="Arial"/>
      <family val="0"/>
      <charset val="1"/>
    </font>
    <font>
      <i val="true"/>
      <sz val="10"/>
      <color rgb="FF7F7F7F"/>
      <name val="Arial"/>
      <family val="0"/>
      <charset val="1"/>
    </font>
    <font>
      <i val="true"/>
      <sz val="9"/>
      <color rgb="FF7F7F7F"/>
      <name val="Arial"/>
      <family val="0"/>
      <charset val="1"/>
    </font>
    <font>
      <b val="true"/>
      <sz val="11"/>
      <color rgb="FFFFFFFF"/>
      <name val="Arial"/>
      <family val="0"/>
      <charset val="1"/>
    </font>
    <font>
      <sz val="10"/>
      <color rgb="FF000000"/>
      <name val="Arial"/>
      <family val="0"/>
      <charset val="1"/>
    </font>
    <font>
      <b val="true"/>
      <u val="single"/>
      <sz val="10"/>
      <color rgb="FF133246"/>
      <name val="Arial"/>
      <family val="0"/>
      <charset val="1"/>
    </font>
    <font>
      <b val="true"/>
      <sz val="10"/>
      <color rgb="FF0000FF"/>
      <name val="Arial"/>
      <family val="0"/>
      <charset val="1"/>
    </font>
    <font>
      <b val="true"/>
      <sz val="10"/>
      <color rgb="FF133246"/>
      <name val="Arial"/>
      <family val="0"/>
      <charset val="1"/>
    </font>
    <font>
      <sz val="10"/>
      <color rgb="FF008000"/>
      <name val="Arial"/>
      <family val="0"/>
      <charset val="1"/>
    </font>
    <font>
      <sz val="10"/>
      <color rgb="FF7F7F7F"/>
      <name val="Arial"/>
      <family val="0"/>
      <charset val="1"/>
    </font>
    <font>
      <i val="true"/>
      <sz val="10"/>
      <color rgb="FF133246"/>
      <name val="Arial"/>
      <family val="0"/>
      <charset val="1"/>
    </font>
    <font>
      <b val="true"/>
      <i val="true"/>
      <sz val="10"/>
      <color rgb="FFC00000"/>
      <name val="Arial"/>
      <family val="0"/>
      <charset val="1"/>
    </font>
    <font>
      <b val="true"/>
      <sz val="16"/>
      <color rgb="FF133246"/>
      <name val="Arial"/>
      <family val="0"/>
      <charset val="1"/>
    </font>
    <font>
      <b val="true"/>
      <sz val="11"/>
      <color rgb="FF133246"/>
      <name val="Arial"/>
      <family val="0"/>
      <charset val="1"/>
    </font>
    <font>
      <b val="true"/>
      <sz val="12"/>
      <color rgb="FF133246"/>
      <name val="Arial"/>
      <family val="0"/>
      <charset val="1"/>
    </font>
    <font>
      <b val="true"/>
      <sz val="10"/>
      <color rgb="FF000000"/>
      <name val="Arial"/>
      <family val="0"/>
      <charset val="1"/>
    </font>
    <font>
      <b val="true"/>
      <u val="single"/>
      <sz val="11"/>
      <color rgb="FF133246"/>
      <name val="Arial"/>
      <family val="0"/>
      <charset val="1"/>
    </font>
    <font>
      <b val="true"/>
      <sz val="13"/>
      <color rgb="FF133246"/>
      <name val="Arial"/>
      <family val="0"/>
      <charset val="1"/>
    </font>
    <font>
      <sz val="9"/>
      <color rgb="FF333333"/>
      <name val="Arial"/>
      <family val="0"/>
      <charset val="1"/>
    </font>
    <font>
      <b val="true"/>
      <sz val="9"/>
      <color rgb="FFFFFFFF"/>
      <name val="Arial"/>
      <family val="0"/>
      <charset val="1"/>
    </font>
    <font>
      <b val="true"/>
      <sz val="9"/>
      <color rgb="FF000000"/>
      <name val="Arial"/>
      <family val="0"/>
      <charset val="1"/>
    </font>
    <font>
      <sz val="9"/>
      <color rgb="FF000000"/>
      <name val="Arial"/>
      <family val="0"/>
      <charset val="1"/>
    </font>
    <font>
      <b val="true"/>
      <sz val="9"/>
      <color rgb="FF008000"/>
      <name val="Arial"/>
      <family val="0"/>
      <charset val="1"/>
    </font>
    <font>
      <b val="true"/>
      <i val="true"/>
      <sz val="9"/>
      <color rgb="FF7F7F7F"/>
      <name val="Arial"/>
      <family val="0"/>
      <charset val="1"/>
    </font>
    <font>
      <b val="true"/>
      <sz val="10"/>
      <color rgb="FF006100"/>
      <name val="Arial"/>
      <family val="0"/>
      <charset val="1"/>
    </font>
    <font>
      <b val="true"/>
      <sz val="10"/>
      <color rgb="FF008000"/>
      <name val="Arial"/>
      <family val="0"/>
      <charset val="1"/>
    </font>
    <font>
      <sz val="9"/>
      <color rgb="FF7F7F7F"/>
      <name val="Arial"/>
      <family val="0"/>
      <charset val="1"/>
    </font>
    <font>
      <b val="true"/>
      <sz val="11"/>
      <color rgb="FF000000"/>
      <name val="Arial"/>
      <family val="0"/>
      <charset val="1"/>
    </font>
    <font>
      <sz val="9"/>
      <color rgb="FF008000"/>
      <name val="Arial"/>
      <family val="0"/>
      <charset val="1"/>
    </font>
    <font>
      <b val="true"/>
      <sz val="10"/>
      <color rgb="FFFFFFFF"/>
      <name val="Arial"/>
      <family val="0"/>
      <charset val="1"/>
    </font>
    <font>
      <b val="true"/>
      <sz val="13"/>
      <color rgb="FFFFFFFF"/>
      <name val="Arial"/>
      <family val="0"/>
      <charset val="1"/>
    </font>
    <font>
      <b val="true"/>
      <i val="true"/>
      <sz val="9"/>
      <color rgb="FFFFFFFF"/>
      <name val="Arial"/>
      <family val="0"/>
      <charset val="1"/>
    </font>
    <font>
      <b val="true"/>
      <sz val="9"/>
      <color rgb="FF006100"/>
      <name val="Arial"/>
      <family val="0"/>
      <charset val="1"/>
    </font>
    <font>
      <sz val="10"/>
      <name val="Arial"/>
      <family val="2"/>
    </font>
    <font>
      <b val="true"/>
      <u val="single"/>
      <sz val="9"/>
      <color rgb="FF133246"/>
      <name val="Arial"/>
      <family val="0"/>
      <charset val="1"/>
    </font>
    <font>
      <b val="true"/>
      <sz val="12"/>
      <color rgb="FFFFFFFF"/>
      <name val="Arial"/>
      <family val="0"/>
      <charset val="1"/>
    </font>
    <font>
      <sz val="9"/>
      <color rgb="FF0000FF"/>
      <name val="Arial"/>
      <family val="0"/>
      <charset val="1"/>
    </font>
    <font>
      <i val="true"/>
      <sz val="9"/>
      <color rgb="FF133246"/>
      <name val="Arial"/>
      <family val="0"/>
      <charset val="1"/>
    </font>
    <font>
      <b val="true"/>
      <sz val="9"/>
      <color rgb="FF0000FF"/>
      <name val="Arial"/>
      <family val="0"/>
      <charset val="1"/>
    </font>
    <font>
      <sz val="10"/>
      <color rgb="FF0000FF"/>
      <name val="Arial"/>
      <family val="0"/>
      <charset val="1"/>
    </font>
  </fonts>
  <fills count="8">
    <fill>
      <patternFill patternType="none"/>
    </fill>
    <fill>
      <patternFill patternType="gray125"/>
    </fill>
    <fill>
      <patternFill patternType="solid">
        <fgColor rgb="FF133246"/>
        <bgColor rgb="FF333333"/>
      </patternFill>
    </fill>
    <fill>
      <patternFill patternType="solid">
        <fgColor rgb="FFFFF8E7"/>
        <bgColor rgb="FFF4F6F8"/>
      </patternFill>
    </fill>
    <fill>
      <patternFill patternType="solid">
        <fgColor rgb="FFFFE9A8"/>
        <bgColor rgb="FFFCE4E4"/>
      </patternFill>
    </fill>
    <fill>
      <patternFill patternType="solid">
        <fgColor rgb="FFE8EDF1"/>
        <bgColor rgb="FFDCE5EB"/>
      </patternFill>
    </fill>
    <fill>
      <patternFill patternType="solid">
        <fgColor rgb="FFF4F6F8"/>
        <bgColor rgb="FFFFF8E7"/>
      </patternFill>
    </fill>
    <fill>
      <patternFill patternType="solid">
        <fgColor rgb="FFDCE5EB"/>
        <bgColor rgb="FFE8EDF1"/>
      </patternFill>
    </fill>
  </fills>
  <borders count="3">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right/>
      <top style="thin">
        <color rgb="FF133246"/>
      </top>
      <bottom style="double">
        <color rgb="FF13324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7" fillId="2" borderId="0" xfId="0" applyFont="true" applyBorder="false" applyAlignment="true" applyProtection="false">
      <alignment horizontal="general" vertical="center" textRotation="0" wrapText="false" indent="0" shrinkToFit="false"/>
      <protection locked="true" hidden="false"/>
    </xf>
    <xf numFmtId="164" fontId="8" fillId="2"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4" fontId="8" fillId="0" borderId="1" xfId="0" applyFont="true" applyBorder="true" applyAlignment="true" applyProtection="false">
      <alignment horizontal="general" vertical="center" textRotation="0" wrapText="false" indent="0" shrinkToFit="false"/>
      <protection locked="true" hidden="false"/>
    </xf>
    <xf numFmtId="164" fontId="10" fillId="3" borderId="1" xfId="0" applyFont="true" applyBorder="true" applyAlignment="true" applyProtection="false">
      <alignment horizontal="left" vertical="center" textRotation="0" wrapText="false" indent="0" shrinkToFit="false"/>
      <protection locked="true" hidden="false"/>
    </xf>
    <xf numFmtId="164" fontId="10" fillId="4" borderId="1"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5" fontId="10" fillId="4" borderId="1" xfId="0" applyFont="true" applyBorder="true" applyAlignment="true" applyProtection="false">
      <alignment horizontal="right" vertical="center" textRotation="0" wrapText="false" indent="0" shrinkToFit="false"/>
      <protection locked="true" hidden="false"/>
    </xf>
    <xf numFmtId="166" fontId="10" fillId="4" borderId="1" xfId="0" applyFont="true" applyBorder="true" applyAlignment="true" applyProtection="false">
      <alignment horizontal="right" vertical="center" textRotation="0" wrapText="false" indent="0" shrinkToFit="false"/>
      <protection locked="true" hidden="false"/>
    </xf>
    <xf numFmtId="167" fontId="10" fillId="4" borderId="1" xfId="0" applyFont="true" applyBorder="true" applyAlignment="true" applyProtection="false">
      <alignment horizontal="right" vertical="center" textRotation="0" wrapText="false" indent="0" shrinkToFit="false"/>
      <protection locked="true" hidden="false"/>
    </xf>
    <xf numFmtId="167" fontId="10" fillId="3" borderId="1"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0" fillId="4"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15" fillId="0" borderId="0"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9" fillId="0" borderId="0" xfId="0" applyFont="true" applyBorder="false" applyAlignment="true" applyProtection="false">
      <alignment horizontal="general" vertical="top" textRotation="0" wrapText="false" indent="0" shrinkToFit="false"/>
      <protection locked="true" hidden="false"/>
    </xf>
    <xf numFmtId="164" fontId="19" fillId="0" borderId="0" xfId="0" applyFont="true" applyBorder="false" applyAlignment="true" applyProtection="false">
      <alignment horizontal="center" vertical="top"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0" shrinkToFit="false"/>
      <protection locked="true" hidden="false"/>
    </xf>
    <xf numFmtId="164" fontId="21" fillId="0" borderId="0" xfId="0" applyFont="true" applyBorder="true" applyAlignment="tru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true" applyProtection="false">
      <alignment horizontal="general" vertical="top" textRotation="0" wrapText="false" indent="0" shrinkToFit="false"/>
      <protection locked="true" hidden="false"/>
    </xf>
    <xf numFmtId="164" fontId="22" fillId="0" borderId="0" xfId="0" applyFont="true" applyBorder="true" applyAlignment="true" applyProtection="false">
      <alignment horizontal="left" vertical="top" textRotation="0" wrapText="true" indent="0" shrinkToFit="false"/>
      <protection locked="true" hidden="false"/>
    </xf>
    <xf numFmtId="164" fontId="7" fillId="2" borderId="0" xfId="0" applyFont="true" applyBorder="true" applyAlignment="true" applyProtection="false">
      <alignment horizontal="general" vertical="center" textRotation="0" wrapText="false" indent="0" shrinkToFit="false"/>
      <protection locked="true" hidden="false"/>
    </xf>
    <xf numFmtId="164" fontId="23" fillId="2" borderId="1" xfId="0" applyFont="true" applyBorder="true" applyAlignment="true" applyProtection="false">
      <alignment horizontal="center" vertical="center" textRotation="0" wrapText="true" indent="0" shrinkToFit="false"/>
      <protection locked="true" hidden="false"/>
    </xf>
    <xf numFmtId="164" fontId="24" fillId="0" borderId="1" xfId="0" applyFont="true" applyBorder="true" applyAlignment="true" applyProtection="false">
      <alignment horizontal="center" vertical="center" textRotation="0" wrapText="fals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25" fillId="0" borderId="1" xfId="0" applyFont="true" applyBorder="true" applyAlignment="true" applyProtection="false">
      <alignment horizontal="center" vertical="center" textRotation="0" wrapText="false" indent="0" shrinkToFit="false"/>
      <protection locked="true" hidden="false"/>
    </xf>
    <xf numFmtId="166" fontId="26" fillId="0" borderId="1" xfId="0" applyFont="true" applyBorder="true" applyAlignment="true" applyProtection="false">
      <alignment horizontal="general" vertical="center" textRotation="0" wrapText="false" indent="0" shrinkToFit="false"/>
      <protection locked="true" hidden="false"/>
    </xf>
    <xf numFmtId="164" fontId="8" fillId="5" borderId="1" xfId="0" applyFont="true" applyBorder="true" applyAlignment="true" applyProtection="false">
      <alignment horizontal="general" vertical="center" textRotation="0" wrapText="false" indent="0" shrinkToFit="false"/>
      <protection locked="true" hidden="false"/>
    </xf>
    <xf numFmtId="164" fontId="19" fillId="5" borderId="1" xfId="0" applyFont="true" applyBorder="true" applyAlignment="true" applyProtection="false">
      <alignment horizontal="right" vertical="center" textRotation="0" wrapText="false" indent="0" shrinkToFit="false"/>
      <protection locked="true" hidden="false"/>
    </xf>
    <xf numFmtId="166" fontId="7" fillId="2" borderId="2" xfId="0" applyFont="true" applyBorder="true" applyAlignment="true" applyProtection="false">
      <alignment horizontal="general" vertical="center" textRotation="0" wrapText="false" indent="0" shrinkToFit="false"/>
      <protection locked="true" hidden="false"/>
    </xf>
    <xf numFmtId="164" fontId="27" fillId="0" borderId="0" xfId="0" applyFont="true" applyBorder="false" applyAlignment="true" applyProtection="false">
      <alignment horizontal="right" vertical="center" textRotation="0" wrapText="false" indent="0" shrinkToFit="false"/>
      <protection locked="true" hidden="false"/>
    </xf>
    <xf numFmtId="164" fontId="28" fillId="0" borderId="1" xfId="0" applyFont="true" applyBorder="true" applyAlignment="true" applyProtection="false">
      <alignment horizontal="center" vertical="center" textRotation="0" wrapText="false" indent="0" shrinkToFit="false"/>
      <protection locked="true" hidden="false"/>
    </xf>
    <xf numFmtId="164" fontId="19"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6" fontId="29" fillId="0" borderId="1" xfId="0" applyFont="true" applyBorder="true" applyAlignment="true" applyProtection="false">
      <alignment horizontal="general" vertical="center" textRotation="0" wrapText="false" indent="0" shrinkToFit="false"/>
      <protection locked="true" hidden="false"/>
    </xf>
    <xf numFmtId="168" fontId="30" fillId="0" borderId="1" xfId="0" applyFont="true" applyBorder="true" applyAlignment="true" applyProtection="false">
      <alignment horizontal="general" vertical="center" textRotation="0" wrapText="false" indent="0" shrinkToFit="false"/>
      <protection locked="true" hidden="false"/>
    </xf>
    <xf numFmtId="164" fontId="19" fillId="6" borderId="1" xfId="0" applyFont="true" applyBorder="true" applyAlignment="true" applyProtection="false">
      <alignment horizontal="center" vertical="center" textRotation="0" wrapText="false" indent="0" shrinkToFit="false"/>
      <protection locked="true" hidden="false"/>
    </xf>
    <xf numFmtId="164" fontId="19" fillId="6" borderId="1" xfId="0" applyFont="true" applyBorder="true" applyAlignment="true" applyProtection="false">
      <alignment horizontal="left" vertical="center" textRotation="0" wrapText="true" indent="0" shrinkToFit="false"/>
      <protection locked="true" hidden="false"/>
    </xf>
    <xf numFmtId="164" fontId="8" fillId="6" borderId="1" xfId="0" applyFont="true" applyBorder="true" applyAlignment="true" applyProtection="false">
      <alignment horizontal="general" vertical="center" textRotation="0" wrapText="false" indent="0" shrinkToFit="false"/>
      <protection locked="true" hidden="false"/>
    </xf>
    <xf numFmtId="166" fontId="31" fillId="6" borderId="1" xfId="0" applyFont="true" applyBorder="true" applyAlignment="true" applyProtection="false">
      <alignment horizontal="general" vertical="center" textRotation="0" wrapText="false" indent="0" shrinkToFit="false"/>
      <protection locked="true" hidden="false"/>
    </xf>
    <xf numFmtId="168" fontId="30" fillId="6" borderId="1" xfId="0" applyFont="true" applyBorder="true" applyAlignment="true" applyProtection="false">
      <alignment horizontal="general" vertical="center" textRotation="0" wrapText="false" indent="0" shrinkToFit="false"/>
      <protection locked="true" hidden="false"/>
    </xf>
    <xf numFmtId="164" fontId="6" fillId="6" borderId="1" xfId="0" applyFont="true" applyBorder="true" applyAlignment="true" applyProtection="false">
      <alignment horizontal="left" vertical="center" textRotation="0" wrapText="true" indent="0" shrinkToFit="false"/>
      <protection locked="true" hidden="false"/>
    </xf>
    <xf numFmtId="164" fontId="8" fillId="6" borderId="1" xfId="0" applyFont="true" applyBorder="true" applyAlignment="true" applyProtection="false">
      <alignment horizontal="left" vertical="center" textRotation="0" wrapText="true" indent="0" shrinkToFit="false"/>
      <protection locked="true" hidden="false"/>
    </xf>
    <xf numFmtId="166" fontId="19" fillId="6" borderId="1" xfId="0" applyFont="true" applyBorder="true" applyAlignment="true" applyProtection="false">
      <alignment horizontal="general" vertical="center" textRotation="0" wrapText="false" indent="0" shrinkToFit="false"/>
      <protection locked="true" hidden="false"/>
    </xf>
    <xf numFmtId="164" fontId="19" fillId="5" borderId="1" xfId="0" applyFont="true" applyBorder="true" applyAlignment="true" applyProtection="false">
      <alignment horizontal="center" vertical="center" textRotation="0" wrapText="false" indent="0" shrinkToFit="false"/>
      <protection locked="true" hidden="false"/>
    </xf>
    <xf numFmtId="164" fontId="19" fillId="5" borderId="1" xfId="0" applyFont="true" applyBorder="true" applyAlignment="true" applyProtection="false">
      <alignment horizontal="left" vertical="center" textRotation="0" wrapText="true" indent="0" shrinkToFit="false"/>
      <protection locked="true" hidden="false"/>
    </xf>
    <xf numFmtId="166" fontId="31" fillId="5" borderId="2" xfId="0" applyFont="true" applyBorder="true" applyAlignment="true" applyProtection="false">
      <alignment horizontal="general" vertical="center" textRotation="0" wrapText="false" indent="0" shrinkToFit="false"/>
      <protection locked="true" hidden="false"/>
    </xf>
    <xf numFmtId="168" fontId="30" fillId="5" borderId="1" xfId="0" applyFont="true" applyBorder="true" applyAlignment="true" applyProtection="false">
      <alignment horizontal="general" vertical="center" textRotation="0" wrapText="fals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7" fontId="32" fillId="0" borderId="1" xfId="0" applyFont="true" applyBorder="true" applyAlignment="true" applyProtection="false">
      <alignment horizontal="right" vertical="center" textRotation="0" wrapText="false" indent="0" shrinkToFit="false"/>
      <protection locked="true" hidden="false"/>
    </xf>
    <xf numFmtId="166" fontId="19" fillId="0" borderId="1" xfId="0" applyFont="true" applyBorder="true" applyAlignment="true" applyProtection="false">
      <alignment horizontal="general" vertical="center" textRotation="0" wrapText="false" indent="0" shrinkToFit="false"/>
      <protection locked="true" hidden="false"/>
    </xf>
    <xf numFmtId="166" fontId="10" fillId="3" borderId="1" xfId="0" applyFont="true" applyBorder="true" applyAlignment="true" applyProtection="false">
      <alignment horizontal="general" vertical="center" textRotation="0" wrapText="false" indent="0" shrinkToFit="false"/>
      <protection locked="true" hidden="false"/>
    </xf>
    <xf numFmtId="164" fontId="33" fillId="2" borderId="1" xfId="0" applyFont="true" applyBorder="true" applyAlignment="true" applyProtection="false">
      <alignment horizontal="center" vertical="center" textRotation="0" wrapText="false" indent="0" shrinkToFit="false"/>
      <protection locked="true" hidden="false"/>
    </xf>
    <xf numFmtId="164" fontId="33" fillId="2" borderId="1" xfId="0" applyFont="true" applyBorder="true" applyAlignment="true" applyProtection="false">
      <alignment horizontal="left" vertical="center" textRotation="0" wrapText="true" indent="0" shrinkToFit="false"/>
      <protection locked="true" hidden="false"/>
    </xf>
    <xf numFmtId="164" fontId="33" fillId="2" borderId="1" xfId="0" applyFont="true" applyBorder="true" applyAlignment="true" applyProtection="false">
      <alignment horizontal="general" vertical="center" textRotation="0" wrapText="false" indent="0" shrinkToFit="false"/>
      <protection locked="true" hidden="false"/>
    </xf>
    <xf numFmtId="166" fontId="34" fillId="2" borderId="2" xfId="0" applyFont="true" applyBorder="true" applyAlignment="true" applyProtection="false">
      <alignment horizontal="general" vertical="center" textRotation="0" wrapText="false" indent="0" shrinkToFit="false"/>
      <protection locked="true" hidden="false"/>
    </xf>
    <xf numFmtId="168" fontId="23" fillId="2" borderId="1" xfId="0" applyFont="true" applyBorder="true" applyAlignment="true" applyProtection="false">
      <alignment horizontal="general" vertical="center" textRotation="0" wrapText="false" indent="0" shrinkToFit="false"/>
      <protection locked="true" hidden="false"/>
    </xf>
    <xf numFmtId="164" fontId="35" fillId="2"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4" fontId="36" fillId="0" borderId="1" xfId="0" applyFont="true" applyBorder="true" applyAlignment="true" applyProtection="false">
      <alignment horizontal="left" vertical="center" textRotation="0" wrapText="false" indent="0" shrinkToFit="false"/>
      <protection locked="true" hidden="false"/>
    </xf>
    <xf numFmtId="164" fontId="38" fillId="0"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true" applyAlignment="true" applyProtection="false">
      <alignment horizontal="general" vertical="center" textRotation="0" wrapText="false" indent="0" shrinkToFit="false"/>
      <protection locked="true" hidden="false"/>
    </xf>
    <xf numFmtId="166" fontId="39" fillId="2" borderId="2" xfId="0" applyFont="true" applyBorder="tru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11" fillId="7" borderId="1" xfId="0" applyFont="true" applyBorder="true" applyAlignment="true" applyProtection="false">
      <alignment horizontal="general" vertical="center" textRotation="0" wrapText="false" indent="0" shrinkToFit="false"/>
      <protection locked="true" hidden="false"/>
    </xf>
    <xf numFmtId="164" fontId="11" fillId="7" borderId="1" xfId="0" applyFont="true" applyBorder="true" applyAlignment="true" applyProtection="false">
      <alignment horizontal="left" vertical="center" textRotation="0" wrapText="false" indent="0" shrinkToFit="false"/>
      <protection locked="true" hidden="false"/>
    </xf>
    <xf numFmtId="164" fontId="8" fillId="7" borderId="1" xfId="0" applyFont="true" applyBorder="true" applyAlignment="true" applyProtection="false">
      <alignment horizontal="general" vertical="center" textRotation="0" wrapText="false" indent="0" shrinkToFit="false"/>
      <protection locked="true" hidden="false"/>
    </xf>
    <xf numFmtId="164" fontId="40" fillId="0" borderId="1" xfId="0" applyFont="true" applyBorder="true" applyAlignment="true" applyProtection="false">
      <alignment horizontal="center" vertical="center" textRotation="0" wrapText="false" indent="0" shrinkToFit="false"/>
      <protection locked="true" hidden="false"/>
    </xf>
    <xf numFmtId="164" fontId="40" fillId="0" borderId="1" xfId="0" applyFont="true" applyBorder="true" applyAlignment="true" applyProtection="false">
      <alignment horizontal="left" vertical="center" textRotation="0" wrapText="true" indent="0" shrinkToFit="false"/>
      <protection locked="true" hidden="false"/>
    </xf>
    <xf numFmtId="166" fontId="40" fillId="0" borderId="1" xfId="0" applyFont="true" applyBorder="true" applyAlignment="true" applyProtection="false">
      <alignment horizontal="general" vertical="center" textRotation="0" wrapText="false" indent="0" shrinkToFit="false"/>
      <protection locked="true" hidden="false"/>
    </xf>
    <xf numFmtId="165" fontId="32" fillId="0" borderId="1" xfId="0" applyFont="true" applyBorder="true" applyAlignment="true" applyProtection="false">
      <alignment horizontal="general" vertical="center" textRotation="0" wrapText="false" indent="0" shrinkToFit="false"/>
      <protection locked="true" hidden="false"/>
    </xf>
    <xf numFmtId="166" fontId="25" fillId="0" borderId="1" xfId="0" applyFont="true" applyBorder="true" applyAlignment="true" applyProtection="false">
      <alignment horizontal="general" vertical="center" textRotation="0" wrapText="false" indent="0" shrinkToFit="false"/>
      <protection locked="true" hidden="false"/>
    </xf>
    <xf numFmtId="166" fontId="24" fillId="0" borderId="1" xfId="0" applyFont="true" applyBorder="true" applyAlignment="true" applyProtection="false">
      <alignment horizontal="general" vertical="center" textRotation="0" wrapText="false" indent="0" shrinkToFit="false"/>
      <protection locked="true" hidden="false"/>
    </xf>
    <xf numFmtId="166" fontId="19" fillId="5" borderId="1" xfId="0" applyFont="true" applyBorder="true" applyAlignment="true" applyProtection="false">
      <alignment horizontal="general" vertical="center" textRotation="0" wrapText="false" indent="0" shrinkToFit="false"/>
      <protection locked="true" hidden="false"/>
    </xf>
    <xf numFmtId="164" fontId="11" fillId="7" borderId="1" xfId="0" applyFont="true" applyBorder="true" applyAlignment="true" applyProtection="false">
      <alignment horizontal="center" vertical="center" textRotation="0" wrapText="false" indent="0" shrinkToFit="false"/>
      <protection locked="true" hidden="false"/>
    </xf>
    <xf numFmtId="164" fontId="41" fillId="7" borderId="1" xfId="0" applyFont="true" applyBorder="true" applyAlignment="true" applyProtection="false">
      <alignment horizontal="left" vertical="center" textRotation="0" wrapText="false" indent="0" shrinkToFit="false"/>
      <protection locked="true" hidden="false"/>
    </xf>
    <xf numFmtId="164" fontId="30" fillId="0" borderId="1" xfId="0" applyFont="true" applyBorder="true" applyAlignment="true" applyProtection="false">
      <alignment horizontal="center" vertical="center" textRotation="0" wrapText="false" indent="0" shrinkToFit="false"/>
      <protection locked="true" hidden="false"/>
    </xf>
    <xf numFmtId="166" fontId="32" fillId="0" borderId="1" xfId="0" applyFont="true" applyBorder="true" applyAlignment="true" applyProtection="false">
      <alignment horizontal="general" vertical="center" textRotation="0" wrapText="false" indent="0" shrinkToFit="false"/>
      <protection locked="true" hidden="false"/>
    </xf>
    <xf numFmtId="164" fontId="42" fillId="0" borderId="1" xfId="0" applyFont="true" applyBorder="true" applyAlignment="true" applyProtection="false">
      <alignment horizontal="center" vertical="center" textRotation="0" wrapText="false" indent="0" shrinkToFit="false"/>
      <protection locked="true" hidden="false"/>
    </xf>
    <xf numFmtId="169" fontId="40" fillId="0" borderId="1" xfId="0" applyFont="true" applyBorder="true" applyAlignment="true" applyProtection="false">
      <alignment horizontal="general" vertical="center" textRotation="0" wrapText="false" indent="0" shrinkToFit="false"/>
      <protection locked="true" hidden="false"/>
    </xf>
    <xf numFmtId="167" fontId="32" fillId="0" borderId="1" xfId="0" applyFont="true" applyBorder="true" applyAlignment="true" applyProtection="false">
      <alignment horizontal="general" vertical="center" textRotation="0" wrapText="false" indent="0" shrinkToFit="false"/>
      <protection locked="true" hidden="false"/>
    </xf>
    <xf numFmtId="166" fontId="24" fillId="7" borderId="1" xfId="0" applyFont="true" applyBorder="true" applyAlignment="true" applyProtection="false">
      <alignment horizontal="general" vertical="center" textRotation="0" wrapText="false" indent="0" shrinkToFit="false"/>
      <protection locked="true" hidden="false"/>
    </xf>
    <xf numFmtId="164" fontId="33" fillId="2" borderId="0" xfId="0" applyFont="true" applyBorder="true" applyAlignment="true" applyProtection="false">
      <alignment horizontal="general" vertical="center" textRotation="0" wrapText="false" indent="0" shrinkToFit="false"/>
      <protection locked="true" hidden="false"/>
    </xf>
    <xf numFmtId="167" fontId="40" fillId="0" borderId="1" xfId="0" applyFont="true" applyBorder="true" applyAlignment="true" applyProtection="false">
      <alignment horizontal="general" vertical="center" textRotation="0" wrapText="false" indent="0" shrinkToFit="false"/>
      <protection locked="true" hidden="false"/>
    </xf>
    <xf numFmtId="166" fontId="6" fillId="0"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right" vertical="center" textRotation="0" wrapText="false" indent="0" shrinkToFit="false"/>
      <protection locked="true" hidden="false"/>
    </xf>
    <xf numFmtId="164" fontId="19" fillId="7" borderId="1" xfId="0" applyFont="true" applyBorder="true" applyAlignment="true" applyProtection="false">
      <alignment horizontal="general" vertical="center" textRotation="0" wrapText="false" indent="0" shrinkToFit="false"/>
      <protection locked="true" hidden="false"/>
    </xf>
    <xf numFmtId="164" fontId="19" fillId="7" borderId="1"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43" fillId="3" borderId="1" xfId="0" applyFont="true" applyBorder="true" applyAlignment="true" applyProtection="false">
      <alignment horizontal="center" vertical="center" textRotation="0" wrapText="false" indent="0" shrinkToFit="false"/>
      <protection locked="true" hidden="false"/>
    </xf>
    <xf numFmtId="164" fontId="40" fillId="3" borderId="1" xfId="0" applyFont="true" applyBorder="true" applyAlignment="true" applyProtection="false">
      <alignment horizontal="center" vertical="center" textRotation="0" wrapText="true" indent="0" shrinkToFit="false"/>
      <protection locked="true" hidden="false"/>
    </xf>
    <xf numFmtId="166" fontId="40" fillId="3" borderId="1" xfId="0" applyFont="true" applyBorder="true" applyAlignment="true" applyProtection="false">
      <alignment horizontal="general" vertical="center" textRotation="0" wrapText="false" indent="0" shrinkToFit="false"/>
      <protection locked="true" hidden="false"/>
    </xf>
    <xf numFmtId="168" fontId="25" fillId="0" borderId="1" xfId="0" applyFont="true" applyBorder="true" applyAlignment="true" applyProtection="false">
      <alignment horizontal="general" vertical="center" textRotation="0" wrapText="false" indent="0" shrinkToFit="false"/>
      <protection locked="true" hidden="false"/>
    </xf>
    <xf numFmtId="164" fontId="40" fillId="0" borderId="1" xfId="0" applyFont="true" applyBorder="true" applyAlignment="true" applyProtection="false">
      <alignment horizontal="general" vertical="center" textRotation="0" wrapText="true" indent="0" shrinkToFit="false"/>
      <protection locked="true" hidden="false"/>
    </xf>
    <xf numFmtId="164" fontId="24" fillId="5" borderId="1" xfId="0" applyFont="true" applyBorder="true" applyAlignment="true" applyProtection="false">
      <alignment horizontal="left" vertical="center" textRotation="0" wrapText="true" indent="0" shrinkToFit="false"/>
      <protection locked="true" hidden="false"/>
    </xf>
    <xf numFmtId="166" fontId="24" fillId="5" borderId="1" xfId="0" applyFont="true" applyBorder="true" applyAlignment="true" applyProtection="false">
      <alignment horizontal="general" vertical="center" textRotation="0" wrapText="false" indent="0" shrinkToFit="false"/>
      <protection locked="true" hidden="false"/>
    </xf>
    <xf numFmtId="168" fontId="25" fillId="5" borderId="1" xfId="0" applyFont="true" applyBorder="true" applyAlignment="true" applyProtection="false">
      <alignment horizontal="general" vertical="center" textRotation="0" wrapText="false" indent="0" shrinkToFit="false"/>
      <protection locked="true" hidden="false"/>
    </xf>
    <xf numFmtId="164" fontId="23" fillId="2" borderId="1" xfId="0" applyFont="true" applyBorder="true" applyAlignment="true" applyProtection="false">
      <alignment horizontal="left" vertical="center" textRotation="0" wrapText="true" indent="0" shrinkToFit="false"/>
      <protection locked="true" hidden="false"/>
    </xf>
    <xf numFmtId="166" fontId="23" fillId="2" borderId="1" xfId="0" applyFont="true" applyBorder="true" applyAlignment="true" applyProtection="false">
      <alignment horizontal="general" vertical="center" textRotation="0" wrapText="false" indent="0" shrinkToFit="false"/>
      <protection locked="true" hidden="false"/>
    </xf>
    <xf numFmtId="164" fontId="11" fillId="0" borderId="1" xfId="0" applyFont="true" applyBorder="true" applyAlignment="true" applyProtection="false">
      <alignment horizontal="general" vertical="center" textRotation="0" wrapText="false" indent="0" shrinkToFit="false"/>
      <protection locked="true" hidden="false"/>
    </xf>
    <xf numFmtId="168" fontId="19" fillId="0" borderId="1"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4" fontId="17" fillId="7" borderId="1" xfId="0" applyFont="true" applyBorder="true" applyAlignment="true" applyProtection="false">
      <alignment horizontal="general" vertical="center" textRotation="0" wrapText="false" indent="0" shrinkToFit="false"/>
      <protection locked="true" hidden="false"/>
    </xf>
    <xf numFmtId="166" fontId="17" fillId="7" borderId="1" xfId="0" applyFont="true" applyBorder="tru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general" vertical="center" textRotation="0" wrapText="true" indent="0" shrinkToFit="false"/>
      <protection locked="true" hidden="false"/>
    </xf>
    <xf numFmtId="164" fontId="19" fillId="7" borderId="0" xfId="0" applyFont="true" applyBorder="fals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FCE4E4"/>
        </patternFill>
      </fill>
    </dxf>
  </dxf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FF8E7"/>
      <rgbColor rgb="FFE8EDF1"/>
      <rgbColor rgb="FF660066"/>
      <rgbColor rgb="FFFF8080"/>
      <rgbColor rgb="FF0066CC"/>
      <rgbColor rgb="FFDCE5EB"/>
      <rgbColor rgb="FF000080"/>
      <rgbColor rgb="FFFF00FF"/>
      <rgbColor rgb="FFFFFF00"/>
      <rgbColor rgb="FF00FFFF"/>
      <rgbColor rgb="FF800080"/>
      <rgbColor rgb="FF800000"/>
      <rgbColor rgb="FF008080"/>
      <rgbColor rgb="FF0000FF"/>
      <rgbColor rgb="FF00CCFF"/>
      <rgbColor rgb="FFF4F6F8"/>
      <rgbColor rgb="FFCCFFCC"/>
      <rgbColor rgb="FFFFE9A8"/>
      <rgbColor rgb="FF99CCFF"/>
      <rgbColor rgb="FFFF99CC"/>
      <rgbColor rgb="FFCC99FF"/>
      <rgbColor rgb="FFFCE4E4"/>
      <rgbColor rgb="FF3366FF"/>
      <rgbColor rgb="FF33CCCC"/>
      <rgbColor rgb="FF99CC00"/>
      <rgbColor rgb="FFFFCC00"/>
      <rgbColor rgb="FFFF9900"/>
      <rgbColor rgb="FFFF6600"/>
      <rgbColor rgb="FF666699"/>
      <rgbColor rgb="FF969696"/>
      <rgbColor rgb="FF133246"/>
      <rgbColor rgb="FF339966"/>
      <rgbColor rgb="FF0061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2.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0</xdr:row>
      <xdr:rowOff>0</xdr:rowOff>
    </xdr:from>
    <xdr:to>
      <xdr:col>4</xdr:col>
      <xdr:colOff>2381040</xdr:colOff>
      <xdr:row>2</xdr:row>
      <xdr:rowOff>142200</xdr:rowOff>
    </xdr:to>
    <xdr:pic>
      <xdr:nvPicPr>
        <xdr:cNvPr id="0" name="Image 1" descr="Picture">
          <a:hlinkClick xmlns:r="http://schemas.openxmlformats.org/officeDocument/2006/relationships" r:id="rId2" tooltip="Visit mastt.com"/>
        </xdr:cNvPr>
        <xdr:cNvPicPr/>
      </xdr:nvPicPr>
      <xdr:blipFill>
        <a:blip r:embed="rId1"/>
        <a:stretch/>
      </xdr:blipFill>
      <xdr:spPr>
        <a:xfrm>
          <a:off x="6555240" y="0"/>
          <a:ext cx="2381040" cy="6948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5191200</xdr:colOff>
      <xdr:row>0</xdr:row>
      <xdr:rowOff>38160</xdr:rowOff>
    </xdr:from>
    <xdr:to>
      <xdr:col>2</xdr:col>
      <xdr:colOff>6810120</xdr:colOff>
      <xdr:row>0</xdr:row>
      <xdr:rowOff>514080</xdr:rowOff>
    </xdr:to>
    <xdr:pic>
      <xdr:nvPicPr>
        <xdr:cNvPr id="1" name="Image 1" descr="Picture">
          <a:hlinkClick xmlns:r="http://schemas.openxmlformats.org/officeDocument/2006/relationships" r:id="rId2" tooltip="Visit mastt.com"/>
        </xdr:cNvPr>
        <xdr:cNvPicPr/>
      </xdr:nvPicPr>
      <xdr:blipFill>
        <a:blip r:embed="rId1"/>
        <a:stretch/>
      </xdr:blipFill>
      <xdr:spPr>
        <a:xfrm>
          <a:off x="7869600" y="38160"/>
          <a:ext cx="1618920" cy="4759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0</xdr:row>
      <xdr:rowOff>0</xdr:rowOff>
    </xdr:from>
    <xdr:to>
      <xdr:col>4</xdr:col>
      <xdr:colOff>1123560</xdr:colOff>
      <xdr:row>0</xdr:row>
      <xdr:rowOff>323640</xdr:rowOff>
    </xdr:to>
    <xdr:pic>
      <xdr:nvPicPr>
        <xdr:cNvPr id="2" name="Image 1" descr="Picture">
          <a:hlinkClick xmlns:r="http://schemas.openxmlformats.org/officeDocument/2006/relationships" r:id="rId2" tooltip="Visit mastt.com"/>
        </xdr:cNvPr>
        <xdr:cNvPicPr/>
      </xdr:nvPicPr>
      <xdr:blipFill>
        <a:blip r:embed="rId1"/>
        <a:stretch/>
      </xdr:blipFill>
      <xdr:spPr>
        <a:xfrm>
          <a:off x="8740080" y="0"/>
          <a:ext cx="1123560" cy="3236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0</xdr:colOff>
      <xdr:row>0</xdr:row>
      <xdr:rowOff>0</xdr:rowOff>
    </xdr:from>
    <xdr:to>
      <xdr:col>6</xdr:col>
      <xdr:colOff>277920</xdr:colOff>
      <xdr:row>0</xdr:row>
      <xdr:rowOff>323640</xdr:rowOff>
    </xdr:to>
    <xdr:pic>
      <xdr:nvPicPr>
        <xdr:cNvPr id="3" name="Image 1" descr="Picture">
          <a:hlinkClick xmlns:r="http://schemas.openxmlformats.org/officeDocument/2006/relationships" r:id="rId2" tooltip="Visit mastt.com"/>
        </xdr:cNvPr>
        <xdr:cNvPicPr/>
      </xdr:nvPicPr>
      <xdr:blipFill>
        <a:blip r:embed="rId1"/>
        <a:stretch/>
      </xdr:blipFill>
      <xdr:spPr>
        <a:xfrm>
          <a:off x="8881200" y="0"/>
          <a:ext cx="1123560" cy="32364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0</xdr:colOff>
      <xdr:row>0</xdr:row>
      <xdr:rowOff>0</xdr:rowOff>
    </xdr:from>
    <xdr:to>
      <xdr:col>9</xdr:col>
      <xdr:colOff>277560</xdr:colOff>
      <xdr:row>0</xdr:row>
      <xdr:rowOff>323640</xdr:rowOff>
    </xdr:to>
    <xdr:pic>
      <xdr:nvPicPr>
        <xdr:cNvPr id="4" name="Image 1" descr="Picture">
          <a:hlinkClick xmlns:r="http://schemas.openxmlformats.org/officeDocument/2006/relationships" r:id="rId2" tooltip="Visit mastt.com"/>
        </xdr:cNvPr>
        <xdr:cNvPicPr/>
      </xdr:nvPicPr>
      <xdr:blipFill>
        <a:blip r:embed="rId1"/>
        <a:stretch/>
      </xdr:blipFill>
      <xdr:spPr>
        <a:xfrm>
          <a:off x="12052800" y="0"/>
          <a:ext cx="1123560" cy="32364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16.xml.rels><?xml version="1.0" encoding="UTF-8"?>
<Relationships xmlns="http://schemas.openxmlformats.org/package/2006/relationships"><Relationship Id="rId1" Type="http://schemas.openxmlformats.org/officeDocument/2006/relationships/drawing" Target="../drawings/drawing5.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mastt.com/"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E4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52"/>
    <col collapsed="false" customWidth="true" hidden="false" outlineLevel="0" max="3" min="3" style="0" width="34"/>
    <col collapsed="false" customWidth="true" hidden="false" outlineLevel="0" max="4" min="4" style="0" width="3"/>
    <col collapsed="false" customWidth="true" hidden="false" outlineLevel="0" max="5" min="5" style="0" width="64"/>
  </cols>
  <sheetData>
    <row r="1" customFormat="false" ht="18" hidden="false" customHeight="true" outlineLevel="0" collapsed="false"/>
    <row r="2" customFormat="false" ht="25.5" hidden="false" customHeight="true" outlineLevel="0" collapsed="false">
      <c r="B2" s="1" t="s">
        <v>0</v>
      </c>
    </row>
    <row r="3" customFormat="false" ht="25.5" hidden="false" customHeight="true" outlineLevel="0" collapsed="false">
      <c r="B3" s="2" t="s">
        <v>1</v>
      </c>
      <c r="C3" s="2"/>
    </row>
    <row r="4" customFormat="false" ht="24" hidden="false" customHeight="true" outlineLevel="0" collapsed="false">
      <c r="B4" s="3" t="s">
        <v>2</v>
      </c>
      <c r="C4" s="3"/>
    </row>
    <row r="5" customFormat="false" ht="18" hidden="false" customHeight="true" outlineLevel="0" collapsed="false">
      <c r="B5" s="4" t="s">
        <v>3</v>
      </c>
      <c r="C5" s="5"/>
      <c r="E5" s="6" t="s">
        <v>4</v>
      </c>
    </row>
    <row r="6" customFormat="false" ht="15" hidden="false" customHeight="false" outlineLevel="0" collapsed="false">
      <c r="B6" s="7" t="s">
        <v>5</v>
      </c>
      <c r="C6" s="8" t="s">
        <v>6</v>
      </c>
    </row>
    <row r="7" customFormat="false" ht="15" hidden="false" customHeight="false" outlineLevel="0" collapsed="false">
      <c r="B7" s="7" t="s">
        <v>7</v>
      </c>
      <c r="C7" s="8" t="s">
        <v>8</v>
      </c>
    </row>
    <row r="8" customFormat="false" ht="15" hidden="false" customHeight="false" outlineLevel="0" collapsed="false">
      <c r="B8" s="7" t="s">
        <v>9</v>
      </c>
      <c r="C8" s="8" t="s">
        <v>10</v>
      </c>
    </row>
    <row r="9" customFormat="false" ht="15" hidden="false" customHeight="false" outlineLevel="0" collapsed="false">
      <c r="B9" s="7" t="s">
        <v>11</v>
      </c>
      <c r="C9" s="8" t="s">
        <v>12</v>
      </c>
    </row>
    <row r="10" customFormat="false" ht="22.35" hidden="false" customHeight="false" outlineLevel="0" collapsed="false">
      <c r="B10" s="7" t="s">
        <v>13</v>
      </c>
      <c r="C10" s="9" t="s">
        <v>14</v>
      </c>
      <c r="E10" s="10" t="s">
        <v>15</v>
      </c>
    </row>
    <row r="11" customFormat="false" ht="15" hidden="false" customHeight="false" outlineLevel="0" collapsed="false">
      <c r="B11" s="7" t="s">
        <v>16</v>
      </c>
      <c r="C11" s="8" t="s">
        <v>17</v>
      </c>
    </row>
    <row r="12" customFormat="false" ht="15" hidden="false" customHeight="false" outlineLevel="0" collapsed="false">
      <c r="B12" s="7" t="s">
        <v>18</v>
      </c>
      <c r="C12" s="8" t="s">
        <v>19</v>
      </c>
    </row>
    <row r="13" customFormat="false" ht="15" hidden="false" customHeight="false" outlineLevel="0" collapsed="false">
      <c r="B13" s="7" t="s">
        <v>20</v>
      </c>
      <c r="C13" s="8" t="s">
        <v>19</v>
      </c>
    </row>
    <row r="14" customFormat="false" ht="15" hidden="false" customHeight="false" outlineLevel="0" collapsed="false">
      <c r="B14" s="7" t="s">
        <v>21</v>
      </c>
      <c r="C14" s="11" t="n">
        <v>78</v>
      </c>
      <c r="E14" s="10" t="s">
        <v>22</v>
      </c>
    </row>
    <row r="15" customFormat="false" ht="15" hidden="false" customHeight="false" outlineLevel="0" collapsed="false">
      <c r="B15" s="7" t="s">
        <v>23</v>
      </c>
      <c r="C15" s="8" t="s">
        <v>24</v>
      </c>
    </row>
    <row r="16" customFormat="false" ht="15" hidden="false" customHeight="false" outlineLevel="0" collapsed="false">
      <c r="B16" s="7" t="s">
        <v>25</v>
      </c>
      <c r="C16" s="8" t="s">
        <v>17</v>
      </c>
    </row>
    <row r="17" customFormat="false" ht="15" hidden="false" customHeight="false" outlineLevel="0" collapsed="false">
      <c r="B17" s="7" t="s">
        <v>26</v>
      </c>
      <c r="C17" s="8" t="s">
        <v>27</v>
      </c>
    </row>
    <row r="18" customFormat="false" ht="15" hidden="false" customHeight="false" outlineLevel="0" collapsed="false">
      <c r="B18" s="7" t="s">
        <v>28</v>
      </c>
      <c r="C18" s="8" t="s">
        <v>29</v>
      </c>
    </row>
    <row r="20" customFormat="false" ht="18" hidden="false" customHeight="true" outlineLevel="0" collapsed="false">
      <c r="B20" s="4" t="s">
        <v>30</v>
      </c>
      <c r="C20" s="5"/>
    </row>
    <row r="21" customFormat="false" ht="15" hidden="false" customHeight="false" outlineLevel="0" collapsed="false">
      <c r="B21" s="7" t="s">
        <v>31</v>
      </c>
      <c r="C21" s="12" t="n">
        <v>68</v>
      </c>
      <c r="E21" s="10" t="s">
        <v>32</v>
      </c>
    </row>
    <row r="22" customFormat="false" ht="15" hidden="false" customHeight="false" outlineLevel="0" collapsed="false">
      <c r="B22" s="7" t="s">
        <v>33</v>
      </c>
      <c r="C22" s="13" t="n">
        <v>0.05</v>
      </c>
      <c r="E22" s="10" t="s">
        <v>34</v>
      </c>
    </row>
    <row r="23" customFormat="false" ht="15" hidden="false" customHeight="false" outlineLevel="0" collapsed="false">
      <c r="B23" s="7" t="s">
        <v>35</v>
      </c>
      <c r="C23" s="13" t="n">
        <v>0.08</v>
      </c>
    </row>
    <row r="24" customFormat="false" ht="15" hidden="false" customHeight="false" outlineLevel="0" collapsed="false">
      <c r="B24" s="7" t="s">
        <v>36</v>
      </c>
      <c r="C24" s="13" t="n">
        <v>0.05</v>
      </c>
    </row>
    <row r="25" customFormat="false" ht="32.8" hidden="false" customHeight="false" outlineLevel="0" collapsed="false">
      <c r="B25" s="7" t="s">
        <v>37</v>
      </c>
      <c r="C25" s="9" t="s">
        <v>38</v>
      </c>
      <c r="E25" s="10" t="s">
        <v>39</v>
      </c>
    </row>
    <row r="26" customFormat="false" ht="15" hidden="false" customHeight="false" outlineLevel="0" collapsed="false">
      <c r="B26" s="7" t="s">
        <v>40</v>
      </c>
      <c r="C26" s="14" t="n">
        <v>0.025</v>
      </c>
      <c r="E26" s="10" t="s">
        <v>41</v>
      </c>
    </row>
    <row r="28" customFormat="false" ht="18" hidden="false" customHeight="true" outlineLevel="0" collapsed="false">
      <c r="B28" s="4" t="s">
        <v>42</v>
      </c>
      <c r="C28" s="5"/>
    </row>
    <row r="29" customFormat="false" ht="15" hidden="false" customHeight="false" outlineLevel="0" collapsed="false">
      <c r="B29" s="7" t="s">
        <v>43</v>
      </c>
      <c r="C29" s="13" t="n">
        <v>0.05</v>
      </c>
      <c r="E29" s="10" t="s">
        <v>44</v>
      </c>
    </row>
    <row r="30" customFormat="false" ht="15" hidden="false" customHeight="false" outlineLevel="0" collapsed="false">
      <c r="B30" s="7" t="s">
        <v>45</v>
      </c>
      <c r="C30" s="13" t="n">
        <v>0.03</v>
      </c>
    </row>
    <row r="31" customFormat="false" ht="15" hidden="false" customHeight="false" outlineLevel="0" collapsed="false">
      <c r="B31" s="7" t="s">
        <v>46</v>
      </c>
      <c r="C31" s="13" t="n">
        <v>0.02</v>
      </c>
    </row>
    <row r="32" customFormat="false" ht="15" hidden="false" customHeight="false" outlineLevel="0" collapsed="false">
      <c r="B32" s="7" t="s">
        <v>47</v>
      </c>
      <c r="C32" s="13" t="n">
        <v>0.01</v>
      </c>
    </row>
    <row r="33" customFormat="false" ht="15" hidden="false" customHeight="false" outlineLevel="0" collapsed="false">
      <c r="B33" s="7" t="s">
        <v>48</v>
      </c>
      <c r="C33" s="13" t="n">
        <v>0.025</v>
      </c>
    </row>
    <row r="34" customFormat="false" ht="15" hidden="false" customHeight="false" outlineLevel="0" collapsed="false">
      <c r="B34" s="7" t="s">
        <v>49</v>
      </c>
      <c r="C34" s="13" t="n">
        <v>0.035</v>
      </c>
    </row>
    <row r="35" customFormat="false" ht="15" hidden="false" customHeight="false" outlineLevel="0" collapsed="false">
      <c r="B35" s="7" t="s">
        <v>50</v>
      </c>
      <c r="C35" s="13" t="n">
        <v>0.1</v>
      </c>
      <c r="E35" s="10" t="s">
        <v>51</v>
      </c>
    </row>
    <row r="37" customFormat="false" ht="18" hidden="false" customHeight="true" outlineLevel="0" collapsed="false">
      <c r="B37" s="4" t="s">
        <v>52</v>
      </c>
      <c r="C37" s="5"/>
    </row>
    <row r="38" customFormat="false" ht="15" hidden="false" customHeight="false" outlineLevel="0" collapsed="false">
      <c r="B38" s="7" t="s">
        <v>53</v>
      </c>
      <c r="C38" s="13" t="n">
        <v>0.85</v>
      </c>
    </row>
    <row r="39" customFormat="false" ht="15" hidden="false" customHeight="false" outlineLevel="0" collapsed="false">
      <c r="B39" s="7" t="s">
        <v>54</v>
      </c>
      <c r="C39" s="13" t="n">
        <v>0.15</v>
      </c>
    </row>
    <row r="40" customFormat="false" ht="15" hidden="false" customHeight="false" outlineLevel="0" collapsed="false">
      <c r="B40" s="7" t="s">
        <v>55</v>
      </c>
      <c r="C40" s="13" t="n">
        <v>0.15</v>
      </c>
    </row>
    <row r="42" customFormat="false" ht="15" hidden="false" customHeight="false" outlineLevel="0" collapsed="false">
      <c r="B42" s="15" t="s">
        <v>56</v>
      </c>
    </row>
    <row r="43" customFormat="false" ht="15" hidden="false" customHeight="false" outlineLevel="0" collapsed="false">
      <c r="B43" s="16" t="s">
        <v>57</v>
      </c>
      <c r="C43" s="17" t="s">
        <v>58</v>
      </c>
      <c r="D43" s="17"/>
      <c r="E43" s="17"/>
    </row>
    <row r="44" customFormat="false" ht="15" hidden="false" customHeight="false" outlineLevel="0" collapsed="false">
      <c r="B44" s="18" t="s">
        <v>59</v>
      </c>
      <c r="C44" s="17" t="s">
        <v>60</v>
      </c>
      <c r="D44" s="17"/>
      <c r="E44" s="17"/>
    </row>
    <row r="45" customFormat="false" ht="15" hidden="false" customHeight="false" outlineLevel="0" collapsed="false">
      <c r="B45" s="19" t="s">
        <v>61</v>
      </c>
      <c r="C45" s="17" t="s">
        <v>62</v>
      </c>
      <c r="D45" s="17"/>
      <c r="E45" s="17"/>
    </row>
    <row r="46" customFormat="false" ht="15" hidden="false" customHeight="false" outlineLevel="0" collapsed="false">
      <c r="B46" s="20" t="s">
        <v>63</v>
      </c>
      <c r="C46" s="17" t="s">
        <v>64</v>
      </c>
      <c r="D46" s="17"/>
      <c r="E46" s="17"/>
    </row>
    <row r="47" customFormat="false" ht="15" hidden="false" customHeight="false" outlineLevel="0" collapsed="false">
      <c r="B47" s="21" t="s">
        <v>65</v>
      </c>
      <c r="C47" s="6" t="s">
        <v>4</v>
      </c>
    </row>
    <row r="48" customFormat="false" ht="15" hidden="false" customHeight="false" outlineLevel="0" collapsed="false">
      <c r="B48" s="22" t="s">
        <v>66</v>
      </c>
      <c r="C48" s="22"/>
      <c r="D48" s="22"/>
      <c r="E48" s="22"/>
    </row>
  </sheetData>
  <mergeCells count="7">
    <mergeCell ref="B3:C3"/>
    <mergeCell ref="B4:C4"/>
    <mergeCell ref="C43:E43"/>
    <mergeCell ref="C44:E44"/>
    <mergeCell ref="C45:E45"/>
    <mergeCell ref="C46:E46"/>
    <mergeCell ref="B48:E48"/>
  </mergeCells>
  <dataValidations count="1">
    <dataValidation allowBlank="true" errorStyle="stop" operator="between" showDropDown="false" showErrorMessage="false" showInputMessage="false" sqref="C25" type="list">
      <formula1>Lists!$C$2:$C$3</formula1>
      <formula2>0</formula2>
    </dataValidation>
  </dataValidations>
  <hyperlinks>
    <hyperlink ref="E5" r:id="rId1" display="www.mastt.com"/>
    <hyperlink ref="C47" r:id="rId2" display="www.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545</v>
      </c>
      <c r="B2" s="32"/>
      <c r="C2" s="32"/>
      <c r="D2" s="32"/>
      <c r="E2" s="32"/>
      <c r="F2" s="32"/>
      <c r="G2" s="32"/>
      <c r="H2" s="32"/>
      <c r="I2" s="32"/>
      <c r="J2" s="32"/>
    </row>
    <row r="3" customFormat="false" ht="15" hidden="false" customHeight="false" outlineLevel="0" collapsed="false">
      <c r="A3" s="17" t="s">
        <v>546</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ROUND($I$20+$I$31+$I$40+$I$51,2)</f>
        <v>1277132</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547</v>
      </c>
      <c r="B7" s="82"/>
      <c r="C7" s="81" t="s">
        <v>548</v>
      </c>
      <c r="D7" s="82"/>
      <c r="E7" s="82"/>
      <c r="F7" s="82"/>
      <c r="G7" s="82"/>
      <c r="H7" s="82"/>
      <c r="I7" s="82"/>
      <c r="J7" s="91" t="s">
        <v>401</v>
      </c>
    </row>
    <row r="8" customFormat="false" ht="15" hidden="false" customHeight="true" outlineLevel="0" collapsed="false">
      <c r="A8" s="83" t="s">
        <v>549</v>
      </c>
      <c r="B8" s="92" t="s">
        <v>547</v>
      </c>
      <c r="C8" s="84" t="s">
        <v>550</v>
      </c>
      <c r="D8" s="83" t="s">
        <v>181</v>
      </c>
      <c r="E8" s="85" t="n">
        <v>4200</v>
      </c>
      <c r="F8" s="83" t="s">
        <v>551</v>
      </c>
      <c r="G8" s="85"/>
      <c r="H8" s="93" t="n">
        <f aca="false">IF($F8&lt;&gt;"",IFERROR(INDEX('Rate Build-Up'!$P$8:$P$47,MATCH($F8,'Rate Build-Up'!$A$8:$A$47,0)),"BU ref not found"),$G8)</f>
        <v>52.61</v>
      </c>
      <c r="I8" s="88" t="n">
        <f aca="false">IF(AND(ISNUMBER($E8),ISNUMBER($H8)),ROUND($E8*$H8,2),"")</f>
        <v>220962</v>
      </c>
      <c r="J8" s="64" t="s">
        <v>552</v>
      </c>
    </row>
    <row r="9" customFormat="false" ht="15" hidden="false" customHeight="true" outlineLevel="0" collapsed="false">
      <c r="A9" s="83" t="s">
        <v>553</v>
      </c>
      <c r="B9" s="92" t="s">
        <v>547</v>
      </c>
      <c r="C9" s="84" t="s">
        <v>554</v>
      </c>
      <c r="D9" s="83" t="s">
        <v>181</v>
      </c>
      <c r="E9" s="85" t="n">
        <v>1150</v>
      </c>
      <c r="F9" s="83"/>
      <c r="G9" s="85" t="n">
        <v>165</v>
      </c>
      <c r="H9" s="93" t="n">
        <f aca="false">IF($F9&lt;&gt;"",IFERROR(INDEX('Rate Build-Up'!$P$8:$P$47,MATCH($F9,'Rate Build-Up'!$A$8:$A$47,0)),"BU ref not found"),$G9)</f>
        <v>165</v>
      </c>
      <c r="I9" s="88" t="n">
        <f aca="false">IF(AND(ISNUMBER($E9),ISNUMBER($H9)),ROUND($E9*$H9,2),"")</f>
        <v>189750</v>
      </c>
      <c r="J9" s="64"/>
    </row>
    <row r="10" customFormat="false" ht="15" hidden="false" customHeight="true" outlineLevel="0" collapsed="false">
      <c r="A10" s="83" t="s">
        <v>555</v>
      </c>
      <c r="B10" s="92" t="s">
        <v>547</v>
      </c>
      <c r="C10" s="84" t="s">
        <v>556</v>
      </c>
      <c r="D10" s="83" t="s">
        <v>181</v>
      </c>
      <c r="E10" s="85" t="n">
        <v>2600</v>
      </c>
      <c r="F10" s="83"/>
      <c r="G10" s="85" t="n">
        <v>78</v>
      </c>
      <c r="H10" s="93" t="n">
        <f aca="false">IF($F10&lt;&gt;"",IFERROR(INDEX('Rate Build-Up'!$P$8:$P$47,MATCH($F10,'Rate Build-Up'!$A$8:$A$47,0)),"BU ref not found"),$G10)</f>
        <v>78</v>
      </c>
      <c r="I10" s="88" t="n">
        <f aca="false">IF(AND(ISNUMBER($E10),ISNUMBER($H10)),ROUND($E10*$H10,2),"")</f>
        <v>202800</v>
      </c>
      <c r="J10" s="64"/>
    </row>
    <row r="11" customFormat="false" ht="15" hidden="false" customHeight="true" outlineLevel="0" collapsed="false">
      <c r="A11" s="83" t="s">
        <v>557</v>
      </c>
      <c r="B11" s="92" t="s">
        <v>547</v>
      </c>
      <c r="C11" s="84" t="s">
        <v>558</v>
      </c>
      <c r="D11" s="83" t="s">
        <v>181</v>
      </c>
      <c r="E11" s="85" t="n">
        <v>6400</v>
      </c>
      <c r="F11" s="83" t="s">
        <v>559</v>
      </c>
      <c r="G11" s="85"/>
      <c r="H11" s="93" t="n">
        <f aca="false">IF($F11&lt;&gt;"",IFERROR(INDEX('Rate Build-Up'!$P$8:$P$47,MATCH($F11,'Rate Build-Up'!$A$8:$A$47,0)),"BU ref not found"),$G11)</f>
        <v>26.33</v>
      </c>
      <c r="I11" s="88" t="n">
        <f aca="false">IF(AND(ISNUMBER($E11),ISNUMBER($H11)),ROUND($E11*$H11,2),"")</f>
        <v>168512</v>
      </c>
      <c r="J11" s="64" t="s">
        <v>560</v>
      </c>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true" outlineLevel="0" collapsed="false">
      <c r="A15" s="83"/>
      <c r="B15" s="92"/>
      <c r="C15" s="84"/>
      <c r="D15" s="83"/>
      <c r="E15" s="85"/>
      <c r="F15" s="83"/>
      <c r="G15" s="85"/>
      <c r="H15" s="93" t="n">
        <f aca="false">IF($F15&lt;&gt;"",IFERROR(INDEX('Rate Build-Up'!$P$8:$P$47,MATCH($F15,'Rate Build-Up'!$A$8:$A$47,0)),"BU ref not found"),$G15)</f>
        <v>0</v>
      </c>
      <c r="I15" s="88" t="str">
        <f aca="false">IF(AND(ISNUMBER($E15),ISNUMBER($H15)),ROUND($E15*$H15,2),"")</f>
        <v/>
      </c>
      <c r="J15" s="64"/>
    </row>
    <row r="16" customFormat="false" ht="15" hidden="false" customHeight="true" outlineLevel="0" collapsed="false">
      <c r="A16" s="83"/>
      <c r="B16" s="92"/>
      <c r="C16" s="84"/>
      <c r="D16" s="83"/>
      <c r="E16" s="85"/>
      <c r="F16" s="83"/>
      <c r="G16" s="85"/>
      <c r="H16" s="93" t="n">
        <f aca="false">IF($F16&lt;&gt;"",IFERROR(INDEX('Rate Build-Up'!$P$8:$P$47,MATCH($F16,'Rate Build-Up'!$A$8:$A$47,0)),"BU ref not found"),$G16)</f>
        <v>0</v>
      </c>
      <c r="I16" s="88" t="str">
        <f aca="false">IF(AND(ISNUMBER($E16),ISNUMBER($H16)),ROUND($E16*$H16,2),"")</f>
        <v/>
      </c>
      <c r="J16" s="64"/>
    </row>
    <row r="17" customFormat="false" ht="15" hidden="false" customHeight="true" outlineLevel="0" collapsed="false">
      <c r="A17" s="83"/>
      <c r="B17" s="92"/>
      <c r="C17" s="84"/>
      <c r="D17" s="83"/>
      <c r="E17" s="85"/>
      <c r="F17" s="83"/>
      <c r="G17" s="85"/>
      <c r="H17" s="93" t="n">
        <f aca="false">IF($F17&lt;&gt;"",IFERROR(INDEX('Rate Build-Up'!$P$8:$P$47,MATCH($F17,'Rate Build-Up'!$A$8:$A$47,0)),"BU ref not found"),$G17)</f>
        <v>0</v>
      </c>
      <c r="I17" s="88" t="str">
        <f aca="false">IF(AND(ISNUMBER($E17),ISNUMBER($H17)),ROUND($E17*$H17,2),"")</f>
        <v/>
      </c>
      <c r="J17" s="64"/>
    </row>
    <row r="18" customFormat="false" ht="15" hidden="false" customHeight="true" outlineLevel="0" collapsed="false">
      <c r="A18" s="83"/>
      <c r="B18" s="92"/>
      <c r="C18" s="84"/>
      <c r="D18" s="83"/>
      <c r="E18" s="85"/>
      <c r="F18" s="83"/>
      <c r="G18" s="85"/>
      <c r="H18" s="93" t="n">
        <f aca="false">IF($F18&lt;&gt;"",IFERROR(INDEX('Rate Build-Up'!$P$8:$P$47,MATCH($F18,'Rate Build-Up'!$A$8:$A$47,0)),"BU ref not found"),$G18)</f>
        <v>0</v>
      </c>
      <c r="I18" s="88" t="str">
        <f aca="false">IF(AND(ISNUMBER($E18),ISNUMBER($H18)),ROUND($E18*$H18,2),"")</f>
        <v/>
      </c>
      <c r="J18" s="64"/>
    </row>
    <row r="19" customFormat="false" ht="15" hidden="false" customHeight="true" outlineLevel="0" collapsed="false">
      <c r="A19" s="83"/>
      <c r="B19" s="92"/>
      <c r="C19" s="84"/>
      <c r="D19" s="83"/>
      <c r="E19" s="85"/>
      <c r="F19" s="83"/>
      <c r="G19" s="85"/>
      <c r="H19" s="93" t="n">
        <f aca="false">IF($F19&lt;&gt;"",IFERROR(INDEX('Rate Build-Up'!$P$8:$P$47,MATCH($F19,'Rate Build-Up'!$A$8:$A$47,0)),"BU ref not found"),$G19)</f>
        <v>0</v>
      </c>
      <c r="I19" s="88" t="str">
        <f aca="false">IF(AND(ISNUMBER($E19),ISNUMBER($H19)),ROUND($E19*$H19,2),"")</f>
        <v/>
      </c>
      <c r="J19" s="64"/>
    </row>
    <row r="20" customFormat="false" ht="15" hidden="false" customHeight="false" outlineLevel="0" collapsed="false">
      <c r="A20" s="42"/>
      <c r="B20" s="42"/>
      <c r="C20" s="43" t="s">
        <v>561</v>
      </c>
      <c r="D20" s="42"/>
      <c r="E20" s="42"/>
      <c r="F20" s="42"/>
      <c r="G20" s="42"/>
      <c r="H20" s="42"/>
      <c r="I20" s="89" t="n">
        <f aca="false">ROUND(SUM($I$8:$I$19),2)</f>
        <v>782024</v>
      </c>
      <c r="J20" s="42"/>
    </row>
    <row r="22" customFormat="false" ht="15" hidden="false" customHeight="false" outlineLevel="0" collapsed="false">
      <c r="A22" s="90" t="s">
        <v>562</v>
      </c>
      <c r="B22" s="82"/>
      <c r="C22" s="81" t="s">
        <v>563</v>
      </c>
      <c r="D22" s="82"/>
      <c r="E22" s="82"/>
      <c r="F22" s="82"/>
      <c r="G22" s="82"/>
      <c r="H22" s="82"/>
      <c r="I22" s="82"/>
      <c r="J22" s="91" t="s">
        <v>401</v>
      </c>
    </row>
    <row r="23" customFormat="false" ht="15" hidden="false" customHeight="true" outlineLevel="0" collapsed="false">
      <c r="A23" s="83" t="s">
        <v>564</v>
      </c>
      <c r="B23" s="92" t="s">
        <v>562</v>
      </c>
      <c r="C23" s="84" t="s">
        <v>565</v>
      </c>
      <c r="D23" s="83" t="s">
        <v>181</v>
      </c>
      <c r="E23" s="85" t="n">
        <v>6400</v>
      </c>
      <c r="F23" s="83" t="s">
        <v>566</v>
      </c>
      <c r="G23" s="85"/>
      <c r="H23" s="93" t="n">
        <f aca="false">IF($F23&lt;&gt;"",IFERROR(INDEX('Rate Build-Up'!$P$8:$P$47,MATCH($F23,'Rate Build-Up'!$A$8:$A$47,0)),"BU ref not found"),$G23)</f>
        <v>22.07</v>
      </c>
      <c r="I23" s="88" t="n">
        <f aca="false">IF(AND(ISNUMBER($E23),ISNUMBER($H23)),ROUND($E23*$H23,2),"")</f>
        <v>141248</v>
      </c>
      <c r="J23" s="64" t="s">
        <v>567</v>
      </c>
    </row>
    <row r="24" customFormat="false" ht="15" hidden="false" customHeight="true" outlineLevel="0" collapsed="false">
      <c r="A24" s="83" t="s">
        <v>568</v>
      </c>
      <c r="B24" s="92" t="s">
        <v>562</v>
      </c>
      <c r="C24" s="84" t="s">
        <v>569</v>
      </c>
      <c r="D24" s="83" t="s">
        <v>181</v>
      </c>
      <c r="E24" s="85" t="n">
        <v>320</v>
      </c>
      <c r="F24" s="83"/>
      <c r="G24" s="85" t="n">
        <v>42</v>
      </c>
      <c r="H24" s="93" t="n">
        <f aca="false">IF($F24&lt;&gt;"",IFERROR(INDEX('Rate Build-Up'!$P$8:$P$47,MATCH($F24,'Rate Build-Up'!$A$8:$A$47,0)),"BU ref not found"),$G24)</f>
        <v>42</v>
      </c>
      <c r="I24" s="88" t="n">
        <f aca="false">IF(AND(ISNUMBER($E24),ISNUMBER($H24)),ROUND($E24*$H24,2),"")</f>
        <v>13440</v>
      </c>
      <c r="J24" s="64"/>
    </row>
    <row r="25" customFormat="false" ht="15" hidden="false" customHeight="true" outlineLevel="0" collapsed="false">
      <c r="A25" s="83"/>
      <c r="B25" s="92"/>
      <c r="C25" s="84"/>
      <c r="D25" s="83"/>
      <c r="E25" s="85"/>
      <c r="F25" s="83"/>
      <c r="G25" s="85"/>
      <c r="H25" s="93" t="n">
        <f aca="false">IF($F25&lt;&gt;"",IFERROR(INDEX('Rate Build-Up'!$P$8:$P$47,MATCH($F25,'Rate Build-Up'!$A$8:$A$47,0)),"BU ref not found"),$G25)</f>
        <v>0</v>
      </c>
      <c r="I25" s="88" t="str">
        <f aca="false">IF(AND(ISNUMBER($E25),ISNUMBER($H25)),ROUND($E25*$H25,2),"")</f>
        <v/>
      </c>
      <c r="J25" s="64"/>
    </row>
    <row r="26" customFormat="false" ht="15" hidden="false" customHeight="true" outlineLevel="0" collapsed="false">
      <c r="A26" s="83"/>
      <c r="B26" s="92"/>
      <c r="C26" s="84"/>
      <c r="D26" s="83"/>
      <c r="E26" s="85"/>
      <c r="F26" s="83"/>
      <c r="G26" s="85"/>
      <c r="H26" s="93" t="n">
        <f aca="false">IF($F26&lt;&gt;"",IFERROR(INDEX('Rate Build-Up'!$P$8:$P$47,MATCH($F26,'Rate Build-Up'!$A$8:$A$47,0)),"BU ref not found"),$G26)</f>
        <v>0</v>
      </c>
      <c r="I26" s="88" t="str">
        <f aca="false">IF(AND(ISNUMBER($E26),ISNUMBER($H26)),ROUND($E26*$H26,2),"")</f>
        <v/>
      </c>
      <c r="J26" s="64"/>
    </row>
    <row r="27" customFormat="false" ht="15" hidden="false" customHeight="true" outlineLevel="0" collapsed="false">
      <c r="A27" s="83"/>
      <c r="B27" s="92"/>
      <c r="C27" s="84"/>
      <c r="D27" s="83"/>
      <c r="E27" s="85"/>
      <c r="F27" s="83"/>
      <c r="G27" s="85"/>
      <c r="H27" s="93" t="n">
        <f aca="false">IF($F27&lt;&gt;"",IFERROR(INDEX('Rate Build-Up'!$P$8:$P$47,MATCH($F27,'Rate Build-Up'!$A$8:$A$47,0)),"BU ref not found"),$G27)</f>
        <v>0</v>
      </c>
      <c r="I27" s="88" t="str">
        <f aca="false">IF(AND(ISNUMBER($E27),ISNUMBER($H27)),ROUND($E27*$H27,2),"")</f>
        <v/>
      </c>
      <c r="J27" s="64"/>
    </row>
    <row r="28" customFormat="false" ht="15" hidden="false" customHeight="true" outlineLevel="0" collapsed="false">
      <c r="A28" s="83"/>
      <c r="B28" s="92"/>
      <c r="C28" s="84"/>
      <c r="D28" s="83"/>
      <c r="E28" s="85"/>
      <c r="F28" s="83"/>
      <c r="G28" s="85"/>
      <c r="H28" s="93" t="n">
        <f aca="false">IF($F28&lt;&gt;"",IFERROR(INDEX('Rate Build-Up'!$P$8:$P$47,MATCH($F28,'Rate Build-Up'!$A$8:$A$47,0)),"BU ref not found"),$G28)</f>
        <v>0</v>
      </c>
      <c r="I28" s="88" t="str">
        <f aca="false">IF(AND(ISNUMBER($E28),ISNUMBER($H28)),ROUND($E28*$H28,2),"")</f>
        <v/>
      </c>
      <c r="J28" s="64"/>
    </row>
    <row r="29" customFormat="false" ht="15" hidden="false" customHeight="true" outlineLevel="0" collapsed="false">
      <c r="A29" s="83"/>
      <c r="B29" s="92"/>
      <c r="C29" s="84"/>
      <c r="D29" s="83"/>
      <c r="E29" s="85"/>
      <c r="F29" s="83"/>
      <c r="G29" s="85"/>
      <c r="H29" s="93" t="n">
        <f aca="false">IF($F29&lt;&gt;"",IFERROR(INDEX('Rate Build-Up'!$P$8:$P$47,MATCH($F29,'Rate Build-Up'!$A$8:$A$47,0)),"BU ref not found"),$G29)</f>
        <v>0</v>
      </c>
      <c r="I29" s="88" t="str">
        <f aca="false">IF(AND(ISNUMBER($E29),ISNUMBER($H29)),ROUND($E29*$H29,2),"")</f>
        <v/>
      </c>
      <c r="J29" s="64"/>
    </row>
    <row r="30" customFormat="false" ht="15" hidden="false" customHeight="true" outlineLevel="0" collapsed="false">
      <c r="A30" s="83"/>
      <c r="B30" s="92"/>
      <c r="C30" s="84"/>
      <c r="D30" s="83"/>
      <c r="E30" s="85"/>
      <c r="F30" s="83"/>
      <c r="G30" s="85"/>
      <c r="H30" s="93" t="n">
        <f aca="false">IF($F30&lt;&gt;"",IFERROR(INDEX('Rate Build-Up'!$P$8:$P$47,MATCH($F30,'Rate Build-Up'!$A$8:$A$47,0)),"BU ref not found"),$G30)</f>
        <v>0</v>
      </c>
      <c r="I30" s="88" t="str">
        <f aca="false">IF(AND(ISNUMBER($E30),ISNUMBER($H30)),ROUND($E30*$H30,2),"")</f>
        <v/>
      </c>
      <c r="J30" s="64"/>
    </row>
    <row r="31" customFormat="false" ht="15" hidden="false" customHeight="false" outlineLevel="0" collapsed="false">
      <c r="A31" s="42"/>
      <c r="B31" s="42"/>
      <c r="C31" s="43" t="s">
        <v>570</v>
      </c>
      <c r="D31" s="42"/>
      <c r="E31" s="42"/>
      <c r="F31" s="42"/>
      <c r="G31" s="42"/>
      <c r="H31" s="42"/>
      <c r="I31" s="89" t="n">
        <f aca="false">ROUND(SUM($I$23:$I$30),2)</f>
        <v>154688</v>
      </c>
      <c r="J31" s="42"/>
    </row>
    <row r="33" customFormat="false" ht="15" hidden="false" customHeight="false" outlineLevel="0" collapsed="false">
      <c r="A33" s="90" t="s">
        <v>571</v>
      </c>
      <c r="B33" s="82"/>
      <c r="C33" s="81" t="s">
        <v>572</v>
      </c>
      <c r="D33" s="82"/>
      <c r="E33" s="82"/>
      <c r="F33" s="82"/>
      <c r="G33" s="82"/>
      <c r="H33" s="82"/>
      <c r="I33" s="82"/>
      <c r="J33" s="91" t="s">
        <v>573</v>
      </c>
    </row>
    <row r="34" customFormat="false" ht="27.75" hidden="false" customHeight="true" outlineLevel="0" collapsed="false">
      <c r="A34" s="83" t="s">
        <v>574</v>
      </c>
      <c r="B34" s="92" t="s">
        <v>571</v>
      </c>
      <c r="C34" s="84" t="s">
        <v>575</v>
      </c>
      <c r="D34" s="83" t="s">
        <v>181</v>
      </c>
      <c r="E34" s="85" t="n">
        <v>3100</v>
      </c>
      <c r="F34" s="83"/>
      <c r="G34" s="85" t="n">
        <v>72</v>
      </c>
      <c r="H34" s="93" t="n">
        <f aca="false">IF($F34&lt;&gt;"",IFERROR(INDEX('Rate Build-Up'!$P$8:$P$47,MATCH($F34,'Rate Build-Up'!$A$8:$A$47,0)),"BU ref not found"),$G34)</f>
        <v>72</v>
      </c>
      <c r="I34" s="88" t="n">
        <f aca="false">IF(AND(ISNUMBER($E34),ISNUMBER($H34)),ROUND($E34*$H34,2),"")</f>
        <v>223200</v>
      </c>
      <c r="J34" s="64"/>
    </row>
    <row r="35" customFormat="false" ht="15" hidden="false" customHeight="true" outlineLevel="0" collapsed="false">
      <c r="A35" s="83"/>
      <c r="B35" s="92"/>
      <c r="C35" s="84"/>
      <c r="D35" s="83"/>
      <c r="E35" s="85"/>
      <c r="F35" s="83"/>
      <c r="G35" s="85"/>
      <c r="H35" s="93" t="n">
        <f aca="false">IF($F35&lt;&gt;"",IFERROR(INDEX('Rate Build-Up'!$P$8:$P$47,MATCH($F35,'Rate Build-Up'!$A$8:$A$47,0)),"BU ref not found"),$G35)</f>
        <v>0</v>
      </c>
      <c r="I35" s="88" t="str">
        <f aca="false">IF(AND(ISNUMBER($E35),ISNUMBER($H35)),ROUND($E35*$H35,2),"")</f>
        <v/>
      </c>
      <c r="J35" s="64"/>
    </row>
    <row r="36" customFormat="false" ht="15" hidden="false" customHeight="true" outlineLevel="0" collapsed="false">
      <c r="A36" s="83"/>
      <c r="B36" s="92"/>
      <c r="C36" s="84"/>
      <c r="D36" s="83"/>
      <c r="E36" s="85"/>
      <c r="F36" s="83"/>
      <c r="G36" s="85"/>
      <c r="H36" s="93" t="n">
        <f aca="false">IF($F36&lt;&gt;"",IFERROR(INDEX('Rate Build-Up'!$P$8:$P$47,MATCH($F36,'Rate Build-Up'!$A$8:$A$47,0)),"BU ref not found"),$G36)</f>
        <v>0</v>
      </c>
      <c r="I36" s="88" t="str">
        <f aca="false">IF(AND(ISNUMBER($E36),ISNUMBER($H36)),ROUND($E36*$H36,2),"")</f>
        <v/>
      </c>
      <c r="J36" s="64"/>
    </row>
    <row r="37" customFormat="false" ht="15" hidden="false" customHeight="true" outlineLevel="0" collapsed="false">
      <c r="A37" s="83"/>
      <c r="B37" s="92"/>
      <c r="C37" s="84"/>
      <c r="D37" s="83"/>
      <c r="E37" s="85"/>
      <c r="F37" s="83"/>
      <c r="G37" s="85"/>
      <c r="H37" s="93" t="n">
        <f aca="false">IF($F37&lt;&gt;"",IFERROR(INDEX('Rate Build-Up'!$P$8:$P$47,MATCH($F37,'Rate Build-Up'!$A$8:$A$47,0)),"BU ref not found"),$G37)</f>
        <v>0</v>
      </c>
      <c r="I37" s="88" t="str">
        <f aca="false">IF(AND(ISNUMBER($E37),ISNUMBER($H37)),ROUND($E37*$H37,2),"")</f>
        <v/>
      </c>
      <c r="J37" s="64"/>
    </row>
    <row r="38" customFormat="false" ht="15" hidden="false" customHeight="true" outlineLevel="0" collapsed="false">
      <c r="A38" s="83"/>
      <c r="B38" s="92"/>
      <c r="C38" s="84"/>
      <c r="D38" s="83"/>
      <c r="E38" s="85"/>
      <c r="F38" s="83"/>
      <c r="G38" s="85"/>
      <c r="H38" s="93" t="n">
        <f aca="false">IF($F38&lt;&gt;"",IFERROR(INDEX('Rate Build-Up'!$P$8:$P$47,MATCH($F38,'Rate Build-Up'!$A$8:$A$47,0)),"BU ref not found"),$G38)</f>
        <v>0</v>
      </c>
      <c r="I38" s="88" t="str">
        <f aca="false">IF(AND(ISNUMBER($E38),ISNUMBER($H38)),ROUND($E38*$H38,2),"")</f>
        <v/>
      </c>
      <c r="J38" s="64"/>
    </row>
    <row r="39" customFormat="false" ht="15" hidden="false" customHeight="true" outlineLevel="0" collapsed="false">
      <c r="A39" s="83"/>
      <c r="B39" s="92"/>
      <c r="C39" s="84"/>
      <c r="D39" s="83"/>
      <c r="E39" s="85"/>
      <c r="F39" s="83"/>
      <c r="G39" s="85"/>
      <c r="H39" s="93" t="n">
        <f aca="false">IF($F39&lt;&gt;"",IFERROR(INDEX('Rate Build-Up'!$P$8:$P$47,MATCH($F39,'Rate Build-Up'!$A$8:$A$47,0)),"BU ref not found"),$G39)</f>
        <v>0</v>
      </c>
      <c r="I39" s="88" t="str">
        <f aca="false">IF(AND(ISNUMBER($E39),ISNUMBER($H39)),ROUND($E39*$H39,2),"")</f>
        <v/>
      </c>
      <c r="J39" s="64"/>
    </row>
    <row r="40" customFormat="false" ht="15" hidden="false" customHeight="false" outlineLevel="0" collapsed="false">
      <c r="A40" s="42"/>
      <c r="B40" s="42"/>
      <c r="C40" s="43" t="s">
        <v>576</v>
      </c>
      <c r="D40" s="42"/>
      <c r="E40" s="42"/>
      <c r="F40" s="42"/>
      <c r="G40" s="42"/>
      <c r="H40" s="42"/>
      <c r="I40" s="89" t="n">
        <f aca="false">ROUND(SUM($I$34:$I$39),2)</f>
        <v>223200</v>
      </c>
      <c r="J40" s="42"/>
    </row>
    <row r="42" customFormat="false" ht="15" hidden="false" customHeight="false" outlineLevel="0" collapsed="false">
      <c r="A42" s="90" t="s">
        <v>577</v>
      </c>
      <c r="B42" s="82"/>
      <c r="C42" s="81" t="s">
        <v>578</v>
      </c>
      <c r="D42" s="82"/>
      <c r="E42" s="82"/>
      <c r="F42" s="82"/>
      <c r="G42" s="82"/>
      <c r="H42" s="82"/>
      <c r="I42" s="82"/>
      <c r="J42" s="91" t="s">
        <v>444</v>
      </c>
    </row>
    <row r="43" customFormat="false" ht="27.75" hidden="false" customHeight="true" outlineLevel="0" collapsed="false">
      <c r="A43" s="83" t="s">
        <v>579</v>
      </c>
      <c r="B43" s="92" t="s">
        <v>577</v>
      </c>
      <c r="C43" s="84" t="s">
        <v>580</v>
      </c>
      <c r="D43" s="83" t="s">
        <v>172</v>
      </c>
      <c r="E43" s="85" t="n">
        <v>420</v>
      </c>
      <c r="F43" s="83"/>
      <c r="G43" s="85" t="n">
        <v>145</v>
      </c>
      <c r="H43" s="93" t="n">
        <f aca="false">IF($F43&lt;&gt;"",IFERROR(INDEX('Rate Build-Up'!$P$8:$P$47,MATCH($F43,'Rate Build-Up'!$A$8:$A$47,0)),"BU ref not found"),$G43)</f>
        <v>145</v>
      </c>
      <c r="I43" s="88" t="n">
        <f aca="false">IF(AND(ISNUMBER($E43),ISNUMBER($H43)),ROUND($E43*$H43,2),"")</f>
        <v>60900</v>
      </c>
      <c r="J43" s="64"/>
    </row>
    <row r="44" customFormat="false" ht="27.75" hidden="false" customHeight="true" outlineLevel="0" collapsed="false">
      <c r="A44" s="83" t="s">
        <v>581</v>
      </c>
      <c r="B44" s="92" t="s">
        <v>577</v>
      </c>
      <c r="C44" s="84" t="s">
        <v>582</v>
      </c>
      <c r="D44" s="83" t="s">
        <v>390</v>
      </c>
      <c r="E44" s="85" t="n">
        <v>640</v>
      </c>
      <c r="F44" s="83"/>
      <c r="G44" s="85" t="n">
        <v>88</v>
      </c>
      <c r="H44" s="93" t="n">
        <f aca="false">IF($F44&lt;&gt;"",IFERROR(INDEX('Rate Build-Up'!$P$8:$P$47,MATCH($F44,'Rate Build-Up'!$A$8:$A$47,0)),"BU ref not found"),$G44)</f>
        <v>88</v>
      </c>
      <c r="I44" s="88" t="n">
        <f aca="false">IF(AND(ISNUMBER($E44),ISNUMBER($H44)),ROUND($E44*$H44,2),"")</f>
        <v>56320</v>
      </c>
      <c r="J44" s="64"/>
    </row>
    <row r="45" customFormat="false" ht="15" hidden="false" customHeight="true" outlineLevel="0" collapsed="false">
      <c r="A45" s="83"/>
      <c r="B45" s="92"/>
      <c r="C45" s="84"/>
      <c r="D45" s="83"/>
      <c r="E45" s="85"/>
      <c r="F45" s="83"/>
      <c r="G45" s="85"/>
      <c r="H45" s="93" t="n">
        <f aca="false">IF($F45&lt;&gt;"",IFERROR(INDEX('Rate Build-Up'!$P$8:$P$47,MATCH($F45,'Rate Build-Up'!$A$8:$A$47,0)),"BU ref not found"),$G45)</f>
        <v>0</v>
      </c>
      <c r="I45" s="88" t="str">
        <f aca="false">IF(AND(ISNUMBER($E45),ISNUMBER($H45)),ROUND($E45*$H45,2),"")</f>
        <v/>
      </c>
      <c r="J45" s="64"/>
    </row>
    <row r="46" customFormat="false" ht="15" hidden="false" customHeight="true" outlineLevel="0" collapsed="false">
      <c r="A46" s="83"/>
      <c r="B46" s="92"/>
      <c r="C46" s="84"/>
      <c r="D46" s="83"/>
      <c r="E46" s="85"/>
      <c r="F46" s="83"/>
      <c r="G46" s="85"/>
      <c r="H46" s="93" t="n">
        <f aca="false">IF($F46&lt;&gt;"",IFERROR(INDEX('Rate Build-Up'!$P$8:$P$47,MATCH($F46,'Rate Build-Up'!$A$8:$A$47,0)),"BU ref not found"),$G46)</f>
        <v>0</v>
      </c>
      <c r="I46" s="88" t="str">
        <f aca="false">IF(AND(ISNUMBER($E46),ISNUMBER($H46)),ROUND($E46*$H46,2),"")</f>
        <v/>
      </c>
      <c r="J46" s="64"/>
    </row>
    <row r="47" customFormat="false" ht="15" hidden="false" customHeight="true" outlineLevel="0" collapsed="false">
      <c r="A47" s="83"/>
      <c r="B47" s="92"/>
      <c r="C47" s="84"/>
      <c r="D47" s="83"/>
      <c r="E47" s="85"/>
      <c r="F47" s="83"/>
      <c r="G47" s="85"/>
      <c r="H47" s="93" t="n">
        <f aca="false">IF($F47&lt;&gt;"",IFERROR(INDEX('Rate Build-Up'!$P$8:$P$47,MATCH($F47,'Rate Build-Up'!$A$8:$A$47,0)),"BU ref not found"),$G47)</f>
        <v>0</v>
      </c>
      <c r="I47" s="88" t="str">
        <f aca="false">IF(AND(ISNUMBER($E47),ISNUMBER($H47)),ROUND($E47*$H47,2),"")</f>
        <v/>
      </c>
      <c r="J47" s="64"/>
    </row>
    <row r="48" customFormat="false" ht="15" hidden="false" customHeight="true" outlineLevel="0" collapsed="false">
      <c r="A48" s="83"/>
      <c r="B48" s="92"/>
      <c r="C48" s="84"/>
      <c r="D48" s="83"/>
      <c r="E48" s="85"/>
      <c r="F48" s="83"/>
      <c r="G48" s="85"/>
      <c r="H48" s="93" t="n">
        <f aca="false">IF($F48&lt;&gt;"",IFERROR(INDEX('Rate Build-Up'!$P$8:$P$47,MATCH($F48,'Rate Build-Up'!$A$8:$A$47,0)),"BU ref not found"),$G48)</f>
        <v>0</v>
      </c>
      <c r="I48" s="88" t="str">
        <f aca="false">IF(AND(ISNUMBER($E48),ISNUMBER($H48)),ROUND($E48*$H48,2),"")</f>
        <v/>
      </c>
      <c r="J48" s="64"/>
    </row>
    <row r="49" customFormat="false" ht="15" hidden="false" customHeight="true" outlineLevel="0" collapsed="false">
      <c r="A49" s="83"/>
      <c r="B49" s="92"/>
      <c r="C49" s="84"/>
      <c r="D49" s="83"/>
      <c r="E49" s="85"/>
      <c r="F49" s="83"/>
      <c r="G49" s="85"/>
      <c r="H49" s="93" t="n">
        <f aca="false">IF($F49&lt;&gt;"",IFERROR(INDEX('Rate Build-Up'!$P$8:$P$47,MATCH($F49,'Rate Build-Up'!$A$8:$A$47,0)),"BU ref not found"),$G49)</f>
        <v>0</v>
      </c>
      <c r="I49" s="88" t="str">
        <f aca="false">IF(AND(ISNUMBER($E49),ISNUMBER($H49)),ROUND($E49*$H49,2),"")</f>
        <v/>
      </c>
      <c r="J49" s="64"/>
    </row>
    <row r="50" customFormat="false" ht="15" hidden="false" customHeight="true" outlineLevel="0" collapsed="false">
      <c r="A50" s="83"/>
      <c r="B50" s="92"/>
      <c r="C50" s="84"/>
      <c r="D50" s="83"/>
      <c r="E50" s="85"/>
      <c r="F50" s="83"/>
      <c r="G50" s="85"/>
      <c r="H50" s="93" t="n">
        <f aca="false">IF($F50&lt;&gt;"",IFERROR(INDEX('Rate Build-Up'!$P$8:$P$47,MATCH($F50,'Rate Build-Up'!$A$8:$A$47,0)),"BU ref not found"),$G50)</f>
        <v>0</v>
      </c>
      <c r="I50" s="88" t="str">
        <f aca="false">IF(AND(ISNUMBER($E50),ISNUMBER($H50)),ROUND($E50*$H50,2),"")</f>
        <v/>
      </c>
      <c r="J50" s="64"/>
    </row>
    <row r="51" customFormat="false" ht="15" hidden="false" customHeight="false" outlineLevel="0" collapsed="false">
      <c r="A51" s="42"/>
      <c r="B51" s="42"/>
      <c r="C51" s="43" t="s">
        <v>583</v>
      </c>
      <c r="D51" s="42"/>
      <c r="E51" s="42"/>
      <c r="F51" s="42"/>
      <c r="G51" s="42"/>
      <c r="H51" s="42"/>
      <c r="I51" s="89" t="n">
        <f aca="false">ROUND(SUM($I$43:$I$50),2)</f>
        <v>117220</v>
      </c>
      <c r="J51" s="42"/>
    </row>
  </sheetData>
  <mergeCells count="4">
    <mergeCell ref="A1:I1"/>
    <mergeCell ref="A2:J2"/>
    <mergeCell ref="A3:J3"/>
    <mergeCell ref="A4:H4"/>
  </mergeCells>
  <conditionalFormatting sqref="C7:J53">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53"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584</v>
      </c>
      <c r="B2" s="32"/>
      <c r="C2" s="32"/>
      <c r="D2" s="32"/>
      <c r="E2" s="32"/>
      <c r="F2" s="32"/>
      <c r="G2" s="32"/>
      <c r="H2" s="32"/>
      <c r="I2" s="32"/>
      <c r="J2" s="32"/>
    </row>
    <row r="3" customFormat="false" ht="15" hidden="false" customHeight="false" outlineLevel="0" collapsed="false">
      <c r="A3" s="17" t="s">
        <v>585</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ROUND($I$21,2)</f>
        <v>325320</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586</v>
      </c>
      <c r="B7" s="82"/>
      <c r="C7" s="81" t="s">
        <v>587</v>
      </c>
      <c r="D7" s="82"/>
      <c r="E7" s="82"/>
      <c r="F7" s="82"/>
      <c r="G7" s="82"/>
      <c r="H7" s="82"/>
      <c r="I7" s="82"/>
      <c r="J7" s="91" t="s">
        <v>358</v>
      </c>
    </row>
    <row r="8" customFormat="false" ht="27.75" hidden="false" customHeight="true" outlineLevel="0" collapsed="false">
      <c r="A8" s="83" t="s">
        <v>588</v>
      </c>
      <c r="B8" s="92" t="s">
        <v>586</v>
      </c>
      <c r="C8" s="84" t="s">
        <v>589</v>
      </c>
      <c r="D8" s="83" t="s">
        <v>172</v>
      </c>
      <c r="E8" s="85" t="n">
        <v>46</v>
      </c>
      <c r="F8" s="83"/>
      <c r="G8" s="85" t="n">
        <v>720</v>
      </c>
      <c r="H8" s="93" t="n">
        <f aca="false">IF($F8&lt;&gt;"",IFERROR(INDEX('Rate Build-Up'!$P$8:$P$47,MATCH($F8,'Rate Build-Up'!$A$8:$A$47,0)),"BU ref not found"),$G8)</f>
        <v>720</v>
      </c>
      <c r="I8" s="88" t="n">
        <f aca="false">IF(AND(ISNUMBER($E8),ISNUMBER($H8)),ROUND($E8*$H8,2),"")</f>
        <v>33120</v>
      </c>
      <c r="J8" s="64"/>
    </row>
    <row r="9" customFormat="false" ht="27.75" hidden="false" customHeight="true" outlineLevel="0" collapsed="false">
      <c r="A9" s="83" t="s">
        <v>590</v>
      </c>
      <c r="B9" s="92" t="s">
        <v>586</v>
      </c>
      <c r="C9" s="84" t="s">
        <v>591</v>
      </c>
      <c r="D9" s="83" t="s">
        <v>172</v>
      </c>
      <c r="E9" s="85" t="n">
        <v>8</v>
      </c>
      <c r="F9" s="83"/>
      <c r="G9" s="85" t="n">
        <v>8400</v>
      </c>
      <c r="H9" s="93" t="n">
        <f aca="false">IF($F9&lt;&gt;"",IFERROR(INDEX('Rate Build-Up'!$P$8:$P$47,MATCH($F9,'Rate Build-Up'!$A$8:$A$47,0)),"BU ref not found"),$G9)</f>
        <v>8400</v>
      </c>
      <c r="I9" s="88" t="n">
        <f aca="false">IF(AND(ISNUMBER($E9),ISNUMBER($H9)),ROUND($E9*$H9,2),"")</f>
        <v>67200</v>
      </c>
      <c r="J9" s="64"/>
    </row>
    <row r="10" customFormat="false" ht="27.75" hidden="false" customHeight="true" outlineLevel="0" collapsed="false">
      <c r="A10" s="83" t="s">
        <v>592</v>
      </c>
      <c r="B10" s="92" t="s">
        <v>586</v>
      </c>
      <c r="C10" s="84" t="s">
        <v>593</v>
      </c>
      <c r="D10" s="83" t="s">
        <v>172</v>
      </c>
      <c r="E10" s="85" t="n">
        <v>180</v>
      </c>
      <c r="F10" s="83"/>
      <c r="G10" s="85" t="n">
        <v>1250</v>
      </c>
      <c r="H10" s="93" t="n">
        <f aca="false">IF($F10&lt;&gt;"",IFERROR(INDEX('Rate Build-Up'!$P$8:$P$47,MATCH($F10,'Rate Build-Up'!$A$8:$A$47,0)),"BU ref not found"),$G10)</f>
        <v>1250</v>
      </c>
      <c r="I10" s="88" t="n">
        <f aca="false">IF(AND(ISNUMBER($E10),ISNUMBER($H10)),ROUND($E10*$H10,2),"")</f>
        <v>225000</v>
      </c>
      <c r="J10" s="64" t="s">
        <v>594</v>
      </c>
    </row>
    <row r="11" customFormat="false" ht="15" hidden="false" customHeight="true" outlineLevel="0" collapsed="false">
      <c r="A11" s="83"/>
      <c r="B11" s="92"/>
      <c r="C11" s="84"/>
      <c r="D11" s="83"/>
      <c r="E11" s="85"/>
      <c r="F11" s="83"/>
      <c r="G11" s="85"/>
      <c r="H11" s="93" t="n">
        <f aca="false">IF($F11&lt;&gt;"",IFERROR(INDEX('Rate Build-Up'!$P$8:$P$47,MATCH($F11,'Rate Build-Up'!$A$8:$A$47,0)),"BU ref not found"),$G11)</f>
        <v>0</v>
      </c>
      <c r="I11" s="88" t="str">
        <f aca="false">IF(AND(ISNUMBER($E11),ISNUMBER($H11)),ROUND($E11*$H11,2),"")</f>
        <v/>
      </c>
      <c r="J11" s="64"/>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true" outlineLevel="0" collapsed="false">
      <c r="A15" s="83"/>
      <c r="B15" s="92"/>
      <c r="C15" s="84"/>
      <c r="D15" s="83"/>
      <c r="E15" s="85"/>
      <c r="F15" s="83"/>
      <c r="G15" s="85"/>
      <c r="H15" s="93" t="n">
        <f aca="false">IF($F15&lt;&gt;"",IFERROR(INDEX('Rate Build-Up'!$P$8:$P$47,MATCH($F15,'Rate Build-Up'!$A$8:$A$47,0)),"BU ref not found"),$G15)</f>
        <v>0</v>
      </c>
      <c r="I15" s="88" t="str">
        <f aca="false">IF(AND(ISNUMBER($E15),ISNUMBER($H15)),ROUND($E15*$H15,2),"")</f>
        <v/>
      </c>
      <c r="J15" s="64"/>
    </row>
    <row r="16" customFormat="false" ht="15" hidden="false" customHeight="true" outlineLevel="0" collapsed="false">
      <c r="A16" s="83"/>
      <c r="B16" s="92"/>
      <c r="C16" s="84"/>
      <c r="D16" s="83"/>
      <c r="E16" s="85"/>
      <c r="F16" s="83"/>
      <c r="G16" s="85"/>
      <c r="H16" s="93" t="n">
        <f aca="false">IF($F16&lt;&gt;"",IFERROR(INDEX('Rate Build-Up'!$P$8:$P$47,MATCH($F16,'Rate Build-Up'!$A$8:$A$47,0)),"BU ref not found"),$G16)</f>
        <v>0</v>
      </c>
      <c r="I16" s="88" t="str">
        <f aca="false">IF(AND(ISNUMBER($E16),ISNUMBER($H16)),ROUND($E16*$H16,2),"")</f>
        <v/>
      </c>
      <c r="J16" s="64"/>
    </row>
    <row r="17" customFormat="false" ht="15" hidden="false" customHeight="true" outlineLevel="0" collapsed="false">
      <c r="A17" s="83"/>
      <c r="B17" s="92"/>
      <c r="C17" s="84"/>
      <c r="D17" s="83"/>
      <c r="E17" s="85"/>
      <c r="F17" s="83"/>
      <c r="G17" s="85"/>
      <c r="H17" s="93" t="n">
        <f aca="false">IF($F17&lt;&gt;"",IFERROR(INDEX('Rate Build-Up'!$P$8:$P$47,MATCH($F17,'Rate Build-Up'!$A$8:$A$47,0)),"BU ref not found"),$G17)</f>
        <v>0</v>
      </c>
      <c r="I17" s="88" t="str">
        <f aca="false">IF(AND(ISNUMBER($E17),ISNUMBER($H17)),ROUND($E17*$H17,2),"")</f>
        <v/>
      </c>
      <c r="J17" s="64"/>
    </row>
    <row r="18" customFormat="false" ht="15" hidden="false" customHeight="true" outlineLevel="0" collapsed="false">
      <c r="A18" s="83"/>
      <c r="B18" s="92"/>
      <c r="C18" s="84"/>
      <c r="D18" s="83"/>
      <c r="E18" s="85"/>
      <c r="F18" s="83"/>
      <c r="G18" s="85"/>
      <c r="H18" s="93" t="n">
        <f aca="false">IF($F18&lt;&gt;"",IFERROR(INDEX('Rate Build-Up'!$P$8:$P$47,MATCH($F18,'Rate Build-Up'!$A$8:$A$47,0)),"BU ref not found"),$G18)</f>
        <v>0</v>
      </c>
      <c r="I18" s="88" t="str">
        <f aca="false">IF(AND(ISNUMBER($E18),ISNUMBER($H18)),ROUND($E18*$H18,2),"")</f>
        <v/>
      </c>
      <c r="J18" s="64"/>
    </row>
    <row r="19" customFormat="false" ht="15" hidden="false" customHeight="true" outlineLevel="0" collapsed="false">
      <c r="A19" s="83"/>
      <c r="B19" s="92"/>
      <c r="C19" s="84"/>
      <c r="D19" s="83"/>
      <c r="E19" s="85"/>
      <c r="F19" s="83"/>
      <c r="G19" s="85"/>
      <c r="H19" s="93" t="n">
        <f aca="false">IF($F19&lt;&gt;"",IFERROR(INDEX('Rate Build-Up'!$P$8:$P$47,MATCH($F19,'Rate Build-Up'!$A$8:$A$47,0)),"BU ref not found"),$G19)</f>
        <v>0</v>
      </c>
      <c r="I19" s="88" t="str">
        <f aca="false">IF(AND(ISNUMBER($E19),ISNUMBER($H19)),ROUND($E19*$H19,2),"")</f>
        <v/>
      </c>
      <c r="J19" s="64"/>
    </row>
    <row r="20" customFormat="false" ht="15" hidden="false" customHeight="true" outlineLevel="0" collapsed="false">
      <c r="A20" s="83"/>
      <c r="B20" s="92"/>
      <c r="C20" s="84"/>
      <c r="D20" s="83"/>
      <c r="E20" s="85"/>
      <c r="F20" s="83"/>
      <c r="G20" s="85"/>
      <c r="H20" s="93" t="n">
        <f aca="false">IF($F20&lt;&gt;"",IFERROR(INDEX('Rate Build-Up'!$P$8:$P$47,MATCH($F20,'Rate Build-Up'!$A$8:$A$47,0)),"BU ref not found"),$G20)</f>
        <v>0</v>
      </c>
      <c r="I20" s="88" t="str">
        <f aca="false">IF(AND(ISNUMBER($E20),ISNUMBER($H20)),ROUND($E20*$H20,2),"")</f>
        <v/>
      </c>
      <c r="J20" s="64"/>
    </row>
    <row r="21" customFormat="false" ht="15" hidden="false" customHeight="false" outlineLevel="0" collapsed="false">
      <c r="A21" s="42"/>
      <c r="B21" s="42"/>
      <c r="C21" s="43" t="s">
        <v>595</v>
      </c>
      <c r="D21" s="42"/>
      <c r="E21" s="42"/>
      <c r="F21" s="42"/>
      <c r="G21" s="42"/>
      <c r="H21" s="42"/>
      <c r="I21" s="89" t="n">
        <f aca="false">ROUND(SUM($I$8:$I$20),2)</f>
        <v>325320</v>
      </c>
      <c r="J21" s="42"/>
    </row>
  </sheetData>
  <mergeCells count="4">
    <mergeCell ref="A1:I1"/>
    <mergeCell ref="A2:J2"/>
    <mergeCell ref="A3:J3"/>
    <mergeCell ref="A4:H4"/>
  </mergeCells>
  <conditionalFormatting sqref="C7:J23">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23"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6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596</v>
      </c>
      <c r="B2" s="32"/>
      <c r="C2" s="32"/>
      <c r="D2" s="32"/>
      <c r="E2" s="32"/>
      <c r="F2" s="32"/>
      <c r="G2" s="32"/>
      <c r="H2" s="32"/>
      <c r="I2" s="32"/>
      <c r="J2" s="32"/>
    </row>
    <row r="3" customFormat="false" ht="15" hidden="false" customHeight="false" outlineLevel="0" collapsed="false">
      <c r="A3" s="17" t="s">
        <v>597</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ROUND($I$16+$I$30+$I$44+$I$53+$I$62,2)</f>
        <v>7449331</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598</v>
      </c>
      <c r="B7" s="82"/>
      <c r="C7" s="81" t="s">
        <v>599</v>
      </c>
      <c r="D7" s="82"/>
      <c r="E7" s="82"/>
      <c r="F7" s="82"/>
      <c r="G7" s="82"/>
      <c r="H7" s="82"/>
      <c r="I7" s="82"/>
      <c r="J7" s="91" t="s">
        <v>387</v>
      </c>
    </row>
    <row r="8" customFormat="false" ht="27.75" hidden="false" customHeight="true" outlineLevel="0" collapsed="false">
      <c r="A8" s="83" t="s">
        <v>600</v>
      </c>
      <c r="B8" s="92" t="s">
        <v>598</v>
      </c>
      <c r="C8" s="84" t="s">
        <v>601</v>
      </c>
      <c r="D8" s="83" t="s">
        <v>390</v>
      </c>
      <c r="E8" s="85" t="n">
        <v>480</v>
      </c>
      <c r="F8" s="83"/>
      <c r="G8" s="85" t="n">
        <v>96</v>
      </c>
      <c r="H8" s="93" t="n">
        <f aca="false">IF($F8&lt;&gt;"",IFERROR(INDEX('Rate Build-Up'!$P$8:$P$47,MATCH($F8,'Rate Build-Up'!$A$8:$A$47,0)),"BU ref not found"),$G8)</f>
        <v>96</v>
      </c>
      <c r="I8" s="88" t="n">
        <f aca="false">IF(AND(ISNUMBER($E8),ISNUMBER($H8)),ROUND($E8*$H8,2),"")</f>
        <v>46080</v>
      </c>
      <c r="J8" s="64"/>
    </row>
    <row r="9" customFormat="false" ht="15" hidden="false" customHeight="true" outlineLevel="0" collapsed="false">
      <c r="A9" s="83" t="s">
        <v>602</v>
      </c>
      <c r="B9" s="92" t="s">
        <v>598</v>
      </c>
      <c r="C9" s="84" t="s">
        <v>603</v>
      </c>
      <c r="D9" s="83" t="s">
        <v>390</v>
      </c>
      <c r="E9" s="85" t="n">
        <v>320</v>
      </c>
      <c r="F9" s="83"/>
      <c r="G9" s="85" t="n">
        <v>118</v>
      </c>
      <c r="H9" s="93" t="n">
        <f aca="false">IF($F9&lt;&gt;"",IFERROR(INDEX('Rate Build-Up'!$P$8:$P$47,MATCH($F9,'Rate Build-Up'!$A$8:$A$47,0)),"BU ref not found"),$G9)</f>
        <v>118</v>
      </c>
      <c r="I9" s="88" t="n">
        <f aca="false">IF(AND(ISNUMBER($E9),ISNUMBER($H9)),ROUND($E9*$H9,2),"")</f>
        <v>37760</v>
      </c>
      <c r="J9" s="64"/>
    </row>
    <row r="10" customFormat="false" ht="15" hidden="false" customHeight="true" outlineLevel="0" collapsed="false">
      <c r="A10" s="83"/>
      <c r="B10" s="92"/>
      <c r="C10" s="84"/>
      <c r="D10" s="83"/>
      <c r="E10" s="85"/>
      <c r="F10" s="83"/>
      <c r="G10" s="85"/>
      <c r="H10" s="93" t="n">
        <f aca="false">IF($F10&lt;&gt;"",IFERROR(INDEX('Rate Build-Up'!$P$8:$P$47,MATCH($F10,'Rate Build-Up'!$A$8:$A$47,0)),"BU ref not found"),$G10)</f>
        <v>0</v>
      </c>
      <c r="I10" s="88" t="str">
        <f aca="false">IF(AND(ISNUMBER($E10),ISNUMBER($H10)),ROUND($E10*$H10,2),"")</f>
        <v/>
      </c>
      <c r="J10" s="64"/>
    </row>
    <row r="11" customFormat="false" ht="15" hidden="false" customHeight="true" outlineLevel="0" collapsed="false">
      <c r="A11" s="83"/>
      <c r="B11" s="92"/>
      <c r="C11" s="84"/>
      <c r="D11" s="83"/>
      <c r="E11" s="85"/>
      <c r="F11" s="83"/>
      <c r="G11" s="85"/>
      <c r="H11" s="93" t="n">
        <f aca="false">IF($F11&lt;&gt;"",IFERROR(INDEX('Rate Build-Up'!$P$8:$P$47,MATCH($F11,'Rate Build-Up'!$A$8:$A$47,0)),"BU ref not found"),$G11)</f>
        <v>0</v>
      </c>
      <c r="I11" s="88" t="str">
        <f aca="false">IF(AND(ISNUMBER($E11),ISNUMBER($H11)),ROUND($E11*$H11,2),"")</f>
        <v/>
      </c>
      <c r="J11" s="64"/>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true" outlineLevel="0" collapsed="false">
      <c r="A15" s="83"/>
      <c r="B15" s="92"/>
      <c r="C15" s="84"/>
      <c r="D15" s="83"/>
      <c r="E15" s="85"/>
      <c r="F15" s="83"/>
      <c r="G15" s="85"/>
      <c r="H15" s="93" t="n">
        <f aca="false">IF($F15&lt;&gt;"",IFERROR(INDEX('Rate Build-Up'!$P$8:$P$47,MATCH($F15,'Rate Build-Up'!$A$8:$A$47,0)),"BU ref not found"),$G15)</f>
        <v>0</v>
      </c>
      <c r="I15" s="88" t="str">
        <f aca="false">IF(AND(ISNUMBER($E15),ISNUMBER($H15)),ROUND($E15*$H15,2),"")</f>
        <v/>
      </c>
      <c r="J15" s="64"/>
    </row>
    <row r="16" customFormat="false" ht="15" hidden="false" customHeight="false" outlineLevel="0" collapsed="false">
      <c r="A16" s="42"/>
      <c r="B16" s="42"/>
      <c r="C16" s="43" t="s">
        <v>604</v>
      </c>
      <c r="D16" s="42"/>
      <c r="E16" s="42"/>
      <c r="F16" s="42"/>
      <c r="G16" s="42"/>
      <c r="H16" s="42"/>
      <c r="I16" s="89" t="n">
        <f aca="false">ROUND(SUM($I$8:$I$15),2)</f>
        <v>83840</v>
      </c>
      <c r="J16" s="42"/>
    </row>
    <row r="18" customFormat="false" ht="15" hidden="false" customHeight="false" outlineLevel="0" collapsed="false">
      <c r="A18" s="90" t="s">
        <v>605</v>
      </c>
      <c r="B18" s="82"/>
      <c r="C18" s="81" t="s">
        <v>606</v>
      </c>
      <c r="D18" s="82"/>
      <c r="E18" s="82"/>
      <c r="F18" s="82"/>
      <c r="G18" s="82"/>
      <c r="H18" s="82"/>
      <c r="I18" s="82"/>
      <c r="J18" s="91" t="s">
        <v>607</v>
      </c>
    </row>
    <row r="19" customFormat="false" ht="27.75" hidden="false" customHeight="true" outlineLevel="0" collapsed="false">
      <c r="A19" s="83" t="s">
        <v>608</v>
      </c>
      <c r="B19" s="92" t="s">
        <v>605</v>
      </c>
      <c r="C19" s="84" t="s">
        <v>609</v>
      </c>
      <c r="D19" s="83" t="s">
        <v>181</v>
      </c>
      <c r="E19" s="85" t="n">
        <v>8600</v>
      </c>
      <c r="F19" s="83"/>
      <c r="G19" s="85" t="n">
        <v>385</v>
      </c>
      <c r="H19" s="93" t="n">
        <f aca="false">IF($F19&lt;&gt;"",IFERROR(INDEX('Rate Build-Up'!$P$8:$P$47,MATCH($F19,'Rate Build-Up'!$A$8:$A$47,0)),"BU ref not found"),$G19)</f>
        <v>385</v>
      </c>
      <c r="I19" s="88" t="n">
        <f aca="false">IF(AND(ISNUMBER($E19),ISNUMBER($H19)),ROUND($E19*$H19,2),"")</f>
        <v>3311000</v>
      </c>
      <c r="J19" s="64"/>
    </row>
    <row r="20" customFormat="false" ht="15" hidden="false" customHeight="true" outlineLevel="0" collapsed="false">
      <c r="A20" s="83" t="s">
        <v>610</v>
      </c>
      <c r="B20" s="92" t="s">
        <v>605</v>
      </c>
      <c r="C20" s="84" t="s">
        <v>611</v>
      </c>
      <c r="D20" s="83" t="s">
        <v>351</v>
      </c>
      <c r="E20" s="85" t="n">
        <v>1</v>
      </c>
      <c r="F20" s="83"/>
      <c r="G20" s="85" t="n">
        <v>165000</v>
      </c>
      <c r="H20" s="93" t="n">
        <f aca="false">IF($F20&lt;&gt;"",IFERROR(INDEX('Rate Build-Up'!$P$8:$P$47,MATCH($F20,'Rate Build-Up'!$A$8:$A$47,0)),"BU ref not found"),$G20)</f>
        <v>165000</v>
      </c>
      <c r="I20" s="88" t="n">
        <f aca="false">IF(AND(ISNUMBER($E20),ISNUMBER($H20)),ROUND($E20*$H20,2),"")</f>
        <v>165000</v>
      </c>
      <c r="J20" s="64"/>
    </row>
    <row r="21" customFormat="false" ht="15" hidden="false" customHeight="true" outlineLevel="0" collapsed="false">
      <c r="A21" s="83" t="s">
        <v>612</v>
      </c>
      <c r="B21" s="92" t="s">
        <v>605</v>
      </c>
      <c r="C21" s="84" t="s">
        <v>613</v>
      </c>
      <c r="D21" s="83" t="s">
        <v>181</v>
      </c>
      <c r="E21" s="85" t="n">
        <v>8600</v>
      </c>
      <c r="F21" s="83"/>
      <c r="G21" s="85" t="n">
        <v>92</v>
      </c>
      <c r="H21" s="93" t="n">
        <f aca="false">IF($F21&lt;&gt;"",IFERROR(INDEX('Rate Build-Up'!$P$8:$P$47,MATCH($F21,'Rate Build-Up'!$A$8:$A$47,0)),"BU ref not found"),$G21)</f>
        <v>92</v>
      </c>
      <c r="I21" s="88" t="n">
        <f aca="false">IF(AND(ISNUMBER($E21),ISNUMBER($H21)),ROUND($E21*$H21,2),"")</f>
        <v>791200</v>
      </c>
      <c r="J21" s="64"/>
    </row>
    <row r="22" customFormat="false" ht="15" hidden="false" customHeight="true" outlineLevel="0" collapsed="false">
      <c r="A22" s="83"/>
      <c r="B22" s="92"/>
      <c r="C22" s="84"/>
      <c r="D22" s="83"/>
      <c r="E22" s="85"/>
      <c r="F22" s="83"/>
      <c r="G22" s="85"/>
      <c r="H22" s="93" t="n">
        <f aca="false">IF($F22&lt;&gt;"",IFERROR(INDEX('Rate Build-Up'!$P$8:$P$47,MATCH($F22,'Rate Build-Up'!$A$8:$A$47,0)),"BU ref not found"),$G22)</f>
        <v>0</v>
      </c>
      <c r="I22" s="88" t="str">
        <f aca="false">IF(AND(ISNUMBER($E22),ISNUMBER($H22)),ROUND($E22*$H22,2),"")</f>
        <v/>
      </c>
      <c r="J22" s="64"/>
    </row>
    <row r="23" customFormat="false" ht="15" hidden="false" customHeight="true" outlineLevel="0" collapsed="false">
      <c r="A23" s="83"/>
      <c r="B23" s="92"/>
      <c r="C23" s="84"/>
      <c r="D23" s="83"/>
      <c r="E23" s="85"/>
      <c r="F23" s="83"/>
      <c r="G23" s="85"/>
      <c r="H23" s="93" t="n">
        <f aca="false">IF($F23&lt;&gt;"",IFERROR(INDEX('Rate Build-Up'!$P$8:$P$47,MATCH($F23,'Rate Build-Up'!$A$8:$A$47,0)),"BU ref not found"),$G23)</f>
        <v>0</v>
      </c>
      <c r="I23" s="88" t="str">
        <f aca="false">IF(AND(ISNUMBER($E23),ISNUMBER($H23)),ROUND($E23*$H23,2),"")</f>
        <v/>
      </c>
      <c r="J23" s="64"/>
    </row>
    <row r="24" customFormat="false" ht="15" hidden="false" customHeight="true" outlineLevel="0" collapsed="false">
      <c r="A24" s="83"/>
      <c r="B24" s="92"/>
      <c r="C24" s="84"/>
      <c r="D24" s="83"/>
      <c r="E24" s="85"/>
      <c r="F24" s="83"/>
      <c r="G24" s="85"/>
      <c r="H24" s="93" t="n">
        <f aca="false">IF($F24&lt;&gt;"",IFERROR(INDEX('Rate Build-Up'!$P$8:$P$47,MATCH($F24,'Rate Build-Up'!$A$8:$A$47,0)),"BU ref not found"),$G24)</f>
        <v>0</v>
      </c>
      <c r="I24" s="88" t="str">
        <f aca="false">IF(AND(ISNUMBER($E24),ISNUMBER($H24)),ROUND($E24*$H24,2),"")</f>
        <v/>
      </c>
      <c r="J24" s="64"/>
    </row>
    <row r="25" customFormat="false" ht="15" hidden="false" customHeight="true" outlineLevel="0" collapsed="false">
      <c r="A25" s="83"/>
      <c r="B25" s="92"/>
      <c r="C25" s="84"/>
      <c r="D25" s="83"/>
      <c r="E25" s="85"/>
      <c r="F25" s="83"/>
      <c r="G25" s="85"/>
      <c r="H25" s="93" t="n">
        <f aca="false">IF($F25&lt;&gt;"",IFERROR(INDEX('Rate Build-Up'!$P$8:$P$47,MATCH($F25,'Rate Build-Up'!$A$8:$A$47,0)),"BU ref not found"),$G25)</f>
        <v>0</v>
      </c>
      <c r="I25" s="88" t="str">
        <f aca="false">IF(AND(ISNUMBER($E25),ISNUMBER($H25)),ROUND($E25*$H25,2),"")</f>
        <v/>
      </c>
      <c r="J25" s="64"/>
    </row>
    <row r="26" customFormat="false" ht="15" hidden="false" customHeight="true" outlineLevel="0" collapsed="false">
      <c r="A26" s="83"/>
      <c r="B26" s="92"/>
      <c r="C26" s="84"/>
      <c r="D26" s="83"/>
      <c r="E26" s="85"/>
      <c r="F26" s="83"/>
      <c r="G26" s="85"/>
      <c r="H26" s="93" t="n">
        <f aca="false">IF($F26&lt;&gt;"",IFERROR(INDEX('Rate Build-Up'!$P$8:$P$47,MATCH($F26,'Rate Build-Up'!$A$8:$A$47,0)),"BU ref not found"),$G26)</f>
        <v>0</v>
      </c>
      <c r="I26" s="88" t="str">
        <f aca="false">IF(AND(ISNUMBER($E26),ISNUMBER($H26)),ROUND($E26*$H26,2),"")</f>
        <v/>
      </c>
      <c r="J26" s="64"/>
    </row>
    <row r="27" customFormat="false" ht="15" hidden="false" customHeight="true" outlineLevel="0" collapsed="false">
      <c r="A27" s="83"/>
      <c r="B27" s="92"/>
      <c r="C27" s="84"/>
      <c r="D27" s="83"/>
      <c r="E27" s="85"/>
      <c r="F27" s="83"/>
      <c r="G27" s="85"/>
      <c r="H27" s="93" t="n">
        <f aca="false">IF($F27&lt;&gt;"",IFERROR(INDEX('Rate Build-Up'!$P$8:$P$47,MATCH($F27,'Rate Build-Up'!$A$8:$A$47,0)),"BU ref not found"),$G27)</f>
        <v>0</v>
      </c>
      <c r="I27" s="88" t="str">
        <f aca="false">IF(AND(ISNUMBER($E27),ISNUMBER($H27)),ROUND($E27*$H27,2),"")</f>
        <v/>
      </c>
      <c r="J27" s="64"/>
    </row>
    <row r="28" customFormat="false" ht="15" hidden="false" customHeight="true" outlineLevel="0" collapsed="false">
      <c r="A28" s="83"/>
      <c r="B28" s="92"/>
      <c r="C28" s="84"/>
      <c r="D28" s="83"/>
      <c r="E28" s="85"/>
      <c r="F28" s="83"/>
      <c r="G28" s="85"/>
      <c r="H28" s="93" t="n">
        <f aca="false">IF($F28&lt;&gt;"",IFERROR(INDEX('Rate Build-Up'!$P$8:$P$47,MATCH($F28,'Rate Build-Up'!$A$8:$A$47,0)),"BU ref not found"),$G28)</f>
        <v>0</v>
      </c>
      <c r="I28" s="88" t="str">
        <f aca="false">IF(AND(ISNUMBER($E28),ISNUMBER($H28)),ROUND($E28*$H28,2),"")</f>
        <v/>
      </c>
      <c r="J28" s="64"/>
    </row>
    <row r="29" customFormat="false" ht="15" hidden="false" customHeight="true" outlineLevel="0" collapsed="false">
      <c r="A29" s="83"/>
      <c r="B29" s="92"/>
      <c r="C29" s="84"/>
      <c r="D29" s="83"/>
      <c r="E29" s="85"/>
      <c r="F29" s="83"/>
      <c r="G29" s="85"/>
      <c r="H29" s="93" t="n">
        <f aca="false">IF($F29&lt;&gt;"",IFERROR(INDEX('Rate Build-Up'!$P$8:$P$47,MATCH($F29,'Rate Build-Up'!$A$8:$A$47,0)),"BU ref not found"),$G29)</f>
        <v>0</v>
      </c>
      <c r="I29" s="88" t="str">
        <f aca="false">IF(AND(ISNUMBER($E29),ISNUMBER($H29)),ROUND($E29*$H29,2),"")</f>
        <v/>
      </c>
      <c r="J29" s="64"/>
    </row>
    <row r="30" customFormat="false" ht="15" hidden="false" customHeight="false" outlineLevel="0" collapsed="false">
      <c r="A30" s="42"/>
      <c r="B30" s="42"/>
      <c r="C30" s="43" t="s">
        <v>614</v>
      </c>
      <c r="D30" s="42"/>
      <c r="E30" s="42"/>
      <c r="F30" s="42"/>
      <c r="G30" s="42"/>
      <c r="H30" s="42"/>
      <c r="I30" s="89" t="n">
        <f aca="false">ROUND(SUM($I$19:$I$29),2)</f>
        <v>4267200</v>
      </c>
      <c r="J30" s="42"/>
    </row>
    <row r="32" customFormat="false" ht="15" hidden="false" customHeight="false" outlineLevel="0" collapsed="false">
      <c r="A32" s="90" t="s">
        <v>615</v>
      </c>
      <c r="B32" s="82"/>
      <c r="C32" s="81" t="s">
        <v>616</v>
      </c>
      <c r="D32" s="82"/>
      <c r="E32" s="82"/>
      <c r="F32" s="82"/>
      <c r="G32" s="82"/>
      <c r="H32" s="82"/>
      <c r="I32" s="82"/>
      <c r="J32" s="91" t="s">
        <v>607</v>
      </c>
    </row>
    <row r="33" customFormat="false" ht="27.75" hidden="false" customHeight="true" outlineLevel="0" collapsed="false">
      <c r="A33" s="83" t="s">
        <v>617</v>
      </c>
      <c r="B33" s="92" t="s">
        <v>615</v>
      </c>
      <c r="C33" s="84" t="s">
        <v>618</v>
      </c>
      <c r="D33" s="83" t="s">
        <v>172</v>
      </c>
      <c r="E33" s="85" t="n">
        <v>1</v>
      </c>
      <c r="F33" s="83"/>
      <c r="G33" s="85" t="n">
        <v>145000</v>
      </c>
      <c r="H33" s="93" t="n">
        <f aca="false">IF($F33&lt;&gt;"",IFERROR(INDEX('Rate Build-Up'!$P$8:$P$47,MATCH($F33,'Rate Build-Up'!$A$8:$A$47,0)),"BU ref not found"),$G33)</f>
        <v>145000</v>
      </c>
      <c r="I33" s="88" t="n">
        <f aca="false">IF(AND(ISNUMBER($E33),ISNUMBER($H33)),ROUND($E33*$H33,2),"")</f>
        <v>145000</v>
      </c>
      <c r="J33" s="64"/>
    </row>
    <row r="34" customFormat="false" ht="27.75" hidden="false" customHeight="true" outlineLevel="0" collapsed="false">
      <c r="A34" s="83" t="s">
        <v>619</v>
      </c>
      <c r="B34" s="92" t="s">
        <v>615</v>
      </c>
      <c r="C34" s="84" t="s">
        <v>620</v>
      </c>
      <c r="D34" s="83" t="s">
        <v>181</v>
      </c>
      <c r="E34" s="85" t="n">
        <v>8600</v>
      </c>
      <c r="F34" s="83"/>
      <c r="G34" s="85" t="n">
        <v>210</v>
      </c>
      <c r="H34" s="93" t="n">
        <f aca="false">IF($F34&lt;&gt;"",IFERROR(INDEX('Rate Build-Up'!$P$8:$P$47,MATCH($F34,'Rate Build-Up'!$A$8:$A$47,0)),"BU ref not found"),$G34)</f>
        <v>210</v>
      </c>
      <c r="I34" s="88" t="n">
        <f aca="false">IF(AND(ISNUMBER($E34),ISNUMBER($H34)),ROUND($E34*$H34,2),"")</f>
        <v>1806000</v>
      </c>
      <c r="J34" s="64"/>
    </row>
    <row r="35" customFormat="false" ht="15" hidden="false" customHeight="true" outlineLevel="0" collapsed="false">
      <c r="A35" s="83" t="s">
        <v>621</v>
      </c>
      <c r="B35" s="92" t="s">
        <v>615</v>
      </c>
      <c r="C35" s="84" t="s">
        <v>622</v>
      </c>
      <c r="D35" s="83" t="s">
        <v>181</v>
      </c>
      <c r="E35" s="85" t="n">
        <v>8600</v>
      </c>
      <c r="F35" s="83"/>
      <c r="G35" s="85" t="n">
        <v>46</v>
      </c>
      <c r="H35" s="93" t="n">
        <f aca="false">IF($F35&lt;&gt;"",IFERROR(INDEX('Rate Build-Up'!$P$8:$P$47,MATCH($F35,'Rate Build-Up'!$A$8:$A$47,0)),"BU ref not found"),$G35)</f>
        <v>46</v>
      </c>
      <c r="I35" s="88" t="n">
        <f aca="false">IF(AND(ISNUMBER($E35),ISNUMBER($H35)),ROUND($E35*$H35,2),"")</f>
        <v>395600</v>
      </c>
      <c r="J35" s="64"/>
    </row>
    <row r="36" customFormat="false" ht="15" hidden="false" customHeight="true" outlineLevel="0" collapsed="false">
      <c r="A36" s="83"/>
      <c r="B36" s="92"/>
      <c r="C36" s="84"/>
      <c r="D36" s="83"/>
      <c r="E36" s="85"/>
      <c r="F36" s="83"/>
      <c r="G36" s="85"/>
      <c r="H36" s="93" t="n">
        <f aca="false">IF($F36&lt;&gt;"",IFERROR(INDEX('Rate Build-Up'!$P$8:$P$47,MATCH($F36,'Rate Build-Up'!$A$8:$A$47,0)),"BU ref not found"),$G36)</f>
        <v>0</v>
      </c>
      <c r="I36" s="88" t="str">
        <f aca="false">IF(AND(ISNUMBER($E36),ISNUMBER($H36)),ROUND($E36*$H36,2),"")</f>
        <v/>
      </c>
      <c r="J36" s="64"/>
    </row>
    <row r="37" customFormat="false" ht="15" hidden="false" customHeight="true" outlineLevel="0" collapsed="false">
      <c r="A37" s="83"/>
      <c r="B37" s="92"/>
      <c r="C37" s="84"/>
      <c r="D37" s="83"/>
      <c r="E37" s="85"/>
      <c r="F37" s="83"/>
      <c r="G37" s="85"/>
      <c r="H37" s="93" t="n">
        <f aca="false">IF($F37&lt;&gt;"",IFERROR(INDEX('Rate Build-Up'!$P$8:$P$47,MATCH($F37,'Rate Build-Up'!$A$8:$A$47,0)),"BU ref not found"),$G37)</f>
        <v>0</v>
      </c>
      <c r="I37" s="88" t="str">
        <f aca="false">IF(AND(ISNUMBER($E37),ISNUMBER($H37)),ROUND($E37*$H37,2),"")</f>
        <v/>
      </c>
      <c r="J37" s="64"/>
    </row>
    <row r="38" customFormat="false" ht="15" hidden="false" customHeight="true" outlineLevel="0" collapsed="false">
      <c r="A38" s="83"/>
      <c r="B38" s="92"/>
      <c r="C38" s="84"/>
      <c r="D38" s="83"/>
      <c r="E38" s="85"/>
      <c r="F38" s="83"/>
      <c r="G38" s="85"/>
      <c r="H38" s="93" t="n">
        <f aca="false">IF($F38&lt;&gt;"",IFERROR(INDEX('Rate Build-Up'!$P$8:$P$47,MATCH($F38,'Rate Build-Up'!$A$8:$A$47,0)),"BU ref not found"),$G38)</f>
        <v>0</v>
      </c>
      <c r="I38" s="88" t="str">
        <f aca="false">IF(AND(ISNUMBER($E38),ISNUMBER($H38)),ROUND($E38*$H38,2),"")</f>
        <v/>
      </c>
      <c r="J38" s="64"/>
    </row>
    <row r="39" customFormat="false" ht="15" hidden="false" customHeight="true" outlineLevel="0" collapsed="false">
      <c r="A39" s="83"/>
      <c r="B39" s="92"/>
      <c r="C39" s="84"/>
      <c r="D39" s="83"/>
      <c r="E39" s="85"/>
      <c r="F39" s="83"/>
      <c r="G39" s="85"/>
      <c r="H39" s="93" t="n">
        <f aca="false">IF($F39&lt;&gt;"",IFERROR(INDEX('Rate Build-Up'!$P$8:$P$47,MATCH($F39,'Rate Build-Up'!$A$8:$A$47,0)),"BU ref not found"),$G39)</f>
        <v>0</v>
      </c>
      <c r="I39" s="88" t="str">
        <f aca="false">IF(AND(ISNUMBER($E39),ISNUMBER($H39)),ROUND($E39*$H39,2),"")</f>
        <v/>
      </c>
      <c r="J39" s="64"/>
    </row>
    <row r="40" customFormat="false" ht="15" hidden="false" customHeight="true" outlineLevel="0" collapsed="false">
      <c r="A40" s="83"/>
      <c r="B40" s="92"/>
      <c r="C40" s="84"/>
      <c r="D40" s="83"/>
      <c r="E40" s="85"/>
      <c r="F40" s="83"/>
      <c r="G40" s="85"/>
      <c r="H40" s="93" t="n">
        <f aca="false">IF($F40&lt;&gt;"",IFERROR(INDEX('Rate Build-Up'!$P$8:$P$47,MATCH($F40,'Rate Build-Up'!$A$8:$A$47,0)),"BU ref not found"),$G40)</f>
        <v>0</v>
      </c>
      <c r="I40" s="88" t="str">
        <f aca="false">IF(AND(ISNUMBER($E40),ISNUMBER($H40)),ROUND($E40*$H40,2),"")</f>
        <v/>
      </c>
      <c r="J40" s="64"/>
    </row>
    <row r="41" customFormat="false" ht="15" hidden="false" customHeight="true" outlineLevel="0" collapsed="false">
      <c r="A41" s="83"/>
      <c r="B41" s="92"/>
      <c r="C41" s="84"/>
      <c r="D41" s="83"/>
      <c r="E41" s="85"/>
      <c r="F41" s="83"/>
      <c r="G41" s="85"/>
      <c r="H41" s="93" t="n">
        <f aca="false">IF($F41&lt;&gt;"",IFERROR(INDEX('Rate Build-Up'!$P$8:$P$47,MATCH($F41,'Rate Build-Up'!$A$8:$A$47,0)),"BU ref not found"),$G41)</f>
        <v>0</v>
      </c>
      <c r="I41" s="88" t="str">
        <f aca="false">IF(AND(ISNUMBER($E41),ISNUMBER($H41)),ROUND($E41*$H41,2),"")</f>
        <v/>
      </c>
      <c r="J41" s="64"/>
    </row>
    <row r="42" customFormat="false" ht="15" hidden="false" customHeight="true" outlineLevel="0" collapsed="false">
      <c r="A42" s="83"/>
      <c r="B42" s="92"/>
      <c r="C42" s="84"/>
      <c r="D42" s="83"/>
      <c r="E42" s="85"/>
      <c r="F42" s="83"/>
      <c r="G42" s="85"/>
      <c r="H42" s="93" t="n">
        <f aca="false">IF($F42&lt;&gt;"",IFERROR(INDEX('Rate Build-Up'!$P$8:$P$47,MATCH($F42,'Rate Build-Up'!$A$8:$A$47,0)),"BU ref not found"),$G42)</f>
        <v>0</v>
      </c>
      <c r="I42" s="88" t="str">
        <f aca="false">IF(AND(ISNUMBER($E42),ISNUMBER($H42)),ROUND($E42*$H42,2),"")</f>
        <v/>
      </c>
      <c r="J42" s="64"/>
    </row>
    <row r="43" customFormat="false" ht="15" hidden="false" customHeight="true" outlineLevel="0" collapsed="false">
      <c r="A43" s="83"/>
      <c r="B43" s="92"/>
      <c r="C43" s="84"/>
      <c r="D43" s="83"/>
      <c r="E43" s="85"/>
      <c r="F43" s="83"/>
      <c r="G43" s="85"/>
      <c r="H43" s="93" t="n">
        <f aca="false">IF($F43&lt;&gt;"",IFERROR(INDEX('Rate Build-Up'!$P$8:$P$47,MATCH($F43,'Rate Build-Up'!$A$8:$A$47,0)),"BU ref not found"),$G43)</f>
        <v>0</v>
      </c>
      <c r="I43" s="88" t="str">
        <f aca="false">IF(AND(ISNUMBER($E43),ISNUMBER($H43)),ROUND($E43*$H43,2),"")</f>
        <v/>
      </c>
      <c r="J43" s="64"/>
    </row>
    <row r="44" customFormat="false" ht="15" hidden="false" customHeight="false" outlineLevel="0" collapsed="false">
      <c r="A44" s="42"/>
      <c r="B44" s="42"/>
      <c r="C44" s="43" t="s">
        <v>623</v>
      </c>
      <c r="D44" s="42"/>
      <c r="E44" s="42"/>
      <c r="F44" s="42"/>
      <c r="G44" s="42"/>
      <c r="H44" s="42"/>
      <c r="I44" s="89" t="n">
        <f aca="false">ROUND(SUM($I$33:$I$43),2)</f>
        <v>2346600</v>
      </c>
      <c r="J44" s="42"/>
    </row>
    <row r="46" customFormat="false" ht="15" hidden="false" customHeight="false" outlineLevel="0" collapsed="false">
      <c r="A46" s="90" t="s">
        <v>624</v>
      </c>
      <c r="B46" s="82"/>
      <c r="C46" s="81" t="s">
        <v>625</v>
      </c>
      <c r="D46" s="82"/>
      <c r="E46" s="82"/>
      <c r="F46" s="82"/>
      <c r="G46" s="82"/>
      <c r="H46" s="82"/>
      <c r="I46" s="82"/>
      <c r="J46" s="91" t="s">
        <v>521</v>
      </c>
    </row>
    <row r="47" customFormat="false" ht="27.75" hidden="false" customHeight="true" outlineLevel="0" collapsed="false">
      <c r="A47" s="83" t="s">
        <v>626</v>
      </c>
      <c r="B47" s="92" t="s">
        <v>624</v>
      </c>
      <c r="C47" s="84" t="s">
        <v>627</v>
      </c>
      <c r="D47" s="83" t="s">
        <v>172</v>
      </c>
      <c r="E47" s="85" t="n">
        <v>2</v>
      </c>
      <c r="F47" s="83"/>
      <c r="G47" s="85" t="n">
        <v>285000</v>
      </c>
      <c r="H47" s="93" t="n">
        <f aca="false">IF($F47&lt;&gt;"",IFERROR(INDEX('Rate Build-Up'!$P$8:$P$47,MATCH($F47,'Rate Build-Up'!$A$8:$A$47,0)),"BU ref not found"),$G47)</f>
        <v>285000</v>
      </c>
      <c r="I47" s="88" t="n">
        <f aca="false">IF(AND(ISNUMBER($E47),ISNUMBER($H47)),ROUND($E47*$H47,2),"")</f>
        <v>570000</v>
      </c>
      <c r="J47" s="64"/>
    </row>
    <row r="48" customFormat="false" ht="15" hidden="false" customHeight="true" outlineLevel="0" collapsed="false">
      <c r="A48" s="83"/>
      <c r="B48" s="92"/>
      <c r="C48" s="84"/>
      <c r="D48" s="83"/>
      <c r="E48" s="85"/>
      <c r="F48" s="83"/>
      <c r="G48" s="85"/>
      <c r="H48" s="93" t="n">
        <f aca="false">IF($F48&lt;&gt;"",IFERROR(INDEX('Rate Build-Up'!$P$8:$P$47,MATCH($F48,'Rate Build-Up'!$A$8:$A$47,0)),"BU ref not found"),$G48)</f>
        <v>0</v>
      </c>
      <c r="I48" s="88" t="str">
        <f aca="false">IF(AND(ISNUMBER($E48),ISNUMBER($H48)),ROUND($E48*$H48,2),"")</f>
        <v/>
      </c>
      <c r="J48" s="64"/>
    </row>
    <row r="49" customFormat="false" ht="15" hidden="false" customHeight="true" outlineLevel="0" collapsed="false">
      <c r="A49" s="83"/>
      <c r="B49" s="92"/>
      <c r="C49" s="84"/>
      <c r="D49" s="83"/>
      <c r="E49" s="85"/>
      <c r="F49" s="83"/>
      <c r="G49" s="85"/>
      <c r="H49" s="93" t="n">
        <f aca="false">IF($F49&lt;&gt;"",IFERROR(INDEX('Rate Build-Up'!$P$8:$P$47,MATCH($F49,'Rate Build-Up'!$A$8:$A$47,0)),"BU ref not found"),$G49)</f>
        <v>0</v>
      </c>
      <c r="I49" s="88" t="str">
        <f aca="false">IF(AND(ISNUMBER($E49),ISNUMBER($H49)),ROUND($E49*$H49,2),"")</f>
        <v/>
      </c>
      <c r="J49" s="64"/>
    </row>
    <row r="50" customFormat="false" ht="15" hidden="false" customHeight="true" outlineLevel="0" collapsed="false">
      <c r="A50" s="83"/>
      <c r="B50" s="92"/>
      <c r="C50" s="84"/>
      <c r="D50" s="83"/>
      <c r="E50" s="85"/>
      <c r="F50" s="83"/>
      <c r="G50" s="85"/>
      <c r="H50" s="93" t="n">
        <f aca="false">IF($F50&lt;&gt;"",IFERROR(INDEX('Rate Build-Up'!$P$8:$P$47,MATCH($F50,'Rate Build-Up'!$A$8:$A$47,0)),"BU ref not found"),$G50)</f>
        <v>0</v>
      </c>
      <c r="I50" s="88" t="str">
        <f aca="false">IF(AND(ISNUMBER($E50),ISNUMBER($H50)),ROUND($E50*$H50,2),"")</f>
        <v/>
      </c>
      <c r="J50" s="64"/>
    </row>
    <row r="51" customFormat="false" ht="15" hidden="false" customHeight="true" outlineLevel="0" collapsed="false">
      <c r="A51" s="83"/>
      <c r="B51" s="92"/>
      <c r="C51" s="84"/>
      <c r="D51" s="83"/>
      <c r="E51" s="85"/>
      <c r="F51" s="83"/>
      <c r="G51" s="85"/>
      <c r="H51" s="93" t="n">
        <f aca="false">IF($F51&lt;&gt;"",IFERROR(INDEX('Rate Build-Up'!$P$8:$P$47,MATCH($F51,'Rate Build-Up'!$A$8:$A$47,0)),"BU ref not found"),$G51)</f>
        <v>0</v>
      </c>
      <c r="I51" s="88" t="str">
        <f aca="false">IF(AND(ISNUMBER($E51),ISNUMBER($H51)),ROUND($E51*$H51,2),"")</f>
        <v/>
      </c>
      <c r="J51" s="64"/>
    </row>
    <row r="52" customFormat="false" ht="15" hidden="false" customHeight="true" outlineLevel="0" collapsed="false">
      <c r="A52" s="83"/>
      <c r="B52" s="92"/>
      <c r="C52" s="84"/>
      <c r="D52" s="83"/>
      <c r="E52" s="85"/>
      <c r="F52" s="83"/>
      <c r="G52" s="85"/>
      <c r="H52" s="93" t="n">
        <f aca="false">IF($F52&lt;&gt;"",IFERROR(INDEX('Rate Build-Up'!$P$8:$P$47,MATCH($F52,'Rate Build-Up'!$A$8:$A$47,0)),"BU ref not found"),$G52)</f>
        <v>0</v>
      </c>
      <c r="I52" s="88" t="str">
        <f aca="false">IF(AND(ISNUMBER($E52),ISNUMBER($H52)),ROUND($E52*$H52,2),"")</f>
        <v/>
      </c>
      <c r="J52" s="64"/>
    </row>
    <row r="53" customFormat="false" ht="15" hidden="false" customHeight="false" outlineLevel="0" collapsed="false">
      <c r="A53" s="42"/>
      <c r="B53" s="42"/>
      <c r="C53" s="43" t="s">
        <v>628</v>
      </c>
      <c r="D53" s="42"/>
      <c r="E53" s="42"/>
      <c r="F53" s="42"/>
      <c r="G53" s="42"/>
      <c r="H53" s="42"/>
      <c r="I53" s="89" t="n">
        <f aca="false">ROUND(SUM($I$47:$I$52),2)</f>
        <v>570000</v>
      </c>
      <c r="J53" s="42"/>
    </row>
    <row r="55" customFormat="false" ht="15" hidden="false" customHeight="false" outlineLevel="0" collapsed="false">
      <c r="A55" s="90" t="s">
        <v>629</v>
      </c>
      <c r="B55" s="82"/>
      <c r="C55" s="81" t="s">
        <v>630</v>
      </c>
      <c r="D55" s="82"/>
      <c r="E55" s="82"/>
      <c r="F55" s="82"/>
      <c r="G55" s="82"/>
      <c r="H55" s="82"/>
      <c r="I55" s="82"/>
      <c r="J55" s="91" t="s">
        <v>631</v>
      </c>
    </row>
    <row r="56" customFormat="false" ht="27.75" hidden="false" customHeight="true" outlineLevel="0" collapsed="false">
      <c r="A56" s="83" t="s">
        <v>632</v>
      </c>
      <c r="B56" s="92" t="s">
        <v>629</v>
      </c>
      <c r="C56" s="84" t="s">
        <v>633</v>
      </c>
      <c r="D56" s="83" t="s">
        <v>351</v>
      </c>
      <c r="E56" s="85" t="n">
        <v>1</v>
      </c>
      <c r="F56" s="83"/>
      <c r="G56" s="88" t="n">
        <f aca="false">ROUND(($I$16+$I$30+$I$44+$I$53)*Cover!$C$26,2)</f>
        <v>181691</v>
      </c>
      <c r="H56" s="93" t="n">
        <f aca="false">IF($F56&lt;&gt;"",IFERROR(INDEX('Rate Build-Up'!$P$8:$P$47,MATCH($F56,'Rate Build-Up'!$A$8:$A$47,0)),"BU ref not found"),$G56)</f>
        <v>181691</v>
      </c>
      <c r="I56" s="88" t="n">
        <f aca="false">IF(AND(ISNUMBER($E56),ISNUMBER($H56)),ROUND($E56*$H56,2),"")</f>
        <v>181691</v>
      </c>
      <c r="J56" s="64" t="s">
        <v>634</v>
      </c>
    </row>
    <row r="57" customFormat="false" ht="15" hidden="false" customHeight="true" outlineLevel="0" collapsed="false">
      <c r="A57" s="83"/>
      <c r="B57" s="92"/>
      <c r="C57" s="84"/>
      <c r="D57" s="83"/>
      <c r="E57" s="85"/>
      <c r="F57" s="83"/>
      <c r="G57" s="85"/>
      <c r="H57" s="93" t="n">
        <f aca="false">IF($F57&lt;&gt;"",IFERROR(INDEX('Rate Build-Up'!$P$8:$P$47,MATCH($F57,'Rate Build-Up'!$A$8:$A$47,0)),"BU ref not found"),$G57)</f>
        <v>0</v>
      </c>
      <c r="I57" s="88" t="str">
        <f aca="false">IF(AND(ISNUMBER($E57),ISNUMBER($H57)),ROUND($E57*$H57,2),"")</f>
        <v/>
      </c>
      <c r="J57" s="64"/>
    </row>
    <row r="58" customFormat="false" ht="15" hidden="false" customHeight="true" outlineLevel="0" collapsed="false">
      <c r="A58" s="83"/>
      <c r="B58" s="92"/>
      <c r="C58" s="84"/>
      <c r="D58" s="83"/>
      <c r="E58" s="85"/>
      <c r="F58" s="83"/>
      <c r="G58" s="85"/>
      <c r="H58" s="93" t="n">
        <f aca="false">IF($F58&lt;&gt;"",IFERROR(INDEX('Rate Build-Up'!$P$8:$P$47,MATCH($F58,'Rate Build-Up'!$A$8:$A$47,0)),"BU ref not found"),$G58)</f>
        <v>0</v>
      </c>
      <c r="I58" s="88" t="str">
        <f aca="false">IF(AND(ISNUMBER($E58),ISNUMBER($H58)),ROUND($E58*$H58,2),"")</f>
        <v/>
      </c>
      <c r="J58" s="64"/>
    </row>
    <row r="59" customFormat="false" ht="15" hidden="false" customHeight="true" outlineLevel="0" collapsed="false">
      <c r="A59" s="83"/>
      <c r="B59" s="92"/>
      <c r="C59" s="84"/>
      <c r="D59" s="83"/>
      <c r="E59" s="85"/>
      <c r="F59" s="83"/>
      <c r="G59" s="85"/>
      <c r="H59" s="93" t="n">
        <f aca="false">IF($F59&lt;&gt;"",IFERROR(INDEX('Rate Build-Up'!$P$8:$P$47,MATCH($F59,'Rate Build-Up'!$A$8:$A$47,0)),"BU ref not found"),$G59)</f>
        <v>0</v>
      </c>
      <c r="I59" s="88" t="str">
        <f aca="false">IF(AND(ISNUMBER($E59),ISNUMBER($H59)),ROUND($E59*$H59,2),"")</f>
        <v/>
      </c>
      <c r="J59" s="64"/>
    </row>
    <row r="60" customFormat="false" ht="15" hidden="false" customHeight="true" outlineLevel="0" collapsed="false">
      <c r="A60" s="83"/>
      <c r="B60" s="92"/>
      <c r="C60" s="84"/>
      <c r="D60" s="83"/>
      <c r="E60" s="85"/>
      <c r="F60" s="83"/>
      <c r="G60" s="85"/>
      <c r="H60" s="93" t="n">
        <f aca="false">IF($F60&lt;&gt;"",IFERROR(INDEX('Rate Build-Up'!$P$8:$P$47,MATCH($F60,'Rate Build-Up'!$A$8:$A$47,0)),"BU ref not found"),$G60)</f>
        <v>0</v>
      </c>
      <c r="I60" s="88" t="str">
        <f aca="false">IF(AND(ISNUMBER($E60),ISNUMBER($H60)),ROUND($E60*$H60,2),"")</f>
        <v/>
      </c>
      <c r="J60" s="64"/>
    </row>
    <row r="61" customFormat="false" ht="15" hidden="false" customHeight="true" outlineLevel="0" collapsed="false">
      <c r="A61" s="83"/>
      <c r="B61" s="92"/>
      <c r="C61" s="84"/>
      <c r="D61" s="83"/>
      <c r="E61" s="85"/>
      <c r="F61" s="83"/>
      <c r="G61" s="85"/>
      <c r="H61" s="93" t="n">
        <f aca="false">IF($F61&lt;&gt;"",IFERROR(INDEX('Rate Build-Up'!$P$8:$P$47,MATCH($F61,'Rate Build-Up'!$A$8:$A$47,0)),"BU ref not found"),$G61)</f>
        <v>0</v>
      </c>
      <c r="I61" s="88" t="str">
        <f aca="false">IF(AND(ISNUMBER($E61),ISNUMBER($H61)),ROUND($E61*$H61,2),"")</f>
        <v/>
      </c>
      <c r="J61" s="64"/>
    </row>
    <row r="62" customFormat="false" ht="15" hidden="false" customHeight="false" outlineLevel="0" collapsed="false">
      <c r="A62" s="42"/>
      <c r="B62" s="42"/>
      <c r="C62" s="43" t="s">
        <v>635</v>
      </c>
      <c r="D62" s="42"/>
      <c r="E62" s="42"/>
      <c r="F62" s="42"/>
      <c r="G62" s="42"/>
      <c r="H62" s="42"/>
      <c r="I62" s="89" t="n">
        <f aca="false">ROUND(SUM($I$56:$I$61),2)</f>
        <v>181691</v>
      </c>
      <c r="J62" s="42"/>
    </row>
  </sheetData>
  <mergeCells count="4">
    <mergeCell ref="A1:I1"/>
    <mergeCell ref="A2:J2"/>
    <mergeCell ref="A3:J3"/>
    <mergeCell ref="A4:H4"/>
  </mergeCells>
  <conditionalFormatting sqref="C7:J64">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64"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636</v>
      </c>
      <c r="B2" s="32"/>
      <c r="C2" s="32"/>
      <c r="D2" s="32"/>
      <c r="E2" s="32"/>
      <c r="F2" s="32"/>
      <c r="G2" s="32"/>
      <c r="H2" s="32"/>
      <c r="I2" s="32"/>
      <c r="J2" s="32"/>
    </row>
    <row r="3" customFormat="false" ht="15" hidden="false" customHeight="false" outlineLevel="0" collapsed="false">
      <c r="A3" s="17" t="s">
        <v>637</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ROUND($I$18+$I$31+$I$42+$I$53,2)</f>
        <v>1246100</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638</v>
      </c>
      <c r="B7" s="82"/>
      <c r="C7" s="81" t="s">
        <v>639</v>
      </c>
      <c r="D7" s="82"/>
      <c r="E7" s="82"/>
      <c r="F7" s="82"/>
      <c r="G7" s="82"/>
      <c r="H7" s="82"/>
      <c r="I7" s="82"/>
      <c r="J7" s="91" t="s">
        <v>640</v>
      </c>
    </row>
    <row r="8" customFormat="false" ht="27.75" hidden="false" customHeight="true" outlineLevel="0" collapsed="false">
      <c r="A8" s="83" t="s">
        <v>641</v>
      </c>
      <c r="B8" s="92" t="s">
        <v>638</v>
      </c>
      <c r="C8" s="84" t="s">
        <v>642</v>
      </c>
      <c r="D8" s="83" t="s">
        <v>390</v>
      </c>
      <c r="E8" s="85" t="n">
        <v>620</v>
      </c>
      <c r="F8" s="83"/>
      <c r="G8" s="85" t="n">
        <v>285</v>
      </c>
      <c r="H8" s="93" t="n">
        <f aca="false">IF($F8&lt;&gt;"",IFERROR(INDEX('Rate Build-Up'!$P$8:$P$47,MATCH($F8,'Rate Build-Up'!$A$8:$A$47,0)),"BU ref not found"),$G8)</f>
        <v>285</v>
      </c>
      <c r="I8" s="88" t="n">
        <f aca="false">IF(AND(ISNUMBER($E8),ISNUMBER($H8)),ROUND($E8*$H8,2),"")</f>
        <v>176700</v>
      </c>
      <c r="J8" s="64"/>
    </row>
    <row r="9" customFormat="false" ht="27.75" hidden="false" customHeight="true" outlineLevel="0" collapsed="false">
      <c r="A9" s="83" t="s">
        <v>643</v>
      </c>
      <c r="B9" s="92" t="s">
        <v>638</v>
      </c>
      <c r="C9" s="84" t="s">
        <v>644</v>
      </c>
      <c r="D9" s="83" t="s">
        <v>172</v>
      </c>
      <c r="E9" s="85" t="n">
        <v>18</v>
      </c>
      <c r="F9" s="83"/>
      <c r="G9" s="85" t="n">
        <v>4850</v>
      </c>
      <c r="H9" s="93" t="n">
        <f aca="false">IF($F9&lt;&gt;"",IFERROR(INDEX('Rate Build-Up'!$P$8:$P$47,MATCH($F9,'Rate Build-Up'!$A$8:$A$47,0)),"BU ref not found"),$G9)</f>
        <v>4850</v>
      </c>
      <c r="I9" s="88" t="n">
        <f aca="false">IF(AND(ISNUMBER($E9),ISNUMBER($H9)),ROUND($E9*$H9,2),"")</f>
        <v>87300</v>
      </c>
      <c r="J9" s="64"/>
    </row>
    <row r="10" customFormat="false" ht="27.75" hidden="false" customHeight="true" outlineLevel="0" collapsed="false">
      <c r="A10" s="83" t="s">
        <v>645</v>
      </c>
      <c r="B10" s="92" t="s">
        <v>638</v>
      </c>
      <c r="C10" s="84" t="s">
        <v>646</v>
      </c>
      <c r="D10" s="83" t="s">
        <v>172</v>
      </c>
      <c r="E10" s="85" t="n">
        <v>1</v>
      </c>
      <c r="F10" s="83"/>
      <c r="G10" s="85" t="n">
        <v>195000</v>
      </c>
      <c r="H10" s="93" t="n">
        <f aca="false">IF($F10&lt;&gt;"",IFERROR(INDEX('Rate Build-Up'!$P$8:$P$47,MATCH($F10,'Rate Build-Up'!$A$8:$A$47,0)),"BU ref not found"),$G10)</f>
        <v>195000</v>
      </c>
      <c r="I10" s="88" t="n">
        <f aca="false">IF(AND(ISNUMBER($E10),ISNUMBER($H10)),ROUND($E10*$H10,2),"")</f>
        <v>195000</v>
      </c>
      <c r="J10" s="64"/>
    </row>
    <row r="11" customFormat="false" ht="15" hidden="false" customHeight="true" outlineLevel="0" collapsed="false">
      <c r="A11" s="83"/>
      <c r="B11" s="92"/>
      <c r="C11" s="84"/>
      <c r="D11" s="83"/>
      <c r="E11" s="85"/>
      <c r="F11" s="83"/>
      <c r="G11" s="85"/>
      <c r="H11" s="93" t="n">
        <f aca="false">IF($F11&lt;&gt;"",IFERROR(INDEX('Rate Build-Up'!$P$8:$P$47,MATCH($F11,'Rate Build-Up'!$A$8:$A$47,0)),"BU ref not found"),$G11)</f>
        <v>0</v>
      </c>
      <c r="I11" s="88" t="str">
        <f aca="false">IF(AND(ISNUMBER($E11),ISNUMBER($H11)),ROUND($E11*$H11,2),"")</f>
        <v/>
      </c>
      <c r="J11" s="64"/>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true" outlineLevel="0" collapsed="false">
      <c r="A15" s="83"/>
      <c r="B15" s="92"/>
      <c r="C15" s="84"/>
      <c r="D15" s="83"/>
      <c r="E15" s="85"/>
      <c r="F15" s="83"/>
      <c r="G15" s="85"/>
      <c r="H15" s="93" t="n">
        <f aca="false">IF($F15&lt;&gt;"",IFERROR(INDEX('Rate Build-Up'!$P$8:$P$47,MATCH($F15,'Rate Build-Up'!$A$8:$A$47,0)),"BU ref not found"),$G15)</f>
        <v>0</v>
      </c>
      <c r="I15" s="88" t="str">
        <f aca="false">IF(AND(ISNUMBER($E15),ISNUMBER($H15)),ROUND($E15*$H15,2),"")</f>
        <v/>
      </c>
      <c r="J15" s="64"/>
    </row>
    <row r="16" customFormat="false" ht="15" hidden="false" customHeight="true" outlineLevel="0" collapsed="false">
      <c r="A16" s="83"/>
      <c r="B16" s="92"/>
      <c r="C16" s="84"/>
      <c r="D16" s="83"/>
      <c r="E16" s="85"/>
      <c r="F16" s="83"/>
      <c r="G16" s="85"/>
      <c r="H16" s="93" t="n">
        <f aca="false">IF($F16&lt;&gt;"",IFERROR(INDEX('Rate Build-Up'!$P$8:$P$47,MATCH($F16,'Rate Build-Up'!$A$8:$A$47,0)),"BU ref not found"),$G16)</f>
        <v>0</v>
      </c>
      <c r="I16" s="88" t="str">
        <f aca="false">IF(AND(ISNUMBER($E16),ISNUMBER($H16)),ROUND($E16*$H16,2),"")</f>
        <v/>
      </c>
      <c r="J16" s="64"/>
    </row>
    <row r="17" customFormat="false" ht="15" hidden="false" customHeight="true" outlineLevel="0" collapsed="false">
      <c r="A17" s="83"/>
      <c r="B17" s="92"/>
      <c r="C17" s="84"/>
      <c r="D17" s="83"/>
      <c r="E17" s="85"/>
      <c r="F17" s="83"/>
      <c r="G17" s="85"/>
      <c r="H17" s="93" t="n">
        <f aca="false">IF($F17&lt;&gt;"",IFERROR(INDEX('Rate Build-Up'!$P$8:$P$47,MATCH($F17,'Rate Build-Up'!$A$8:$A$47,0)),"BU ref not found"),$G17)</f>
        <v>0</v>
      </c>
      <c r="I17" s="88" t="str">
        <f aca="false">IF(AND(ISNUMBER($E17),ISNUMBER($H17)),ROUND($E17*$H17,2),"")</f>
        <v/>
      </c>
      <c r="J17" s="64"/>
    </row>
    <row r="18" customFormat="false" ht="15" hidden="false" customHeight="false" outlineLevel="0" collapsed="false">
      <c r="A18" s="42"/>
      <c r="B18" s="42"/>
      <c r="C18" s="43" t="s">
        <v>647</v>
      </c>
      <c r="D18" s="42"/>
      <c r="E18" s="42"/>
      <c r="F18" s="42"/>
      <c r="G18" s="42"/>
      <c r="H18" s="42"/>
      <c r="I18" s="89" t="n">
        <f aca="false">ROUND(SUM($I$8:$I$17),2)</f>
        <v>459000</v>
      </c>
      <c r="J18" s="42"/>
    </row>
    <row r="20" customFormat="false" ht="15" hidden="false" customHeight="false" outlineLevel="0" collapsed="false">
      <c r="A20" s="90" t="s">
        <v>648</v>
      </c>
      <c r="B20" s="82"/>
      <c r="C20" s="81" t="s">
        <v>649</v>
      </c>
      <c r="D20" s="82"/>
      <c r="E20" s="82"/>
      <c r="F20" s="82"/>
      <c r="G20" s="82"/>
      <c r="H20" s="82"/>
      <c r="I20" s="82"/>
      <c r="J20" s="91" t="s">
        <v>650</v>
      </c>
    </row>
    <row r="21" customFormat="false" ht="27.75" hidden="false" customHeight="true" outlineLevel="0" collapsed="false">
      <c r="A21" s="83" t="s">
        <v>651</v>
      </c>
      <c r="B21" s="92" t="s">
        <v>648</v>
      </c>
      <c r="C21" s="84" t="s">
        <v>652</v>
      </c>
      <c r="D21" s="83" t="s">
        <v>181</v>
      </c>
      <c r="E21" s="85" t="n">
        <v>3400</v>
      </c>
      <c r="F21" s="83"/>
      <c r="G21" s="85" t="n">
        <v>128</v>
      </c>
      <c r="H21" s="93" t="n">
        <f aca="false">IF($F21&lt;&gt;"",IFERROR(INDEX('Rate Build-Up'!$P$8:$P$47,MATCH($F21,'Rate Build-Up'!$A$8:$A$47,0)),"BU ref not found"),$G21)</f>
        <v>128</v>
      </c>
      <c r="I21" s="88" t="n">
        <f aca="false">IF(AND(ISNUMBER($E21),ISNUMBER($H21)),ROUND($E21*$H21,2),"")</f>
        <v>435200</v>
      </c>
      <c r="J21" s="64"/>
    </row>
    <row r="22" customFormat="false" ht="15" hidden="false" customHeight="true" outlineLevel="0" collapsed="false">
      <c r="A22" s="83" t="s">
        <v>653</v>
      </c>
      <c r="B22" s="92" t="s">
        <v>648</v>
      </c>
      <c r="C22" s="84" t="s">
        <v>654</v>
      </c>
      <c r="D22" s="83" t="s">
        <v>390</v>
      </c>
      <c r="E22" s="85" t="n">
        <v>780</v>
      </c>
      <c r="F22" s="83"/>
      <c r="G22" s="85" t="n">
        <v>96</v>
      </c>
      <c r="H22" s="93" t="n">
        <f aca="false">IF($F22&lt;&gt;"",IFERROR(INDEX('Rate Build-Up'!$P$8:$P$47,MATCH($F22,'Rate Build-Up'!$A$8:$A$47,0)),"BU ref not found"),$G22)</f>
        <v>96</v>
      </c>
      <c r="I22" s="88" t="n">
        <f aca="false">IF(AND(ISNUMBER($E22),ISNUMBER($H22)),ROUND($E22*$H22,2),"")</f>
        <v>74880</v>
      </c>
      <c r="J22" s="64"/>
    </row>
    <row r="23" customFormat="false" ht="15" hidden="false" customHeight="true" outlineLevel="0" collapsed="false">
      <c r="A23" s="83" t="s">
        <v>655</v>
      </c>
      <c r="B23" s="92" t="s">
        <v>648</v>
      </c>
      <c r="C23" s="84" t="s">
        <v>656</v>
      </c>
      <c r="D23" s="83" t="s">
        <v>351</v>
      </c>
      <c r="E23" s="85" t="n">
        <v>1</v>
      </c>
      <c r="F23" s="83"/>
      <c r="G23" s="85" t="n">
        <v>12500</v>
      </c>
      <c r="H23" s="93" t="n">
        <f aca="false">IF($F23&lt;&gt;"",IFERROR(INDEX('Rate Build-Up'!$P$8:$P$47,MATCH($F23,'Rate Build-Up'!$A$8:$A$47,0)),"BU ref not found"),$G23)</f>
        <v>12500</v>
      </c>
      <c r="I23" s="88" t="n">
        <f aca="false">IF(AND(ISNUMBER($E23),ISNUMBER($H23)),ROUND($E23*$H23,2),"")</f>
        <v>12500</v>
      </c>
      <c r="J23" s="64"/>
    </row>
    <row r="24" customFormat="false" ht="15" hidden="false" customHeight="true" outlineLevel="0" collapsed="false">
      <c r="A24" s="83"/>
      <c r="B24" s="92"/>
      <c r="C24" s="84"/>
      <c r="D24" s="83"/>
      <c r="E24" s="85"/>
      <c r="F24" s="83"/>
      <c r="G24" s="85"/>
      <c r="H24" s="93" t="n">
        <f aca="false">IF($F24&lt;&gt;"",IFERROR(INDEX('Rate Build-Up'!$P$8:$P$47,MATCH($F24,'Rate Build-Up'!$A$8:$A$47,0)),"BU ref not found"),$G24)</f>
        <v>0</v>
      </c>
      <c r="I24" s="88" t="str">
        <f aca="false">IF(AND(ISNUMBER($E24),ISNUMBER($H24)),ROUND($E24*$H24,2),"")</f>
        <v/>
      </c>
      <c r="J24" s="64"/>
    </row>
    <row r="25" customFormat="false" ht="15" hidden="false" customHeight="true" outlineLevel="0" collapsed="false">
      <c r="A25" s="83"/>
      <c r="B25" s="92"/>
      <c r="C25" s="84"/>
      <c r="D25" s="83"/>
      <c r="E25" s="85"/>
      <c r="F25" s="83"/>
      <c r="G25" s="85"/>
      <c r="H25" s="93" t="n">
        <f aca="false">IF($F25&lt;&gt;"",IFERROR(INDEX('Rate Build-Up'!$P$8:$P$47,MATCH($F25,'Rate Build-Up'!$A$8:$A$47,0)),"BU ref not found"),$G25)</f>
        <v>0</v>
      </c>
      <c r="I25" s="88" t="str">
        <f aca="false">IF(AND(ISNUMBER($E25),ISNUMBER($H25)),ROUND($E25*$H25,2),"")</f>
        <v/>
      </c>
      <c r="J25" s="64"/>
    </row>
    <row r="26" customFormat="false" ht="15" hidden="false" customHeight="true" outlineLevel="0" collapsed="false">
      <c r="A26" s="83"/>
      <c r="B26" s="92"/>
      <c r="C26" s="84"/>
      <c r="D26" s="83"/>
      <c r="E26" s="85"/>
      <c r="F26" s="83"/>
      <c r="G26" s="85"/>
      <c r="H26" s="93" t="n">
        <f aca="false">IF($F26&lt;&gt;"",IFERROR(INDEX('Rate Build-Up'!$P$8:$P$47,MATCH($F26,'Rate Build-Up'!$A$8:$A$47,0)),"BU ref not found"),$G26)</f>
        <v>0</v>
      </c>
      <c r="I26" s="88" t="str">
        <f aca="false">IF(AND(ISNUMBER($E26),ISNUMBER($H26)),ROUND($E26*$H26,2),"")</f>
        <v/>
      </c>
      <c r="J26" s="64"/>
    </row>
    <row r="27" customFormat="false" ht="15" hidden="false" customHeight="true" outlineLevel="0" collapsed="false">
      <c r="A27" s="83"/>
      <c r="B27" s="92"/>
      <c r="C27" s="84"/>
      <c r="D27" s="83"/>
      <c r="E27" s="85"/>
      <c r="F27" s="83"/>
      <c r="G27" s="85"/>
      <c r="H27" s="93" t="n">
        <f aca="false">IF($F27&lt;&gt;"",IFERROR(INDEX('Rate Build-Up'!$P$8:$P$47,MATCH($F27,'Rate Build-Up'!$A$8:$A$47,0)),"BU ref not found"),$G27)</f>
        <v>0</v>
      </c>
      <c r="I27" s="88" t="str">
        <f aca="false">IF(AND(ISNUMBER($E27),ISNUMBER($H27)),ROUND($E27*$H27,2),"")</f>
        <v/>
      </c>
      <c r="J27" s="64"/>
    </row>
    <row r="28" customFormat="false" ht="15" hidden="false" customHeight="true" outlineLevel="0" collapsed="false">
      <c r="A28" s="83"/>
      <c r="B28" s="92"/>
      <c r="C28" s="84"/>
      <c r="D28" s="83"/>
      <c r="E28" s="85"/>
      <c r="F28" s="83"/>
      <c r="G28" s="85"/>
      <c r="H28" s="93" t="n">
        <f aca="false">IF($F28&lt;&gt;"",IFERROR(INDEX('Rate Build-Up'!$P$8:$P$47,MATCH($F28,'Rate Build-Up'!$A$8:$A$47,0)),"BU ref not found"),$G28)</f>
        <v>0</v>
      </c>
      <c r="I28" s="88" t="str">
        <f aca="false">IF(AND(ISNUMBER($E28),ISNUMBER($H28)),ROUND($E28*$H28,2),"")</f>
        <v/>
      </c>
      <c r="J28" s="64"/>
    </row>
    <row r="29" customFormat="false" ht="15" hidden="false" customHeight="true" outlineLevel="0" collapsed="false">
      <c r="A29" s="83"/>
      <c r="B29" s="92"/>
      <c r="C29" s="84"/>
      <c r="D29" s="83"/>
      <c r="E29" s="85"/>
      <c r="F29" s="83"/>
      <c r="G29" s="85"/>
      <c r="H29" s="93" t="n">
        <f aca="false">IF($F29&lt;&gt;"",IFERROR(INDEX('Rate Build-Up'!$P$8:$P$47,MATCH($F29,'Rate Build-Up'!$A$8:$A$47,0)),"BU ref not found"),$G29)</f>
        <v>0</v>
      </c>
      <c r="I29" s="88" t="str">
        <f aca="false">IF(AND(ISNUMBER($E29),ISNUMBER($H29)),ROUND($E29*$H29,2),"")</f>
        <v/>
      </c>
      <c r="J29" s="64"/>
    </row>
    <row r="30" customFormat="false" ht="15" hidden="false" customHeight="true" outlineLevel="0" collapsed="false">
      <c r="A30" s="83"/>
      <c r="B30" s="92"/>
      <c r="C30" s="84"/>
      <c r="D30" s="83"/>
      <c r="E30" s="85"/>
      <c r="F30" s="83"/>
      <c r="G30" s="85"/>
      <c r="H30" s="93" t="n">
        <f aca="false">IF($F30&lt;&gt;"",IFERROR(INDEX('Rate Build-Up'!$P$8:$P$47,MATCH($F30,'Rate Build-Up'!$A$8:$A$47,0)),"BU ref not found"),$G30)</f>
        <v>0</v>
      </c>
      <c r="I30" s="88" t="str">
        <f aca="false">IF(AND(ISNUMBER($E30),ISNUMBER($H30)),ROUND($E30*$H30,2),"")</f>
        <v/>
      </c>
      <c r="J30" s="64"/>
    </row>
    <row r="31" customFormat="false" ht="15" hidden="false" customHeight="false" outlineLevel="0" collapsed="false">
      <c r="A31" s="42"/>
      <c r="B31" s="42"/>
      <c r="C31" s="43" t="s">
        <v>657</v>
      </c>
      <c r="D31" s="42"/>
      <c r="E31" s="42"/>
      <c r="F31" s="42"/>
      <c r="G31" s="42"/>
      <c r="H31" s="42"/>
      <c r="I31" s="89" t="n">
        <f aca="false">ROUND(SUM($I$21:$I$30),2)</f>
        <v>522580</v>
      </c>
      <c r="J31" s="42"/>
    </row>
    <row r="33" customFormat="false" ht="15" hidden="false" customHeight="false" outlineLevel="0" collapsed="false">
      <c r="A33" s="90" t="s">
        <v>658</v>
      </c>
      <c r="B33" s="82"/>
      <c r="C33" s="81" t="s">
        <v>659</v>
      </c>
      <c r="D33" s="82"/>
      <c r="E33" s="82"/>
      <c r="F33" s="82"/>
      <c r="G33" s="82"/>
      <c r="H33" s="82"/>
      <c r="I33" s="82"/>
      <c r="J33" s="91" t="s">
        <v>387</v>
      </c>
    </row>
    <row r="34" customFormat="false" ht="27.75" hidden="false" customHeight="true" outlineLevel="0" collapsed="false">
      <c r="A34" s="83" t="s">
        <v>660</v>
      </c>
      <c r="B34" s="92" t="s">
        <v>658</v>
      </c>
      <c r="C34" s="84" t="s">
        <v>661</v>
      </c>
      <c r="D34" s="83" t="s">
        <v>390</v>
      </c>
      <c r="E34" s="85" t="n">
        <v>420</v>
      </c>
      <c r="F34" s="83"/>
      <c r="G34" s="85" t="n">
        <v>285</v>
      </c>
      <c r="H34" s="93" t="n">
        <f aca="false">IF($F34&lt;&gt;"",IFERROR(INDEX('Rate Build-Up'!$P$8:$P$47,MATCH($F34,'Rate Build-Up'!$A$8:$A$47,0)),"BU ref not found"),$G34)</f>
        <v>285</v>
      </c>
      <c r="I34" s="88" t="n">
        <f aca="false">IF(AND(ISNUMBER($E34),ISNUMBER($H34)),ROUND($E34*$H34,2),"")</f>
        <v>119700</v>
      </c>
      <c r="J34" s="64"/>
    </row>
    <row r="35" customFormat="false" ht="15" hidden="false" customHeight="true" outlineLevel="0" collapsed="false">
      <c r="A35" s="83" t="s">
        <v>662</v>
      </c>
      <c r="B35" s="92" t="s">
        <v>658</v>
      </c>
      <c r="C35" s="84" t="s">
        <v>663</v>
      </c>
      <c r="D35" s="83" t="s">
        <v>172</v>
      </c>
      <c r="E35" s="85" t="n">
        <v>2</v>
      </c>
      <c r="F35" s="83"/>
      <c r="G35" s="85" t="n">
        <v>24500</v>
      </c>
      <c r="H35" s="93" t="n">
        <f aca="false">IF($F35&lt;&gt;"",IFERROR(INDEX('Rate Build-Up'!$P$8:$P$47,MATCH($F35,'Rate Build-Up'!$A$8:$A$47,0)),"BU ref not found"),$G35)</f>
        <v>24500</v>
      </c>
      <c r="I35" s="88" t="n">
        <f aca="false">IF(AND(ISNUMBER($E35),ISNUMBER($H35)),ROUND($E35*$H35,2),"")</f>
        <v>49000</v>
      </c>
      <c r="J35" s="64"/>
    </row>
    <row r="36" customFormat="false" ht="15" hidden="false" customHeight="true" outlineLevel="0" collapsed="false">
      <c r="A36" s="83"/>
      <c r="B36" s="92"/>
      <c r="C36" s="84"/>
      <c r="D36" s="83"/>
      <c r="E36" s="85"/>
      <c r="F36" s="83"/>
      <c r="G36" s="85"/>
      <c r="H36" s="93" t="n">
        <f aca="false">IF($F36&lt;&gt;"",IFERROR(INDEX('Rate Build-Up'!$P$8:$P$47,MATCH($F36,'Rate Build-Up'!$A$8:$A$47,0)),"BU ref not found"),$G36)</f>
        <v>0</v>
      </c>
      <c r="I36" s="88" t="str">
        <f aca="false">IF(AND(ISNUMBER($E36),ISNUMBER($H36)),ROUND($E36*$H36,2),"")</f>
        <v/>
      </c>
      <c r="J36" s="64"/>
    </row>
    <row r="37" customFormat="false" ht="15" hidden="false" customHeight="true" outlineLevel="0" collapsed="false">
      <c r="A37" s="83"/>
      <c r="B37" s="92"/>
      <c r="C37" s="84"/>
      <c r="D37" s="83"/>
      <c r="E37" s="85"/>
      <c r="F37" s="83"/>
      <c r="G37" s="85"/>
      <c r="H37" s="93" t="n">
        <f aca="false">IF($F37&lt;&gt;"",IFERROR(INDEX('Rate Build-Up'!$P$8:$P$47,MATCH($F37,'Rate Build-Up'!$A$8:$A$47,0)),"BU ref not found"),$G37)</f>
        <v>0</v>
      </c>
      <c r="I37" s="88" t="str">
        <f aca="false">IF(AND(ISNUMBER($E37),ISNUMBER($H37)),ROUND($E37*$H37,2),"")</f>
        <v/>
      </c>
      <c r="J37" s="64"/>
    </row>
    <row r="38" customFormat="false" ht="15" hidden="false" customHeight="true" outlineLevel="0" collapsed="false">
      <c r="A38" s="83"/>
      <c r="B38" s="92"/>
      <c r="C38" s="84"/>
      <c r="D38" s="83"/>
      <c r="E38" s="85"/>
      <c r="F38" s="83"/>
      <c r="G38" s="85"/>
      <c r="H38" s="93" t="n">
        <f aca="false">IF($F38&lt;&gt;"",IFERROR(INDEX('Rate Build-Up'!$P$8:$P$47,MATCH($F38,'Rate Build-Up'!$A$8:$A$47,0)),"BU ref not found"),$G38)</f>
        <v>0</v>
      </c>
      <c r="I38" s="88" t="str">
        <f aca="false">IF(AND(ISNUMBER($E38),ISNUMBER($H38)),ROUND($E38*$H38,2),"")</f>
        <v/>
      </c>
      <c r="J38" s="64"/>
    </row>
    <row r="39" customFormat="false" ht="15" hidden="false" customHeight="true" outlineLevel="0" collapsed="false">
      <c r="A39" s="83"/>
      <c r="B39" s="92"/>
      <c r="C39" s="84"/>
      <c r="D39" s="83"/>
      <c r="E39" s="85"/>
      <c r="F39" s="83"/>
      <c r="G39" s="85"/>
      <c r="H39" s="93" t="n">
        <f aca="false">IF($F39&lt;&gt;"",IFERROR(INDEX('Rate Build-Up'!$P$8:$P$47,MATCH($F39,'Rate Build-Up'!$A$8:$A$47,0)),"BU ref not found"),$G39)</f>
        <v>0</v>
      </c>
      <c r="I39" s="88" t="str">
        <f aca="false">IF(AND(ISNUMBER($E39),ISNUMBER($H39)),ROUND($E39*$H39,2),"")</f>
        <v/>
      </c>
      <c r="J39" s="64"/>
    </row>
    <row r="40" customFormat="false" ht="15" hidden="false" customHeight="true" outlineLevel="0" collapsed="false">
      <c r="A40" s="83"/>
      <c r="B40" s="92"/>
      <c r="C40" s="84"/>
      <c r="D40" s="83"/>
      <c r="E40" s="85"/>
      <c r="F40" s="83"/>
      <c r="G40" s="85"/>
      <c r="H40" s="93" t="n">
        <f aca="false">IF($F40&lt;&gt;"",IFERROR(INDEX('Rate Build-Up'!$P$8:$P$47,MATCH($F40,'Rate Build-Up'!$A$8:$A$47,0)),"BU ref not found"),$G40)</f>
        <v>0</v>
      </c>
      <c r="I40" s="88" t="str">
        <f aca="false">IF(AND(ISNUMBER($E40),ISNUMBER($H40)),ROUND($E40*$H40,2),"")</f>
        <v/>
      </c>
      <c r="J40" s="64"/>
    </row>
    <row r="41" customFormat="false" ht="15" hidden="false" customHeight="true" outlineLevel="0" collapsed="false">
      <c r="A41" s="83"/>
      <c r="B41" s="92"/>
      <c r="C41" s="84"/>
      <c r="D41" s="83"/>
      <c r="E41" s="85"/>
      <c r="F41" s="83"/>
      <c r="G41" s="85"/>
      <c r="H41" s="93" t="n">
        <f aca="false">IF($F41&lt;&gt;"",IFERROR(INDEX('Rate Build-Up'!$P$8:$P$47,MATCH($F41,'Rate Build-Up'!$A$8:$A$47,0)),"BU ref not found"),$G41)</f>
        <v>0</v>
      </c>
      <c r="I41" s="88" t="str">
        <f aca="false">IF(AND(ISNUMBER($E41),ISNUMBER($H41)),ROUND($E41*$H41,2),"")</f>
        <v/>
      </c>
      <c r="J41" s="64"/>
    </row>
    <row r="42" customFormat="false" ht="15" hidden="false" customHeight="false" outlineLevel="0" collapsed="false">
      <c r="A42" s="42"/>
      <c r="B42" s="42"/>
      <c r="C42" s="43" t="s">
        <v>664</v>
      </c>
      <c r="D42" s="42"/>
      <c r="E42" s="42"/>
      <c r="F42" s="42"/>
      <c r="G42" s="42"/>
      <c r="H42" s="42"/>
      <c r="I42" s="89" t="n">
        <f aca="false">ROUND(SUM($I$34:$I$41),2)</f>
        <v>168700</v>
      </c>
      <c r="J42" s="42"/>
    </row>
    <row r="44" customFormat="false" ht="15" hidden="false" customHeight="false" outlineLevel="0" collapsed="false">
      <c r="A44" s="90" t="s">
        <v>665</v>
      </c>
      <c r="B44" s="82"/>
      <c r="C44" s="81" t="s">
        <v>666</v>
      </c>
      <c r="D44" s="82"/>
      <c r="E44" s="82"/>
      <c r="F44" s="82"/>
      <c r="G44" s="82"/>
      <c r="H44" s="82"/>
      <c r="I44" s="82"/>
      <c r="J44" s="91" t="s">
        <v>432</v>
      </c>
    </row>
    <row r="45" customFormat="false" ht="15" hidden="false" customHeight="true" outlineLevel="0" collapsed="false">
      <c r="A45" s="83" t="s">
        <v>667</v>
      </c>
      <c r="B45" s="92" t="s">
        <v>665</v>
      </c>
      <c r="C45" s="84" t="s">
        <v>668</v>
      </c>
      <c r="D45" s="83" t="s">
        <v>181</v>
      </c>
      <c r="E45" s="85" t="n">
        <v>1650</v>
      </c>
      <c r="F45" s="83"/>
      <c r="G45" s="85" t="n">
        <v>42</v>
      </c>
      <c r="H45" s="93" t="n">
        <f aca="false">IF($F45&lt;&gt;"",IFERROR(INDEX('Rate Build-Up'!$P$8:$P$47,MATCH($F45,'Rate Build-Up'!$A$8:$A$47,0)),"BU ref not found"),$G45)</f>
        <v>42</v>
      </c>
      <c r="I45" s="88" t="n">
        <f aca="false">IF(AND(ISNUMBER($E45),ISNUMBER($H45)),ROUND($E45*$H45,2),"")</f>
        <v>69300</v>
      </c>
      <c r="J45" s="64"/>
    </row>
    <row r="46" customFormat="false" ht="27.75" hidden="false" customHeight="true" outlineLevel="0" collapsed="false">
      <c r="A46" s="83" t="s">
        <v>669</v>
      </c>
      <c r="B46" s="92" t="s">
        <v>665</v>
      </c>
      <c r="C46" s="84" t="s">
        <v>670</v>
      </c>
      <c r="D46" s="83" t="s">
        <v>172</v>
      </c>
      <c r="E46" s="85" t="n">
        <v>34</v>
      </c>
      <c r="F46" s="83"/>
      <c r="G46" s="85" t="n">
        <v>780</v>
      </c>
      <c r="H46" s="93" t="n">
        <f aca="false">IF($F46&lt;&gt;"",IFERROR(INDEX('Rate Build-Up'!$P$8:$P$47,MATCH($F46,'Rate Build-Up'!$A$8:$A$47,0)),"BU ref not found"),$G46)</f>
        <v>780</v>
      </c>
      <c r="I46" s="88" t="n">
        <f aca="false">IF(AND(ISNUMBER($E46),ISNUMBER($H46)),ROUND($E46*$H46,2),"")</f>
        <v>26520</v>
      </c>
      <c r="J46" s="64"/>
    </row>
    <row r="47" customFormat="false" ht="15" hidden="false" customHeight="true" outlineLevel="0" collapsed="false">
      <c r="A47" s="83"/>
      <c r="B47" s="92"/>
      <c r="C47" s="84"/>
      <c r="D47" s="83"/>
      <c r="E47" s="85"/>
      <c r="F47" s="83"/>
      <c r="G47" s="85"/>
      <c r="H47" s="93" t="n">
        <f aca="false">IF($F47&lt;&gt;"",IFERROR(INDEX('Rate Build-Up'!$P$8:$P$47,MATCH($F47,'Rate Build-Up'!$A$8:$A$47,0)),"BU ref not found"),$G47)</f>
        <v>0</v>
      </c>
      <c r="I47" s="88" t="str">
        <f aca="false">IF(AND(ISNUMBER($E47),ISNUMBER($H47)),ROUND($E47*$H47,2),"")</f>
        <v/>
      </c>
      <c r="J47" s="64"/>
    </row>
    <row r="48" customFormat="false" ht="15" hidden="false" customHeight="true" outlineLevel="0" collapsed="false">
      <c r="A48" s="83"/>
      <c r="B48" s="92"/>
      <c r="C48" s="84"/>
      <c r="D48" s="83"/>
      <c r="E48" s="85"/>
      <c r="F48" s="83"/>
      <c r="G48" s="85"/>
      <c r="H48" s="93" t="n">
        <f aca="false">IF($F48&lt;&gt;"",IFERROR(INDEX('Rate Build-Up'!$P$8:$P$47,MATCH($F48,'Rate Build-Up'!$A$8:$A$47,0)),"BU ref not found"),$G48)</f>
        <v>0</v>
      </c>
      <c r="I48" s="88" t="str">
        <f aca="false">IF(AND(ISNUMBER($E48),ISNUMBER($H48)),ROUND($E48*$H48,2),"")</f>
        <v/>
      </c>
      <c r="J48" s="64"/>
    </row>
    <row r="49" customFormat="false" ht="15" hidden="false" customHeight="true" outlineLevel="0" collapsed="false">
      <c r="A49" s="83"/>
      <c r="B49" s="92"/>
      <c r="C49" s="84"/>
      <c r="D49" s="83"/>
      <c r="E49" s="85"/>
      <c r="F49" s="83"/>
      <c r="G49" s="85"/>
      <c r="H49" s="93" t="n">
        <f aca="false">IF($F49&lt;&gt;"",IFERROR(INDEX('Rate Build-Up'!$P$8:$P$47,MATCH($F49,'Rate Build-Up'!$A$8:$A$47,0)),"BU ref not found"),$G49)</f>
        <v>0</v>
      </c>
      <c r="I49" s="88" t="str">
        <f aca="false">IF(AND(ISNUMBER($E49),ISNUMBER($H49)),ROUND($E49*$H49,2),"")</f>
        <v/>
      </c>
      <c r="J49" s="64"/>
    </row>
    <row r="50" customFormat="false" ht="15" hidden="false" customHeight="true" outlineLevel="0" collapsed="false">
      <c r="A50" s="83"/>
      <c r="B50" s="92"/>
      <c r="C50" s="84"/>
      <c r="D50" s="83"/>
      <c r="E50" s="85"/>
      <c r="F50" s="83"/>
      <c r="G50" s="85"/>
      <c r="H50" s="93" t="n">
        <f aca="false">IF($F50&lt;&gt;"",IFERROR(INDEX('Rate Build-Up'!$P$8:$P$47,MATCH($F50,'Rate Build-Up'!$A$8:$A$47,0)),"BU ref not found"),$G50)</f>
        <v>0</v>
      </c>
      <c r="I50" s="88" t="str">
        <f aca="false">IF(AND(ISNUMBER($E50),ISNUMBER($H50)),ROUND($E50*$H50,2),"")</f>
        <v/>
      </c>
      <c r="J50" s="64"/>
    </row>
    <row r="51" customFormat="false" ht="15" hidden="false" customHeight="true" outlineLevel="0" collapsed="false">
      <c r="A51" s="83"/>
      <c r="B51" s="92"/>
      <c r="C51" s="84"/>
      <c r="D51" s="83"/>
      <c r="E51" s="85"/>
      <c r="F51" s="83"/>
      <c r="G51" s="85"/>
      <c r="H51" s="93" t="n">
        <f aca="false">IF($F51&lt;&gt;"",IFERROR(INDEX('Rate Build-Up'!$P$8:$P$47,MATCH($F51,'Rate Build-Up'!$A$8:$A$47,0)),"BU ref not found"),$G51)</f>
        <v>0</v>
      </c>
      <c r="I51" s="88" t="str">
        <f aca="false">IF(AND(ISNUMBER($E51),ISNUMBER($H51)),ROUND($E51*$H51,2),"")</f>
        <v/>
      </c>
      <c r="J51" s="64"/>
    </row>
    <row r="52" customFormat="false" ht="15" hidden="false" customHeight="true" outlineLevel="0" collapsed="false">
      <c r="A52" s="83"/>
      <c r="B52" s="92"/>
      <c r="C52" s="84"/>
      <c r="D52" s="83"/>
      <c r="E52" s="85"/>
      <c r="F52" s="83"/>
      <c r="G52" s="85"/>
      <c r="H52" s="93" t="n">
        <f aca="false">IF($F52&lt;&gt;"",IFERROR(INDEX('Rate Build-Up'!$P$8:$P$47,MATCH($F52,'Rate Build-Up'!$A$8:$A$47,0)),"BU ref not found"),$G52)</f>
        <v>0</v>
      </c>
      <c r="I52" s="88" t="str">
        <f aca="false">IF(AND(ISNUMBER($E52),ISNUMBER($H52)),ROUND($E52*$H52,2),"")</f>
        <v/>
      </c>
      <c r="J52" s="64"/>
    </row>
    <row r="53" customFormat="false" ht="15" hidden="false" customHeight="false" outlineLevel="0" collapsed="false">
      <c r="A53" s="42"/>
      <c r="B53" s="42"/>
      <c r="C53" s="43" t="s">
        <v>671</v>
      </c>
      <c r="D53" s="42"/>
      <c r="E53" s="42"/>
      <c r="F53" s="42"/>
      <c r="G53" s="42"/>
      <c r="H53" s="42"/>
      <c r="I53" s="89" t="n">
        <f aca="false">ROUND(SUM($I$45:$I$52),2)</f>
        <v>95820</v>
      </c>
      <c r="J53" s="42"/>
    </row>
  </sheetData>
  <mergeCells count="4">
    <mergeCell ref="A1:I1"/>
    <mergeCell ref="A2:J2"/>
    <mergeCell ref="A3:J3"/>
    <mergeCell ref="A4:H4"/>
  </mergeCells>
  <conditionalFormatting sqref="C7:J55">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55"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7" topLeftCell="C8" activePane="bottomRight" state="frozen"/>
      <selection pane="topLeft" activeCell="A1" activeCellId="0" sqref="A1"/>
      <selection pane="topRight" activeCell="C1" activeCellId="0" sqref="C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54"/>
    <col collapsed="false" customWidth="true" hidden="false" outlineLevel="0" max="3" min="3" style="0" width="8"/>
    <col collapsed="false" customWidth="true" hidden="false" outlineLevel="0" max="7" min="4" style="0" width="11"/>
    <col collapsed="false" customWidth="true" hidden="false" outlineLevel="0" max="8" min="8" style="0" width="12"/>
    <col collapsed="false" customWidth="true" hidden="false" outlineLevel="0" max="9" min="9" style="0" width="8"/>
    <col collapsed="false" customWidth="true" hidden="false" outlineLevel="0" max="11" min="10" style="0" width="11"/>
    <col collapsed="false" customWidth="true" hidden="false" outlineLevel="0" max="12" min="12" style="0" width="12"/>
    <col collapsed="false" customWidth="true" hidden="false" outlineLevel="0" max="13" min="13" style="0" width="11"/>
    <col collapsed="false" customWidth="true" hidden="false" outlineLevel="0" max="14" min="14" style="0" width="9"/>
    <col collapsed="false" customWidth="true" hidden="false" outlineLevel="0" max="15" min="15" style="0" width="8"/>
    <col collapsed="false" customWidth="true" hidden="false" outlineLevel="0" max="16" min="16" style="0" width="13"/>
    <col collapsed="false" customWidth="true" hidden="false" outlineLevel="0" max="17" min="17" style="0" width="46"/>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31"/>
      <c r="K1" s="31"/>
      <c r="L1" s="31"/>
      <c r="M1" s="31"/>
      <c r="N1" s="31"/>
      <c r="O1" s="31"/>
      <c r="P1" s="31"/>
      <c r="Q1" s="76" t="s">
        <v>283</v>
      </c>
    </row>
    <row r="2" customFormat="false" ht="21.75" hidden="false" customHeight="true" outlineLevel="0" collapsed="false">
      <c r="A2" s="32" t="s">
        <v>672</v>
      </c>
      <c r="B2" s="32"/>
      <c r="C2" s="32"/>
      <c r="D2" s="32"/>
      <c r="E2" s="32"/>
      <c r="F2" s="32"/>
      <c r="G2" s="32"/>
      <c r="H2" s="32"/>
      <c r="I2" s="32"/>
      <c r="J2" s="32"/>
      <c r="K2" s="32"/>
      <c r="L2" s="32"/>
      <c r="M2" s="32"/>
      <c r="N2" s="32"/>
      <c r="O2" s="32"/>
      <c r="P2" s="32"/>
      <c r="Q2" s="32"/>
    </row>
    <row r="3" customFormat="false" ht="15" hidden="false" customHeight="false" outlineLevel="0" collapsed="false">
      <c r="A3" s="17" t="s">
        <v>673</v>
      </c>
      <c r="B3" s="17"/>
      <c r="C3" s="17"/>
      <c r="D3" s="17"/>
      <c r="E3" s="17"/>
      <c r="F3" s="17"/>
      <c r="G3" s="17"/>
      <c r="H3" s="17"/>
      <c r="I3" s="17"/>
      <c r="J3" s="17"/>
      <c r="K3" s="17"/>
      <c r="L3" s="17"/>
      <c r="M3" s="17"/>
      <c r="N3" s="17"/>
      <c r="O3" s="17"/>
      <c r="P3" s="17"/>
      <c r="Q3" s="17"/>
    </row>
    <row r="5" customFormat="false" ht="15" hidden="false" customHeight="false" outlineLevel="0" collapsed="false">
      <c r="A5" s="17" t="str">
        <f aca="false">" ALL-IN RATE = ( labour + material + plant + sub-contract ) x (1 + overheads %) x (1 + profit %).   Overheads and profit are only added here when Cover!C25 = ""Yes"".   All values in "&amp;Cover!$C$10&amp;"."</f>
        <v> ALL-IN RATE = ( labour + material + plant + sub-contract ) x (1 + overheads %) x (1 + profit %).   Overheads and profit are only added here when Cover!C25 = "Yes".   All values in CUR.</v>
      </c>
      <c r="B5" s="17"/>
      <c r="C5" s="17"/>
      <c r="D5" s="17"/>
      <c r="E5" s="17"/>
      <c r="F5" s="17"/>
      <c r="G5" s="17"/>
      <c r="H5" s="17"/>
      <c r="I5" s="17"/>
      <c r="J5" s="17"/>
      <c r="K5" s="17"/>
      <c r="L5" s="17"/>
      <c r="M5" s="17"/>
      <c r="N5" s="17"/>
      <c r="O5" s="17"/>
      <c r="P5" s="17"/>
      <c r="Q5" s="17"/>
    </row>
    <row r="7" customFormat="false" ht="31.5" hidden="false" customHeight="true" outlineLevel="0" collapsed="false">
      <c r="A7" s="36" t="s">
        <v>674</v>
      </c>
      <c r="B7" s="36" t="s">
        <v>675</v>
      </c>
      <c r="C7" s="36" t="s">
        <v>336</v>
      </c>
      <c r="D7" s="36" t="s">
        <v>676</v>
      </c>
      <c r="E7" s="36" t="s">
        <v>677</v>
      </c>
      <c r="F7" s="36" t="s">
        <v>678</v>
      </c>
      <c r="G7" s="36" t="s">
        <v>679</v>
      </c>
      <c r="H7" s="36" t="s">
        <v>680</v>
      </c>
      <c r="I7" s="36" t="s">
        <v>681</v>
      </c>
      <c r="J7" s="36" t="s">
        <v>682</v>
      </c>
      <c r="K7" s="36" t="s">
        <v>683</v>
      </c>
      <c r="L7" s="36" t="s">
        <v>684</v>
      </c>
      <c r="M7" s="36" t="s">
        <v>685</v>
      </c>
      <c r="N7" s="36" t="s">
        <v>686</v>
      </c>
      <c r="O7" s="36" t="s">
        <v>687</v>
      </c>
      <c r="P7" s="36" t="s">
        <v>688</v>
      </c>
      <c r="Q7" s="36" t="s">
        <v>288</v>
      </c>
    </row>
    <row r="8" customFormat="false" ht="27.75" hidden="false" customHeight="true" outlineLevel="0" collapsed="false">
      <c r="A8" s="94" t="s">
        <v>370</v>
      </c>
      <c r="B8" s="84" t="s">
        <v>689</v>
      </c>
      <c r="C8" s="83" t="s">
        <v>369</v>
      </c>
      <c r="D8" s="95" t="n">
        <v>0.12</v>
      </c>
      <c r="E8" s="93" t="n">
        <f aca="false">Cover!$C$21</f>
        <v>68</v>
      </c>
      <c r="F8" s="87" t="n">
        <f aca="false">IF(AND(ISNUMBER($D8),ISNUMBER($E8)),$D8*$E8,0)</f>
        <v>8.16</v>
      </c>
      <c r="G8" s="95" t="n">
        <v>0</v>
      </c>
      <c r="H8" s="85" t="n">
        <v>0</v>
      </c>
      <c r="I8" s="96" t="n">
        <f aca="false">Cover!$C$22</f>
        <v>0.05</v>
      </c>
      <c r="J8" s="87" t="n">
        <f aca="false">IF(AND(ISNUMBER($G8),ISNUMBER($H8)),ROUND($G8*$H8*(1+N($I8)),4),0)</f>
        <v>0</v>
      </c>
      <c r="K8" s="85" t="n">
        <v>14</v>
      </c>
      <c r="L8" s="85" t="n">
        <v>18</v>
      </c>
      <c r="M8" s="88" t="n">
        <f aca="false">ROUND(SUM($F8,$J8,$K8,$L8),4)</f>
        <v>40.16</v>
      </c>
      <c r="N8" s="96" t="n">
        <f aca="false">IF(Cover!$C$25="Yes",Cover!$C$23,0)</f>
        <v>0.08</v>
      </c>
      <c r="O8" s="96" t="n">
        <f aca="false">IF(Cover!$C$25="Yes",Cover!$C$24,0)</f>
        <v>0.05</v>
      </c>
      <c r="P8" s="97" t="n">
        <f aca="false">IF($M8=0,"",ROUND($M8*(1+$N8)*(1+$O8),2))</f>
        <v>45.54</v>
      </c>
      <c r="Q8" s="64" t="s">
        <v>690</v>
      </c>
    </row>
    <row r="9" customFormat="false" ht="27.75" hidden="false" customHeight="true" outlineLevel="0" collapsed="false">
      <c r="A9" s="94" t="s">
        <v>419</v>
      </c>
      <c r="B9" s="84" t="s">
        <v>691</v>
      </c>
      <c r="C9" s="83" t="s">
        <v>369</v>
      </c>
      <c r="D9" s="95" t="n">
        <v>1.1</v>
      </c>
      <c r="E9" s="93" t="n">
        <f aca="false">Cover!$C$21</f>
        <v>68</v>
      </c>
      <c r="F9" s="87" t="n">
        <f aca="false">IF(AND(ISNUMBER($D9),ISNUMBER($E9)),$D9*$E9,0)</f>
        <v>74.8</v>
      </c>
      <c r="G9" s="95" t="n">
        <v>1</v>
      </c>
      <c r="H9" s="85" t="n">
        <v>235</v>
      </c>
      <c r="I9" s="96" t="n">
        <f aca="false">Cover!$C$22</f>
        <v>0.05</v>
      </c>
      <c r="J9" s="87" t="n">
        <f aca="false">IF(AND(ISNUMBER($G9),ISNUMBER($H9)),ROUND($G9*$H9*(1+N($I9)),4),0)</f>
        <v>246.75</v>
      </c>
      <c r="K9" s="85" t="n">
        <v>38</v>
      </c>
      <c r="L9" s="85" t="n">
        <v>0</v>
      </c>
      <c r="M9" s="88" t="n">
        <f aca="false">ROUND(SUM($F9,$J9,$K9,$L9),4)</f>
        <v>359.55</v>
      </c>
      <c r="N9" s="96" t="n">
        <f aca="false">IF(Cover!$C$25="Yes",Cover!$C$23,0)</f>
        <v>0.08</v>
      </c>
      <c r="O9" s="96" t="n">
        <f aca="false">IF(Cover!$C$25="Yes",Cover!$C$24,0)</f>
        <v>0.05</v>
      </c>
      <c r="P9" s="97" t="n">
        <f aca="false">IF($M9=0,"",ROUND($M9*(1+$N9)*(1+$O9),2))</f>
        <v>407.73</v>
      </c>
      <c r="Q9" s="64" t="s">
        <v>692</v>
      </c>
    </row>
    <row r="10" customFormat="false" ht="27.75" hidden="false" customHeight="true" outlineLevel="0" collapsed="false">
      <c r="A10" s="94" t="s">
        <v>423</v>
      </c>
      <c r="B10" s="84" t="s">
        <v>693</v>
      </c>
      <c r="C10" s="83" t="s">
        <v>382</v>
      </c>
      <c r="D10" s="95" t="n">
        <v>14</v>
      </c>
      <c r="E10" s="93" t="n">
        <f aca="false">Cover!$C$21</f>
        <v>68</v>
      </c>
      <c r="F10" s="87" t="n">
        <f aca="false">IF(AND(ISNUMBER($D10),ISNUMBER($E10)),$D10*$E10,0)</f>
        <v>952</v>
      </c>
      <c r="G10" s="95" t="n">
        <v>1</v>
      </c>
      <c r="H10" s="85" t="n">
        <v>1420</v>
      </c>
      <c r="I10" s="96" t="n">
        <f aca="false">Cover!$C$22</f>
        <v>0.05</v>
      </c>
      <c r="J10" s="87" t="n">
        <f aca="false">IF(AND(ISNUMBER($G10),ISNUMBER($H10)),ROUND($G10*$H10*(1+N($I10)),4),0)</f>
        <v>1491</v>
      </c>
      <c r="K10" s="85" t="n">
        <v>45</v>
      </c>
      <c r="L10" s="85" t="n">
        <v>0</v>
      </c>
      <c r="M10" s="88" t="n">
        <f aca="false">ROUND(SUM($F10,$J10,$K10,$L10),4)</f>
        <v>2488</v>
      </c>
      <c r="N10" s="96" t="n">
        <f aca="false">IF(Cover!$C$25="Yes",Cover!$C$23,0)</f>
        <v>0.08</v>
      </c>
      <c r="O10" s="96" t="n">
        <f aca="false">IF(Cover!$C$25="Yes",Cover!$C$24,0)</f>
        <v>0.05</v>
      </c>
      <c r="P10" s="97" t="n">
        <f aca="false">IF($M10=0,"",ROUND($M10*(1+$N10)*(1+$O10),2))</f>
        <v>2821.39</v>
      </c>
      <c r="Q10" s="64" t="s">
        <v>694</v>
      </c>
    </row>
    <row r="11" customFormat="false" ht="27.75" hidden="false" customHeight="true" outlineLevel="0" collapsed="false">
      <c r="A11" s="94" t="s">
        <v>427</v>
      </c>
      <c r="B11" s="84" t="s">
        <v>695</v>
      </c>
      <c r="C11" s="83" t="s">
        <v>181</v>
      </c>
      <c r="D11" s="95" t="n">
        <v>0.55</v>
      </c>
      <c r="E11" s="93" t="n">
        <f aca="false">Cover!$C$21</f>
        <v>68</v>
      </c>
      <c r="F11" s="87" t="n">
        <f aca="false">IF(AND(ISNUMBER($D11),ISNUMBER($E11)),$D11*$E11,0)</f>
        <v>37.4</v>
      </c>
      <c r="G11" s="95" t="n">
        <v>1</v>
      </c>
      <c r="H11" s="85" t="n">
        <v>18.5</v>
      </c>
      <c r="I11" s="96" t="n">
        <f aca="false">Cover!$C$22</f>
        <v>0.05</v>
      </c>
      <c r="J11" s="87" t="n">
        <f aca="false">IF(AND(ISNUMBER($G11),ISNUMBER($H11)),ROUND($G11*$H11*(1+N($I11)),4),0)</f>
        <v>19.425</v>
      </c>
      <c r="K11" s="85" t="n">
        <v>4.5</v>
      </c>
      <c r="L11" s="85" t="n">
        <v>0</v>
      </c>
      <c r="M11" s="88" t="n">
        <f aca="false">ROUND(SUM($F11,$J11,$K11,$L11),4)</f>
        <v>61.325</v>
      </c>
      <c r="N11" s="96" t="n">
        <f aca="false">IF(Cover!$C$25="Yes",Cover!$C$23,0)</f>
        <v>0.08</v>
      </c>
      <c r="O11" s="96" t="n">
        <f aca="false">IF(Cover!$C$25="Yes",Cover!$C$24,0)</f>
        <v>0.05</v>
      </c>
      <c r="P11" s="97" t="n">
        <f aca="false">IF($M11=0,"",ROUND($M11*(1+$N11)*(1+$O11),2))</f>
        <v>69.54</v>
      </c>
      <c r="Q11" s="64" t="s">
        <v>696</v>
      </c>
    </row>
    <row r="12" customFormat="false" ht="15" hidden="false" customHeight="true" outlineLevel="0" collapsed="false">
      <c r="A12" s="94" t="s">
        <v>447</v>
      </c>
      <c r="B12" s="84" t="s">
        <v>697</v>
      </c>
      <c r="C12" s="83" t="s">
        <v>181</v>
      </c>
      <c r="D12" s="95" t="n">
        <v>1.35</v>
      </c>
      <c r="E12" s="93" t="n">
        <f aca="false">Cover!$C$21</f>
        <v>68</v>
      </c>
      <c r="F12" s="87" t="n">
        <f aca="false">IF(AND(ISNUMBER($D12),ISNUMBER($E12)),$D12*$E12,0)</f>
        <v>91.8</v>
      </c>
      <c r="G12" s="95" t="n">
        <v>60</v>
      </c>
      <c r="H12" s="85" t="n">
        <v>1.35</v>
      </c>
      <c r="I12" s="96" t="n">
        <f aca="false">Cover!$C$22</f>
        <v>0.05</v>
      </c>
      <c r="J12" s="87" t="n">
        <f aca="false">IF(AND(ISNUMBER($G12),ISNUMBER($H12)),ROUND($G12*$H12*(1+N($I12)),4),0)</f>
        <v>85.05</v>
      </c>
      <c r="K12" s="85" t="n">
        <v>3.2</v>
      </c>
      <c r="L12" s="85" t="n">
        <v>0</v>
      </c>
      <c r="M12" s="88" t="n">
        <f aca="false">ROUND(SUM($F12,$J12,$K12,$L12),4)</f>
        <v>180.05</v>
      </c>
      <c r="N12" s="96" t="n">
        <f aca="false">IF(Cover!$C$25="Yes",Cover!$C$23,0)</f>
        <v>0.08</v>
      </c>
      <c r="O12" s="96" t="n">
        <f aca="false">IF(Cover!$C$25="Yes",Cover!$C$24,0)</f>
        <v>0.05</v>
      </c>
      <c r="P12" s="97" t="n">
        <f aca="false">IF($M12=0,"",ROUND($M12*(1+$N12)*(1+$O12),2))</f>
        <v>204.18</v>
      </c>
      <c r="Q12" s="64" t="s">
        <v>698</v>
      </c>
    </row>
    <row r="13" customFormat="false" ht="15" hidden="false" customHeight="true" outlineLevel="0" collapsed="false">
      <c r="A13" s="94" t="s">
        <v>451</v>
      </c>
      <c r="B13" s="84" t="s">
        <v>699</v>
      </c>
      <c r="C13" s="83" t="s">
        <v>181</v>
      </c>
      <c r="D13" s="95" t="n">
        <v>0.85</v>
      </c>
      <c r="E13" s="93" t="n">
        <f aca="false">Cover!$C$21</f>
        <v>68</v>
      </c>
      <c r="F13" s="87" t="n">
        <f aca="false">IF(AND(ISNUMBER($D13),ISNUMBER($E13)),$D13*$E13,0)</f>
        <v>57.8</v>
      </c>
      <c r="G13" s="95" t="n">
        <v>10</v>
      </c>
      <c r="H13" s="85" t="n">
        <v>4.85</v>
      </c>
      <c r="I13" s="96" t="n">
        <f aca="false">Cover!$C$22</f>
        <v>0.05</v>
      </c>
      <c r="J13" s="87" t="n">
        <f aca="false">IF(AND(ISNUMBER($G13),ISNUMBER($H13)),ROUND($G13*$H13*(1+N($I13)),4),0)</f>
        <v>50.925</v>
      </c>
      <c r="K13" s="85" t="n">
        <v>2.8</v>
      </c>
      <c r="L13" s="85" t="n">
        <v>0</v>
      </c>
      <c r="M13" s="88" t="n">
        <f aca="false">ROUND(SUM($F13,$J13,$K13,$L13),4)</f>
        <v>111.525</v>
      </c>
      <c r="N13" s="96" t="n">
        <f aca="false">IF(Cover!$C$25="Yes",Cover!$C$23,0)</f>
        <v>0.08</v>
      </c>
      <c r="O13" s="96" t="n">
        <f aca="false">IF(Cover!$C$25="Yes",Cover!$C$24,0)</f>
        <v>0.05</v>
      </c>
      <c r="P13" s="97" t="n">
        <f aca="false">IF($M13=0,"",ROUND($M13*(1+$N13)*(1+$O13),2))</f>
        <v>126.47</v>
      </c>
      <c r="Q13" s="64" t="s">
        <v>700</v>
      </c>
    </row>
    <row r="14" customFormat="false" ht="27.75" hidden="false" customHeight="true" outlineLevel="0" collapsed="false">
      <c r="A14" s="94" t="s">
        <v>493</v>
      </c>
      <c r="B14" s="84" t="s">
        <v>701</v>
      </c>
      <c r="C14" s="83" t="s">
        <v>181</v>
      </c>
      <c r="D14" s="95" t="n">
        <v>0.95</v>
      </c>
      <c r="E14" s="93" t="n">
        <f aca="false">Cover!$C$21</f>
        <v>68</v>
      </c>
      <c r="F14" s="87" t="n">
        <f aca="false">IF(AND(ISNUMBER($D14),ISNUMBER($E14)),$D14*$E14,0)</f>
        <v>64.6</v>
      </c>
      <c r="G14" s="95" t="n">
        <v>1</v>
      </c>
      <c r="H14" s="85" t="n">
        <v>62</v>
      </c>
      <c r="I14" s="96" t="n">
        <f aca="false">Cover!$C$22</f>
        <v>0.05</v>
      </c>
      <c r="J14" s="87" t="n">
        <f aca="false">IF(AND(ISNUMBER($G14),ISNUMBER($H14)),ROUND($G14*$H14*(1+N($I14)),4),0)</f>
        <v>65.1</v>
      </c>
      <c r="K14" s="85" t="n">
        <v>1.2</v>
      </c>
      <c r="L14" s="85" t="n">
        <v>0</v>
      </c>
      <c r="M14" s="88" t="n">
        <f aca="false">ROUND(SUM($F14,$J14,$K14,$L14),4)</f>
        <v>130.9</v>
      </c>
      <c r="N14" s="96" t="n">
        <f aca="false">IF(Cover!$C$25="Yes",Cover!$C$23,0)</f>
        <v>0.08</v>
      </c>
      <c r="O14" s="96" t="n">
        <f aca="false">IF(Cover!$C$25="Yes",Cover!$C$24,0)</f>
        <v>0.05</v>
      </c>
      <c r="P14" s="97" t="n">
        <f aca="false">IF($M14=0,"",ROUND($M14*(1+$N14)*(1+$O14),2))</f>
        <v>148.44</v>
      </c>
      <c r="Q14" s="64" t="s">
        <v>702</v>
      </c>
    </row>
    <row r="15" customFormat="false" ht="15" hidden="false" customHeight="true" outlineLevel="0" collapsed="false">
      <c r="A15" s="94" t="s">
        <v>559</v>
      </c>
      <c r="B15" s="84" t="s">
        <v>558</v>
      </c>
      <c r="C15" s="83" t="s">
        <v>181</v>
      </c>
      <c r="D15" s="95" t="n">
        <v>0.28</v>
      </c>
      <c r="E15" s="93" t="n">
        <f aca="false">Cover!$C$21</f>
        <v>68</v>
      </c>
      <c r="F15" s="87" t="n">
        <f aca="false">IF(AND(ISNUMBER($D15),ISNUMBER($E15)),$D15*$E15,0)</f>
        <v>19.04</v>
      </c>
      <c r="G15" s="95" t="n">
        <v>1</v>
      </c>
      <c r="H15" s="85" t="n">
        <v>3.6</v>
      </c>
      <c r="I15" s="96" t="n">
        <f aca="false">Cover!$C$22</f>
        <v>0.05</v>
      </c>
      <c r="J15" s="87" t="n">
        <f aca="false">IF(AND(ISNUMBER($G15),ISNUMBER($H15)),ROUND($G15*$H15*(1+N($I15)),4),0)</f>
        <v>3.78</v>
      </c>
      <c r="K15" s="85" t="n">
        <v>0.4</v>
      </c>
      <c r="L15" s="85" t="n">
        <v>0</v>
      </c>
      <c r="M15" s="88" t="n">
        <f aca="false">ROUND(SUM($F15,$J15,$K15,$L15),4)</f>
        <v>23.22</v>
      </c>
      <c r="N15" s="96" t="n">
        <f aca="false">IF(Cover!$C$25="Yes",Cover!$C$23,0)</f>
        <v>0.08</v>
      </c>
      <c r="O15" s="96" t="n">
        <f aca="false">IF(Cover!$C$25="Yes",Cover!$C$24,0)</f>
        <v>0.05</v>
      </c>
      <c r="P15" s="97" t="n">
        <f aca="false">IF($M15=0,"",ROUND($M15*(1+$N15)*(1+$O15),2))</f>
        <v>26.33</v>
      </c>
      <c r="Q15" s="64"/>
    </row>
    <row r="16" customFormat="false" ht="27.75" hidden="false" customHeight="true" outlineLevel="0" collapsed="false">
      <c r="A16" s="94" t="s">
        <v>566</v>
      </c>
      <c r="B16" s="84" t="s">
        <v>703</v>
      </c>
      <c r="C16" s="83" t="s">
        <v>181</v>
      </c>
      <c r="D16" s="95" t="n">
        <v>0.22</v>
      </c>
      <c r="E16" s="93" t="n">
        <f aca="false">Cover!$C$21</f>
        <v>68</v>
      </c>
      <c r="F16" s="87" t="n">
        <f aca="false">IF(AND(ISNUMBER($D16),ISNUMBER($E16)),$D16*$E16,0)</f>
        <v>14.96</v>
      </c>
      <c r="G16" s="95" t="n">
        <v>0.32</v>
      </c>
      <c r="H16" s="85" t="n">
        <v>12.5</v>
      </c>
      <c r="I16" s="96" t="n">
        <f aca="false">Cover!$C$22</f>
        <v>0.05</v>
      </c>
      <c r="J16" s="87" t="n">
        <f aca="false">IF(AND(ISNUMBER($G16),ISNUMBER($H16)),ROUND($G16*$H16*(1+N($I16)),4),0)</f>
        <v>4.2</v>
      </c>
      <c r="K16" s="85" t="n">
        <v>0.3</v>
      </c>
      <c r="L16" s="85" t="n">
        <v>0</v>
      </c>
      <c r="M16" s="88" t="n">
        <f aca="false">ROUND(SUM($F16,$J16,$K16,$L16),4)</f>
        <v>19.46</v>
      </c>
      <c r="N16" s="96" t="n">
        <f aca="false">IF(Cover!$C$25="Yes",Cover!$C$23,0)</f>
        <v>0.08</v>
      </c>
      <c r="O16" s="96" t="n">
        <f aca="false">IF(Cover!$C$25="Yes",Cover!$C$24,0)</f>
        <v>0.05</v>
      </c>
      <c r="P16" s="97" t="n">
        <f aca="false">IF($M16=0,"",ROUND($M16*(1+$N16)*(1+$O16),2))</f>
        <v>22.07</v>
      </c>
      <c r="Q16" s="64" t="s">
        <v>704</v>
      </c>
    </row>
    <row r="17" customFormat="false" ht="15" hidden="false" customHeight="true" outlineLevel="0" collapsed="false">
      <c r="A17" s="94" t="s">
        <v>551</v>
      </c>
      <c r="B17" s="84" t="s">
        <v>705</v>
      </c>
      <c r="C17" s="83" t="s">
        <v>181</v>
      </c>
      <c r="D17" s="95" t="n">
        <v>0.42</v>
      </c>
      <c r="E17" s="93" t="n">
        <f aca="false">Cover!$C$21</f>
        <v>68</v>
      </c>
      <c r="F17" s="87" t="n">
        <f aca="false">IF(AND(ISNUMBER($D17),ISNUMBER($E17)),$D17*$E17,0)</f>
        <v>28.56</v>
      </c>
      <c r="G17" s="95" t="n">
        <v>0.07</v>
      </c>
      <c r="H17" s="85" t="n">
        <v>210</v>
      </c>
      <c r="I17" s="96" t="n">
        <f aca="false">Cover!$C$22</f>
        <v>0.05</v>
      </c>
      <c r="J17" s="87" t="n">
        <f aca="false">IF(AND(ISNUMBER($G17),ISNUMBER($H17)),ROUND($G17*$H17*(1+N($I17)),4),0)</f>
        <v>15.435</v>
      </c>
      <c r="K17" s="85" t="n">
        <v>2.4</v>
      </c>
      <c r="L17" s="85" t="n">
        <v>0</v>
      </c>
      <c r="M17" s="88" t="n">
        <f aca="false">ROUND(SUM($F17,$J17,$K17,$L17),4)</f>
        <v>46.395</v>
      </c>
      <c r="N17" s="96" t="n">
        <f aca="false">IF(Cover!$C$25="Yes",Cover!$C$23,0)</f>
        <v>0.08</v>
      </c>
      <c r="O17" s="96" t="n">
        <f aca="false">IF(Cover!$C$25="Yes",Cover!$C$24,0)</f>
        <v>0.05</v>
      </c>
      <c r="P17" s="97" t="n">
        <f aca="false">IF($M17=0,"",ROUND($M17*(1+$N17)*(1+$O17),2))</f>
        <v>52.61</v>
      </c>
      <c r="Q17" s="64" t="s">
        <v>706</v>
      </c>
    </row>
    <row r="18" customFormat="false" ht="15" hidden="false" customHeight="true" outlineLevel="0" collapsed="false">
      <c r="A18" s="94"/>
      <c r="B18" s="84"/>
      <c r="C18" s="83"/>
      <c r="D18" s="95"/>
      <c r="E18" s="93" t="n">
        <f aca="false">Cover!$C$21</f>
        <v>68</v>
      </c>
      <c r="F18" s="87" t="n">
        <f aca="false">IF(AND(ISNUMBER($D18),ISNUMBER($E18)),$D18*$E18,0)</f>
        <v>0</v>
      </c>
      <c r="G18" s="95"/>
      <c r="H18" s="85"/>
      <c r="I18" s="96" t="n">
        <f aca="false">Cover!$C$22</f>
        <v>0.05</v>
      </c>
      <c r="J18" s="87" t="n">
        <f aca="false">IF(AND(ISNUMBER($G18),ISNUMBER($H18)),ROUND($G18*$H18*(1+N($I18)),4),0)</f>
        <v>0</v>
      </c>
      <c r="K18" s="85"/>
      <c r="L18" s="85"/>
      <c r="M18" s="88" t="n">
        <f aca="false">ROUND(SUM($F18,$J18,$K18,$L18),4)</f>
        <v>0</v>
      </c>
      <c r="N18" s="96" t="n">
        <f aca="false">IF(Cover!$C$25="Yes",Cover!$C$23,0)</f>
        <v>0.08</v>
      </c>
      <c r="O18" s="96" t="n">
        <f aca="false">IF(Cover!$C$25="Yes",Cover!$C$24,0)</f>
        <v>0.05</v>
      </c>
      <c r="P18" s="97" t="str">
        <f aca="false">IF($M18=0,"",ROUND($M18*(1+$N18)*(1+$O18),2))</f>
        <v/>
      </c>
      <c r="Q18" s="64"/>
    </row>
    <row r="19" customFormat="false" ht="15" hidden="false" customHeight="true" outlineLevel="0" collapsed="false">
      <c r="A19" s="94"/>
      <c r="B19" s="84"/>
      <c r="C19" s="83"/>
      <c r="D19" s="95"/>
      <c r="E19" s="93" t="n">
        <f aca="false">Cover!$C$21</f>
        <v>68</v>
      </c>
      <c r="F19" s="87" t="n">
        <f aca="false">IF(AND(ISNUMBER($D19),ISNUMBER($E19)),$D19*$E19,0)</f>
        <v>0</v>
      </c>
      <c r="G19" s="95"/>
      <c r="H19" s="85"/>
      <c r="I19" s="96" t="n">
        <f aca="false">Cover!$C$22</f>
        <v>0.05</v>
      </c>
      <c r="J19" s="87" t="n">
        <f aca="false">IF(AND(ISNUMBER($G19),ISNUMBER($H19)),ROUND($G19*$H19*(1+N($I19)),4),0)</f>
        <v>0</v>
      </c>
      <c r="K19" s="85"/>
      <c r="L19" s="85"/>
      <c r="M19" s="88" t="n">
        <f aca="false">ROUND(SUM($F19,$J19,$K19,$L19),4)</f>
        <v>0</v>
      </c>
      <c r="N19" s="96" t="n">
        <f aca="false">IF(Cover!$C$25="Yes",Cover!$C$23,0)</f>
        <v>0.08</v>
      </c>
      <c r="O19" s="96" t="n">
        <f aca="false">IF(Cover!$C$25="Yes",Cover!$C$24,0)</f>
        <v>0.05</v>
      </c>
      <c r="P19" s="97" t="str">
        <f aca="false">IF($M19=0,"",ROUND($M19*(1+$N19)*(1+$O19),2))</f>
        <v/>
      </c>
      <c r="Q19" s="64"/>
    </row>
    <row r="20" customFormat="false" ht="15" hidden="false" customHeight="true" outlineLevel="0" collapsed="false">
      <c r="A20" s="94"/>
      <c r="B20" s="84"/>
      <c r="C20" s="83"/>
      <c r="D20" s="95"/>
      <c r="E20" s="93" t="n">
        <f aca="false">Cover!$C$21</f>
        <v>68</v>
      </c>
      <c r="F20" s="87" t="n">
        <f aca="false">IF(AND(ISNUMBER($D20),ISNUMBER($E20)),$D20*$E20,0)</f>
        <v>0</v>
      </c>
      <c r="G20" s="95"/>
      <c r="H20" s="85"/>
      <c r="I20" s="96" t="n">
        <f aca="false">Cover!$C$22</f>
        <v>0.05</v>
      </c>
      <c r="J20" s="87" t="n">
        <f aca="false">IF(AND(ISNUMBER($G20),ISNUMBER($H20)),ROUND($G20*$H20*(1+N($I20)),4),0)</f>
        <v>0</v>
      </c>
      <c r="K20" s="85"/>
      <c r="L20" s="85"/>
      <c r="M20" s="88" t="n">
        <f aca="false">ROUND(SUM($F20,$J20,$K20,$L20),4)</f>
        <v>0</v>
      </c>
      <c r="N20" s="96" t="n">
        <f aca="false">IF(Cover!$C$25="Yes",Cover!$C$23,0)</f>
        <v>0.08</v>
      </c>
      <c r="O20" s="96" t="n">
        <f aca="false">IF(Cover!$C$25="Yes",Cover!$C$24,0)</f>
        <v>0.05</v>
      </c>
      <c r="P20" s="97" t="str">
        <f aca="false">IF($M20=0,"",ROUND($M20*(1+$N20)*(1+$O20),2))</f>
        <v/>
      </c>
      <c r="Q20" s="64"/>
    </row>
    <row r="21" customFormat="false" ht="15" hidden="false" customHeight="true" outlineLevel="0" collapsed="false">
      <c r="A21" s="94"/>
      <c r="B21" s="84"/>
      <c r="C21" s="83"/>
      <c r="D21" s="95"/>
      <c r="E21" s="93" t="n">
        <f aca="false">Cover!$C$21</f>
        <v>68</v>
      </c>
      <c r="F21" s="87" t="n">
        <f aca="false">IF(AND(ISNUMBER($D21),ISNUMBER($E21)),$D21*$E21,0)</f>
        <v>0</v>
      </c>
      <c r="G21" s="95"/>
      <c r="H21" s="85"/>
      <c r="I21" s="96" t="n">
        <f aca="false">Cover!$C$22</f>
        <v>0.05</v>
      </c>
      <c r="J21" s="87" t="n">
        <f aca="false">IF(AND(ISNUMBER($G21),ISNUMBER($H21)),ROUND($G21*$H21*(1+N($I21)),4),0)</f>
        <v>0</v>
      </c>
      <c r="K21" s="85"/>
      <c r="L21" s="85"/>
      <c r="M21" s="88" t="n">
        <f aca="false">ROUND(SUM($F21,$J21,$K21,$L21),4)</f>
        <v>0</v>
      </c>
      <c r="N21" s="96" t="n">
        <f aca="false">IF(Cover!$C$25="Yes",Cover!$C$23,0)</f>
        <v>0.08</v>
      </c>
      <c r="O21" s="96" t="n">
        <f aca="false">IF(Cover!$C$25="Yes",Cover!$C$24,0)</f>
        <v>0.05</v>
      </c>
      <c r="P21" s="97" t="str">
        <f aca="false">IF($M21=0,"",ROUND($M21*(1+$N21)*(1+$O21),2))</f>
        <v/>
      </c>
      <c r="Q21" s="64"/>
    </row>
    <row r="22" customFormat="false" ht="15" hidden="false" customHeight="true" outlineLevel="0" collapsed="false">
      <c r="A22" s="94"/>
      <c r="B22" s="84"/>
      <c r="C22" s="83"/>
      <c r="D22" s="95"/>
      <c r="E22" s="93" t="n">
        <f aca="false">Cover!$C$21</f>
        <v>68</v>
      </c>
      <c r="F22" s="87" t="n">
        <f aca="false">IF(AND(ISNUMBER($D22),ISNUMBER($E22)),$D22*$E22,0)</f>
        <v>0</v>
      </c>
      <c r="G22" s="95"/>
      <c r="H22" s="85"/>
      <c r="I22" s="96" t="n">
        <f aca="false">Cover!$C$22</f>
        <v>0.05</v>
      </c>
      <c r="J22" s="87" t="n">
        <f aca="false">IF(AND(ISNUMBER($G22),ISNUMBER($H22)),ROUND($G22*$H22*(1+N($I22)),4),0)</f>
        <v>0</v>
      </c>
      <c r="K22" s="85"/>
      <c r="L22" s="85"/>
      <c r="M22" s="88" t="n">
        <f aca="false">ROUND(SUM($F22,$J22,$K22,$L22),4)</f>
        <v>0</v>
      </c>
      <c r="N22" s="96" t="n">
        <f aca="false">IF(Cover!$C$25="Yes",Cover!$C$23,0)</f>
        <v>0.08</v>
      </c>
      <c r="O22" s="96" t="n">
        <f aca="false">IF(Cover!$C$25="Yes",Cover!$C$24,0)</f>
        <v>0.05</v>
      </c>
      <c r="P22" s="97" t="str">
        <f aca="false">IF($M22=0,"",ROUND($M22*(1+$N22)*(1+$O22),2))</f>
        <v/>
      </c>
      <c r="Q22" s="64"/>
    </row>
    <row r="23" customFormat="false" ht="15" hidden="false" customHeight="true" outlineLevel="0" collapsed="false">
      <c r="A23" s="94"/>
      <c r="B23" s="84"/>
      <c r="C23" s="83"/>
      <c r="D23" s="95"/>
      <c r="E23" s="93" t="n">
        <f aca="false">Cover!$C$21</f>
        <v>68</v>
      </c>
      <c r="F23" s="87" t="n">
        <f aca="false">IF(AND(ISNUMBER($D23),ISNUMBER($E23)),$D23*$E23,0)</f>
        <v>0</v>
      </c>
      <c r="G23" s="95"/>
      <c r="H23" s="85"/>
      <c r="I23" s="96" t="n">
        <f aca="false">Cover!$C$22</f>
        <v>0.05</v>
      </c>
      <c r="J23" s="87" t="n">
        <f aca="false">IF(AND(ISNUMBER($G23),ISNUMBER($H23)),ROUND($G23*$H23*(1+N($I23)),4),0)</f>
        <v>0</v>
      </c>
      <c r="K23" s="85"/>
      <c r="L23" s="85"/>
      <c r="M23" s="88" t="n">
        <f aca="false">ROUND(SUM($F23,$J23,$K23,$L23),4)</f>
        <v>0</v>
      </c>
      <c r="N23" s="96" t="n">
        <f aca="false">IF(Cover!$C$25="Yes",Cover!$C$23,0)</f>
        <v>0.08</v>
      </c>
      <c r="O23" s="96" t="n">
        <f aca="false">IF(Cover!$C$25="Yes",Cover!$C$24,0)</f>
        <v>0.05</v>
      </c>
      <c r="P23" s="97" t="str">
        <f aca="false">IF($M23=0,"",ROUND($M23*(1+$N23)*(1+$O23),2))</f>
        <v/>
      </c>
      <c r="Q23" s="64"/>
    </row>
    <row r="24" customFormat="false" ht="15" hidden="false" customHeight="true" outlineLevel="0" collapsed="false">
      <c r="A24" s="94"/>
      <c r="B24" s="84"/>
      <c r="C24" s="83"/>
      <c r="D24" s="95"/>
      <c r="E24" s="93" t="n">
        <f aca="false">Cover!$C$21</f>
        <v>68</v>
      </c>
      <c r="F24" s="87" t="n">
        <f aca="false">IF(AND(ISNUMBER($D24),ISNUMBER($E24)),$D24*$E24,0)</f>
        <v>0</v>
      </c>
      <c r="G24" s="95"/>
      <c r="H24" s="85"/>
      <c r="I24" s="96" t="n">
        <f aca="false">Cover!$C$22</f>
        <v>0.05</v>
      </c>
      <c r="J24" s="87" t="n">
        <f aca="false">IF(AND(ISNUMBER($G24),ISNUMBER($H24)),ROUND($G24*$H24*(1+N($I24)),4),0)</f>
        <v>0</v>
      </c>
      <c r="K24" s="85"/>
      <c r="L24" s="85"/>
      <c r="M24" s="88" t="n">
        <f aca="false">ROUND(SUM($F24,$J24,$K24,$L24),4)</f>
        <v>0</v>
      </c>
      <c r="N24" s="96" t="n">
        <f aca="false">IF(Cover!$C$25="Yes",Cover!$C$23,0)</f>
        <v>0.08</v>
      </c>
      <c r="O24" s="96" t="n">
        <f aca="false">IF(Cover!$C$25="Yes",Cover!$C$24,0)</f>
        <v>0.05</v>
      </c>
      <c r="P24" s="97" t="str">
        <f aca="false">IF($M24=0,"",ROUND($M24*(1+$N24)*(1+$O24),2))</f>
        <v/>
      </c>
      <c r="Q24" s="64"/>
    </row>
    <row r="25" customFormat="false" ht="15" hidden="false" customHeight="true" outlineLevel="0" collapsed="false">
      <c r="A25" s="94"/>
      <c r="B25" s="84"/>
      <c r="C25" s="83"/>
      <c r="D25" s="95"/>
      <c r="E25" s="93" t="n">
        <f aca="false">Cover!$C$21</f>
        <v>68</v>
      </c>
      <c r="F25" s="87" t="n">
        <f aca="false">IF(AND(ISNUMBER($D25),ISNUMBER($E25)),$D25*$E25,0)</f>
        <v>0</v>
      </c>
      <c r="G25" s="95"/>
      <c r="H25" s="85"/>
      <c r="I25" s="96" t="n">
        <f aca="false">Cover!$C$22</f>
        <v>0.05</v>
      </c>
      <c r="J25" s="87" t="n">
        <f aca="false">IF(AND(ISNUMBER($G25),ISNUMBER($H25)),ROUND($G25*$H25*(1+N($I25)),4),0)</f>
        <v>0</v>
      </c>
      <c r="K25" s="85"/>
      <c r="L25" s="85"/>
      <c r="M25" s="88" t="n">
        <f aca="false">ROUND(SUM($F25,$J25,$K25,$L25),4)</f>
        <v>0</v>
      </c>
      <c r="N25" s="96" t="n">
        <f aca="false">IF(Cover!$C$25="Yes",Cover!$C$23,0)</f>
        <v>0.08</v>
      </c>
      <c r="O25" s="96" t="n">
        <f aca="false">IF(Cover!$C$25="Yes",Cover!$C$24,0)</f>
        <v>0.05</v>
      </c>
      <c r="P25" s="97" t="str">
        <f aca="false">IF($M25=0,"",ROUND($M25*(1+$N25)*(1+$O25),2))</f>
        <v/>
      </c>
      <c r="Q25" s="64"/>
    </row>
    <row r="26" customFormat="false" ht="15" hidden="false" customHeight="true" outlineLevel="0" collapsed="false">
      <c r="A26" s="94"/>
      <c r="B26" s="84"/>
      <c r="C26" s="83"/>
      <c r="D26" s="95"/>
      <c r="E26" s="93" t="n">
        <f aca="false">Cover!$C$21</f>
        <v>68</v>
      </c>
      <c r="F26" s="87" t="n">
        <f aca="false">IF(AND(ISNUMBER($D26),ISNUMBER($E26)),$D26*$E26,0)</f>
        <v>0</v>
      </c>
      <c r="G26" s="95"/>
      <c r="H26" s="85"/>
      <c r="I26" s="96" t="n">
        <f aca="false">Cover!$C$22</f>
        <v>0.05</v>
      </c>
      <c r="J26" s="87" t="n">
        <f aca="false">IF(AND(ISNUMBER($G26),ISNUMBER($H26)),ROUND($G26*$H26*(1+N($I26)),4),0)</f>
        <v>0</v>
      </c>
      <c r="K26" s="85"/>
      <c r="L26" s="85"/>
      <c r="M26" s="88" t="n">
        <f aca="false">ROUND(SUM($F26,$J26,$K26,$L26),4)</f>
        <v>0</v>
      </c>
      <c r="N26" s="96" t="n">
        <f aca="false">IF(Cover!$C$25="Yes",Cover!$C$23,0)</f>
        <v>0.08</v>
      </c>
      <c r="O26" s="96" t="n">
        <f aca="false">IF(Cover!$C$25="Yes",Cover!$C$24,0)</f>
        <v>0.05</v>
      </c>
      <c r="P26" s="97" t="str">
        <f aca="false">IF($M26=0,"",ROUND($M26*(1+$N26)*(1+$O26),2))</f>
        <v/>
      </c>
      <c r="Q26" s="64"/>
    </row>
    <row r="27" customFormat="false" ht="15" hidden="false" customHeight="true" outlineLevel="0" collapsed="false">
      <c r="A27" s="94"/>
      <c r="B27" s="84"/>
      <c r="C27" s="83"/>
      <c r="D27" s="95"/>
      <c r="E27" s="93" t="n">
        <f aca="false">Cover!$C$21</f>
        <v>68</v>
      </c>
      <c r="F27" s="87" t="n">
        <f aca="false">IF(AND(ISNUMBER($D27),ISNUMBER($E27)),$D27*$E27,0)</f>
        <v>0</v>
      </c>
      <c r="G27" s="95"/>
      <c r="H27" s="85"/>
      <c r="I27" s="96" t="n">
        <f aca="false">Cover!$C$22</f>
        <v>0.05</v>
      </c>
      <c r="J27" s="87" t="n">
        <f aca="false">IF(AND(ISNUMBER($G27),ISNUMBER($H27)),ROUND($G27*$H27*(1+N($I27)),4),0)</f>
        <v>0</v>
      </c>
      <c r="K27" s="85"/>
      <c r="L27" s="85"/>
      <c r="M27" s="88" t="n">
        <f aca="false">ROUND(SUM($F27,$J27,$K27,$L27),4)</f>
        <v>0</v>
      </c>
      <c r="N27" s="96" t="n">
        <f aca="false">IF(Cover!$C$25="Yes",Cover!$C$23,0)</f>
        <v>0.08</v>
      </c>
      <c r="O27" s="96" t="n">
        <f aca="false">IF(Cover!$C$25="Yes",Cover!$C$24,0)</f>
        <v>0.05</v>
      </c>
      <c r="P27" s="97" t="str">
        <f aca="false">IF($M27=0,"",ROUND($M27*(1+$N27)*(1+$O27),2))</f>
        <v/>
      </c>
      <c r="Q27" s="64"/>
    </row>
    <row r="28" customFormat="false" ht="15" hidden="false" customHeight="true" outlineLevel="0" collapsed="false">
      <c r="A28" s="94"/>
      <c r="B28" s="84"/>
      <c r="C28" s="83"/>
      <c r="D28" s="95"/>
      <c r="E28" s="93" t="n">
        <f aca="false">Cover!$C$21</f>
        <v>68</v>
      </c>
      <c r="F28" s="87" t="n">
        <f aca="false">IF(AND(ISNUMBER($D28),ISNUMBER($E28)),$D28*$E28,0)</f>
        <v>0</v>
      </c>
      <c r="G28" s="95"/>
      <c r="H28" s="85"/>
      <c r="I28" s="96" t="n">
        <f aca="false">Cover!$C$22</f>
        <v>0.05</v>
      </c>
      <c r="J28" s="87" t="n">
        <f aca="false">IF(AND(ISNUMBER($G28),ISNUMBER($H28)),ROUND($G28*$H28*(1+N($I28)),4),0)</f>
        <v>0</v>
      </c>
      <c r="K28" s="85"/>
      <c r="L28" s="85"/>
      <c r="M28" s="88" t="n">
        <f aca="false">ROUND(SUM($F28,$J28,$K28,$L28),4)</f>
        <v>0</v>
      </c>
      <c r="N28" s="96" t="n">
        <f aca="false">IF(Cover!$C$25="Yes",Cover!$C$23,0)</f>
        <v>0.08</v>
      </c>
      <c r="O28" s="96" t="n">
        <f aca="false">IF(Cover!$C$25="Yes",Cover!$C$24,0)</f>
        <v>0.05</v>
      </c>
      <c r="P28" s="97" t="str">
        <f aca="false">IF($M28=0,"",ROUND($M28*(1+$N28)*(1+$O28),2))</f>
        <v/>
      </c>
      <c r="Q28" s="64"/>
    </row>
    <row r="29" customFormat="false" ht="15" hidden="false" customHeight="true" outlineLevel="0" collapsed="false">
      <c r="A29" s="94"/>
      <c r="B29" s="84"/>
      <c r="C29" s="83"/>
      <c r="D29" s="95"/>
      <c r="E29" s="93" t="n">
        <f aca="false">Cover!$C$21</f>
        <v>68</v>
      </c>
      <c r="F29" s="87" t="n">
        <f aca="false">IF(AND(ISNUMBER($D29),ISNUMBER($E29)),$D29*$E29,0)</f>
        <v>0</v>
      </c>
      <c r="G29" s="95"/>
      <c r="H29" s="85"/>
      <c r="I29" s="96" t="n">
        <f aca="false">Cover!$C$22</f>
        <v>0.05</v>
      </c>
      <c r="J29" s="87" t="n">
        <f aca="false">IF(AND(ISNUMBER($G29),ISNUMBER($H29)),ROUND($G29*$H29*(1+N($I29)),4),0)</f>
        <v>0</v>
      </c>
      <c r="K29" s="85"/>
      <c r="L29" s="85"/>
      <c r="M29" s="88" t="n">
        <f aca="false">ROUND(SUM($F29,$J29,$K29,$L29),4)</f>
        <v>0</v>
      </c>
      <c r="N29" s="96" t="n">
        <f aca="false">IF(Cover!$C$25="Yes",Cover!$C$23,0)</f>
        <v>0.08</v>
      </c>
      <c r="O29" s="96" t="n">
        <f aca="false">IF(Cover!$C$25="Yes",Cover!$C$24,0)</f>
        <v>0.05</v>
      </c>
      <c r="P29" s="97" t="str">
        <f aca="false">IF($M29=0,"",ROUND($M29*(1+$N29)*(1+$O29),2))</f>
        <v/>
      </c>
      <c r="Q29" s="64"/>
    </row>
    <row r="30" customFormat="false" ht="15" hidden="false" customHeight="true" outlineLevel="0" collapsed="false">
      <c r="A30" s="94"/>
      <c r="B30" s="84"/>
      <c r="C30" s="83"/>
      <c r="D30" s="95"/>
      <c r="E30" s="93" t="n">
        <f aca="false">Cover!$C$21</f>
        <v>68</v>
      </c>
      <c r="F30" s="87" t="n">
        <f aca="false">IF(AND(ISNUMBER($D30),ISNUMBER($E30)),$D30*$E30,0)</f>
        <v>0</v>
      </c>
      <c r="G30" s="95"/>
      <c r="H30" s="85"/>
      <c r="I30" s="96" t="n">
        <f aca="false">Cover!$C$22</f>
        <v>0.05</v>
      </c>
      <c r="J30" s="87" t="n">
        <f aca="false">IF(AND(ISNUMBER($G30),ISNUMBER($H30)),ROUND($G30*$H30*(1+N($I30)),4),0)</f>
        <v>0</v>
      </c>
      <c r="K30" s="85"/>
      <c r="L30" s="85"/>
      <c r="M30" s="88" t="n">
        <f aca="false">ROUND(SUM($F30,$J30,$K30,$L30),4)</f>
        <v>0</v>
      </c>
      <c r="N30" s="96" t="n">
        <f aca="false">IF(Cover!$C$25="Yes",Cover!$C$23,0)</f>
        <v>0.08</v>
      </c>
      <c r="O30" s="96" t="n">
        <f aca="false">IF(Cover!$C$25="Yes",Cover!$C$24,0)</f>
        <v>0.05</v>
      </c>
      <c r="P30" s="97" t="str">
        <f aca="false">IF($M30=0,"",ROUND($M30*(1+$N30)*(1+$O30),2))</f>
        <v/>
      </c>
      <c r="Q30" s="64"/>
    </row>
    <row r="31" customFormat="false" ht="15" hidden="false" customHeight="true" outlineLevel="0" collapsed="false">
      <c r="A31" s="94"/>
      <c r="B31" s="84"/>
      <c r="C31" s="83"/>
      <c r="D31" s="95"/>
      <c r="E31" s="93" t="n">
        <f aca="false">Cover!$C$21</f>
        <v>68</v>
      </c>
      <c r="F31" s="87" t="n">
        <f aca="false">IF(AND(ISNUMBER($D31),ISNUMBER($E31)),$D31*$E31,0)</f>
        <v>0</v>
      </c>
      <c r="G31" s="95"/>
      <c r="H31" s="85"/>
      <c r="I31" s="96" t="n">
        <f aca="false">Cover!$C$22</f>
        <v>0.05</v>
      </c>
      <c r="J31" s="87" t="n">
        <f aca="false">IF(AND(ISNUMBER($G31),ISNUMBER($H31)),ROUND($G31*$H31*(1+N($I31)),4),0)</f>
        <v>0</v>
      </c>
      <c r="K31" s="85"/>
      <c r="L31" s="85"/>
      <c r="M31" s="88" t="n">
        <f aca="false">ROUND(SUM($F31,$J31,$K31,$L31),4)</f>
        <v>0</v>
      </c>
      <c r="N31" s="96" t="n">
        <f aca="false">IF(Cover!$C$25="Yes",Cover!$C$23,0)</f>
        <v>0.08</v>
      </c>
      <c r="O31" s="96" t="n">
        <f aca="false">IF(Cover!$C$25="Yes",Cover!$C$24,0)</f>
        <v>0.05</v>
      </c>
      <c r="P31" s="97" t="str">
        <f aca="false">IF($M31=0,"",ROUND($M31*(1+$N31)*(1+$O31),2))</f>
        <v/>
      </c>
      <c r="Q31" s="64"/>
    </row>
    <row r="32" customFormat="false" ht="15" hidden="false" customHeight="true" outlineLevel="0" collapsed="false">
      <c r="A32" s="94"/>
      <c r="B32" s="84"/>
      <c r="C32" s="83"/>
      <c r="D32" s="95"/>
      <c r="E32" s="93" t="n">
        <f aca="false">Cover!$C$21</f>
        <v>68</v>
      </c>
      <c r="F32" s="87" t="n">
        <f aca="false">IF(AND(ISNUMBER($D32),ISNUMBER($E32)),$D32*$E32,0)</f>
        <v>0</v>
      </c>
      <c r="G32" s="95"/>
      <c r="H32" s="85"/>
      <c r="I32" s="96" t="n">
        <f aca="false">Cover!$C$22</f>
        <v>0.05</v>
      </c>
      <c r="J32" s="87" t="n">
        <f aca="false">IF(AND(ISNUMBER($G32),ISNUMBER($H32)),ROUND($G32*$H32*(1+N($I32)),4),0)</f>
        <v>0</v>
      </c>
      <c r="K32" s="85"/>
      <c r="L32" s="85"/>
      <c r="M32" s="88" t="n">
        <f aca="false">ROUND(SUM($F32,$J32,$K32,$L32),4)</f>
        <v>0</v>
      </c>
      <c r="N32" s="96" t="n">
        <f aca="false">IF(Cover!$C$25="Yes",Cover!$C$23,0)</f>
        <v>0.08</v>
      </c>
      <c r="O32" s="96" t="n">
        <f aca="false">IF(Cover!$C$25="Yes",Cover!$C$24,0)</f>
        <v>0.05</v>
      </c>
      <c r="P32" s="97" t="str">
        <f aca="false">IF($M32=0,"",ROUND($M32*(1+$N32)*(1+$O32),2))</f>
        <v/>
      </c>
      <c r="Q32" s="64"/>
    </row>
    <row r="33" customFormat="false" ht="15" hidden="false" customHeight="true" outlineLevel="0" collapsed="false">
      <c r="A33" s="94"/>
      <c r="B33" s="84"/>
      <c r="C33" s="83"/>
      <c r="D33" s="95"/>
      <c r="E33" s="93" t="n">
        <f aca="false">Cover!$C$21</f>
        <v>68</v>
      </c>
      <c r="F33" s="87" t="n">
        <f aca="false">IF(AND(ISNUMBER($D33),ISNUMBER($E33)),$D33*$E33,0)</f>
        <v>0</v>
      </c>
      <c r="G33" s="95"/>
      <c r="H33" s="85"/>
      <c r="I33" s="96" t="n">
        <f aca="false">Cover!$C$22</f>
        <v>0.05</v>
      </c>
      <c r="J33" s="87" t="n">
        <f aca="false">IF(AND(ISNUMBER($G33),ISNUMBER($H33)),ROUND($G33*$H33*(1+N($I33)),4),0)</f>
        <v>0</v>
      </c>
      <c r="K33" s="85"/>
      <c r="L33" s="85"/>
      <c r="M33" s="88" t="n">
        <f aca="false">ROUND(SUM($F33,$J33,$K33,$L33),4)</f>
        <v>0</v>
      </c>
      <c r="N33" s="96" t="n">
        <f aca="false">IF(Cover!$C$25="Yes",Cover!$C$23,0)</f>
        <v>0.08</v>
      </c>
      <c r="O33" s="96" t="n">
        <f aca="false">IF(Cover!$C$25="Yes",Cover!$C$24,0)</f>
        <v>0.05</v>
      </c>
      <c r="P33" s="97" t="str">
        <f aca="false">IF($M33=0,"",ROUND($M33*(1+$N33)*(1+$O33),2))</f>
        <v/>
      </c>
      <c r="Q33" s="64"/>
    </row>
    <row r="34" customFormat="false" ht="15" hidden="false" customHeight="true" outlineLevel="0" collapsed="false">
      <c r="A34" s="94"/>
      <c r="B34" s="84"/>
      <c r="C34" s="83"/>
      <c r="D34" s="95"/>
      <c r="E34" s="93" t="n">
        <f aca="false">Cover!$C$21</f>
        <v>68</v>
      </c>
      <c r="F34" s="87" t="n">
        <f aca="false">IF(AND(ISNUMBER($D34),ISNUMBER($E34)),$D34*$E34,0)</f>
        <v>0</v>
      </c>
      <c r="G34" s="95"/>
      <c r="H34" s="85"/>
      <c r="I34" s="96" t="n">
        <f aca="false">Cover!$C$22</f>
        <v>0.05</v>
      </c>
      <c r="J34" s="87" t="n">
        <f aca="false">IF(AND(ISNUMBER($G34),ISNUMBER($H34)),ROUND($G34*$H34*(1+N($I34)),4),0)</f>
        <v>0</v>
      </c>
      <c r="K34" s="85"/>
      <c r="L34" s="85"/>
      <c r="M34" s="88" t="n">
        <f aca="false">ROUND(SUM($F34,$J34,$K34,$L34),4)</f>
        <v>0</v>
      </c>
      <c r="N34" s="96" t="n">
        <f aca="false">IF(Cover!$C$25="Yes",Cover!$C$23,0)</f>
        <v>0.08</v>
      </c>
      <c r="O34" s="96" t="n">
        <f aca="false">IF(Cover!$C$25="Yes",Cover!$C$24,0)</f>
        <v>0.05</v>
      </c>
      <c r="P34" s="97" t="str">
        <f aca="false">IF($M34=0,"",ROUND($M34*(1+$N34)*(1+$O34),2))</f>
        <v/>
      </c>
      <c r="Q34" s="64"/>
    </row>
    <row r="35" customFormat="false" ht="15" hidden="false" customHeight="true" outlineLevel="0" collapsed="false">
      <c r="A35" s="94"/>
      <c r="B35" s="84"/>
      <c r="C35" s="83"/>
      <c r="D35" s="95"/>
      <c r="E35" s="93" t="n">
        <f aca="false">Cover!$C$21</f>
        <v>68</v>
      </c>
      <c r="F35" s="87" t="n">
        <f aca="false">IF(AND(ISNUMBER($D35),ISNUMBER($E35)),$D35*$E35,0)</f>
        <v>0</v>
      </c>
      <c r="G35" s="95"/>
      <c r="H35" s="85"/>
      <c r="I35" s="96" t="n">
        <f aca="false">Cover!$C$22</f>
        <v>0.05</v>
      </c>
      <c r="J35" s="87" t="n">
        <f aca="false">IF(AND(ISNUMBER($G35),ISNUMBER($H35)),ROUND($G35*$H35*(1+N($I35)),4),0)</f>
        <v>0</v>
      </c>
      <c r="K35" s="85"/>
      <c r="L35" s="85"/>
      <c r="M35" s="88" t="n">
        <f aca="false">ROUND(SUM($F35,$J35,$K35,$L35),4)</f>
        <v>0</v>
      </c>
      <c r="N35" s="96" t="n">
        <f aca="false">IF(Cover!$C$25="Yes",Cover!$C$23,0)</f>
        <v>0.08</v>
      </c>
      <c r="O35" s="96" t="n">
        <f aca="false">IF(Cover!$C$25="Yes",Cover!$C$24,0)</f>
        <v>0.05</v>
      </c>
      <c r="P35" s="97" t="str">
        <f aca="false">IF($M35=0,"",ROUND($M35*(1+$N35)*(1+$O35),2))</f>
        <v/>
      </c>
      <c r="Q35" s="64"/>
    </row>
    <row r="36" customFormat="false" ht="15" hidden="false" customHeight="true" outlineLevel="0" collapsed="false">
      <c r="A36" s="94"/>
      <c r="B36" s="84"/>
      <c r="C36" s="83"/>
      <c r="D36" s="95"/>
      <c r="E36" s="93" t="n">
        <f aca="false">Cover!$C$21</f>
        <v>68</v>
      </c>
      <c r="F36" s="87" t="n">
        <f aca="false">IF(AND(ISNUMBER($D36),ISNUMBER($E36)),$D36*$E36,0)</f>
        <v>0</v>
      </c>
      <c r="G36" s="95"/>
      <c r="H36" s="85"/>
      <c r="I36" s="96" t="n">
        <f aca="false">Cover!$C$22</f>
        <v>0.05</v>
      </c>
      <c r="J36" s="87" t="n">
        <f aca="false">IF(AND(ISNUMBER($G36),ISNUMBER($H36)),ROUND($G36*$H36*(1+N($I36)),4),0)</f>
        <v>0</v>
      </c>
      <c r="K36" s="85"/>
      <c r="L36" s="85"/>
      <c r="M36" s="88" t="n">
        <f aca="false">ROUND(SUM($F36,$J36,$K36,$L36),4)</f>
        <v>0</v>
      </c>
      <c r="N36" s="96" t="n">
        <f aca="false">IF(Cover!$C$25="Yes",Cover!$C$23,0)</f>
        <v>0.08</v>
      </c>
      <c r="O36" s="96" t="n">
        <f aca="false">IF(Cover!$C$25="Yes",Cover!$C$24,0)</f>
        <v>0.05</v>
      </c>
      <c r="P36" s="97" t="str">
        <f aca="false">IF($M36=0,"",ROUND($M36*(1+$N36)*(1+$O36),2))</f>
        <v/>
      </c>
      <c r="Q36" s="64"/>
    </row>
    <row r="37" customFormat="false" ht="15" hidden="false" customHeight="true" outlineLevel="0" collapsed="false">
      <c r="A37" s="94"/>
      <c r="B37" s="84"/>
      <c r="C37" s="83"/>
      <c r="D37" s="95"/>
      <c r="E37" s="93" t="n">
        <f aca="false">Cover!$C$21</f>
        <v>68</v>
      </c>
      <c r="F37" s="87" t="n">
        <f aca="false">IF(AND(ISNUMBER($D37),ISNUMBER($E37)),$D37*$E37,0)</f>
        <v>0</v>
      </c>
      <c r="G37" s="95"/>
      <c r="H37" s="85"/>
      <c r="I37" s="96" t="n">
        <f aca="false">Cover!$C$22</f>
        <v>0.05</v>
      </c>
      <c r="J37" s="87" t="n">
        <f aca="false">IF(AND(ISNUMBER($G37),ISNUMBER($H37)),ROUND($G37*$H37*(1+N($I37)),4),0)</f>
        <v>0</v>
      </c>
      <c r="K37" s="85"/>
      <c r="L37" s="85"/>
      <c r="M37" s="88" t="n">
        <f aca="false">ROUND(SUM($F37,$J37,$K37,$L37),4)</f>
        <v>0</v>
      </c>
      <c r="N37" s="96" t="n">
        <f aca="false">IF(Cover!$C$25="Yes",Cover!$C$23,0)</f>
        <v>0.08</v>
      </c>
      <c r="O37" s="96" t="n">
        <f aca="false">IF(Cover!$C$25="Yes",Cover!$C$24,0)</f>
        <v>0.05</v>
      </c>
      <c r="P37" s="97" t="str">
        <f aca="false">IF($M37=0,"",ROUND($M37*(1+$N37)*(1+$O37),2))</f>
        <v/>
      </c>
      <c r="Q37" s="64"/>
    </row>
    <row r="38" customFormat="false" ht="15" hidden="false" customHeight="true" outlineLevel="0" collapsed="false">
      <c r="A38" s="94"/>
      <c r="B38" s="84"/>
      <c r="C38" s="83"/>
      <c r="D38" s="95"/>
      <c r="E38" s="93" t="n">
        <f aca="false">Cover!$C$21</f>
        <v>68</v>
      </c>
      <c r="F38" s="87" t="n">
        <f aca="false">IF(AND(ISNUMBER($D38),ISNUMBER($E38)),$D38*$E38,0)</f>
        <v>0</v>
      </c>
      <c r="G38" s="95"/>
      <c r="H38" s="85"/>
      <c r="I38" s="96" t="n">
        <f aca="false">Cover!$C$22</f>
        <v>0.05</v>
      </c>
      <c r="J38" s="87" t="n">
        <f aca="false">IF(AND(ISNUMBER($G38),ISNUMBER($H38)),ROUND($G38*$H38*(1+N($I38)),4),0)</f>
        <v>0</v>
      </c>
      <c r="K38" s="85"/>
      <c r="L38" s="85"/>
      <c r="M38" s="88" t="n">
        <f aca="false">ROUND(SUM($F38,$J38,$K38,$L38),4)</f>
        <v>0</v>
      </c>
      <c r="N38" s="96" t="n">
        <f aca="false">IF(Cover!$C$25="Yes",Cover!$C$23,0)</f>
        <v>0.08</v>
      </c>
      <c r="O38" s="96" t="n">
        <f aca="false">IF(Cover!$C$25="Yes",Cover!$C$24,0)</f>
        <v>0.05</v>
      </c>
      <c r="P38" s="97" t="str">
        <f aca="false">IF($M38=0,"",ROUND($M38*(1+$N38)*(1+$O38),2))</f>
        <v/>
      </c>
      <c r="Q38" s="64"/>
    </row>
    <row r="39" customFormat="false" ht="15" hidden="false" customHeight="true" outlineLevel="0" collapsed="false">
      <c r="A39" s="94"/>
      <c r="B39" s="84"/>
      <c r="C39" s="83"/>
      <c r="D39" s="95"/>
      <c r="E39" s="93" t="n">
        <f aca="false">Cover!$C$21</f>
        <v>68</v>
      </c>
      <c r="F39" s="87" t="n">
        <f aca="false">IF(AND(ISNUMBER($D39),ISNUMBER($E39)),$D39*$E39,0)</f>
        <v>0</v>
      </c>
      <c r="G39" s="95"/>
      <c r="H39" s="85"/>
      <c r="I39" s="96" t="n">
        <f aca="false">Cover!$C$22</f>
        <v>0.05</v>
      </c>
      <c r="J39" s="87" t="n">
        <f aca="false">IF(AND(ISNUMBER($G39),ISNUMBER($H39)),ROUND($G39*$H39*(1+N($I39)),4),0)</f>
        <v>0</v>
      </c>
      <c r="K39" s="85"/>
      <c r="L39" s="85"/>
      <c r="M39" s="88" t="n">
        <f aca="false">ROUND(SUM($F39,$J39,$K39,$L39),4)</f>
        <v>0</v>
      </c>
      <c r="N39" s="96" t="n">
        <f aca="false">IF(Cover!$C$25="Yes",Cover!$C$23,0)</f>
        <v>0.08</v>
      </c>
      <c r="O39" s="96" t="n">
        <f aca="false">IF(Cover!$C$25="Yes",Cover!$C$24,0)</f>
        <v>0.05</v>
      </c>
      <c r="P39" s="97" t="str">
        <f aca="false">IF($M39=0,"",ROUND($M39*(1+$N39)*(1+$O39),2))</f>
        <v/>
      </c>
      <c r="Q39" s="64"/>
    </row>
    <row r="40" customFormat="false" ht="15" hidden="false" customHeight="true" outlineLevel="0" collapsed="false">
      <c r="A40" s="94"/>
      <c r="B40" s="84"/>
      <c r="C40" s="83"/>
      <c r="D40" s="95"/>
      <c r="E40" s="93" t="n">
        <f aca="false">Cover!$C$21</f>
        <v>68</v>
      </c>
      <c r="F40" s="87" t="n">
        <f aca="false">IF(AND(ISNUMBER($D40),ISNUMBER($E40)),$D40*$E40,0)</f>
        <v>0</v>
      </c>
      <c r="G40" s="95"/>
      <c r="H40" s="85"/>
      <c r="I40" s="96" t="n">
        <f aca="false">Cover!$C$22</f>
        <v>0.05</v>
      </c>
      <c r="J40" s="87" t="n">
        <f aca="false">IF(AND(ISNUMBER($G40),ISNUMBER($H40)),ROUND($G40*$H40*(1+N($I40)),4),0)</f>
        <v>0</v>
      </c>
      <c r="K40" s="85"/>
      <c r="L40" s="85"/>
      <c r="M40" s="88" t="n">
        <f aca="false">ROUND(SUM($F40,$J40,$K40,$L40),4)</f>
        <v>0</v>
      </c>
      <c r="N40" s="96" t="n">
        <f aca="false">IF(Cover!$C$25="Yes",Cover!$C$23,0)</f>
        <v>0.08</v>
      </c>
      <c r="O40" s="96" t="n">
        <f aca="false">IF(Cover!$C$25="Yes",Cover!$C$24,0)</f>
        <v>0.05</v>
      </c>
      <c r="P40" s="97" t="str">
        <f aca="false">IF($M40=0,"",ROUND($M40*(1+$N40)*(1+$O40),2))</f>
        <v/>
      </c>
      <c r="Q40" s="64"/>
    </row>
    <row r="41" customFormat="false" ht="15" hidden="false" customHeight="true" outlineLevel="0" collapsed="false">
      <c r="A41" s="94"/>
      <c r="B41" s="84"/>
      <c r="C41" s="83"/>
      <c r="D41" s="95"/>
      <c r="E41" s="93" t="n">
        <f aca="false">Cover!$C$21</f>
        <v>68</v>
      </c>
      <c r="F41" s="87" t="n">
        <f aca="false">IF(AND(ISNUMBER($D41),ISNUMBER($E41)),$D41*$E41,0)</f>
        <v>0</v>
      </c>
      <c r="G41" s="95"/>
      <c r="H41" s="85"/>
      <c r="I41" s="96" t="n">
        <f aca="false">Cover!$C$22</f>
        <v>0.05</v>
      </c>
      <c r="J41" s="87" t="n">
        <f aca="false">IF(AND(ISNUMBER($G41),ISNUMBER($H41)),ROUND($G41*$H41*(1+N($I41)),4),0)</f>
        <v>0</v>
      </c>
      <c r="K41" s="85"/>
      <c r="L41" s="85"/>
      <c r="M41" s="88" t="n">
        <f aca="false">ROUND(SUM($F41,$J41,$K41,$L41),4)</f>
        <v>0</v>
      </c>
      <c r="N41" s="96" t="n">
        <f aca="false">IF(Cover!$C$25="Yes",Cover!$C$23,0)</f>
        <v>0.08</v>
      </c>
      <c r="O41" s="96" t="n">
        <f aca="false">IF(Cover!$C$25="Yes",Cover!$C$24,0)</f>
        <v>0.05</v>
      </c>
      <c r="P41" s="97" t="str">
        <f aca="false">IF($M41=0,"",ROUND($M41*(1+$N41)*(1+$O41),2))</f>
        <v/>
      </c>
      <c r="Q41" s="64"/>
    </row>
    <row r="42" customFormat="false" ht="15" hidden="false" customHeight="true" outlineLevel="0" collapsed="false">
      <c r="A42" s="94"/>
      <c r="B42" s="84"/>
      <c r="C42" s="83"/>
      <c r="D42" s="95"/>
      <c r="E42" s="93" t="n">
        <f aca="false">Cover!$C$21</f>
        <v>68</v>
      </c>
      <c r="F42" s="87" t="n">
        <f aca="false">IF(AND(ISNUMBER($D42),ISNUMBER($E42)),$D42*$E42,0)</f>
        <v>0</v>
      </c>
      <c r="G42" s="95"/>
      <c r="H42" s="85"/>
      <c r="I42" s="96" t="n">
        <f aca="false">Cover!$C$22</f>
        <v>0.05</v>
      </c>
      <c r="J42" s="87" t="n">
        <f aca="false">IF(AND(ISNUMBER($G42),ISNUMBER($H42)),ROUND($G42*$H42*(1+N($I42)),4),0)</f>
        <v>0</v>
      </c>
      <c r="K42" s="85"/>
      <c r="L42" s="85"/>
      <c r="M42" s="88" t="n">
        <f aca="false">ROUND(SUM($F42,$J42,$K42,$L42),4)</f>
        <v>0</v>
      </c>
      <c r="N42" s="96" t="n">
        <f aca="false">IF(Cover!$C$25="Yes",Cover!$C$23,0)</f>
        <v>0.08</v>
      </c>
      <c r="O42" s="96" t="n">
        <f aca="false">IF(Cover!$C$25="Yes",Cover!$C$24,0)</f>
        <v>0.05</v>
      </c>
      <c r="P42" s="97" t="str">
        <f aca="false">IF($M42=0,"",ROUND($M42*(1+$N42)*(1+$O42),2))</f>
        <v/>
      </c>
      <c r="Q42" s="64"/>
    </row>
    <row r="43" customFormat="false" ht="15" hidden="false" customHeight="true" outlineLevel="0" collapsed="false">
      <c r="A43" s="94"/>
      <c r="B43" s="84"/>
      <c r="C43" s="83"/>
      <c r="D43" s="95"/>
      <c r="E43" s="93" t="n">
        <f aca="false">Cover!$C$21</f>
        <v>68</v>
      </c>
      <c r="F43" s="87" t="n">
        <f aca="false">IF(AND(ISNUMBER($D43),ISNUMBER($E43)),$D43*$E43,0)</f>
        <v>0</v>
      </c>
      <c r="G43" s="95"/>
      <c r="H43" s="85"/>
      <c r="I43" s="96" t="n">
        <f aca="false">Cover!$C$22</f>
        <v>0.05</v>
      </c>
      <c r="J43" s="87" t="n">
        <f aca="false">IF(AND(ISNUMBER($G43),ISNUMBER($H43)),ROUND($G43*$H43*(1+N($I43)),4),0)</f>
        <v>0</v>
      </c>
      <c r="K43" s="85"/>
      <c r="L43" s="85"/>
      <c r="M43" s="88" t="n">
        <f aca="false">ROUND(SUM($F43,$J43,$K43,$L43),4)</f>
        <v>0</v>
      </c>
      <c r="N43" s="96" t="n">
        <f aca="false">IF(Cover!$C$25="Yes",Cover!$C$23,0)</f>
        <v>0.08</v>
      </c>
      <c r="O43" s="96" t="n">
        <f aca="false">IF(Cover!$C$25="Yes",Cover!$C$24,0)</f>
        <v>0.05</v>
      </c>
      <c r="P43" s="97" t="str">
        <f aca="false">IF($M43=0,"",ROUND($M43*(1+$N43)*(1+$O43),2))</f>
        <v/>
      </c>
      <c r="Q43" s="64"/>
    </row>
    <row r="44" customFormat="false" ht="15" hidden="false" customHeight="true" outlineLevel="0" collapsed="false">
      <c r="A44" s="94"/>
      <c r="B44" s="84"/>
      <c r="C44" s="83"/>
      <c r="D44" s="95"/>
      <c r="E44" s="93" t="n">
        <f aca="false">Cover!$C$21</f>
        <v>68</v>
      </c>
      <c r="F44" s="87" t="n">
        <f aca="false">IF(AND(ISNUMBER($D44),ISNUMBER($E44)),$D44*$E44,0)</f>
        <v>0</v>
      </c>
      <c r="G44" s="95"/>
      <c r="H44" s="85"/>
      <c r="I44" s="96" t="n">
        <f aca="false">Cover!$C$22</f>
        <v>0.05</v>
      </c>
      <c r="J44" s="87" t="n">
        <f aca="false">IF(AND(ISNUMBER($G44),ISNUMBER($H44)),ROUND($G44*$H44*(1+N($I44)),4),0)</f>
        <v>0</v>
      </c>
      <c r="K44" s="85"/>
      <c r="L44" s="85"/>
      <c r="M44" s="88" t="n">
        <f aca="false">ROUND(SUM($F44,$J44,$K44,$L44),4)</f>
        <v>0</v>
      </c>
      <c r="N44" s="96" t="n">
        <f aca="false">IF(Cover!$C$25="Yes",Cover!$C$23,0)</f>
        <v>0.08</v>
      </c>
      <c r="O44" s="96" t="n">
        <f aca="false">IF(Cover!$C$25="Yes",Cover!$C$24,0)</f>
        <v>0.05</v>
      </c>
      <c r="P44" s="97" t="str">
        <f aca="false">IF($M44=0,"",ROUND($M44*(1+$N44)*(1+$O44),2))</f>
        <v/>
      </c>
      <c r="Q44" s="64"/>
    </row>
    <row r="45" customFormat="false" ht="15" hidden="false" customHeight="true" outlineLevel="0" collapsed="false">
      <c r="A45" s="94"/>
      <c r="B45" s="84"/>
      <c r="C45" s="83"/>
      <c r="D45" s="95"/>
      <c r="E45" s="93" t="n">
        <f aca="false">Cover!$C$21</f>
        <v>68</v>
      </c>
      <c r="F45" s="87" t="n">
        <f aca="false">IF(AND(ISNUMBER($D45),ISNUMBER($E45)),$D45*$E45,0)</f>
        <v>0</v>
      </c>
      <c r="G45" s="95"/>
      <c r="H45" s="85"/>
      <c r="I45" s="96" t="n">
        <f aca="false">Cover!$C$22</f>
        <v>0.05</v>
      </c>
      <c r="J45" s="87" t="n">
        <f aca="false">IF(AND(ISNUMBER($G45),ISNUMBER($H45)),ROUND($G45*$H45*(1+N($I45)),4),0)</f>
        <v>0</v>
      </c>
      <c r="K45" s="85"/>
      <c r="L45" s="85"/>
      <c r="M45" s="88" t="n">
        <f aca="false">ROUND(SUM($F45,$J45,$K45,$L45),4)</f>
        <v>0</v>
      </c>
      <c r="N45" s="96" t="n">
        <f aca="false">IF(Cover!$C$25="Yes",Cover!$C$23,0)</f>
        <v>0.08</v>
      </c>
      <c r="O45" s="96" t="n">
        <f aca="false">IF(Cover!$C$25="Yes",Cover!$C$24,0)</f>
        <v>0.05</v>
      </c>
      <c r="P45" s="97" t="str">
        <f aca="false">IF($M45=0,"",ROUND($M45*(1+$N45)*(1+$O45),2))</f>
        <v/>
      </c>
      <c r="Q45" s="64"/>
    </row>
    <row r="46" customFormat="false" ht="15" hidden="false" customHeight="true" outlineLevel="0" collapsed="false">
      <c r="A46" s="94"/>
      <c r="B46" s="84"/>
      <c r="C46" s="83"/>
      <c r="D46" s="95"/>
      <c r="E46" s="93" t="n">
        <f aca="false">Cover!$C$21</f>
        <v>68</v>
      </c>
      <c r="F46" s="87" t="n">
        <f aca="false">IF(AND(ISNUMBER($D46),ISNUMBER($E46)),$D46*$E46,0)</f>
        <v>0</v>
      </c>
      <c r="G46" s="95"/>
      <c r="H46" s="85"/>
      <c r="I46" s="96" t="n">
        <f aca="false">Cover!$C$22</f>
        <v>0.05</v>
      </c>
      <c r="J46" s="87" t="n">
        <f aca="false">IF(AND(ISNUMBER($G46),ISNUMBER($H46)),ROUND($G46*$H46*(1+N($I46)),4),0)</f>
        <v>0</v>
      </c>
      <c r="K46" s="85"/>
      <c r="L46" s="85"/>
      <c r="M46" s="88" t="n">
        <f aca="false">ROUND(SUM($F46,$J46,$K46,$L46),4)</f>
        <v>0</v>
      </c>
      <c r="N46" s="96" t="n">
        <f aca="false">IF(Cover!$C$25="Yes",Cover!$C$23,0)</f>
        <v>0.08</v>
      </c>
      <c r="O46" s="96" t="n">
        <f aca="false">IF(Cover!$C$25="Yes",Cover!$C$24,0)</f>
        <v>0.05</v>
      </c>
      <c r="P46" s="97" t="str">
        <f aca="false">IF($M46=0,"",ROUND($M46*(1+$N46)*(1+$O46),2))</f>
        <v/>
      </c>
      <c r="Q46" s="64"/>
    </row>
    <row r="47" customFormat="false" ht="15" hidden="false" customHeight="true" outlineLevel="0" collapsed="false">
      <c r="A47" s="94"/>
      <c r="B47" s="84"/>
      <c r="C47" s="83"/>
      <c r="D47" s="95"/>
      <c r="E47" s="93" t="n">
        <f aca="false">Cover!$C$21</f>
        <v>68</v>
      </c>
      <c r="F47" s="87" t="n">
        <f aca="false">IF(AND(ISNUMBER($D47),ISNUMBER($E47)),$D47*$E47,0)</f>
        <v>0</v>
      </c>
      <c r="G47" s="95"/>
      <c r="H47" s="85"/>
      <c r="I47" s="96" t="n">
        <f aca="false">Cover!$C$22</f>
        <v>0.05</v>
      </c>
      <c r="J47" s="87" t="n">
        <f aca="false">IF(AND(ISNUMBER($G47),ISNUMBER($H47)),ROUND($G47*$H47*(1+N($I47)),4),0)</f>
        <v>0</v>
      </c>
      <c r="K47" s="85"/>
      <c r="L47" s="85"/>
      <c r="M47" s="88" t="n">
        <f aca="false">ROUND(SUM($F47,$J47,$K47,$L47),4)</f>
        <v>0</v>
      </c>
      <c r="N47" s="96" t="n">
        <f aca="false">IF(Cover!$C$25="Yes",Cover!$C$23,0)</f>
        <v>0.08</v>
      </c>
      <c r="O47" s="96" t="n">
        <f aca="false">IF(Cover!$C$25="Yes",Cover!$C$24,0)</f>
        <v>0.05</v>
      </c>
      <c r="P47" s="97" t="str">
        <f aca="false">IF($M47=0,"",ROUND($M47*(1+$N47)*(1+$O47),2))</f>
        <v/>
      </c>
      <c r="Q47" s="64"/>
    </row>
  </sheetData>
  <mergeCells count="4">
    <mergeCell ref="A1:P1"/>
    <mergeCell ref="A2:Q2"/>
    <mergeCell ref="A3:Q3"/>
    <mergeCell ref="A5:Q5"/>
  </mergeCells>
  <dataValidations count="1">
    <dataValidation allowBlank="true" errorStyle="stop" operator="between" showDropDown="false" showErrorMessage="false" showInputMessage="false" sqref="C8:C47" type="list">
      <formula1>Lists!$A$2:$A$14</formula1>
      <formula2>0</formula2>
    </dataValidation>
  </dataValidations>
  <hyperlinks>
    <hyperlink ref="Q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66"/>
    <col collapsed="false" customWidth="true" hidden="false" outlineLevel="0" max="3" min="3" style="0" width="18"/>
    <col collapsed="false" customWidth="true" hidden="false" outlineLevel="0" max="4" min="4" style="0" width="16"/>
    <col collapsed="false" customWidth="true" hidden="false" outlineLevel="0" max="5" min="5" style="0" width="14"/>
    <col collapsed="false" customWidth="true" hidden="false" outlineLevel="0" max="6" min="6" style="0" width="17"/>
    <col collapsed="false" customWidth="true" hidden="false" outlineLevel="0" max="7" min="7" style="0" width="46"/>
  </cols>
  <sheetData>
    <row r="1" customFormat="false" ht="30" hidden="false" customHeight="true" outlineLevel="0" collapsed="false">
      <c r="A1" s="31" t="str">
        <f aca="false">Cover!$C$6</f>
        <v>Example Project – Commercial Office Fit-out and Base Build</v>
      </c>
      <c r="B1" s="31"/>
      <c r="C1" s="31"/>
      <c r="D1" s="31"/>
      <c r="E1" s="31"/>
      <c r="F1" s="31"/>
      <c r="G1" s="76" t="s">
        <v>283</v>
      </c>
    </row>
    <row r="2" customFormat="false" ht="21.75" hidden="false" customHeight="true" outlineLevel="0" collapsed="false">
      <c r="A2" s="32" t="s">
        <v>707</v>
      </c>
      <c r="B2" s="32"/>
      <c r="C2" s="32"/>
      <c r="D2" s="32"/>
      <c r="E2" s="32"/>
      <c r="F2" s="32"/>
      <c r="G2" s="32"/>
    </row>
    <row r="3" customFormat="false" ht="15" hidden="false" customHeight="false" outlineLevel="0" collapsed="false">
      <c r="A3" s="17" t="s">
        <v>708</v>
      </c>
      <c r="B3" s="17"/>
      <c r="C3" s="17"/>
      <c r="D3" s="17"/>
      <c r="E3" s="17"/>
      <c r="F3" s="17"/>
      <c r="G3" s="17"/>
    </row>
    <row r="5" customFormat="false" ht="15" hidden="false" customHeight="false" outlineLevel="0" collapsed="false">
      <c r="A5" s="98" t="s">
        <v>709</v>
      </c>
      <c r="B5" s="98"/>
      <c r="C5" s="98"/>
      <c r="D5" s="98"/>
      <c r="E5" s="98"/>
      <c r="F5" s="98"/>
      <c r="G5" s="98"/>
    </row>
    <row r="6" customFormat="false" ht="15" hidden="false" customHeight="false" outlineLevel="0" collapsed="false">
      <c r="A6" s="17" t="s">
        <v>710</v>
      </c>
      <c r="B6" s="17"/>
      <c r="C6" s="17"/>
      <c r="D6" s="17"/>
      <c r="E6" s="17"/>
      <c r="F6" s="17"/>
      <c r="G6" s="17"/>
    </row>
    <row r="7" customFormat="false" ht="31.5" hidden="false" customHeight="true" outlineLevel="0" collapsed="false">
      <c r="A7" s="36" t="s">
        <v>203</v>
      </c>
      <c r="B7" s="36" t="s">
        <v>204</v>
      </c>
      <c r="C7" s="36" t="s">
        <v>711</v>
      </c>
      <c r="D7" s="36" t="str">
        <f aca="false">"Rate or value ("&amp;Cover!$C$10&amp;")"</f>
        <v>Rate or value (CUR)</v>
      </c>
      <c r="E7" s="36" t="s">
        <v>712</v>
      </c>
      <c r="F7" s="36" t="str">
        <f aca="false">"AMOUNT ("&amp;Cover!$C$10&amp;")"</f>
        <v>AMOUNT (CUR)</v>
      </c>
      <c r="G7" s="36" t="s">
        <v>288</v>
      </c>
    </row>
    <row r="8" customFormat="false" ht="15" hidden="false" customHeight="true" outlineLevel="0" collapsed="false">
      <c r="A8" s="83" t="s">
        <v>713</v>
      </c>
      <c r="B8" s="84" t="s">
        <v>714</v>
      </c>
      <c r="C8" s="85"/>
      <c r="D8" s="85" t="n">
        <v>85000</v>
      </c>
      <c r="E8" s="99"/>
      <c r="F8" s="88" t="n">
        <f aca="false">IF(ISNUMBER($D8),ROUND($D8*(1+N($E8)),2),"")</f>
        <v>85000</v>
      </c>
      <c r="G8" s="64" t="s">
        <v>715</v>
      </c>
    </row>
    <row r="9" customFormat="false" ht="15" hidden="false" customHeight="true" outlineLevel="0" collapsed="false">
      <c r="A9" s="83" t="s">
        <v>716</v>
      </c>
      <c r="B9" s="84" t="s">
        <v>717</v>
      </c>
      <c r="C9" s="85"/>
      <c r="D9" s="85" t="n">
        <v>62000</v>
      </c>
      <c r="E9" s="99"/>
      <c r="F9" s="88" t="n">
        <f aca="false">IF(ISNUMBER($D9),ROUND($D9*(1+N($E9)),2),"")</f>
        <v>62000</v>
      </c>
      <c r="G9" s="64" t="s">
        <v>718</v>
      </c>
    </row>
    <row r="10" customFormat="false" ht="15" hidden="false" customHeight="true" outlineLevel="0" collapsed="false">
      <c r="A10" s="83"/>
      <c r="B10" s="84"/>
      <c r="C10" s="85"/>
      <c r="D10" s="85"/>
      <c r="E10" s="99"/>
      <c r="F10" s="88" t="str">
        <f aca="false">IF(ISNUMBER($D10),ROUND($D10*(1+N($E10)),2),"")</f>
        <v/>
      </c>
      <c r="G10" s="64"/>
    </row>
    <row r="11" customFormat="false" ht="15" hidden="false" customHeight="true" outlineLevel="0" collapsed="false">
      <c r="A11" s="83"/>
      <c r="B11" s="84"/>
      <c r="C11" s="85"/>
      <c r="D11" s="85"/>
      <c r="E11" s="99"/>
      <c r="F11" s="88" t="str">
        <f aca="false">IF(ISNUMBER($D11),ROUND($D11*(1+N($E11)),2),"")</f>
        <v/>
      </c>
      <c r="G11" s="64"/>
    </row>
    <row r="12" customFormat="false" ht="15" hidden="false" customHeight="true" outlineLevel="0" collapsed="false">
      <c r="A12" s="83"/>
      <c r="B12" s="84"/>
      <c r="C12" s="85"/>
      <c r="D12" s="85"/>
      <c r="E12" s="99"/>
      <c r="F12" s="88" t="str">
        <f aca="false">IF(ISNUMBER($D12),ROUND($D12*(1+N($E12)),2),"")</f>
        <v/>
      </c>
      <c r="G12" s="64"/>
    </row>
    <row r="13" customFormat="false" ht="15" hidden="false" customHeight="true" outlineLevel="0" collapsed="false">
      <c r="A13" s="83"/>
      <c r="B13" s="84"/>
      <c r="C13" s="85"/>
      <c r="D13" s="85"/>
      <c r="E13" s="99"/>
      <c r="F13" s="88" t="str">
        <f aca="false">IF(ISNUMBER($D13),ROUND($D13*(1+N($E13)),2),"")</f>
        <v/>
      </c>
      <c r="G13" s="64"/>
    </row>
    <row r="14" customFormat="false" ht="15" hidden="false" customHeight="true" outlineLevel="0" collapsed="false">
      <c r="A14" s="83"/>
      <c r="B14" s="84"/>
      <c r="C14" s="85"/>
      <c r="D14" s="85"/>
      <c r="E14" s="99"/>
      <c r="F14" s="88" t="str">
        <f aca="false">IF(ISNUMBER($D14),ROUND($D14*(1+N($E14)),2),"")</f>
        <v/>
      </c>
      <c r="G14" s="64"/>
    </row>
    <row r="15" customFormat="false" ht="15" hidden="false" customHeight="true" outlineLevel="0" collapsed="false">
      <c r="A15" s="83"/>
      <c r="B15" s="84"/>
      <c r="C15" s="85"/>
      <c r="D15" s="85"/>
      <c r="E15" s="99"/>
      <c r="F15" s="88" t="str">
        <f aca="false">IF(ISNUMBER($D15),ROUND($D15*(1+N($E15)),2),"")</f>
        <v/>
      </c>
      <c r="G15" s="64"/>
    </row>
    <row r="16" customFormat="false" ht="15" hidden="false" customHeight="false" outlineLevel="0" collapsed="false">
      <c r="A16" s="42"/>
      <c r="B16" s="43" t="s">
        <v>719</v>
      </c>
      <c r="C16" s="42"/>
      <c r="D16" s="42"/>
      <c r="E16" s="42"/>
      <c r="F16" s="89" t="n">
        <f aca="false">ROUND(SUM($F$8:$F$15),2)</f>
        <v>147000</v>
      </c>
      <c r="G16" s="42"/>
    </row>
    <row r="18" customFormat="false" ht="15" hidden="false" customHeight="false" outlineLevel="0" collapsed="false">
      <c r="A18" s="98" t="s">
        <v>720</v>
      </c>
      <c r="B18" s="98"/>
      <c r="C18" s="98"/>
      <c r="D18" s="98"/>
      <c r="E18" s="98"/>
      <c r="F18" s="98"/>
      <c r="G18" s="98"/>
    </row>
    <row r="19" customFormat="false" ht="15" hidden="false" customHeight="false" outlineLevel="0" collapsed="false">
      <c r="A19" s="17" t="s">
        <v>721</v>
      </c>
      <c r="B19" s="17"/>
      <c r="C19" s="17"/>
      <c r="D19" s="17"/>
      <c r="E19" s="17"/>
      <c r="F19" s="17"/>
      <c r="G19" s="17"/>
    </row>
    <row r="20" customFormat="false" ht="31.5" hidden="false" customHeight="true" outlineLevel="0" collapsed="false">
      <c r="A20" s="36" t="s">
        <v>203</v>
      </c>
      <c r="B20" s="36" t="s">
        <v>204</v>
      </c>
      <c r="C20" s="36" t="s">
        <v>711</v>
      </c>
      <c r="D20" s="36" t="str">
        <f aca="false">"Rate or value ("&amp;Cover!$C$10&amp;")"</f>
        <v>Rate or value (CUR)</v>
      </c>
      <c r="E20" s="36" t="s">
        <v>712</v>
      </c>
      <c r="F20" s="36" t="str">
        <f aca="false">"AMOUNT ("&amp;Cover!$C$10&amp;")"</f>
        <v>AMOUNT (CUR)</v>
      </c>
      <c r="G20" s="36" t="s">
        <v>288</v>
      </c>
    </row>
    <row r="21" customFormat="false" ht="27.75" hidden="false" customHeight="true" outlineLevel="0" collapsed="false">
      <c r="A21" s="83" t="s">
        <v>722</v>
      </c>
      <c r="B21" s="84" t="s">
        <v>723</v>
      </c>
      <c r="C21" s="85"/>
      <c r="D21" s="85" t="n">
        <v>120000</v>
      </c>
      <c r="E21" s="99"/>
      <c r="F21" s="88" t="n">
        <f aca="false">IF(ISNUMBER($D21),ROUND($D21*(1+N($E21)),2),"")</f>
        <v>120000</v>
      </c>
      <c r="G21" s="64" t="s">
        <v>724</v>
      </c>
    </row>
    <row r="22" customFormat="false" ht="15" hidden="false" customHeight="true" outlineLevel="0" collapsed="false">
      <c r="A22" s="83" t="s">
        <v>725</v>
      </c>
      <c r="B22" s="84" t="s">
        <v>726</v>
      </c>
      <c r="C22" s="85"/>
      <c r="D22" s="85" t="n">
        <v>45000</v>
      </c>
      <c r="E22" s="99"/>
      <c r="F22" s="88" t="n">
        <f aca="false">IF(ISNUMBER($D22),ROUND($D22*(1+N($E22)),2),"")</f>
        <v>45000</v>
      </c>
      <c r="G22" s="64" t="s">
        <v>727</v>
      </c>
    </row>
    <row r="23" customFormat="false" ht="15" hidden="false" customHeight="true" outlineLevel="0" collapsed="false">
      <c r="A23" s="83"/>
      <c r="B23" s="84"/>
      <c r="C23" s="85"/>
      <c r="D23" s="85"/>
      <c r="E23" s="99"/>
      <c r="F23" s="88" t="str">
        <f aca="false">IF(ISNUMBER($D23),ROUND($D23*(1+N($E23)),2),"")</f>
        <v/>
      </c>
      <c r="G23" s="64"/>
    </row>
    <row r="24" customFormat="false" ht="15" hidden="false" customHeight="true" outlineLevel="0" collapsed="false">
      <c r="A24" s="83"/>
      <c r="B24" s="84"/>
      <c r="C24" s="85"/>
      <c r="D24" s="85"/>
      <c r="E24" s="99"/>
      <c r="F24" s="88" t="str">
        <f aca="false">IF(ISNUMBER($D24),ROUND($D24*(1+N($E24)),2),"")</f>
        <v/>
      </c>
      <c r="G24" s="64"/>
    </row>
    <row r="25" customFormat="false" ht="15" hidden="false" customHeight="true" outlineLevel="0" collapsed="false">
      <c r="A25" s="83"/>
      <c r="B25" s="84"/>
      <c r="C25" s="85"/>
      <c r="D25" s="85"/>
      <c r="E25" s="99"/>
      <c r="F25" s="88" t="str">
        <f aca="false">IF(ISNUMBER($D25),ROUND($D25*(1+N($E25)),2),"")</f>
        <v/>
      </c>
      <c r="G25" s="64"/>
    </row>
    <row r="26" customFormat="false" ht="15" hidden="false" customHeight="true" outlineLevel="0" collapsed="false">
      <c r="A26" s="83"/>
      <c r="B26" s="84"/>
      <c r="C26" s="85"/>
      <c r="D26" s="85"/>
      <c r="E26" s="99"/>
      <c r="F26" s="88" t="str">
        <f aca="false">IF(ISNUMBER($D26),ROUND($D26*(1+N($E26)),2),"")</f>
        <v/>
      </c>
      <c r="G26" s="64"/>
    </row>
    <row r="27" customFormat="false" ht="15" hidden="false" customHeight="true" outlineLevel="0" collapsed="false">
      <c r="A27" s="83"/>
      <c r="B27" s="84"/>
      <c r="C27" s="85"/>
      <c r="D27" s="85"/>
      <c r="E27" s="99"/>
      <c r="F27" s="88" t="str">
        <f aca="false">IF(ISNUMBER($D27),ROUND($D27*(1+N($E27)),2),"")</f>
        <v/>
      </c>
      <c r="G27" s="64"/>
    </row>
    <row r="28" customFormat="false" ht="15" hidden="false" customHeight="true" outlineLevel="0" collapsed="false">
      <c r="A28" s="83"/>
      <c r="B28" s="84"/>
      <c r="C28" s="85"/>
      <c r="D28" s="85"/>
      <c r="E28" s="99"/>
      <c r="F28" s="88" t="str">
        <f aca="false">IF(ISNUMBER($D28),ROUND($D28*(1+N($E28)),2),"")</f>
        <v/>
      </c>
      <c r="G28" s="64"/>
    </row>
    <row r="29" customFormat="false" ht="15" hidden="false" customHeight="false" outlineLevel="0" collapsed="false">
      <c r="A29" s="42"/>
      <c r="B29" s="43" t="s">
        <v>728</v>
      </c>
      <c r="C29" s="42"/>
      <c r="D29" s="42"/>
      <c r="E29" s="42"/>
      <c r="F29" s="89" t="n">
        <f aca="false">ROUND(SUM($F$21:$F$28),2)</f>
        <v>165000</v>
      </c>
      <c r="G29" s="42"/>
    </row>
    <row r="31" customFormat="false" ht="15" hidden="false" customHeight="false" outlineLevel="0" collapsed="false">
      <c r="A31" s="98" t="s">
        <v>729</v>
      </c>
      <c r="B31" s="98"/>
      <c r="C31" s="98"/>
      <c r="D31" s="98"/>
      <c r="E31" s="98"/>
      <c r="F31" s="98"/>
      <c r="G31" s="98"/>
    </row>
    <row r="32" customFormat="false" ht="15" hidden="false" customHeight="false" outlineLevel="0" collapsed="false">
      <c r="A32" s="17" t="s">
        <v>730</v>
      </c>
      <c r="B32" s="17"/>
      <c r="C32" s="17"/>
      <c r="D32" s="17"/>
      <c r="E32" s="17"/>
      <c r="F32" s="17"/>
      <c r="G32" s="17"/>
    </row>
    <row r="33" customFormat="false" ht="31.5" hidden="false" customHeight="true" outlineLevel="0" collapsed="false">
      <c r="A33" s="36" t="s">
        <v>203</v>
      </c>
      <c r="B33" s="36" t="s">
        <v>204</v>
      </c>
      <c r="C33" s="36" t="s">
        <v>711</v>
      </c>
      <c r="D33" s="36" t="str">
        <f aca="false">"Rate or value ("&amp;Cover!$C$10&amp;")"</f>
        <v>Rate or value (CUR)</v>
      </c>
      <c r="E33" s="36" t="s">
        <v>712</v>
      </c>
      <c r="F33" s="36" t="str">
        <f aca="false">"AMOUNT ("&amp;Cover!$C$10&amp;")"</f>
        <v>AMOUNT (CUR)</v>
      </c>
      <c r="G33" s="36" t="s">
        <v>288</v>
      </c>
    </row>
    <row r="34" customFormat="false" ht="27.75" hidden="false" customHeight="true" outlineLevel="0" collapsed="false">
      <c r="A34" s="83" t="s">
        <v>731</v>
      </c>
      <c r="B34" s="84" t="s">
        <v>732</v>
      </c>
      <c r="C34" s="85" t="n">
        <v>500</v>
      </c>
      <c r="D34" s="93" t="n">
        <f aca="false">Cover!$C$21</f>
        <v>68</v>
      </c>
      <c r="E34" s="96" t="n">
        <f aca="false">Cover!$C$38</f>
        <v>0.85</v>
      </c>
      <c r="F34" s="88" t="n">
        <f aca="false">IF(AND(ISNUMBER($C34),ISNUMBER($D34)),ROUND($C34*$D34*(1+N($E34)),2),"")</f>
        <v>62900</v>
      </c>
      <c r="G34" s="64" t="s">
        <v>733</v>
      </c>
    </row>
    <row r="35" customFormat="false" ht="15" hidden="false" customHeight="true" outlineLevel="0" collapsed="false">
      <c r="A35" s="83" t="s">
        <v>734</v>
      </c>
      <c r="B35" s="84" t="s">
        <v>735</v>
      </c>
      <c r="C35" s="85"/>
      <c r="D35" s="85" t="n">
        <v>60000</v>
      </c>
      <c r="E35" s="96" t="n">
        <f aca="false">Cover!$C$39</f>
        <v>0.15</v>
      </c>
      <c r="F35" s="88" t="n">
        <f aca="false">IF(ISNUMBER($D35),ROUND($D35*(1+N($E35)),2),"")</f>
        <v>69000</v>
      </c>
      <c r="G35" s="64" t="s">
        <v>736</v>
      </c>
    </row>
    <row r="36" customFormat="false" ht="15" hidden="false" customHeight="true" outlineLevel="0" collapsed="false">
      <c r="A36" s="83" t="s">
        <v>737</v>
      </c>
      <c r="B36" s="84" t="s">
        <v>738</v>
      </c>
      <c r="C36" s="85"/>
      <c r="D36" s="85" t="n">
        <v>40000</v>
      </c>
      <c r="E36" s="96" t="n">
        <f aca="false">Cover!$C$40</f>
        <v>0.15</v>
      </c>
      <c r="F36" s="88" t="n">
        <f aca="false">IF(ISNUMBER($D36),ROUND($D36*(1+N($E36)),2),"")</f>
        <v>46000</v>
      </c>
      <c r="G36" s="64" t="s">
        <v>739</v>
      </c>
    </row>
    <row r="37" customFormat="false" ht="15" hidden="false" customHeight="true" outlineLevel="0" collapsed="false">
      <c r="A37" s="83"/>
      <c r="B37" s="84"/>
      <c r="C37" s="85"/>
      <c r="D37" s="85"/>
      <c r="E37" s="99"/>
      <c r="F37" s="88" t="str">
        <f aca="false">IF(ISNUMBER($D37),ROUND($D37*(1+N($E37)),2),"")</f>
        <v/>
      </c>
      <c r="G37" s="64"/>
    </row>
    <row r="38" customFormat="false" ht="15" hidden="false" customHeight="true" outlineLevel="0" collapsed="false">
      <c r="A38" s="83"/>
      <c r="B38" s="84"/>
      <c r="C38" s="85"/>
      <c r="D38" s="85"/>
      <c r="E38" s="99"/>
      <c r="F38" s="88" t="str">
        <f aca="false">IF(ISNUMBER($D38),ROUND($D38*(1+N($E38)),2),"")</f>
        <v/>
      </c>
      <c r="G38" s="64"/>
    </row>
    <row r="39" customFormat="false" ht="15" hidden="false" customHeight="true" outlineLevel="0" collapsed="false">
      <c r="A39" s="83"/>
      <c r="B39" s="84"/>
      <c r="C39" s="85"/>
      <c r="D39" s="85"/>
      <c r="E39" s="99"/>
      <c r="F39" s="88" t="str">
        <f aca="false">IF(ISNUMBER($D39),ROUND($D39*(1+N($E39)),2),"")</f>
        <v/>
      </c>
      <c r="G39" s="64"/>
    </row>
    <row r="40" customFormat="false" ht="15" hidden="false" customHeight="false" outlineLevel="0" collapsed="false">
      <c r="A40" s="42"/>
      <c r="B40" s="43" t="s">
        <v>740</v>
      </c>
      <c r="C40" s="42"/>
      <c r="D40" s="42"/>
      <c r="E40" s="42"/>
      <c r="F40" s="89" t="n">
        <f aca="false">ROUND(SUM($F$34:$F$39),2)</f>
        <v>177900</v>
      </c>
      <c r="G40" s="42"/>
    </row>
    <row r="42" customFormat="false" ht="15" hidden="false" customHeight="false" outlineLevel="0" collapsed="false">
      <c r="A42" s="98" t="s">
        <v>741</v>
      </c>
      <c r="B42" s="98"/>
      <c r="C42" s="98"/>
      <c r="D42" s="98"/>
      <c r="E42" s="98"/>
      <c r="F42" s="98"/>
      <c r="G42" s="98"/>
    </row>
    <row r="43" customFormat="false" ht="15" hidden="false" customHeight="false" outlineLevel="0" collapsed="false">
      <c r="A43" s="17" t="s">
        <v>742</v>
      </c>
      <c r="B43" s="17"/>
      <c r="C43" s="17"/>
      <c r="D43" s="17"/>
      <c r="E43" s="17"/>
      <c r="F43" s="17"/>
      <c r="G43" s="17"/>
    </row>
    <row r="44" customFormat="false" ht="31.5" hidden="false" customHeight="true" outlineLevel="0" collapsed="false">
      <c r="A44" s="36" t="s">
        <v>203</v>
      </c>
      <c r="B44" s="36" t="s">
        <v>204</v>
      </c>
      <c r="C44" s="36" t="s">
        <v>711</v>
      </c>
      <c r="D44" s="36" t="str">
        <f aca="false">"Rate or value ("&amp;Cover!$C$10&amp;")"</f>
        <v>Rate or value (CUR)</v>
      </c>
      <c r="E44" s="36" t="s">
        <v>712</v>
      </c>
      <c r="F44" s="36" t="str">
        <f aca="false">"AMOUNT ("&amp;Cover!$C$10&amp;")"</f>
        <v>AMOUNT (CUR)</v>
      </c>
      <c r="G44" s="36" t="s">
        <v>288</v>
      </c>
    </row>
    <row r="45" customFormat="false" ht="27.75" hidden="false" customHeight="true" outlineLevel="0" collapsed="false">
      <c r="A45" s="83" t="s">
        <v>743</v>
      </c>
      <c r="B45" s="84" t="s">
        <v>744</v>
      </c>
      <c r="C45" s="100" t="s">
        <v>745</v>
      </c>
      <c r="D45" s="85"/>
      <c r="E45" s="96" t="n">
        <f aca="false">Cover!$C$29</f>
        <v>0.05</v>
      </c>
      <c r="F45" s="88" t="n">
        <f aca="false">IF(ISNUMBER($E45),ROUND($E45*'BoQ Summary'!$E$24,2),IF(ISNUMBER($D45),$D45,""))</f>
        <v>1341603.39</v>
      </c>
      <c r="G45" s="64" t="s">
        <v>746</v>
      </c>
    </row>
    <row r="46" customFormat="false" ht="27.75" hidden="false" customHeight="true" outlineLevel="0" collapsed="false">
      <c r="A46" s="83" t="s">
        <v>747</v>
      </c>
      <c r="B46" s="84" t="s">
        <v>748</v>
      </c>
      <c r="C46" s="100" t="s">
        <v>745</v>
      </c>
      <c r="D46" s="85"/>
      <c r="E46" s="96" t="n">
        <f aca="false">Cover!$C$30</f>
        <v>0.03</v>
      </c>
      <c r="F46" s="88" t="n">
        <f aca="false">IF(ISNUMBER($E46),ROUND($E46*'BoQ Summary'!$E$24,2),IF(ISNUMBER($D46),$D46,""))</f>
        <v>804962.03</v>
      </c>
      <c r="G46" s="64" t="s">
        <v>746</v>
      </c>
    </row>
    <row r="47" customFormat="false" ht="27.75" hidden="false" customHeight="true" outlineLevel="0" collapsed="false">
      <c r="A47" s="83" t="s">
        <v>749</v>
      </c>
      <c r="B47" s="84" t="s">
        <v>750</v>
      </c>
      <c r="C47" s="100" t="s">
        <v>745</v>
      </c>
      <c r="D47" s="85"/>
      <c r="E47" s="96" t="n">
        <f aca="false">Cover!$C$31</f>
        <v>0.02</v>
      </c>
      <c r="F47" s="88" t="n">
        <f aca="false">IF(ISNUMBER($E47),ROUND($E47*'BoQ Summary'!$E$24,2),IF(ISNUMBER($D47),$D47,""))</f>
        <v>536641.36</v>
      </c>
      <c r="G47" s="64" t="s">
        <v>746</v>
      </c>
    </row>
    <row r="48" customFormat="false" ht="27.75" hidden="false" customHeight="true" outlineLevel="0" collapsed="false">
      <c r="A48" s="83" t="s">
        <v>751</v>
      </c>
      <c r="B48" s="84" t="s">
        <v>752</v>
      </c>
      <c r="C48" s="100" t="s">
        <v>745</v>
      </c>
      <c r="D48" s="85"/>
      <c r="E48" s="96" t="n">
        <f aca="false">Cover!$C$32</f>
        <v>0.01</v>
      </c>
      <c r="F48" s="88" t="n">
        <f aca="false">IF(ISNUMBER($E48),ROUND($E48*'BoQ Summary'!$E$24,2),IF(ISNUMBER($D48),$D48,""))</f>
        <v>268320.68</v>
      </c>
      <c r="G48" s="64" t="s">
        <v>746</v>
      </c>
    </row>
    <row r="49" customFormat="false" ht="15" hidden="false" customHeight="true" outlineLevel="0" collapsed="false">
      <c r="A49" s="83"/>
      <c r="B49" s="84"/>
      <c r="C49" s="85"/>
      <c r="D49" s="85"/>
      <c r="E49" s="99"/>
      <c r="F49" s="88" t="str">
        <f aca="false">IF(ISNUMBER($E49),ROUND($E49*'BoQ Summary'!$E$24,2),IF(ISNUMBER($D49),$D49,""))</f>
        <v/>
      </c>
      <c r="G49" s="64"/>
    </row>
    <row r="50" customFormat="false" ht="15" hidden="false" customHeight="true" outlineLevel="0" collapsed="false">
      <c r="A50" s="83"/>
      <c r="B50" s="84"/>
      <c r="C50" s="85"/>
      <c r="D50" s="85"/>
      <c r="E50" s="99"/>
      <c r="F50" s="88" t="str">
        <f aca="false">IF(ISNUMBER($E50),ROUND($E50*'BoQ Summary'!$E$24,2),IF(ISNUMBER($D50),$D50,""))</f>
        <v/>
      </c>
      <c r="G50" s="64"/>
    </row>
    <row r="51" customFormat="false" ht="15" hidden="false" customHeight="false" outlineLevel="0" collapsed="false">
      <c r="A51" s="42"/>
      <c r="B51" s="43" t="s">
        <v>753</v>
      </c>
      <c r="C51" s="42"/>
      <c r="D51" s="42"/>
      <c r="E51" s="42"/>
      <c r="F51" s="89" t="n">
        <f aca="false">ROUND(SUM($F$45:$F$50),2)</f>
        <v>2951527.46</v>
      </c>
      <c r="G51" s="42"/>
    </row>
    <row r="53" customFormat="false" ht="15" hidden="false" customHeight="false" outlineLevel="0" collapsed="false">
      <c r="A53" s="98" t="s">
        <v>754</v>
      </c>
      <c r="B53" s="98"/>
      <c r="C53" s="98"/>
      <c r="D53" s="98"/>
      <c r="E53" s="98"/>
      <c r="F53" s="98"/>
      <c r="G53" s="98"/>
    </row>
    <row r="54" customFormat="false" ht="15" hidden="false" customHeight="false" outlineLevel="0" collapsed="false">
      <c r="A54" s="17" t="s">
        <v>755</v>
      </c>
      <c r="B54" s="17"/>
      <c r="C54" s="17"/>
      <c r="D54" s="17"/>
      <c r="E54" s="17"/>
      <c r="F54" s="17"/>
      <c r="G54" s="17"/>
    </row>
    <row r="55" customFormat="false" ht="31.5" hidden="false" customHeight="true" outlineLevel="0" collapsed="false">
      <c r="A55" s="36" t="s">
        <v>203</v>
      </c>
      <c r="B55" s="36" t="s">
        <v>204</v>
      </c>
      <c r="C55" s="36" t="s">
        <v>711</v>
      </c>
      <c r="D55" s="36" t="str">
        <f aca="false">"Rate or value ("&amp;Cover!$C$10&amp;")"</f>
        <v>Rate or value (CUR)</v>
      </c>
      <c r="E55" s="36" t="s">
        <v>712</v>
      </c>
      <c r="F55" s="36" t="str">
        <f aca="false">"AMOUNT ("&amp;Cover!$C$10&amp;")"</f>
        <v>AMOUNT (CUR)</v>
      </c>
      <c r="G55" s="36" t="s">
        <v>288</v>
      </c>
    </row>
    <row r="56" customFormat="false" ht="27.75" hidden="false" customHeight="true" outlineLevel="0" collapsed="false">
      <c r="A56" s="83" t="s">
        <v>756</v>
      </c>
      <c r="B56" s="84" t="s">
        <v>757</v>
      </c>
      <c r="C56" s="85"/>
      <c r="D56" s="85" t="n">
        <v>-28000</v>
      </c>
      <c r="E56" s="99"/>
      <c r="F56" s="88" t="n">
        <f aca="false">IF(ISNUMBER($D56),ROUND($D56*(1+N($E56)),2),"")</f>
        <v>-28000</v>
      </c>
      <c r="G56" s="64" t="s">
        <v>758</v>
      </c>
    </row>
    <row r="57" customFormat="false" ht="15" hidden="false" customHeight="true" outlineLevel="0" collapsed="false">
      <c r="A57" s="83" t="s">
        <v>759</v>
      </c>
      <c r="B57" s="84" t="s">
        <v>760</v>
      </c>
      <c r="C57" s="85"/>
      <c r="D57" s="85" t="n">
        <v>-6500</v>
      </c>
      <c r="E57" s="99"/>
      <c r="F57" s="88" t="n">
        <f aca="false">IF(ISNUMBER($D57),ROUND($D57*(1+N($E57)),2),"")</f>
        <v>-6500</v>
      </c>
      <c r="G57" s="64" t="s">
        <v>758</v>
      </c>
    </row>
    <row r="58" customFormat="false" ht="15" hidden="false" customHeight="true" outlineLevel="0" collapsed="false">
      <c r="A58" s="83"/>
      <c r="B58" s="84"/>
      <c r="C58" s="85"/>
      <c r="D58" s="85"/>
      <c r="E58" s="99"/>
      <c r="F58" s="88" t="str">
        <f aca="false">IF(ISNUMBER($D58),ROUND($D58*(1+N($E58)),2),"")</f>
        <v/>
      </c>
      <c r="G58" s="64"/>
    </row>
    <row r="59" customFormat="false" ht="15" hidden="false" customHeight="true" outlineLevel="0" collapsed="false">
      <c r="A59" s="83"/>
      <c r="B59" s="84"/>
      <c r="C59" s="85"/>
      <c r="D59" s="85"/>
      <c r="E59" s="99"/>
      <c r="F59" s="88" t="str">
        <f aca="false">IF(ISNUMBER($D59),ROUND($D59*(1+N($E59)),2),"")</f>
        <v/>
      </c>
      <c r="G59" s="64"/>
    </row>
    <row r="60" customFormat="false" ht="15" hidden="false" customHeight="true" outlineLevel="0" collapsed="false">
      <c r="A60" s="83"/>
      <c r="B60" s="84"/>
      <c r="C60" s="85"/>
      <c r="D60" s="85"/>
      <c r="E60" s="99"/>
      <c r="F60" s="88" t="str">
        <f aca="false">IF(ISNUMBER($D60),ROUND($D60*(1+N($E60)),2),"")</f>
        <v/>
      </c>
      <c r="G60" s="64"/>
    </row>
    <row r="61" customFormat="false" ht="15" hidden="false" customHeight="true" outlineLevel="0" collapsed="false">
      <c r="A61" s="83"/>
      <c r="B61" s="84"/>
      <c r="C61" s="85"/>
      <c r="D61" s="85"/>
      <c r="E61" s="99"/>
      <c r="F61" s="88" t="str">
        <f aca="false">IF(ISNUMBER($D61),ROUND($D61*(1+N($E61)),2),"")</f>
        <v/>
      </c>
      <c r="G61" s="64"/>
    </row>
    <row r="62" customFormat="false" ht="15" hidden="false" customHeight="false" outlineLevel="0" collapsed="false">
      <c r="A62" s="42"/>
      <c r="B62" s="43" t="s">
        <v>761</v>
      </c>
      <c r="C62" s="42"/>
      <c r="D62" s="42"/>
      <c r="E62" s="42"/>
      <c r="F62" s="89" t="n">
        <f aca="false">ROUND(SUM($F$56:$F$61),2)</f>
        <v>-34500</v>
      </c>
      <c r="G62" s="42"/>
    </row>
    <row r="64" customFormat="false" ht="15" hidden="false" customHeight="false" outlineLevel="0" collapsed="false">
      <c r="B64" s="101" t="s">
        <v>762</v>
      </c>
      <c r="F64" s="44" t="n">
        <f aca="false">ROUND($F$16+$F$29+$F$40+$F$51+$F$62,2)</f>
        <v>3406927.46</v>
      </c>
    </row>
  </sheetData>
  <mergeCells count="13">
    <mergeCell ref="A1:F1"/>
    <mergeCell ref="A2:G2"/>
    <mergeCell ref="A3:G3"/>
    <mergeCell ref="A5:G5"/>
    <mergeCell ref="A6:G6"/>
    <mergeCell ref="A18:G18"/>
    <mergeCell ref="A19:G19"/>
    <mergeCell ref="A31:G31"/>
    <mergeCell ref="A32:G32"/>
    <mergeCell ref="A42:G42"/>
    <mergeCell ref="A43:G43"/>
    <mergeCell ref="A53:G53"/>
    <mergeCell ref="A54:G54"/>
  </mergeCells>
  <hyperlinks>
    <hyperlink ref="G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56"/>
    <col collapsed="false" customWidth="true" hidden="false" outlineLevel="0" max="8" min="3" style="0" width="18"/>
    <col collapsed="false" customWidth="true" hidden="false" outlineLevel="0" max="9" min="9" style="0" width="12"/>
    <col collapsed="false" customWidth="true" hidden="false" outlineLevel="0" max="10" min="10" style="0" width="34"/>
  </cols>
  <sheetData>
    <row r="1" customFormat="false" ht="30" hidden="false" customHeight="true" outlineLevel="0" collapsed="false">
      <c r="A1" s="31" t="str">
        <f aca="false">Cover!$C$6</f>
        <v>Example Project – Commercial Office Fit-out and Base Build</v>
      </c>
      <c r="B1" s="31"/>
      <c r="C1" s="31"/>
      <c r="D1" s="31"/>
      <c r="E1" s="31"/>
      <c r="F1" s="31"/>
      <c r="G1" s="31"/>
      <c r="H1" s="31"/>
      <c r="I1" s="31"/>
    </row>
    <row r="2" customFormat="false" ht="21.75" hidden="false" customHeight="true" outlineLevel="0" collapsed="false">
      <c r="A2" s="32" t="s">
        <v>763</v>
      </c>
      <c r="B2" s="32"/>
      <c r="C2" s="32"/>
      <c r="D2" s="32"/>
      <c r="E2" s="32"/>
      <c r="F2" s="32"/>
      <c r="G2" s="32"/>
      <c r="H2" s="32"/>
      <c r="I2" s="32"/>
      <c r="J2" s="32"/>
    </row>
    <row r="3" customFormat="false" ht="15" hidden="false" customHeight="false" outlineLevel="0" collapsed="false">
      <c r="A3" s="17" t="s">
        <v>764</v>
      </c>
      <c r="B3" s="17"/>
      <c r="C3" s="17"/>
      <c r="D3" s="17"/>
      <c r="E3" s="17"/>
      <c r="F3" s="17"/>
      <c r="G3" s="17"/>
      <c r="H3" s="17"/>
      <c r="I3" s="17"/>
      <c r="J3" s="17"/>
    </row>
    <row r="5" customFormat="false" ht="15" hidden="false" customHeight="false" outlineLevel="0" collapsed="false">
      <c r="B5" s="102" t="s">
        <v>765</v>
      </c>
      <c r="C5" s="103" t="s">
        <v>27</v>
      </c>
      <c r="D5" s="104" t="s">
        <v>766</v>
      </c>
      <c r="E5" s="104" t="s">
        <v>767</v>
      </c>
      <c r="F5" s="104" t="s">
        <v>768</v>
      </c>
    </row>
    <row r="6" customFormat="false" ht="15" hidden="false" customHeight="false" outlineLevel="0" collapsed="false">
      <c r="B6" s="102" t="s">
        <v>769</v>
      </c>
      <c r="D6" s="105"/>
      <c r="E6" s="105"/>
      <c r="F6" s="105"/>
    </row>
    <row r="7" customFormat="false" ht="15" hidden="false" customHeight="false" outlineLevel="0" collapsed="false">
      <c r="B7" s="102" t="s">
        <v>770</v>
      </c>
      <c r="D7" s="106"/>
      <c r="E7" s="106"/>
      <c r="F7" s="106"/>
    </row>
    <row r="9" customFormat="false" ht="31.5" hidden="false" customHeight="true" outlineLevel="0" collapsed="false">
      <c r="A9" s="36" t="s">
        <v>203</v>
      </c>
      <c r="B9" s="36" t="s">
        <v>204</v>
      </c>
      <c r="C9" s="36" t="str">
        <f aca="false">"Pre-tender estimate ("&amp;Cover!$C$10&amp;")"</f>
        <v>Pre-tender estimate (CUR)</v>
      </c>
      <c r="D9" s="36" t="str">
        <f aca="false">IF($D$5="","Tenderer 1",$D$5)</f>
        <v>Tenderer 1</v>
      </c>
      <c r="E9" s="36" t="str">
        <f aca="false">IF($E$5="","Tenderer 2",$E$5)</f>
        <v>Tenderer 2</v>
      </c>
      <c r="F9" s="36" t="str">
        <f aca="false">IF($F$5="","Tenderer 3",$F$5)</f>
        <v>Tenderer 3</v>
      </c>
      <c r="G9" s="36" t="str">
        <f aca="false">"Lowest ("&amp;Cover!$C$10&amp;")"</f>
        <v>Lowest (CUR)</v>
      </c>
      <c r="H9" s="36" t="str">
        <f aca="false">"Variance, lowest v estimate ("&amp;Cover!$C$10&amp;")"</f>
        <v>Variance, lowest v estimate (CUR)</v>
      </c>
      <c r="I9" s="36" t="s">
        <v>771</v>
      </c>
      <c r="J9" s="36" t="s">
        <v>208</v>
      </c>
    </row>
    <row r="10" customFormat="false" ht="15" hidden="false" customHeight="true" outlineLevel="0" collapsed="false">
      <c r="A10" s="47" t="s">
        <v>209</v>
      </c>
      <c r="B10" s="38" t="s">
        <v>127</v>
      </c>
      <c r="C10" s="93" t="n">
        <f aca="false">'BoQ Summary'!$E$6</f>
        <v>3960700</v>
      </c>
      <c r="D10" s="107"/>
      <c r="E10" s="107"/>
      <c r="F10" s="107"/>
      <c r="G10" s="87" t="str">
        <f aca="false">IF(COUNT($D10:$F10)=0,"",MIN($D10:$F10))</f>
        <v/>
      </c>
      <c r="H10" s="87" t="str">
        <f aca="false">IF(ISNUMBER($G10),ROUND($G10-$C10,2),"")</f>
        <v/>
      </c>
      <c r="I10" s="108" t="str">
        <f aca="false">IF(AND(ISNUMBER($H10),$C10&lt;&gt;0),$H10/$C10,"")</f>
        <v/>
      </c>
      <c r="J10" s="109"/>
    </row>
    <row r="11" customFormat="false" ht="15" hidden="false" customHeight="true" outlineLevel="0" collapsed="false">
      <c r="A11" s="47" t="s">
        <v>211</v>
      </c>
      <c r="B11" s="38" t="s">
        <v>212</v>
      </c>
      <c r="C11" s="93" t="n">
        <f aca="false">'BoQ Summary'!$E$7</f>
        <v>1952976</v>
      </c>
      <c r="D11" s="107"/>
      <c r="E11" s="107"/>
      <c r="F11" s="107"/>
      <c r="G11" s="87" t="str">
        <f aca="false">IF(COUNT($D11:$F11)=0,"",MIN($D11:$F11))</f>
        <v/>
      </c>
      <c r="H11" s="87" t="str">
        <f aca="false">IF(ISNUMBER($G11),ROUND($G11-$C11,2),"")</f>
        <v/>
      </c>
      <c r="I11" s="108" t="str">
        <f aca="false">IF(AND(ISNUMBER($H11),$C11&lt;&gt;0),$H11/$C11,"")</f>
        <v/>
      </c>
      <c r="J11" s="109"/>
    </row>
    <row r="12" customFormat="false" ht="15" hidden="false" customHeight="true" outlineLevel="0" collapsed="false">
      <c r="A12" s="47" t="s">
        <v>214</v>
      </c>
      <c r="B12" s="38" t="s">
        <v>215</v>
      </c>
      <c r="C12" s="93" t="n">
        <f aca="false">'BoQ Summary'!$E$8</f>
        <v>4468120.75</v>
      </c>
      <c r="D12" s="107"/>
      <c r="E12" s="107"/>
      <c r="F12" s="107"/>
      <c r="G12" s="87" t="str">
        <f aca="false">IF(COUNT($D12:$F12)=0,"",MIN($D12:$F12))</f>
        <v/>
      </c>
      <c r="H12" s="87" t="str">
        <f aca="false">IF(ISNUMBER($G12),ROUND($G12-$C12,2),"")</f>
        <v/>
      </c>
      <c r="I12" s="108" t="str">
        <f aca="false">IF(AND(ISNUMBER($H12),$C12&lt;&gt;0),$H12/$C12,"")</f>
        <v/>
      </c>
      <c r="J12" s="109"/>
    </row>
    <row r="13" customFormat="false" ht="15" hidden="false" customHeight="true" outlineLevel="0" collapsed="false">
      <c r="A13" s="47" t="s">
        <v>217</v>
      </c>
      <c r="B13" s="38" t="s">
        <v>218</v>
      </c>
      <c r="C13" s="93" t="n">
        <f aca="false">'BoQ Summary'!$E$9</f>
        <v>4925228</v>
      </c>
      <c r="D13" s="107"/>
      <c r="E13" s="107"/>
      <c r="F13" s="107"/>
      <c r="G13" s="87" t="str">
        <f aca="false">IF(COUNT($D13:$F13)=0,"",MIN($D13:$F13))</f>
        <v/>
      </c>
      <c r="H13" s="87" t="str">
        <f aca="false">IF(ISNUMBER($G13),ROUND($G13-$C13,2),"")</f>
        <v/>
      </c>
      <c r="I13" s="108" t="str">
        <f aca="false">IF(AND(ISNUMBER($H13),$C13&lt;&gt;0),$H13/$C13,"")</f>
        <v/>
      </c>
      <c r="J13" s="109"/>
    </row>
    <row r="14" customFormat="false" ht="15" hidden="false" customHeight="true" outlineLevel="0" collapsed="false">
      <c r="A14" s="47" t="s">
        <v>220</v>
      </c>
      <c r="B14" s="38" t="s">
        <v>221</v>
      </c>
      <c r="C14" s="93" t="n">
        <f aca="false">'BoQ Summary'!$E$10</f>
        <v>771760</v>
      </c>
      <c r="D14" s="107"/>
      <c r="E14" s="107"/>
      <c r="F14" s="107"/>
      <c r="G14" s="87" t="str">
        <f aca="false">IF(COUNT($D14:$F14)=0,"",MIN($D14:$F14))</f>
        <v/>
      </c>
      <c r="H14" s="87" t="str">
        <f aca="false">IF(ISNUMBER($G14),ROUND($G14-$C14,2),"")</f>
        <v/>
      </c>
      <c r="I14" s="108" t="str">
        <f aca="false">IF(AND(ISNUMBER($H14),$C14&lt;&gt;0),$H14/$C14,"")</f>
        <v/>
      </c>
      <c r="J14" s="109"/>
    </row>
    <row r="15" customFormat="false" ht="15" hidden="false" customHeight="true" outlineLevel="0" collapsed="false">
      <c r="A15" s="47" t="s">
        <v>223</v>
      </c>
      <c r="B15" s="38" t="s">
        <v>224</v>
      </c>
      <c r="C15" s="93" t="n">
        <f aca="false">'BoQ Summary'!$E$11</f>
        <v>1277132</v>
      </c>
      <c r="D15" s="107"/>
      <c r="E15" s="107"/>
      <c r="F15" s="107"/>
      <c r="G15" s="87" t="str">
        <f aca="false">IF(COUNT($D15:$F15)=0,"",MIN($D15:$F15))</f>
        <v/>
      </c>
      <c r="H15" s="87" t="str">
        <f aca="false">IF(ISNUMBER($G15),ROUND($G15-$C15,2),"")</f>
        <v/>
      </c>
      <c r="I15" s="108" t="str">
        <f aca="false">IF(AND(ISNUMBER($H15),$C15&lt;&gt;0),$H15/$C15,"")</f>
        <v/>
      </c>
      <c r="J15" s="109"/>
    </row>
    <row r="16" customFormat="false" ht="15" hidden="false" customHeight="true" outlineLevel="0" collapsed="false">
      <c r="A16" s="47" t="s">
        <v>226</v>
      </c>
      <c r="B16" s="38" t="s">
        <v>227</v>
      </c>
      <c r="C16" s="93" t="n">
        <f aca="false">'BoQ Summary'!$E$12</f>
        <v>325320</v>
      </c>
      <c r="D16" s="107"/>
      <c r="E16" s="107"/>
      <c r="F16" s="107"/>
      <c r="G16" s="87" t="str">
        <f aca="false">IF(COUNT($D16:$F16)=0,"",MIN($D16:$F16))</f>
        <v/>
      </c>
      <c r="H16" s="87" t="str">
        <f aca="false">IF(ISNUMBER($G16),ROUND($G16-$C16,2),"")</f>
        <v/>
      </c>
      <c r="I16" s="108" t="str">
        <f aca="false">IF(AND(ISNUMBER($H16),$C16&lt;&gt;0),$H16/$C16,"")</f>
        <v/>
      </c>
      <c r="J16" s="109"/>
    </row>
    <row r="17" customFormat="false" ht="15" hidden="false" customHeight="true" outlineLevel="0" collapsed="false">
      <c r="A17" s="47" t="s">
        <v>229</v>
      </c>
      <c r="B17" s="38" t="s">
        <v>230</v>
      </c>
      <c r="C17" s="93" t="n">
        <f aca="false">'BoQ Summary'!$E$13</f>
        <v>7449331</v>
      </c>
      <c r="D17" s="107"/>
      <c r="E17" s="107"/>
      <c r="F17" s="107"/>
      <c r="G17" s="87" t="str">
        <f aca="false">IF(COUNT($D17:$F17)=0,"",MIN($D17:$F17))</f>
        <v/>
      </c>
      <c r="H17" s="87" t="str">
        <f aca="false">IF(ISNUMBER($G17),ROUND($G17-$C17,2),"")</f>
        <v/>
      </c>
      <c r="I17" s="108" t="str">
        <f aca="false">IF(AND(ISNUMBER($H17),$C17&lt;&gt;0),$H17/$C17,"")</f>
        <v/>
      </c>
      <c r="J17" s="109"/>
    </row>
    <row r="18" customFormat="false" ht="15" hidden="false" customHeight="true" outlineLevel="0" collapsed="false">
      <c r="A18" s="47" t="s">
        <v>232</v>
      </c>
      <c r="B18" s="38" t="s">
        <v>233</v>
      </c>
      <c r="C18" s="93" t="n">
        <f aca="false">'BoQ Summary'!$E$14</f>
        <v>1246100</v>
      </c>
      <c r="D18" s="107"/>
      <c r="E18" s="107"/>
      <c r="F18" s="107"/>
      <c r="G18" s="87" t="str">
        <f aca="false">IF(COUNT($D18:$F18)=0,"",MIN($D18:$F18))</f>
        <v/>
      </c>
      <c r="H18" s="87" t="str">
        <f aca="false">IF(ISNUMBER($G18),ROUND($G18-$C18,2),"")</f>
        <v/>
      </c>
      <c r="I18" s="108" t="str">
        <f aca="false">IF(AND(ISNUMBER($H18),$C18&lt;&gt;0),$H18/$C18,"")</f>
        <v/>
      </c>
      <c r="J18" s="109"/>
    </row>
    <row r="19" customFormat="false" ht="15" hidden="false" customHeight="true" outlineLevel="0" collapsed="false">
      <c r="A19" s="59"/>
      <c r="B19" s="110" t="s">
        <v>240</v>
      </c>
      <c r="C19" s="111" t="n">
        <f aca="false">ROUND(SUM($C$10:$C$18),2)</f>
        <v>26376667.75</v>
      </c>
      <c r="D19" s="111" t="str">
        <f aca="false">IF(COUNT($D$10:$D$18)=0,"",ROUND(SUM($D$10:$D$18),2))</f>
        <v/>
      </c>
      <c r="E19" s="111" t="str">
        <f aca="false">IF(COUNT($E$10:$E$18)=0,"",ROUND(SUM($E$10:$E$18),2))</f>
        <v/>
      </c>
      <c r="F19" s="111" t="str">
        <f aca="false">IF(COUNT($F$10:$F$18)=0,"",ROUND(SUM($F$10:$F$18),2))</f>
        <v/>
      </c>
      <c r="G19" s="111" t="str">
        <f aca="false">IF(COUNT($D19:$F19)=0,"",MIN($D19:$F19))</f>
        <v/>
      </c>
      <c r="H19" s="111" t="str">
        <f aca="false">IF(ISNUMBER($G19),ROUND($G19-$C19,2),"")</f>
        <v/>
      </c>
      <c r="I19" s="112" t="str">
        <f aca="false">IF(AND(ISNUMBER($H19),$C19&lt;&gt;0),$H19/$C19,"")</f>
        <v/>
      </c>
      <c r="J19" s="63"/>
    </row>
    <row r="20" customFormat="false" ht="15" hidden="false" customHeight="true" outlineLevel="0" collapsed="false">
      <c r="A20" s="47"/>
      <c r="B20" s="38" t="s">
        <v>772</v>
      </c>
      <c r="C20" s="87" t="n">
        <f aca="false">ROUND(SUM('BoQ Summary'!$E$20:$E$23),2)</f>
        <v>455400</v>
      </c>
      <c r="D20" s="107"/>
      <c r="E20" s="107"/>
      <c r="F20" s="107"/>
      <c r="G20" s="87" t="str">
        <f aca="false">IF(COUNT($D20:$F20)=0,"",MIN($D20:$F20))</f>
        <v/>
      </c>
      <c r="H20" s="87" t="str">
        <f aca="false">IF(ISNUMBER($G20),ROUND($G20-$C20,2),"")</f>
        <v/>
      </c>
      <c r="I20" s="108" t="str">
        <f aca="false">IF(AND(ISNUMBER($H20),$C20&lt;&gt;0),$H20/$C20,"")</f>
        <v/>
      </c>
      <c r="J20" s="64"/>
    </row>
    <row r="21" customFormat="false" ht="15" hidden="false" customHeight="true" outlineLevel="0" collapsed="false">
      <c r="A21" s="47"/>
      <c r="B21" s="38" t="s">
        <v>773</v>
      </c>
      <c r="C21" s="93" t="n">
        <f aca="false">'BoQ Summary'!$E$26</f>
        <v>0</v>
      </c>
      <c r="D21" s="107"/>
      <c r="E21" s="107"/>
      <c r="F21" s="107"/>
      <c r="G21" s="87" t="str">
        <f aca="false">IF(COUNT($D21:$F21)=0,"",MIN($D21:$F21))</f>
        <v/>
      </c>
      <c r="H21" s="87" t="str">
        <f aca="false">IF(ISNUMBER($G21),ROUND($G21-$C21,2),"")</f>
        <v/>
      </c>
      <c r="I21" s="108" t="str">
        <f aca="false">IF(AND(ISNUMBER($H21),$C21&lt;&gt;0),$H21/$C21,"")</f>
        <v/>
      </c>
      <c r="J21" s="64"/>
    </row>
    <row r="22" customFormat="false" ht="15" hidden="false" customHeight="true" outlineLevel="0" collapsed="false">
      <c r="A22" s="47"/>
      <c r="B22" s="38" t="s">
        <v>774</v>
      </c>
      <c r="C22" s="93" t="n">
        <f aca="false">'BoQ Summary'!$E$29</f>
        <v>2951527.46</v>
      </c>
      <c r="D22" s="107"/>
      <c r="E22" s="107"/>
      <c r="F22" s="107"/>
      <c r="G22" s="87" t="str">
        <f aca="false">IF(COUNT($D22:$F22)=0,"",MIN($D22:$F22))</f>
        <v/>
      </c>
      <c r="H22" s="87" t="str">
        <f aca="false">IF(ISNUMBER($G22),ROUND($G22-$C22,2),"")</f>
        <v/>
      </c>
      <c r="I22" s="108" t="str">
        <f aca="false">IF(AND(ISNUMBER($H22),$C22&lt;&gt;0),$H22/$C22,"")</f>
        <v/>
      </c>
      <c r="J22" s="64"/>
    </row>
    <row r="23" customFormat="false" ht="15" hidden="false" customHeight="true" outlineLevel="0" collapsed="false">
      <c r="A23" s="47"/>
      <c r="B23" s="38" t="s">
        <v>775</v>
      </c>
      <c r="C23" s="87" t="n">
        <f aca="false">ROUND('BoQ Summary'!$E$32+'BoQ Summary'!$E$33,2)</f>
        <v>1813076.36</v>
      </c>
      <c r="D23" s="107"/>
      <c r="E23" s="107"/>
      <c r="F23" s="107"/>
      <c r="G23" s="87" t="str">
        <f aca="false">IF(COUNT($D23:$F23)=0,"",MIN($D23:$F23))</f>
        <v/>
      </c>
      <c r="H23" s="87" t="str">
        <f aca="false">IF(ISNUMBER($G23),ROUND($G23-$C23,2),"")</f>
        <v/>
      </c>
      <c r="I23" s="108" t="str">
        <f aca="false">IF(AND(ISNUMBER($H23),$C23&lt;&gt;0),$H23/$C23,"")</f>
        <v/>
      </c>
      <c r="J23" s="64"/>
    </row>
    <row r="24" customFormat="false" ht="15" hidden="false" customHeight="true" outlineLevel="0" collapsed="false">
      <c r="A24" s="47"/>
      <c r="B24" s="38" t="s">
        <v>271</v>
      </c>
      <c r="C24" s="93" t="n">
        <f aca="false">'BoQ Summary'!$E$36</f>
        <v>0</v>
      </c>
      <c r="D24" s="107"/>
      <c r="E24" s="107"/>
      <c r="F24" s="107"/>
      <c r="G24" s="87" t="str">
        <f aca="false">IF(COUNT($D24:$F24)=0,"",MIN($D24:$F24))</f>
        <v/>
      </c>
      <c r="H24" s="87" t="str">
        <f aca="false">IF(ISNUMBER($G24),ROUND($G24-$C24,2),"")</f>
        <v/>
      </c>
      <c r="I24" s="108" t="str">
        <f aca="false">IF(AND(ISNUMBER($H24),$C24&lt;&gt;0),$H24/$C24,"")</f>
        <v/>
      </c>
      <c r="J24" s="64"/>
    </row>
    <row r="26" customFormat="false" ht="15" hidden="false" customHeight="true" outlineLevel="0" collapsed="false">
      <c r="A26" s="59"/>
      <c r="B26" s="110" t="s">
        <v>776</v>
      </c>
      <c r="C26" s="111" t="n">
        <f aca="false">ROUND($C$19+SUM($C$20:$C$25),2)</f>
        <v>31596671.57</v>
      </c>
      <c r="D26" s="111" t="str">
        <f aca="false">IF(AND(NOT(ISNUMBER($D$19)),COUNT($D$20:$D$25)=0),"",ROUND(N($D$19)+SUM($D$20:$D$25),2))</f>
        <v/>
      </c>
      <c r="E26" s="111" t="str">
        <f aca="false">IF(AND(NOT(ISNUMBER($E$19)),COUNT($E$20:$E$25)=0),"",ROUND(N($E$19)+SUM($E$20:$E$25),2))</f>
        <v/>
      </c>
      <c r="F26" s="111" t="str">
        <f aca="false">IF(AND(NOT(ISNUMBER($F$19)),COUNT($F$20:$F$25)=0),"",ROUND(N($F$19)+SUM($F$20:$F$25),2))</f>
        <v/>
      </c>
      <c r="G26" s="111" t="str">
        <f aca="false">IF(COUNT($D26:$F26)=0,"",MIN($D26:$F26))</f>
        <v/>
      </c>
      <c r="H26" s="111" t="str">
        <f aca="false">IF(ISNUMBER($G26),ROUND($G26-$C26,2),"")</f>
        <v/>
      </c>
      <c r="I26" s="112" t="str">
        <f aca="false">IF(AND(ISNUMBER($H26),$C26&lt;&gt;0),$H26/$C26,"")</f>
        <v/>
      </c>
      <c r="J26" s="63"/>
    </row>
    <row r="27" customFormat="false" ht="15" hidden="false" customHeight="true" outlineLevel="0" collapsed="false">
      <c r="A27" s="47"/>
      <c r="B27" s="38" t="s">
        <v>777</v>
      </c>
      <c r="C27" s="93" t="n">
        <f aca="false">'BoQ Summary'!$E$39</f>
        <v>3159667.16</v>
      </c>
      <c r="D27" s="87" t="str">
        <f aca="false">IF(ISNUMBER($D$26),ROUND($D$26*Cover!$C$35,2),"")</f>
        <v/>
      </c>
      <c r="E27" s="87" t="str">
        <f aca="false">IF(ISNUMBER($E$26),ROUND($E$26*Cover!$C$35,2),"")</f>
        <v/>
      </c>
      <c r="F27" s="87" t="str">
        <f aca="false">IF(ISNUMBER($F$26),ROUND($F$26*Cover!$C$35,2),"")</f>
        <v/>
      </c>
      <c r="G27" s="87" t="str">
        <f aca="false">IF(COUNT($D27:$F27)=0,"",MIN($D27:$F27))</f>
        <v/>
      </c>
      <c r="H27" s="87" t="str">
        <f aca="false">IF(ISNUMBER($G27),ROUND($G27-$C27,2),"")</f>
        <v/>
      </c>
      <c r="I27" s="108" t="str">
        <f aca="false">IF(AND(ISNUMBER($H27),$C27&lt;&gt;0),$H27/$C27,"")</f>
        <v/>
      </c>
      <c r="J27" s="64"/>
    </row>
    <row r="28" customFormat="false" ht="15" hidden="false" customHeight="true" outlineLevel="0" collapsed="false">
      <c r="A28" s="68"/>
      <c r="B28" s="113" t="s">
        <v>778</v>
      </c>
      <c r="C28" s="114" t="n">
        <f aca="false">ROUND($C$26+$C$27,2)</f>
        <v>34756338.73</v>
      </c>
      <c r="D28" s="114" t="str">
        <f aca="false">IF(ISNUMBER($D$26),ROUND($D$26+N($D$27),2),"")</f>
        <v/>
      </c>
      <c r="E28" s="114" t="str">
        <f aca="false">IF(ISNUMBER($E$26),ROUND($E$26+N($E$27),2),"")</f>
        <v/>
      </c>
      <c r="F28" s="114" t="str">
        <f aca="false">IF(ISNUMBER($F$26),ROUND($F$26+N($F$27),2),"")</f>
        <v/>
      </c>
      <c r="G28" s="114" t="str">
        <f aca="false">IF(COUNT($D28:$F28)=0,"",MIN($D28:$F28))</f>
        <v/>
      </c>
      <c r="H28" s="114" t="str">
        <f aca="false">IF(ISNUMBER($G28),ROUND($G28-$C28,2),"")</f>
        <v/>
      </c>
      <c r="I28" s="72" t="str">
        <f aca="false">IF(AND(ISNUMBER($H28),$C28&lt;&gt;0),$H28/$C28,"")</f>
        <v/>
      </c>
      <c r="J28" s="73"/>
    </row>
    <row r="30" customFormat="false" ht="15" hidden="false" customHeight="false" outlineLevel="0" collapsed="false">
      <c r="B30" s="115" t="s">
        <v>779</v>
      </c>
      <c r="D30" s="66" t="str">
        <f aca="false">IF(COUNT($D$28)=0,"",ROUND($D$28-$C$28,2))</f>
        <v/>
      </c>
      <c r="E30" s="66" t="str">
        <f aca="false">IF(COUNT($E$28)=0,"",ROUND($E$28-$C$28,2))</f>
        <v/>
      </c>
      <c r="F30" s="66" t="str">
        <f aca="false">IF(COUNT($F$28)=0,"",ROUND($F$28-$C$28,2))</f>
        <v/>
      </c>
    </row>
    <row r="31" customFormat="false" ht="15" hidden="false" customHeight="false" outlineLevel="0" collapsed="false">
      <c r="B31" s="115" t="s">
        <v>780</v>
      </c>
      <c r="D31" s="116" t="str">
        <f aca="false">IF(AND(ISNUMBER($D$30),$C$28&lt;&gt;0),$D$30/$C$28,"")</f>
        <v/>
      </c>
      <c r="E31" s="116" t="str">
        <f aca="false">IF(AND(ISNUMBER($E$30),$C$28&lt;&gt;0),$E$30/$C$28,"")</f>
        <v/>
      </c>
      <c r="F31" s="116" t="str">
        <f aca="false">IF(AND(ISNUMBER($F$30),$C$28&lt;&gt;0),$F$30/$C$28,"")</f>
        <v/>
      </c>
    </row>
    <row r="32" customFormat="false" ht="15" hidden="false" customHeight="false" outlineLevel="0" collapsed="false">
      <c r="B32" s="115" t="s">
        <v>781</v>
      </c>
      <c r="D32" s="47" t="str">
        <f aca="false">IF(COUNT($D$28:$F$28)=0,"",IF(ISNUMBER($D$28),RANK($D$28,$D$28:$F$28,1),""))</f>
        <v/>
      </c>
      <c r="E32" s="47" t="str">
        <f aca="false">IF(COUNT($D$28:$F$28)=0,"",IF(ISNUMBER($E$28),RANK($E$28,$D$28:$F$28,1),""))</f>
        <v/>
      </c>
      <c r="F32" s="47" t="str">
        <f aca="false">IF(COUNT($D$28:$F$28)=0,"",IF(ISNUMBER($F$28),RANK($F$28,$D$28:$F$28,1),""))</f>
        <v/>
      </c>
    </row>
    <row r="34" customFormat="false" ht="15" hidden="false" customHeight="false" outlineLevel="0" collapsed="false">
      <c r="B34" s="117" t="s">
        <v>782</v>
      </c>
      <c r="D34" s="118" t="str">
        <f aca="false">IF(COUNT($D$28:$F$28)=0,"No tenders entered",INDEX($D$5:$F$5,MATCH(MIN($D$28:$F$28),$D$28:$F$28,0)))</f>
        <v>No tenders entered</v>
      </c>
      <c r="E34" s="118"/>
      <c r="F34" s="118"/>
    </row>
    <row r="35" customFormat="false" ht="15" hidden="false" customHeight="false" outlineLevel="0" collapsed="false">
      <c r="B35" s="117" t="s">
        <v>783</v>
      </c>
      <c r="D35" s="119" t="str">
        <f aca="false">IF(COUNT($D$28:$F$28)=0,"",MIN($D$28:$F$28))</f>
        <v/>
      </c>
      <c r="E35" s="119"/>
      <c r="F35" s="119"/>
    </row>
    <row r="37" customFormat="false" ht="15" hidden="false" customHeight="true" outlineLevel="0" collapsed="false">
      <c r="B37" s="120" t="s">
        <v>784</v>
      </c>
      <c r="C37" s="120"/>
      <c r="D37" s="120"/>
      <c r="E37" s="120"/>
      <c r="F37" s="120"/>
      <c r="G37" s="120"/>
      <c r="H37" s="120"/>
      <c r="I37" s="120"/>
      <c r="J37" s="120"/>
    </row>
    <row r="38" customFormat="false" ht="15" hidden="false" customHeight="false" outlineLevel="0" collapsed="false">
      <c r="B38" s="120"/>
      <c r="C38" s="120"/>
      <c r="D38" s="120"/>
      <c r="E38" s="120"/>
      <c r="F38" s="120"/>
      <c r="G38" s="120"/>
      <c r="H38" s="120"/>
      <c r="I38" s="120"/>
      <c r="J38" s="120"/>
    </row>
    <row r="39" customFormat="false" ht="15" hidden="false" customHeight="false" outlineLevel="0" collapsed="false">
      <c r="B39" s="120"/>
      <c r="C39" s="120"/>
      <c r="D39" s="120"/>
      <c r="E39" s="120"/>
      <c r="F39" s="120"/>
      <c r="G39" s="120"/>
      <c r="H39" s="120"/>
      <c r="I39" s="120"/>
      <c r="J39" s="120"/>
    </row>
    <row r="40" customFormat="false" ht="15" hidden="false" customHeight="false" outlineLevel="0" collapsed="false">
      <c r="B40" s="120"/>
      <c r="C40" s="120"/>
      <c r="D40" s="120"/>
      <c r="E40" s="120"/>
      <c r="F40" s="120"/>
      <c r="G40" s="120"/>
      <c r="H40" s="120"/>
      <c r="I40" s="120"/>
      <c r="J40" s="120"/>
    </row>
    <row r="41" customFormat="false" ht="15" hidden="false" customHeight="false" outlineLevel="0" collapsed="false">
      <c r="B41" s="120"/>
      <c r="C41" s="120"/>
      <c r="D41" s="120"/>
      <c r="E41" s="120"/>
      <c r="F41" s="120"/>
      <c r="G41" s="120"/>
      <c r="H41" s="120"/>
      <c r="I41" s="120"/>
      <c r="J41" s="120"/>
    </row>
  </sheetData>
  <mergeCells count="6">
    <mergeCell ref="A1:I1"/>
    <mergeCell ref="A2:J2"/>
    <mergeCell ref="A3:J3"/>
    <mergeCell ref="D34:F34"/>
    <mergeCell ref="D35:F35"/>
    <mergeCell ref="B37:J41"/>
  </mergeCell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
    <col collapsed="false" customWidth="true" hidden="false" outlineLevel="0" max="3" min="3" style="0" width="12"/>
    <col collapsed="false" customWidth="true" hidden="false" outlineLevel="0" max="4" min="4" style="0" width="4"/>
    <col collapsed="false" customWidth="true" hidden="false" outlineLevel="0" max="5" min="5" style="0" width="30"/>
  </cols>
  <sheetData>
    <row r="1" customFormat="false" ht="15" hidden="false" customHeight="false" outlineLevel="0" collapsed="false">
      <c r="A1" s="121" t="s">
        <v>785</v>
      </c>
      <c r="C1" s="121" t="s">
        <v>786</v>
      </c>
      <c r="E1" s="121" t="s">
        <v>787</v>
      </c>
    </row>
    <row r="2" customFormat="false" ht="15" hidden="false" customHeight="false" outlineLevel="0" collapsed="false">
      <c r="A2" s="18" t="s">
        <v>351</v>
      </c>
      <c r="C2" s="18" t="s">
        <v>38</v>
      </c>
      <c r="E2" s="18" t="s">
        <v>788</v>
      </c>
    </row>
    <row r="3" customFormat="false" ht="15" hidden="false" customHeight="false" outlineLevel="0" collapsed="false">
      <c r="A3" s="18" t="s">
        <v>789</v>
      </c>
      <c r="C3" s="18" t="s">
        <v>790</v>
      </c>
      <c r="E3" s="18" t="s">
        <v>791</v>
      </c>
    </row>
    <row r="4" customFormat="false" ht="15" hidden="false" customHeight="false" outlineLevel="0" collapsed="false">
      <c r="A4" s="18" t="s">
        <v>172</v>
      </c>
      <c r="E4" s="18" t="s">
        <v>792</v>
      </c>
    </row>
    <row r="5" customFormat="false" ht="15" hidden="false" customHeight="false" outlineLevel="0" collapsed="false">
      <c r="A5" s="18" t="s">
        <v>390</v>
      </c>
      <c r="E5" s="18" t="s">
        <v>793</v>
      </c>
    </row>
    <row r="6" customFormat="false" ht="15" hidden="false" customHeight="false" outlineLevel="0" collapsed="false">
      <c r="A6" s="18" t="s">
        <v>181</v>
      </c>
      <c r="E6" s="18" t="s">
        <v>794</v>
      </c>
    </row>
    <row r="7" customFormat="false" ht="15" hidden="false" customHeight="false" outlineLevel="0" collapsed="false">
      <c r="A7" s="18" t="s">
        <v>369</v>
      </c>
      <c r="E7" s="18" t="s">
        <v>795</v>
      </c>
    </row>
    <row r="8" customFormat="false" ht="15" hidden="false" customHeight="false" outlineLevel="0" collapsed="false">
      <c r="A8" s="18" t="s">
        <v>796</v>
      </c>
      <c r="E8" s="18" t="s">
        <v>797</v>
      </c>
    </row>
    <row r="9" customFormat="false" ht="15" hidden="false" customHeight="false" outlineLevel="0" collapsed="false">
      <c r="A9" s="18" t="s">
        <v>382</v>
      </c>
      <c r="E9" s="18" t="s">
        <v>798</v>
      </c>
    </row>
    <row r="10" customFormat="false" ht="15" hidden="false" customHeight="false" outlineLevel="0" collapsed="false">
      <c r="A10" s="18" t="s">
        <v>799</v>
      </c>
    </row>
    <row r="11" customFormat="false" ht="15" hidden="false" customHeight="false" outlineLevel="0" collapsed="false">
      <c r="A11" s="18" t="s">
        <v>800</v>
      </c>
    </row>
    <row r="12" customFormat="false" ht="15" hidden="false" customHeight="false" outlineLevel="0" collapsed="false">
      <c r="A12" s="18" t="s">
        <v>801</v>
      </c>
    </row>
    <row r="13" customFormat="false" ht="15" hidden="false" customHeight="false" outlineLevel="0" collapsed="false">
      <c r="A13" s="18" t="s">
        <v>802</v>
      </c>
    </row>
    <row r="14" customFormat="false" ht="15" hidden="false" customHeight="false" outlineLevel="0" collapsed="false">
      <c r="A14" s="18" t="s">
        <v>803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C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3" min="3" style="0" width="104"/>
    <col collapsed="false" customWidth="true" hidden="false" outlineLevel="0" max="4" min="4" style="0" width="4"/>
  </cols>
  <sheetData>
    <row r="1" customFormat="false" ht="42" hidden="false" customHeight="true" outlineLevel="0" collapsed="false"/>
    <row r="2" customFormat="false" ht="19.7" hidden="false" customHeight="false" outlineLevel="0" collapsed="false">
      <c r="B2" s="23" t="s">
        <v>67</v>
      </c>
    </row>
    <row r="3" customFormat="false" ht="15" hidden="false" customHeight="false" outlineLevel="0" collapsed="false">
      <c r="B3" s="24" t="s">
        <v>68</v>
      </c>
      <c r="C3" s="24"/>
    </row>
    <row r="5" customFormat="false" ht="25.5" hidden="false" customHeight="true" outlineLevel="0" collapsed="false">
      <c r="B5" s="25" t="s">
        <v>69</v>
      </c>
      <c r="C5" s="26" t="s">
        <v>70</v>
      </c>
    </row>
    <row r="6" customFormat="false" ht="39" hidden="false" customHeight="true" outlineLevel="0" collapsed="false">
      <c r="B6" s="25" t="s">
        <v>71</v>
      </c>
      <c r="C6" s="26" t="s">
        <v>72</v>
      </c>
    </row>
    <row r="7" customFormat="false" ht="25.5" hidden="false" customHeight="true" outlineLevel="0" collapsed="false">
      <c r="B7" s="25" t="s">
        <v>73</v>
      </c>
      <c r="C7" s="26" t="s">
        <v>74</v>
      </c>
    </row>
    <row r="8" customFormat="false" ht="51.75" hidden="false" customHeight="true" outlineLevel="0" collapsed="false">
      <c r="B8" s="25" t="s">
        <v>75</v>
      </c>
      <c r="C8" s="26" t="s">
        <v>76</v>
      </c>
    </row>
    <row r="9" customFormat="false" ht="39" hidden="false" customHeight="true" outlineLevel="0" collapsed="false">
      <c r="B9" s="25" t="s">
        <v>77</v>
      </c>
      <c r="C9" s="26" t="s">
        <v>78</v>
      </c>
    </row>
    <row r="10" customFormat="false" ht="25.5" hidden="false" customHeight="true" outlineLevel="0" collapsed="false">
      <c r="B10" s="25" t="s">
        <v>79</v>
      </c>
      <c r="C10" s="26" t="s">
        <v>80</v>
      </c>
    </row>
    <row r="11" customFormat="false" ht="25.5" hidden="false" customHeight="true" outlineLevel="0" collapsed="false">
      <c r="B11" s="25" t="s">
        <v>81</v>
      </c>
      <c r="C11" s="26" t="s">
        <v>82</v>
      </c>
    </row>
    <row r="13" customFormat="false" ht="15" hidden="false" customHeight="false" outlineLevel="0" collapsed="false">
      <c r="B13" s="27" t="s">
        <v>83</v>
      </c>
    </row>
    <row r="14" customFormat="false" ht="15" hidden="false" customHeight="false" outlineLevel="0" collapsed="false">
      <c r="B14" s="28" t="s">
        <v>57</v>
      </c>
      <c r="C14" s="26" t="s">
        <v>58</v>
      </c>
    </row>
    <row r="15" customFormat="false" ht="15" hidden="false" customHeight="false" outlineLevel="0" collapsed="false">
      <c r="B15" s="28" t="s">
        <v>59</v>
      </c>
      <c r="C15" s="26" t="s">
        <v>84</v>
      </c>
    </row>
    <row r="16" customFormat="false" ht="15" hidden="false" customHeight="false" outlineLevel="0" collapsed="false">
      <c r="B16" s="28" t="s">
        <v>61</v>
      </c>
      <c r="C16" s="26" t="s">
        <v>85</v>
      </c>
    </row>
    <row r="17" customFormat="false" ht="15" hidden="false" customHeight="false" outlineLevel="0" collapsed="false">
      <c r="B17" s="28" t="s">
        <v>86</v>
      </c>
      <c r="C17" s="26" t="s">
        <v>87</v>
      </c>
    </row>
    <row r="18" customFormat="false" ht="15" hidden="false" customHeight="false" outlineLevel="0" collapsed="false">
      <c r="B18" s="28" t="s">
        <v>88</v>
      </c>
      <c r="C18" s="26" t="s">
        <v>89</v>
      </c>
    </row>
    <row r="20" customFormat="false" ht="15" hidden="false" customHeight="false" outlineLevel="0" collapsed="false">
      <c r="B20" s="27" t="s">
        <v>90</v>
      </c>
    </row>
    <row r="21" customFormat="false" ht="25.5" hidden="false" customHeight="true" outlineLevel="0" collapsed="false">
      <c r="B21" s="29" t="s">
        <v>91</v>
      </c>
      <c r="C21" s="26" t="s">
        <v>92</v>
      </c>
    </row>
    <row r="22" customFormat="false" ht="25.5" hidden="false" customHeight="true" outlineLevel="0" collapsed="false">
      <c r="B22" s="29" t="s">
        <v>91</v>
      </c>
      <c r="C22" s="26" t="s">
        <v>93</v>
      </c>
    </row>
    <row r="23" customFormat="false" ht="39" hidden="false" customHeight="true" outlineLevel="0" collapsed="false">
      <c r="B23" s="29" t="s">
        <v>91</v>
      </c>
      <c r="C23" s="26" t="s">
        <v>94</v>
      </c>
    </row>
    <row r="24" customFormat="false" ht="25.5" hidden="false" customHeight="true" outlineLevel="0" collapsed="false">
      <c r="B24" s="29" t="s">
        <v>91</v>
      </c>
      <c r="C24" s="26" t="s">
        <v>95</v>
      </c>
    </row>
    <row r="25" customFormat="false" ht="25.5" hidden="false" customHeight="true" outlineLevel="0" collapsed="false">
      <c r="B25" s="29" t="s">
        <v>91</v>
      </c>
      <c r="C25" s="26" t="s">
        <v>96</v>
      </c>
    </row>
    <row r="26" customFormat="false" ht="25.5" hidden="false" customHeight="true" outlineLevel="0" collapsed="false">
      <c r="B26" s="29" t="s">
        <v>91</v>
      </c>
      <c r="C26" s="26" t="s">
        <v>97</v>
      </c>
    </row>
    <row r="27" customFormat="false" ht="25.5" hidden="false" customHeight="true" outlineLevel="0" collapsed="false">
      <c r="B27" s="29" t="s">
        <v>91</v>
      </c>
      <c r="C27" s="26" t="s">
        <v>98</v>
      </c>
    </row>
    <row r="29" customFormat="false" ht="15" hidden="false" customHeight="false" outlineLevel="0" collapsed="false">
      <c r="B29" s="27" t="s">
        <v>99</v>
      </c>
    </row>
    <row r="30" customFormat="false" ht="39.75" hidden="false" customHeight="true" outlineLevel="0" collapsed="false">
      <c r="C30" s="26" t="s">
        <v>100</v>
      </c>
    </row>
    <row r="31" customFormat="false" ht="15" hidden="false" customHeight="false" outlineLevel="0" collapsed="false">
      <c r="C31" s="30" t="s">
        <v>4</v>
      </c>
    </row>
  </sheetData>
  <mergeCells count="1">
    <mergeCell ref="B3:C3"/>
  </mergeCells>
  <hyperlinks>
    <hyperlink ref="C31" r:id="rId1" display="www.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66"/>
    <col collapsed="false" customWidth="true" hidden="false" outlineLevel="0" max="3" min="3" style="0" width="22"/>
    <col collapsed="false" customWidth="true" hidden="false" outlineLevel="0" max="4" min="4" style="0" width="26"/>
    <col collapsed="false" customWidth="true" hidden="false" outlineLevel="0" max="5" min="5" style="0" width="20"/>
    <col collapsed="false" customWidth="true" hidden="false" outlineLevel="0" max="6" min="6" style="0" width="4"/>
    <col collapsed="false" customWidth="true" hidden="false" outlineLevel="0" max="7" min="7" style="0" width="60"/>
  </cols>
  <sheetData>
    <row r="1" customFormat="false" ht="30" hidden="false" customHeight="true" outlineLevel="0" collapsed="false">
      <c r="A1" s="31" t="str">
        <f aca="false">Cover!$C$6</f>
        <v>Example Project – Commercial Office Fit-out and Base Build</v>
      </c>
      <c r="B1" s="31"/>
      <c r="C1" s="31"/>
      <c r="D1" s="31"/>
    </row>
    <row r="2" customFormat="false" ht="21.75" hidden="false" customHeight="true" outlineLevel="0" collapsed="false">
      <c r="A2" s="32" t="s">
        <v>101</v>
      </c>
      <c r="B2" s="32"/>
      <c r="C2" s="32"/>
      <c r="D2" s="32"/>
      <c r="E2" s="32"/>
    </row>
    <row r="3" customFormat="false" ht="15" hidden="false" customHeight="false" outlineLevel="0" collapsed="false">
      <c r="A3" s="17"/>
      <c r="B3" s="17"/>
      <c r="C3" s="17"/>
      <c r="D3" s="17"/>
      <c r="E3" s="17"/>
    </row>
    <row r="5" customFormat="false" ht="21.75" hidden="false" customHeight="true" outlineLevel="0" collapsed="false">
      <c r="A5" s="33" t="s">
        <v>102</v>
      </c>
      <c r="B5" s="34" t="s">
        <v>103</v>
      </c>
      <c r="C5" s="34"/>
      <c r="D5" s="34"/>
      <c r="E5" s="34"/>
    </row>
    <row r="6" customFormat="false" ht="13.5" hidden="false" customHeight="true" outlineLevel="0" collapsed="false">
      <c r="A6" s="33" t="s">
        <v>104</v>
      </c>
      <c r="B6" s="34" t="s">
        <v>105</v>
      </c>
      <c r="C6" s="34"/>
      <c r="D6" s="34"/>
      <c r="E6" s="34"/>
    </row>
    <row r="7" customFormat="false" ht="33" hidden="false" customHeight="true" outlineLevel="0" collapsed="false">
      <c r="A7" s="33" t="s">
        <v>106</v>
      </c>
      <c r="B7" s="34" t="s">
        <v>107</v>
      </c>
      <c r="C7" s="34"/>
      <c r="D7" s="34"/>
      <c r="E7" s="34"/>
    </row>
    <row r="8" customFormat="false" ht="33" hidden="false" customHeight="true" outlineLevel="0" collapsed="false">
      <c r="A8" s="33" t="s">
        <v>108</v>
      </c>
      <c r="B8" s="34" t="s">
        <v>109</v>
      </c>
      <c r="C8" s="34"/>
      <c r="D8" s="34"/>
      <c r="E8" s="34"/>
    </row>
    <row r="9" customFormat="false" ht="21.75" hidden="false" customHeight="true" outlineLevel="0" collapsed="false">
      <c r="A9" s="33" t="s">
        <v>110</v>
      </c>
      <c r="B9" s="34" t="s">
        <v>111</v>
      </c>
      <c r="C9" s="34"/>
      <c r="D9" s="34"/>
      <c r="E9" s="34"/>
    </row>
    <row r="10" customFormat="false" ht="33" hidden="false" customHeight="true" outlineLevel="0" collapsed="false">
      <c r="A10" s="33" t="s">
        <v>112</v>
      </c>
      <c r="B10" s="34" t="s">
        <v>113</v>
      </c>
      <c r="C10" s="34"/>
      <c r="D10" s="34"/>
      <c r="E10" s="34"/>
    </row>
    <row r="11" customFormat="false" ht="33" hidden="false" customHeight="true" outlineLevel="0" collapsed="false">
      <c r="A11" s="33" t="s">
        <v>114</v>
      </c>
      <c r="B11" s="34" t="s">
        <v>115</v>
      </c>
      <c r="C11" s="34"/>
      <c r="D11" s="34"/>
      <c r="E11" s="34"/>
    </row>
    <row r="12" customFormat="false" ht="21.75" hidden="false" customHeight="true" outlineLevel="0" collapsed="false">
      <c r="A12" s="33" t="s">
        <v>116</v>
      </c>
      <c r="B12" s="34" t="s">
        <v>117</v>
      </c>
      <c r="C12" s="34"/>
      <c r="D12" s="34"/>
      <c r="E12" s="34"/>
    </row>
    <row r="13" customFormat="false" ht="33" hidden="false" customHeight="true" outlineLevel="0" collapsed="false">
      <c r="A13" s="33" t="s">
        <v>118</v>
      </c>
      <c r="B13" s="34" t="s">
        <v>119</v>
      </c>
      <c r="C13" s="34"/>
      <c r="D13" s="34"/>
      <c r="E13" s="34"/>
    </row>
    <row r="14" customFormat="false" ht="21.75" hidden="false" customHeight="true" outlineLevel="0" collapsed="false">
      <c r="A14" s="33" t="s">
        <v>120</v>
      </c>
      <c r="B14" s="34" t="s">
        <v>121</v>
      </c>
      <c r="C14" s="34"/>
      <c r="D14" s="34"/>
      <c r="E14" s="34"/>
    </row>
    <row r="16" customFormat="false" ht="15" hidden="false" customHeight="false" outlineLevel="0" collapsed="false">
      <c r="A16" s="35" t="s">
        <v>122</v>
      </c>
      <c r="B16" s="35"/>
      <c r="C16" s="35"/>
      <c r="D16" s="35"/>
      <c r="E16" s="35"/>
    </row>
    <row r="17" customFormat="false" ht="31.5" hidden="false" customHeight="true" outlineLevel="0" collapsed="false">
      <c r="A17" s="36" t="s">
        <v>123</v>
      </c>
      <c r="B17" s="36" t="s">
        <v>124</v>
      </c>
      <c r="C17" s="36" t="s">
        <v>125</v>
      </c>
      <c r="D17" s="36" t="s">
        <v>126</v>
      </c>
      <c r="E17" s="36" t="str">
        <f aca="false">"Section subtotal ("&amp;Cover!$C$10&amp;")"</f>
        <v>Section subtotal (CUR)</v>
      </c>
    </row>
    <row r="18" customFormat="false" ht="15" hidden="false" customHeight="false" outlineLevel="0" collapsed="false">
      <c r="A18" s="37" t="n">
        <v>1</v>
      </c>
      <c r="B18" s="38" t="s">
        <v>127</v>
      </c>
      <c r="C18" s="39" t="s">
        <v>128</v>
      </c>
      <c r="D18" s="40" t="s">
        <v>129</v>
      </c>
      <c r="E18" s="41" t="n">
        <f aca="false">'1 Preliminaries'!$G$4</f>
        <v>3960700</v>
      </c>
    </row>
    <row r="19" customFormat="false" ht="15" hidden="false" customHeight="false" outlineLevel="0" collapsed="false">
      <c r="A19" s="37" t="n">
        <v>2</v>
      </c>
      <c r="B19" s="38" t="s">
        <v>130</v>
      </c>
      <c r="C19" s="39" t="s">
        <v>131</v>
      </c>
      <c r="D19" s="40" t="s">
        <v>132</v>
      </c>
      <c r="E19" s="41" t="n">
        <f aca="false">'2 Substructure'!$I$14</f>
        <v>185000</v>
      </c>
    </row>
    <row r="20" customFormat="false" ht="15" hidden="false" customHeight="false" outlineLevel="0" collapsed="false">
      <c r="A20" s="37" t="n">
        <v>3</v>
      </c>
      <c r="B20" s="38" t="s">
        <v>133</v>
      </c>
      <c r="C20" s="39" t="s">
        <v>134</v>
      </c>
      <c r="D20" s="40" t="s">
        <v>132</v>
      </c>
      <c r="E20" s="41" t="n">
        <f aca="false">'2 Substructure'!$I$25</f>
        <v>74725</v>
      </c>
    </row>
    <row r="21" customFormat="false" ht="15" hidden="false" customHeight="false" outlineLevel="0" collapsed="false">
      <c r="A21" s="37" t="n">
        <v>4</v>
      </c>
      <c r="B21" s="38" t="s">
        <v>135</v>
      </c>
      <c r="C21" s="39" t="s">
        <v>136</v>
      </c>
      <c r="D21" s="40" t="s">
        <v>132</v>
      </c>
      <c r="E21" s="41" t="n">
        <f aca="false">'2 Substructure'!$I$35</f>
        <v>14700</v>
      </c>
    </row>
    <row r="22" customFormat="false" ht="15" hidden="false" customHeight="false" outlineLevel="0" collapsed="false">
      <c r="A22" s="37" t="n">
        <v>5</v>
      </c>
      <c r="B22" s="38" t="s">
        <v>137</v>
      </c>
      <c r="C22" s="39" t="s">
        <v>138</v>
      </c>
      <c r="D22" s="40" t="s">
        <v>132</v>
      </c>
      <c r="E22" s="41" t="n">
        <f aca="false">'2 Substructure'!$I$50</f>
        <v>260251</v>
      </c>
    </row>
    <row r="23" customFormat="false" ht="15" hidden="false" customHeight="false" outlineLevel="0" collapsed="false">
      <c r="A23" s="37" t="n">
        <v>6</v>
      </c>
      <c r="B23" s="38" t="s">
        <v>139</v>
      </c>
      <c r="C23" s="39" t="s">
        <v>140</v>
      </c>
      <c r="D23" s="40" t="s">
        <v>132</v>
      </c>
      <c r="E23" s="41" t="n">
        <f aca="false">'2 Substructure'!$I$60</f>
        <v>59200</v>
      </c>
    </row>
    <row r="24" customFormat="false" ht="15" hidden="false" customHeight="false" outlineLevel="0" collapsed="false">
      <c r="A24" s="37" t="n">
        <v>7</v>
      </c>
      <c r="B24" s="38" t="s">
        <v>141</v>
      </c>
      <c r="C24" s="39" t="s">
        <v>142</v>
      </c>
      <c r="D24" s="40" t="s">
        <v>132</v>
      </c>
      <c r="E24" s="41" t="n">
        <f aca="false">'2 Substructure'!$I$71</f>
        <v>527400</v>
      </c>
    </row>
    <row r="25" customFormat="false" ht="15" hidden="false" customHeight="false" outlineLevel="0" collapsed="false">
      <c r="A25" s="37" t="n">
        <v>8</v>
      </c>
      <c r="B25" s="38" t="s">
        <v>143</v>
      </c>
      <c r="C25" s="39" t="s">
        <v>142</v>
      </c>
      <c r="D25" s="40" t="s">
        <v>132</v>
      </c>
      <c r="E25" s="41" t="n">
        <f aca="false">'2 Substructure'!$I$80</f>
        <v>49300</v>
      </c>
    </row>
    <row r="26" customFormat="false" ht="15" hidden="false" customHeight="false" outlineLevel="0" collapsed="false">
      <c r="A26" s="37" t="n">
        <v>9</v>
      </c>
      <c r="B26" s="38" t="s">
        <v>144</v>
      </c>
      <c r="C26" s="39" t="s">
        <v>145</v>
      </c>
      <c r="D26" s="40" t="s">
        <v>132</v>
      </c>
      <c r="E26" s="41" t="n">
        <f aca="false">'2 Substructure'!$I$89</f>
        <v>694200</v>
      </c>
    </row>
    <row r="27" customFormat="false" ht="15" hidden="false" customHeight="false" outlineLevel="0" collapsed="false">
      <c r="A27" s="37" t="n">
        <v>10</v>
      </c>
      <c r="B27" s="38" t="s">
        <v>146</v>
      </c>
      <c r="C27" s="39" t="s">
        <v>138</v>
      </c>
      <c r="D27" s="40" t="s">
        <v>132</v>
      </c>
      <c r="E27" s="41" t="n">
        <f aca="false">'2 Substructure'!$I$98</f>
        <v>88200</v>
      </c>
    </row>
    <row r="28" customFormat="false" ht="15" hidden="false" customHeight="false" outlineLevel="0" collapsed="false">
      <c r="A28" s="37" t="n">
        <v>11</v>
      </c>
      <c r="B28" s="38" t="s">
        <v>147</v>
      </c>
      <c r="C28" s="39" t="s">
        <v>148</v>
      </c>
      <c r="D28" s="40" t="s">
        <v>149</v>
      </c>
      <c r="E28" s="41" t="n">
        <f aca="false">'3 Superstructure'!$I$20</f>
        <v>1349351.75</v>
      </c>
    </row>
    <row r="29" customFormat="false" ht="15" hidden="false" customHeight="false" outlineLevel="0" collapsed="false">
      <c r="A29" s="37" t="n">
        <v>12</v>
      </c>
      <c r="B29" s="38" t="s">
        <v>150</v>
      </c>
      <c r="C29" s="39" t="s">
        <v>151</v>
      </c>
      <c r="D29" s="40" t="s">
        <v>149</v>
      </c>
      <c r="E29" s="41" t="n">
        <f aca="false">'3 Superstructure'!$I$29</f>
        <v>468000</v>
      </c>
    </row>
    <row r="30" customFormat="false" ht="15" hidden="false" customHeight="false" outlineLevel="0" collapsed="false">
      <c r="A30" s="37" t="n">
        <v>13</v>
      </c>
      <c r="B30" s="38" t="s">
        <v>152</v>
      </c>
      <c r="C30" s="39" t="s">
        <v>153</v>
      </c>
      <c r="D30" s="40" t="s">
        <v>149</v>
      </c>
      <c r="E30" s="41" t="n">
        <f aca="false">'3 Superstructure'!$I$38</f>
        <v>58200</v>
      </c>
    </row>
    <row r="31" customFormat="false" ht="15" hidden="false" customHeight="false" outlineLevel="0" collapsed="false">
      <c r="A31" s="37" t="n">
        <v>14</v>
      </c>
      <c r="B31" s="38" t="s">
        <v>154</v>
      </c>
      <c r="C31" s="39" t="s">
        <v>155</v>
      </c>
      <c r="D31" s="40" t="s">
        <v>149</v>
      </c>
      <c r="E31" s="41" t="n">
        <f aca="false">'3 Superstructure'!$I$50</f>
        <v>615009</v>
      </c>
    </row>
    <row r="32" customFormat="false" ht="15" hidden="false" customHeight="false" outlineLevel="0" collapsed="false">
      <c r="A32" s="37" t="n">
        <v>15</v>
      </c>
      <c r="B32" s="38" t="s">
        <v>156</v>
      </c>
      <c r="C32" s="39" t="s">
        <v>157</v>
      </c>
      <c r="D32" s="40" t="s">
        <v>149</v>
      </c>
      <c r="E32" s="41" t="n">
        <f aca="false">'3 Superstructure'!$I$61</f>
        <v>1873700</v>
      </c>
    </row>
    <row r="33" customFormat="false" ht="15" hidden="false" customHeight="false" outlineLevel="0" collapsed="false">
      <c r="A33" s="37" t="n">
        <v>16</v>
      </c>
      <c r="B33" s="38" t="s">
        <v>158</v>
      </c>
      <c r="C33" s="39" t="s">
        <v>159</v>
      </c>
      <c r="D33" s="40" t="s">
        <v>149</v>
      </c>
      <c r="E33" s="41" t="n">
        <f aca="false">'3 Superstructure'!$I$72</f>
        <v>103860</v>
      </c>
    </row>
    <row r="34" customFormat="false" ht="15" hidden="false" customHeight="false" outlineLevel="0" collapsed="false">
      <c r="A34" s="37" t="n">
        <v>17</v>
      </c>
      <c r="B34" s="38" t="s">
        <v>160</v>
      </c>
      <c r="C34" s="39" t="s">
        <v>145</v>
      </c>
      <c r="D34" s="40" t="s">
        <v>161</v>
      </c>
      <c r="E34" s="41" t="n">
        <f aca="false">'4 Envelope and Roof'!$I$15</f>
        <v>437250</v>
      </c>
    </row>
    <row r="35" customFormat="false" ht="15" hidden="false" customHeight="false" outlineLevel="0" collapsed="false">
      <c r="A35" s="37" t="n">
        <v>18</v>
      </c>
      <c r="B35" s="38" t="s">
        <v>162</v>
      </c>
      <c r="C35" s="39" t="s">
        <v>145</v>
      </c>
      <c r="D35" s="40" t="s">
        <v>161</v>
      </c>
      <c r="E35" s="41" t="n">
        <f aca="false">'4 Envelope and Roof'!$I$24</f>
        <v>100800</v>
      </c>
    </row>
    <row r="36" customFormat="false" ht="15" hidden="false" customHeight="false" outlineLevel="0" collapsed="false">
      <c r="A36" s="37" t="n">
        <v>19</v>
      </c>
      <c r="B36" s="38" t="s">
        <v>163</v>
      </c>
      <c r="C36" s="39" t="s">
        <v>145</v>
      </c>
      <c r="D36" s="40" t="s">
        <v>161</v>
      </c>
      <c r="E36" s="41" t="n">
        <f aca="false">'4 Envelope and Roof'!$I$35</f>
        <v>221420</v>
      </c>
    </row>
    <row r="37" customFormat="false" ht="15" hidden="false" customHeight="false" outlineLevel="0" collapsed="false">
      <c r="A37" s="37" t="n">
        <v>20</v>
      </c>
      <c r="B37" s="38" t="s">
        <v>164</v>
      </c>
      <c r="C37" s="39" t="s">
        <v>145</v>
      </c>
      <c r="D37" s="40" t="s">
        <v>161</v>
      </c>
      <c r="E37" s="41" t="n">
        <f aca="false">'4 Envelope and Roof'!$I$45</f>
        <v>475008</v>
      </c>
    </row>
    <row r="38" customFormat="false" ht="15" hidden="false" customHeight="false" outlineLevel="0" collapsed="false">
      <c r="A38" s="37" t="n">
        <v>21</v>
      </c>
      <c r="B38" s="38" t="s">
        <v>165</v>
      </c>
      <c r="C38" s="39" t="s">
        <v>155</v>
      </c>
      <c r="D38" s="40" t="s">
        <v>161</v>
      </c>
      <c r="E38" s="41" t="n">
        <f aca="false">'4 Envelope and Roof'!$I$57</f>
        <v>3690750</v>
      </c>
    </row>
    <row r="39" customFormat="false" ht="15" hidden="false" customHeight="false" outlineLevel="0" collapsed="false">
      <c r="A39" s="37" t="n">
        <v>22</v>
      </c>
      <c r="B39" s="38" t="s">
        <v>166</v>
      </c>
      <c r="C39" s="39" t="s">
        <v>167</v>
      </c>
      <c r="D39" s="40" t="s">
        <v>168</v>
      </c>
      <c r="E39" s="41" t="n">
        <f aca="false">'5 Openings and Joinery'!$I$16</f>
        <v>111600</v>
      </c>
    </row>
    <row r="40" customFormat="false" ht="15" hidden="false" customHeight="false" outlineLevel="0" collapsed="false">
      <c r="A40" s="37" t="n">
        <v>23</v>
      </c>
      <c r="B40" s="38" t="s">
        <v>169</v>
      </c>
      <c r="C40" s="39" t="s">
        <v>170</v>
      </c>
      <c r="D40" s="40" t="s">
        <v>168</v>
      </c>
      <c r="E40" s="41" t="n">
        <f aca="false">'5 Openings and Joinery'!$I$26</f>
        <v>177600</v>
      </c>
    </row>
    <row r="41" customFormat="false" ht="15" hidden="false" customHeight="false" outlineLevel="0" collapsed="false">
      <c r="A41" s="37" t="n">
        <v>24</v>
      </c>
      <c r="B41" s="38" t="s">
        <v>171</v>
      </c>
      <c r="C41" s="39" t="s">
        <v>172</v>
      </c>
      <c r="D41" s="40" t="s">
        <v>168</v>
      </c>
      <c r="E41" s="41" t="n">
        <f aca="false">'5 Openings and Joinery'!$I$37</f>
        <v>177000</v>
      </c>
    </row>
    <row r="42" customFormat="false" ht="15" hidden="false" customHeight="false" outlineLevel="0" collapsed="false">
      <c r="A42" s="37" t="n">
        <v>25</v>
      </c>
      <c r="B42" s="38" t="s">
        <v>173</v>
      </c>
      <c r="C42" s="39" t="s">
        <v>153</v>
      </c>
      <c r="D42" s="40" t="s">
        <v>168</v>
      </c>
      <c r="E42" s="41" t="n">
        <f aca="false">'5 Openings and Joinery'!$I$48</f>
        <v>179100</v>
      </c>
    </row>
    <row r="43" customFormat="false" ht="15" hidden="false" customHeight="false" outlineLevel="0" collapsed="false">
      <c r="A43" s="37" t="n">
        <v>26</v>
      </c>
      <c r="B43" s="38" t="s">
        <v>174</v>
      </c>
      <c r="C43" s="39" t="s">
        <v>175</v>
      </c>
      <c r="D43" s="40" t="s">
        <v>168</v>
      </c>
      <c r="E43" s="41" t="n">
        <f aca="false">'5 Openings and Joinery'!$I$57</f>
        <v>11760</v>
      </c>
    </row>
    <row r="44" customFormat="false" ht="15" hidden="false" customHeight="false" outlineLevel="0" collapsed="false">
      <c r="A44" s="37" t="n">
        <v>27</v>
      </c>
      <c r="B44" s="38" t="s">
        <v>176</v>
      </c>
      <c r="C44" s="39" t="s">
        <v>151</v>
      </c>
      <c r="D44" s="40" t="s">
        <v>168</v>
      </c>
      <c r="E44" s="41" t="n">
        <f aca="false">'5 Openings and Joinery'!$I$66</f>
        <v>114700</v>
      </c>
    </row>
    <row r="45" customFormat="false" ht="15" hidden="false" customHeight="false" outlineLevel="0" collapsed="false">
      <c r="A45" s="37" t="n">
        <v>28</v>
      </c>
      <c r="B45" s="38" t="s">
        <v>177</v>
      </c>
      <c r="C45" s="39" t="s">
        <v>145</v>
      </c>
      <c r="D45" s="40" t="s">
        <v>178</v>
      </c>
      <c r="E45" s="41" t="n">
        <f aca="false">'6 Finishes'!$I$20</f>
        <v>782024</v>
      </c>
    </row>
    <row r="46" customFormat="false" ht="15" hidden="false" customHeight="false" outlineLevel="0" collapsed="false">
      <c r="A46" s="37" t="n">
        <v>29</v>
      </c>
      <c r="B46" s="38" t="s">
        <v>179</v>
      </c>
      <c r="C46" s="39" t="s">
        <v>145</v>
      </c>
      <c r="D46" s="40" t="s">
        <v>178</v>
      </c>
      <c r="E46" s="41" t="n">
        <f aca="false">'6 Finishes'!$I$31</f>
        <v>154688</v>
      </c>
    </row>
    <row r="47" customFormat="false" ht="15" hidden="false" customHeight="false" outlineLevel="0" collapsed="false">
      <c r="A47" s="37" t="n">
        <v>30</v>
      </c>
      <c r="B47" s="38" t="s">
        <v>180</v>
      </c>
      <c r="C47" s="39" t="s">
        <v>181</v>
      </c>
      <c r="D47" s="40" t="s">
        <v>178</v>
      </c>
      <c r="E47" s="41" t="n">
        <f aca="false">'6 Finishes'!$I$40</f>
        <v>223200</v>
      </c>
    </row>
    <row r="48" customFormat="false" ht="15" hidden="false" customHeight="false" outlineLevel="0" collapsed="false">
      <c r="A48" s="37" t="n">
        <v>31</v>
      </c>
      <c r="B48" s="38" t="s">
        <v>182</v>
      </c>
      <c r="C48" s="39" t="s">
        <v>155</v>
      </c>
      <c r="D48" s="40" t="s">
        <v>178</v>
      </c>
      <c r="E48" s="41" t="n">
        <f aca="false">'6 Finishes'!$I$51</f>
        <v>117220</v>
      </c>
    </row>
    <row r="49" customFormat="false" ht="15" hidden="false" customHeight="false" outlineLevel="0" collapsed="false">
      <c r="A49" s="37" t="n">
        <v>32</v>
      </c>
      <c r="B49" s="38" t="s">
        <v>183</v>
      </c>
      <c r="C49" s="39" t="s">
        <v>136</v>
      </c>
      <c r="D49" s="40" t="s">
        <v>184</v>
      </c>
      <c r="E49" s="41" t="n">
        <f aca="false">'7 FF and E'!$I$21</f>
        <v>325320</v>
      </c>
    </row>
    <row r="50" customFormat="false" ht="15" hidden="false" customHeight="false" outlineLevel="0" collapsed="false">
      <c r="A50" s="37" t="n">
        <v>33</v>
      </c>
      <c r="B50" s="38" t="s">
        <v>185</v>
      </c>
      <c r="C50" s="39" t="s">
        <v>142</v>
      </c>
      <c r="D50" s="40" t="s">
        <v>186</v>
      </c>
      <c r="E50" s="41" t="n">
        <f aca="false">'8 Services'!$I$16</f>
        <v>83840</v>
      </c>
    </row>
    <row r="51" customFormat="false" ht="15" hidden="false" customHeight="false" outlineLevel="0" collapsed="false">
      <c r="A51" s="37" t="n">
        <v>34</v>
      </c>
      <c r="B51" s="38" t="s">
        <v>187</v>
      </c>
      <c r="C51" s="39" t="s">
        <v>188</v>
      </c>
      <c r="D51" s="40" t="s">
        <v>189</v>
      </c>
      <c r="E51" s="41" t="n">
        <f aca="false">'9 External Works'!$I$18</f>
        <v>459000</v>
      </c>
    </row>
    <row r="52" customFormat="false" ht="15" hidden="false" customHeight="false" outlineLevel="0" collapsed="false">
      <c r="A52" s="37" t="n">
        <v>35</v>
      </c>
      <c r="B52" s="38" t="s">
        <v>190</v>
      </c>
      <c r="C52" s="39" t="s">
        <v>191</v>
      </c>
      <c r="D52" s="40" t="s">
        <v>189</v>
      </c>
      <c r="E52" s="41" t="n">
        <f aca="false">'9 External Works'!$I$31</f>
        <v>522580</v>
      </c>
    </row>
    <row r="53" customFormat="false" ht="15" hidden="false" customHeight="false" outlineLevel="0" collapsed="false">
      <c r="A53" s="37" t="n">
        <v>36</v>
      </c>
      <c r="B53" s="38" t="s">
        <v>192</v>
      </c>
      <c r="C53" s="39" t="s">
        <v>142</v>
      </c>
      <c r="D53" s="40" t="s">
        <v>189</v>
      </c>
      <c r="E53" s="41" t="n">
        <f aca="false">'9 External Works'!$I$42</f>
        <v>168700</v>
      </c>
    </row>
    <row r="54" customFormat="false" ht="15" hidden="false" customHeight="false" outlineLevel="0" collapsed="false">
      <c r="A54" s="37" t="n">
        <v>37</v>
      </c>
      <c r="B54" s="38" t="s">
        <v>193</v>
      </c>
      <c r="C54" s="39" t="s">
        <v>151</v>
      </c>
      <c r="D54" s="40" t="s">
        <v>189</v>
      </c>
      <c r="E54" s="41" t="n">
        <f aca="false">'9 External Works'!$I$53</f>
        <v>95820</v>
      </c>
    </row>
    <row r="55" customFormat="false" ht="15" hidden="false" customHeight="false" outlineLevel="0" collapsed="false">
      <c r="A55" s="37" t="n">
        <v>38</v>
      </c>
      <c r="B55" s="38" t="s">
        <v>194</v>
      </c>
      <c r="C55" s="39" t="s">
        <v>195</v>
      </c>
      <c r="D55" s="40" t="s">
        <v>186</v>
      </c>
      <c r="E55" s="41" t="n">
        <f aca="false">'8 Services'!$I$30</f>
        <v>4267200</v>
      </c>
    </row>
    <row r="56" customFormat="false" ht="15" hidden="false" customHeight="false" outlineLevel="0" collapsed="false">
      <c r="A56" s="37" t="n">
        <v>39</v>
      </c>
      <c r="B56" s="38" t="s">
        <v>196</v>
      </c>
      <c r="C56" s="39" t="s">
        <v>195</v>
      </c>
      <c r="D56" s="40" t="s">
        <v>186</v>
      </c>
      <c r="E56" s="41" t="n">
        <f aca="false">'8 Services'!$I$44</f>
        <v>2346600</v>
      </c>
    </row>
    <row r="57" customFormat="false" ht="15" hidden="false" customHeight="false" outlineLevel="0" collapsed="false">
      <c r="A57" s="37" t="n">
        <v>40</v>
      </c>
      <c r="B57" s="38" t="s">
        <v>197</v>
      </c>
      <c r="C57" s="39" t="s">
        <v>172</v>
      </c>
      <c r="D57" s="40" t="s">
        <v>186</v>
      </c>
      <c r="E57" s="41" t="n">
        <f aca="false">'8 Services'!$I$53</f>
        <v>570000</v>
      </c>
    </row>
    <row r="58" customFormat="false" ht="15" hidden="false" customHeight="false" outlineLevel="0" collapsed="false">
      <c r="A58" s="37" t="n">
        <v>41</v>
      </c>
      <c r="B58" s="38" t="s">
        <v>198</v>
      </c>
      <c r="C58" s="39" t="s">
        <v>199</v>
      </c>
      <c r="D58" s="40" t="s">
        <v>186</v>
      </c>
      <c r="E58" s="41" t="n">
        <f aca="false">'8 Services'!$I$62</f>
        <v>181691</v>
      </c>
    </row>
    <row r="59" customFormat="false" ht="15" hidden="false" customHeight="false" outlineLevel="0" collapsed="false">
      <c r="A59" s="42"/>
      <c r="B59" s="43" t="s">
        <v>200</v>
      </c>
      <c r="C59" s="42"/>
      <c r="D59" s="42"/>
      <c r="E59" s="44" t="n">
        <f aca="false">ROUND(SUM($E$18:$E$58),2)</f>
        <v>26376667.75</v>
      </c>
    </row>
    <row r="60" customFormat="false" ht="15" hidden="false" customHeight="false" outlineLevel="0" collapsed="false">
      <c r="B60" s="45" t="s">
        <v>201</v>
      </c>
      <c r="E60" s="46" t="str">
        <f aca="false">IF(ROUND($E$59-'BoQ Summary'!$E$18,2)=0,"OK","CHECK")</f>
        <v>OK</v>
      </c>
    </row>
  </sheetData>
  <mergeCells count="14">
    <mergeCell ref="A1:D1"/>
    <mergeCell ref="A2:E2"/>
    <mergeCell ref="A3:E3"/>
    <mergeCell ref="B5:E5"/>
    <mergeCell ref="B6:E6"/>
    <mergeCell ref="B7:E7"/>
    <mergeCell ref="B8:E8"/>
    <mergeCell ref="B9:E9"/>
    <mergeCell ref="B10:E10"/>
    <mergeCell ref="B11:E11"/>
    <mergeCell ref="B12:E12"/>
    <mergeCell ref="B13:E13"/>
    <mergeCell ref="B14:E14"/>
    <mergeCell ref="A16:E16"/>
  </mergeCell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66"/>
    <col collapsed="false" customWidth="true" hidden="false" outlineLevel="0" max="3" min="3" style="0" width="17"/>
    <col collapsed="false" customWidth="true" hidden="false" outlineLevel="0" max="4" min="4" style="0" width="16"/>
    <col collapsed="false" customWidth="true" hidden="false" outlineLevel="0" max="5" min="5" style="0" width="20"/>
    <col collapsed="false" customWidth="true" hidden="false" outlineLevel="0" max="6" min="6" style="0" width="12"/>
    <col collapsed="false" customWidth="true" hidden="false" outlineLevel="0" max="7" min="7" style="0" width="40"/>
  </cols>
  <sheetData>
    <row r="1" customFormat="false" ht="30" hidden="false" customHeight="true" outlineLevel="0" collapsed="false">
      <c r="A1" s="31" t="str">
        <f aca="false">Cover!$C$6</f>
        <v>Example Project – Commercial Office Fit-out and Base Build</v>
      </c>
      <c r="B1" s="31"/>
      <c r="C1" s="31"/>
      <c r="D1" s="31"/>
      <c r="E1" s="31"/>
      <c r="F1" s="31"/>
    </row>
    <row r="2" customFormat="false" ht="21.75" hidden="false" customHeight="true" outlineLevel="0" collapsed="false">
      <c r="A2" s="32" t="s">
        <v>202</v>
      </c>
      <c r="B2" s="32"/>
      <c r="C2" s="32"/>
      <c r="D2" s="32"/>
      <c r="E2" s="32"/>
      <c r="F2" s="32"/>
      <c r="G2" s="32"/>
    </row>
    <row r="3" customFormat="false" ht="15" hidden="false" customHeight="false" outlineLevel="0" collapsed="false">
      <c r="A3" s="17" t="str">
        <f aca="false">"All amounts in "&amp;Cover!$C$10&amp;".   Prepared in accordance with RICS NRM2.   Every figure below is a live link – do not overtype."</f>
        <v>All amounts in CUR.   Prepared in accordance with RICS NRM2.   Every figure below is a live link – do not overtype.</v>
      </c>
      <c r="B3" s="17"/>
      <c r="C3" s="17"/>
      <c r="D3" s="17"/>
      <c r="E3" s="17"/>
      <c r="F3" s="17"/>
      <c r="G3" s="17"/>
    </row>
    <row r="5" customFormat="false" ht="31.5" hidden="false" customHeight="true" outlineLevel="0" collapsed="false">
      <c r="A5" s="36" t="s">
        <v>203</v>
      </c>
      <c r="B5" s="36" t="s">
        <v>204</v>
      </c>
      <c r="C5" s="36" t="s">
        <v>205</v>
      </c>
      <c r="D5" s="36" t="s">
        <v>206</v>
      </c>
      <c r="E5" s="36" t="str">
        <f aca="false">"AMOUNT ("&amp;Cover!$C$10&amp;")"</f>
        <v>AMOUNT (CUR)</v>
      </c>
      <c r="F5" s="36" t="s">
        <v>207</v>
      </c>
      <c r="G5" s="36" t="s">
        <v>208</v>
      </c>
    </row>
    <row r="6" customFormat="false" ht="15" hidden="false" customHeight="true" outlineLevel="0" collapsed="false">
      <c r="A6" s="47" t="s">
        <v>209</v>
      </c>
      <c r="B6" s="48" t="s">
        <v>127</v>
      </c>
      <c r="C6" s="39" t="s">
        <v>210</v>
      </c>
      <c r="D6" s="7"/>
      <c r="E6" s="49" t="n">
        <f aca="false">'1 Preliminaries'!$G$4</f>
        <v>3960700</v>
      </c>
      <c r="F6" s="50" t="n">
        <f aca="false">IF($E$37=0,"",$E6/$E$37)</f>
        <v>0.125351810909113</v>
      </c>
      <c r="G6" s="7"/>
    </row>
    <row r="7" customFormat="false" ht="15" hidden="false" customHeight="true" outlineLevel="0" collapsed="false">
      <c r="A7" s="47" t="s">
        <v>211</v>
      </c>
      <c r="B7" s="48" t="s">
        <v>212</v>
      </c>
      <c r="C7" s="39" t="s">
        <v>213</v>
      </c>
      <c r="D7" s="7"/>
      <c r="E7" s="49" t="n">
        <f aca="false">'2 Substructure'!$I$4</f>
        <v>1952976</v>
      </c>
      <c r="F7" s="50" t="n">
        <f aca="false">IF($E$37=0,"",$E7/$E$37)</f>
        <v>0.0618095483783262</v>
      </c>
      <c r="G7" s="7"/>
    </row>
    <row r="8" customFormat="false" ht="15" hidden="false" customHeight="true" outlineLevel="0" collapsed="false">
      <c r="A8" s="47" t="s">
        <v>214</v>
      </c>
      <c r="B8" s="48" t="s">
        <v>215</v>
      </c>
      <c r="C8" s="39" t="s">
        <v>216</v>
      </c>
      <c r="D8" s="7"/>
      <c r="E8" s="49" t="n">
        <f aca="false">'3 Superstructure'!$I$4</f>
        <v>4468120.75</v>
      </c>
      <c r="F8" s="50" t="n">
        <f aca="false">IF($E$37=0,"",$E8/$E$37)</f>
        <v>0.141411121108159</v>
      </c>
      <c r="G8" s="7"/>
    </row>
    <row r="9" customFormat="false" ht="15" hidden="false" customHeight="true" outlineLevel="0" collapsed="false">
      <c r="A9" s="47" t="s">
        <v>217</v>
      </c>
      <c r="B9" s="48" t="s">
        <v>218</v>
      </c>
      <c r="C9" s="39" t="s">
        <v>219</v>
      </c>
      <c r="D9" s="7"/>
      <c r="E9" s="49" t="n">
        <f aca="false">'4 Envelope and Roof'!$I$4</f>
        <v>4925228</v>
      </c>
      <c r="F9" s="50" t="n">
        <f aca="false">IF($E$37=0,"",$E9/$E$37)</f>
        <v>0.15587806421599</v>
      </c>
      <c r="G9" s="7"/>
    </row>
    <row r="10" customFormat="false" ht="15" hidden="false" customHeight="true" outlineLevel="0" collapsed="false">
      <c r="A10" s="47" t="s">
        <v>220</v>
      </c>
      <c r="B10" s="48" t="s">
        <v>221</v>
      </c>
      <c r="C10" s="39" t="s">
        <v>222</v>
      </c>
      <c r="D10" s="7"/>
      <c r="E10" s="49" t="n">
        <f aca="false">'5 Openings and Joinery'!$I$4</f>
        <v>771760</v>
      </c>
      <c r="F10" s="50" t="n">
        <f aca="false">IF($E$37=0,"",$E10/$E$37)</f>
        <v>0.0244253575345816</v>
      </c>
      <c r="G10" s="7"/>
    </row>
    <row r="11" customFormat="false" ht="15" hidden="false" customHeight="true" outlineLevel="0" collapsed="false">
      <c r="A11" s="47" t="s">
        <v>223</v>
      </c>
      <c r="B11" s="48" t="s">
        <v>224</v>
      </c>
      <c r="C11" s="39" t="s">
        <v>225</v>
      </c>
      <c r="D11" s="7"/>
      <c r="E11" s="49" t="n">
        <f aca="false">'6 Finishes'!$I$4</f>
        <v>1277132</v>
      </c>
      <c r="F11" s="50" t="n">
        <f aca="false">IF($E$37=0,"",$E11/$E$37)</f>
        <v>0.0404198270431938</v>
      </c>
      <c r="G11" s="7"/>
    </row>
    <row r="12" customFormat="false" ht="15" hidden="false" customHeight="true" outlineLevel="0" collapsed="false">
      <c r="A12" s="47" t="s">
        <v>226</v>
      </c>
      <c r="B12" s="48" t="s">
        <v>227</v>
      </c>
      <c r="C12" s="39" t="s">
        <v>228</v>
      </c>
      <c r="D12" s="7"/>
      <c r="E12" s="49" t="n">
        <f aca="false">'7 FF and E'!$I$4</f>
        <v>325320</v>
      </c>
      <c r="F12" s="50" t="n">
        <f aca="false">IF($E$37=0,"",$E12/$E$37)</f>
        <v>0.0102960211894243</v>
      </c>
      <c r="G12" s="7"/>
    </row>
    <row r="13" customFormat="false" ht="15" hidden="false" customHeight="true" outlineLevel="0" collapsed="false">
      <c r="A13" s="47" t="s">
        <v>229</v>
      </c>
      <c r="B13" s="48" t="s">
        <v>230</v>
      </c>
      <c r="C13" s="39" t="s">
        <v>231</v>
      </c>
      <c r="D13" s="7"/>
      <c r="E13" s="49" t="n">
        <f aca="false">'8 Services'!$I$4</f>
        <v>7449331</v>
      </c>
      <c r="F13" s="50" t="n">
        <f aca="false">IF($E$37=0,"",$E13/$E$37)</f>
        <v>0.235763155732925</v>
      </c>
      <c r="G13" s="7"/>
    </row>
    <row r="14" customFormat="false" ht="15" hidden="false" customHeight="true" outlineLevel="0" collapsed="false">
      <c r="A14" s="47" t="s">
        <v>232</v>
      </c>
      <c r="B14" s="48" t="s">
        <v>233</v>
      </c>
      <c r="C14" s="39" t="s">
        <v>234</v>
      </c>
      <c r="D14" s="7"/>
      <c r="E14" s="49" t="n">
        <f aca="false">'9 External Works'!$I$4</f>
        <v>1246100</v>
      </c>
      <c r="F14" s="50" t="n">
        <f aca="false">IF($E$37=0,"",$E14/$E$37)</f>
        <v>0.0394376982790533</v>
      </c>
      <c r="G14" s="7"/>
    </row>
    <row r="16" customFormat="false" ht="15" hidden="false" customHeight="true" outlineLevel="0" collapsed="false">
      <c r="A16" s="51" t="s">
        <v>235</v>
      </c>
      <c r="B16" s="52" t="s">
        <v>236</v>
      </c>
      <c r="C16" s="53"/>
      <c r="D16" s="53"/>
      <c r="E16" s="54" t="n">
        <f aca="false">ROUND(SUM($E$7:$E$14),2)</f>
        <v>22415967.75</v>
      </c>
      <c r="F16" s="55" t="n">
        <f aca="false">IF($E$37=0,"",$E16/$E$37)</f>
        <v>0.709440793481654</v>
      </c>
      <c r="G16" s="56"/>
    </row>
    <row r="17" customFormat="false" ht="15" hidden="false" customHeight="true" outlineLevel="0" collapsed="false">
      <c r="A17" s="51" t="s">
        <v>237</v>
      </c>
      <c r="B17" s="57" t="s">
        <v>238</v>
      </c>
      <c r="C17" s="53"/>
      <c r="D17" s="53"/>
      <c r="E17" s="58" t="n">
        <f aca="false">$E$6</f>
        <v>3960700</v>
      </c>
      <c r="F17" s="55" t="n">
        <f aca="false">IF($E$37=0,"",$E17/$E$37)</f>
        <v>0.125351810909113</v>
      </c>
      <c r="G17" s="56"/>
    </row>
    <row r="18" customFormat="false" ht="15" hidden="false" customHeight="true" outlineLevel="0" collapsed="false">
      <c r="A18" s="59" t="s">
        <v>239</v>
      </c>
      <c r="B18" s="60" t="s">
        <v>240</v>
      </c>
      <c r="C18" s="42"/>
      <c r="D18" s="42"/>
      <c r="E18" s="61" t="n">
        <f aca="false">ROUND($E$16+$E$17,2)</f>
        <v>26376667.75</v>
      </c>
      <c r="F18" s="62" t="n">
        <f aca="false">IF($E$37=0,"",$E18/$E$37)</f>
        <v>0.834792604390767</v>
      </c>
      <c r="G18" s="63"/>
    </row>
    <row r="20" customFormat="false" ht="15" hidden="false" customHeight="true" outlineLevel="0" collapsed="false">
      <c r="A20" s="47" t="s">
        <v>241</v>
      </c>
      <c r="B20" s="48" t="s">
        <v>242</v>
      </c>
      <c r="C20" s="7"/>
      <c r="D20" s="7"/>
      <c r="E20" s="49" t="n">
        <f aca="false">'Prov Sums and Risk'!$F$16</f>
        <v>147000</v>
      </c>
      <c r="F20" s="50" t="n">
        <f aca="false">IF($E$37=0,"",$E20/$E$37)</f>
        <v>0.00465238877058088</v>
      </c>
      <c r="G20" s="64" t="s">
        <v>243</v>
      </c>
    </row>
    <row r="21" customFormat="false" ht="27.75" hidden="false" customHeight="true" outlineLevel="0" collapsed="false">
      <c r="A21" s="47" t="s">
        <v>244</v>
      </c>
      <c r="B21" s="48" t="s">
        <v>245</v>
      </c>
      <c r="C21" s="7"/>
      <c r="D21" s="7"/>
      <c r="E21" s="49" t="n">
        <f aca="false">'Prov Sums and Risk'!$F$29</f>
        <v>165000</v>
      </c>
      <c r="F21" s="50" t="n">
        <f aca="false">IF($E$37=0,"",$E21/$E$37)</f>
        <v>0.00522206902820302</v>
      </c>
      <c r="G21" s="64" t="s">
        <v>246</v>
      </c>
    </row>
    <row r="22" customFormat="false" ht="15" hidden="false" customHeight="true" outlineLevel="0" collapsed="false">
      <c r="A22" s="47" t="s">
        <v>247</v>
      </c>
      <c r="B22" s="48" t="s">
        <v>248</v>
      </c>
      <c r="C22" s="7"/>
      <c r="D22" s="7"/>
      <c r="E22" s="49" t="n">
        <f aca="false">'Prov Sums and Risk'!$F$40</f>
        <v>177900</v>
      </c>
      <c r="F22" s="50" t="n">
        <f aca="false">IF($E$37=0,"",$E22/$E$37)</f>
        <v>0.0056303398794989</v>
      </c>
      <c r="G22" s="64" t="s">
        <v>249</v>
      </c>
    </row>
    <row r="23" customFormat="false" ht="15" hidden="false" customHeight="true" outlineLevel="0" collapsed="false">
      <c r="A23" s="47" t="s">
        <v>250</v>
      </c>
      <c r="B23" s="48" t="s">
        <v>251</v>
      </c>
      <c r="C23" s="7"/>
      <c r="D23" s="7"/>
      <c r="E23" s="49" t="n">
        <f aca="false">'Prov Sums and Risk'!$F$62</f>
        <v>-34500</v>
      </c>
      <c r="F23" s="50" t="n">
        <f aca="false">IF($E$37=0,"",$E23/$E$37)</f>
        <v>-0.00109188716044245</v>
      </c>
      <c r="G23" s="64" t="s">
        <v>252</v>
      </c>
    </row>
    <row r="24" customFormat="false" ht="15" hidden="false" customHeight="true" outlineLevel="0" collapsed="false">
      <c r="A24" s="59" t="s">
        <v>253</v>
      </c>
      <c r="B24" s="60" t="s">
        <v>254</v>
      </c>
      <c r="C24" s="42"/>
      <c r="D24" s="42"/>
      <c r="E24" s="61" t="n">
        <f aca="false">ROUND(SUM($E$18:$E$23),2)</f>
        <v>26832067.75</v>
      </c>
      <c r="F24" s="62" t="n">
        <f aca="false">IF($E$37=0,"",$E24/$E$37)</f>
        <v>0.849205514908607</v>
      </c>
      <c r="G24" s="63" t="s">
        <v>255</v>
      </c>
    </row>
    <row r="26" customFormat="false" ht="27.75" hidden="false" customHeight="true" outlineLevel="0" collapsed="false">
      <c r="A26" s="47" t="s">
        <v>256</v>
      </c>
      <c r="B26" s="48" t="s">
        <v>257</v>
      </c>
      <c r="C26" s="7"/>
      <c r="D26" s="65" t="n">
        <f aca="false">IF(Cover!$C$25="Yes",0,(1+Cover!$C$23)*(1+Cover!$C$24)-1)</f>
        <v>0</v>
      </c>
      <c r="E26" s="66" t="n">
        <f aca="false">IF(Cover!$C$25="Yes",0,ROUND($E$24*$D$26,2))</f>
        <v>0</v>
      </c>
      <c r="F26" s="50" t="n">
        <f aca="false">IF($E$37=0,"",$E26/$E$37)</f>
        <v>0</v>
      </c>
      <c r="G26" s="64" t="s">
        <v>258</v>
      </c>
    </row>
    <row r="27" customFormat="false" ht="15" hidden="false" customHeight="true" outlineLevel="0" collapsed="false">
      <c r="A27" s="59" t="s">
        <v>259</v>
      </c>
      <c r="B27" s="60" t="s">
        <v>254</v>
      </c>
      <c r="C27" s="42"/>
      <c r="D27" s="42"/>
      <c r="E27" s="61" t="n">
        <f aca="false">ROUND($E$24+$E$26,2)</f>
        <v>26832067.75</v>
      </c>
      <c r="F27" s="62" t="n">
        <f aca="false">IF($E$37=0,"",$E27/$E$37)</f>
        <v>0.849205514908607</v>
      </c>
      <c r="G27" s="63"/>
    </row>
    <row r="29" customFormat="false" ht="27.75" hidden="false" customHeight="true" outlineLevel="0" collapsed="false">
      <c r="A29" s="47" t="s">
        <v>260</v>
      </c>
      <c r="B29" s="48" t="s">
        <v>261</v>
      </c>
      <c r="C29" s="7"/>
      <c r="D29" s="7"/>
      <c r="E29" s="49" t="n">
        <f aca="false">'Prov Sums and Risk'!$F$51</f>
        <v>2951527.46</v>
      </c>
      <c r="F29" s="50" t="n">
        <f aca="false">IF($E$37=0,"",$E29/$E$37)</f>
        <v>0.0934126068773136</v>
      </c>
      <c r="G29" s="64" t="s">
        <v>262</v>
      </c>
    </row>
    <row r="30" customFormat="false" ht="15" hidden="false" customHeight="true" outlineLevel="0" collapsed="false">
      <c r="A30" s="59" t="s">
        <v>263</v>
      </c>
      <c r="B30" s="60" t="s">
        <v>254</v>
      </c>
      <c r="C30" s="42"/>
      <c r="D30" s="42"/>
      <c r="E30" s="61" t="n">
        <f aca="false">ROUND($E$27+$E$29,2)</f>
        <v>29783595.21</v>
      </c>
      <c r="F30" s="62" t="n">
        <f aca="false">IF($E$37=0,"",$E30/$E$37)</f>
        <v>0.942618121785921</v>
      </c>
      <c r="G30" s="63"/>
    </row>
    <row r="32" customFormat="false" ht="15" hidden="false" customHeight="true" outlineLevel="0" collapsed="false">
      <c r="A32" s="47" t="s">
        <v>264</v>
      </c>
      <c r="B32" s="48" t="s">
        <v>265</v>
      </c>
      <c r="C32" s="7"/>
      <c r="D32" s="65" t="n">
        <f aca="false">Cover!$C$33</f>
        <v>0.025</v>
      </c>
      <c r="E32" s="66" t="n">
        <f aca="false">ROUND($E$30*$D$32,2)</f>
        <v>744589.88</v>
      </c>
      <c r="F32" s="50" t="n">
        <f aca="false">IF($E$37=0,"",$E32/$E$37)</f>
        <v>0.0235654530367358</v>
      </c>
      <c r="G32" s="64"/>
    </row>
    <row r="33" customFormat="false" ht="15" hidden="false" customHeight="true" outlineLevel="0" collapsed="false">
      <c r="A33" s="47" t="s">
        <v>266</v>
      </c>
      <c r="B33" s="48" t="s">
        <v>267</v>
      </c>
      <c r="C33" s="7"/>
      <c r="D33" s="65" t="n">
        <f aca="false">Cover!$C$34</f>
        <v>0.035</v>
      </c>
      <c r="E33" s="66" t="n">
        <f aca="false">ROUND(($E$30+$E$32)*$D$33,2)</f>
        <v>1068486.48</v>
      </c>
      <c r="F33" s="50" t="n">
        <f aca="false">IF($E$37=0,"",$E33/$E$37)</f>
        <v>0.0338164251773435</v>
      </c>
      <c r="G33" s="64"/>
    </row>
    <row r="34" customFormat="false" ht="15" hidden="false" customHeight="true" outlineLevel="0" collapsed="false">
      <c r="A34" s="59" t="s">
        <v>268</v>
      </c>
      <c r="B34" s="60" t="s">
        <v>269</v>
      </c>
      <c r="C34" s="42"/>
      <c r="D34" s="42"/>
      <c r="E34" s="61" t="n">
        <f aca="false">ROUND($E$30+$E$32+$E$33,2)</f>
        <v>31596671.57</v>
      </c>
      <c r="F34" s="62" t="n">
        <f aca="false">IF($E$37=0,"",$E34/$E$37)</f>
        <v>1</v>
      </c>
      <c r="G34" s="63"/>
    </row>
    <row r="36" customFormat="false" ht="15" hidden="false" customHeight="true" outlineLevel="0" collapsed="false">
      <c r="A36" s="47" t="s">
        <v>270</v>
      </c>
      <c r="B36" s="48" t="s">
        <v>271</v>
      </c>
      <c r="C36" s="7"/>
      <c r="D36" s="7"/>
      <c r="E36" s="67" t="n">
        <v>0</v>
      </c>
      <c r="F36" s="50" t="n">
        <f aca="false">IF($E$37=0,"",$E36/$E$37)</f>
        <v>0</v>
      </c>
      <c r="G36" s="64" t="s">
        <v>272</v>
      </c>
    </row>
    <row r="37" customFormat="false" ht="15" hidden="false" customHeight="true" outlineLevel="0" collapsed="false">
      <c r="A37" s="59" t="s">
        <v>273</v>
      </c>
      <c r="B37" s="60" t="s">
        <v>274</v>
      </c>
      <c r="C37" s="42"/>
      <c r="D37" s="42"/>
      <c r="E37" s="61" t="n">
        <f aca="false">ROUND($E$34+$E$36,2)</f>
        <v>31596671.57</v>
      </c>
      <c r="F37" s="62" t="n">
        <f aca="false">IF($E$37=0,"",$E37/$E$37)</f>
        <v>1</v>
      </c>
      <c r="G37" s="63"/>
    </row>
    <row r="39" customFormat="false" ht="15" hidden="false" customHeight="true" outlineLevel="0" collapsed="false">
      <c r="A39" s="47" t="s">
        <v>275</v>
      </c>
      <c r="B39" s="48" t="s">
        <v>276</v>
      </c>
      <c r="C39" s="7"/>
      <c r="D39" s="65" t="n">
        <f aca="false">Cover!$C$35</f>
        <v>0.1</v>
      </c>
      <c r="E39" s="66" t="n">
        <f aca="false">ROUND($E$37*$D$39,2)</f>
        <v>3159667.16</v>
      </c>
      <c r="F39" s="50" t="n">
        <f aca="false">IF($E$37=0,"",$E39/$E$37)</f>
        <v>0.100000000094947</v>
      </c>
      <c r="G39" s="64"/>
    </row>
    <row r="40" customFormat="false" ht="15" hidden="false" customHeight="true" outlineLevel="0" collapsed="false">
      <c r="A40" s="68" t="s">
        <v>277</v>
      </c>
      <c r="B40" s="69" t="s">
        <v>278</v>
      </c>
      <c r="C40" s="70"/>
      <c r="D40" s="70"/>
      <c r="E40" s="71" t="n">
        <f aca="false">ROUND($E$37+$E$39,2)</f>
        <v>34756338.73</v>
      </c>
      <c r="F40" s="72"/>
      <c r="G40" s="73"/>
    </row>
    <row r="42" customFormat="false" ht="15" hidden="false" customHeight="false" outlineLevel="0" collapsed="false">
      <c r="B42" s="15" t="s">
        <v>279</v>
      </c>
    </row>
    <row r="43" customFormat="false" ht="15" hidden="false" customHeight="false" outlineLevel="0" collapsed="false">
      <c r="B43" s="74" t="s">
        <v>280</v>
      </c>
      <c r="E43" s="75" t="str">
        <f aca="false">IF(ROUND(SUM($E$6:$E$14)-$E$18,2)=0,"OK","CHECK – difference of "&amp;TEXT(ROUND(SUM($E$6:$E$14)-$E$18,2),"#,##0.00"))</f>
        <v>OK</v>
      </c>
      <c r="F43" s="75"/>
      <c r="G43" s="75"/>
    </row>
    <row r="44" customFormat="false" ht="15" hidden="false" customHeight="false" outlineLevel="0" collapsed="false">
      <c r="B44" s="74" t="s">
        <v>281</v>
      </c>
      <c r="E44" s="75" t="str">
        <f aca="false">IF(Cover!$C$25="Yes","OK – O&amp;P is inside the rate build-ups","OK – O&amp;P is added once on line I")</f>
        <v>OK – O&amp;P is inside the rate build-ups</v>
      </c>
      <c r="F44" s="75"/>
      <c r="G44" s="75"/>
    </row>
    <row r="45" customFormat="false" ht="15" hidden="false" customHeight="false" outlineLevel="0" collapsed="false">
      <c r="B45" s="74" t="s">
        <v>282</v>
      </c>
      <c r="E45" s="75" t="str">
        <f aca="false">IF(ROUND($E$18+SUM($E$20:$E$23)+$E$26+$E$29+$E$32+$E$33+$E$36+$E$39-$E$40,2)=0,"OK","CHECK – components do not reconcile to the total")</f>
        <v>OK</v>
      </c>
      <c r="F45" s="75"/>
      <c r="G45" s="75"/>
    </row>
  </sheetData>
  <mergeCells count="6">
    <mergeCell ref="A1:F1"/>
    <mergeCell ref="A2:G2"/>
    <mergeCell ref="A3:G3"/>
    <mergeCell ref="E43:G43"/>
    <mergeCell ref="E44:G44"/>
    <mergeCell ref="E45:G45"/>
  </mergeCell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74"/>
    <col collapsed="false" customWidth="true" hidden="false" outlineLevel="0" max="3" min="3" style="0" width="15"/>
    <col collapsed="false" customWidth="true" hidden="false" outlineLevel="0" max="4" min="4" style="0" width="16"/>
    <col collapsed="false" customWidth="true" hidden="false" outlineLevel="0" max="5" min="5" style="0" width="12"/>
    <col collapsed="false" customWidth="true" hidden="false" outlineLevel="0" max="7" min="6" style="0" width="16"/>
    <col collapsed="false" customWidth="true" hidden="false" outlineLevel="0" max="8" min="8"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76" t="s">
        <v>283</v>
      </c>
    </row>
    <row r="2" customFormat="false" ht="21.75" hidden="false" customHeight="true" outlineLevel="0" collapsed="false">
      <c r="A2" s="32" t="s">
        <v>284</v>
      </c>
      <c r="B2" s="32"/>
      <c r="C2" s="32"/>
      <c r="D2" s="32"/>
      <c r="E2" s="32"/>
      <c r="F2" s="32"/>
      <c r="G2" s="32"/>
      <c r="H2" s="32"/>
    </row>
    <row r="3" customFormat="false" ht="15" hidden="false" customHeight="false" outlineLevel="0" collapsed="false">
      <c r="A3" s="17" t="s">
        <v>285</v>
      </c>
      <c r="B3" s="17"/>
      <c r="C3" s="17"/>
      <c r="D3" s="17"/>
      <c r="E3" s="17"/>
      <c r="F3" s="17"/>
      <c r="G3" s="17"/>
      <c r="H3" s="17"/>
    </row>
    <row r="4" customFormat="false" ht="15" hidden="false" customHeight="false" outlineLevel="0" collapsed="false">
      <c r="A4" s="77" t="s">
        <v>286</v>
      </c>
      <c r="B4" s="77"/>
      <c r="C4" s="77"/>
      <c r="D4" s="77"/>
      <c r="E4" s="77"/>
      <c r="F4" s="77"/>
      <c r="G4" s="78" t="n">
        <f aca="false">ROUND($G$16+$G$41,2)</f>
        <v>3960700</v>
      </c>
      <c r="H4" s="79" t="str">
        <f aca="false">"Total in "&amp;Cover!$C$10</f>
        <v>Total in CUR</v>
      </c>
    </row>
    <row r="6" customFormat="false" ht="31.5" hidden="false" customHeight="true" outlineLevel="0" collapsed="false">
      <c r="A6" s="36" t="s">
        <v>203</v>
      </c>
      <c r="B6" s="36" t="s">
        <v>204</v>
      </c>
      <c r="C6" s="36" t="str">
        <f aca="false">"Fixed charge ("&amp;Cover!$C$10&amp;")"</f>
        <v>Fixed charge (CUR)</v>
      </c>
      <c r="D6" s="36" t="str">
        <f aca="false">"Time-related rate (per week) ("&amp;Cover!$C$10&amp;")"</f>
        <v>Time-related rate (per week) (CUR)</v>
      </c>
      <c r="E6" s="36" t="s">
        <v>287</v>
      </c>
      <c r="F6" s="36" t="str">
        <f aca="false">"Time-related charge ("&amp;Cover!$C$10&amp;")"</f>
        <v>Time-related charge (CUR)</v>
      </c>
      <c r="G6" s="36" t="str">
        <f aca="false">"TOTAL ("&amp;Cover!$C$10&amp;")"</f>
        <v>TOTAL (CUR)</v>
      </c>
      <c r="H6" s="36" t="s">
        <v>288</v>
      </c>
    </row>
    <row r="7" customFormat="false" ht="15" hidden="false" customHeight="false" outlineLevel="0" collapsed="false">
      <c r="A7" s="80" t="s">
        <v>289</v>
      </c>
      <c r="B7" s="81" t="s">
        <v>290</v>
      </c>
      <c r="C7" s="82"/>
      <c r="D7" s="82"/>
      <c r="E7" s="82"/>
      <c r="F7" s="82"/>
      <c r="G7" s="82"/>
      <c r="H7" s="82"/>
    </row>
    <row r="8" customFormat="false" ht="27.75" hidden="false" customHeight="true" outlineLevel="0" collapsed="false">
      <c r="A8" s="83" t="s">
        <v>291</v>
      </c>
      <c r="B8" s="84" t="s">
        <v>292</v>
      </c>
      <c r="C8" s="85" t="n">
        <v>45000</v>
      </c>
      <c r="D8" s="85" t="n">
        <v>1800</v>
      </c>
      <c r="E8" s="86" t="n">
        <f aca="false">Cover!$C$14</f>
        <v>78</v>
      </c>
      <c r="F8" s="87" t="n">
        <f aca="false">IF(AND(ISNUMBER($D8),ISNUMBER($E8)),ROUND($D8*$E8,2),"")</f>
        <v>140400</v>
      </c>
      <c r="G8" s="88" t="n">
        <f aca="false">IF(SUM($C8,$F8)=0,"",ROUND(SUM($C8,$F8),2))</f>
        <v>185400</v>
      </c>
      <c r="H8" s="64" t="s">
        <v>293</v>
      </c>
    </row>
    <row r="9" customFormat="false" ht="27.75" hidden="false" customHeight="true" outlineLevel="0" collapsed="false">
      <c r="A9" s="83" t="s">
        <v>294</v>
      </c>
      <c r="B9" s="84" t="s">
        <v>295</v>
      </c>
      <c r="C9" s="85"/>
      <c r="D9" s="85" t="n">
        <v>650</v>
      </c>
      <c r="E9" s="86" t="n">
        <f aca="false">Cover!$C$14</f>
        <v>78</v>
      </c>
      <c r="F9" s="87" t="n">
        <f aca="false">IF(AND(ISNUMBER($D9),ISNUMBER($E9)),ROUND($D9*$E9,2),"")</f>
        <v>50700</v>
      </c>
      <c r="G9" s="88" t="n">
        <f aca="false">IF(SUM($C9,$F9)=0,"",ROUND(SUM($C9,$F9),2))</f>
        <v>50700</v>
      </c>
      <c r="H9" s="64"/>
    </row>
    <row r="10" customFormat="false" ht="27.75" hidden="false" customHeight="true" outlineLevel="0" collapsed="false">
      <c r="A10" s="83" t="s">
        <v>296</v>
      </c>
      <c r="B10" s="84" t="s">
        <v>297</v>
      </c>
      <c r="C10" s="85" t="n">
        <v>38000</v>
      </c>
      <c r="D10" s="85"/>
      <c r="E10" s="86" t="n">
        <f aca="false">Cover!$C$14</f>
        <v>78</v>
      </c>
      <c r="F10" s="87" t="str">
        <f aca="false">IF(AND(ISNUMBER($D10),ISNUMBER($E10)),ROUND($D10*$E10,2),"")</f>
        <v/>
      </c>
      <c r="G10" s="88" t="n">
        <f aca="false">IF(SUM($C10,$F10)=0,"",ROUND(SUM($C10,$F10),2))</f>
        <v>38000</v>
      </c>
      <c r="H10" s="64"/>
    </row>
    <row r="11" customFormat="false" ht="15" hidden="false" customHeight="true" outlineLevel="0" collapsed="false">
      <c r="A11" s="83"/>
      <c r="B11" s="84"/>
      <c r="C11" s="85"/>
      <c r="D11" s="85"/>
      <c r="E11" s="86" t="n">
        <f aca="false">Cover!$C$14</f>
        <v>78</v>
      </c>
      <c r="F11" s="87" t="str">
        <f aca="false">IF(AND(ISNUMBER($D11),ISNUMBER($E11)),ROUND($D11*$E11,2),"")</f>
        <v/>
      </c>
      <c r="G11" s="88" t="str">
        <f aca="false">IF(SUM($C11,$F11)=0,"",ROUND(SUM($C11,$F11),2))</f>
        <v/>
      </c>
      <c r="H11" s="64"/>
    </row>
    <row r="12" customFormat="false" ht="15" hidden="false" customHeight="true" outlineLevel="0" collapsed="false">
      <c r="A12" s="83"/>
      <c r="B12" s="84"/>
      <c r="C12" s="85"/>
      <c r="D12" s="85"/>
      <c r="E12" s="86" t="n">
        <f aca="false">Cover!$C$14</f>
        <v>78</v>
      </c>
      <c r="F12" s="87" t="str">
        <f aca="false">IF(AND(ISNUMBER($D12),ISNUMBER($E12)),ROUND($D12*$E12,2),"")</f>
        <v/>
      </c>
      <c r="G12" s="88" t="str">
        <f aca="false">IF(SUM($C12,$F12)=0,"",ROUND(SUM($C12,$F12),2))</f>
        <v/>
      </c>
      <c r="H12" s="64"/>
    </row>
    <row r="13" customFormat="false" ht="15" hidden="false" customHeight="true" outlineLevel="0" collapsed="false">
      <c r="A13" s="83"/>
      <c r="B13" s="84"/>
      <c r="C13" s="85"/>
      <c r="D13" s="85"/>
      <c r="E13" s="86" t="n">
        <f aca="false">Cover!$C$14</f>
        <v>78</v>
      </c>
      <c r="F13" s="87" t="str">
        <f aca="false">IF(AND(ISNUMBER($D13),ISNUMBER($E13)),ROUND($D13*$E13,2),"")</f>
        <v/>
      </c>
      <c r="G13" s="88" t="str">
        <f aca="false">IF(SUM($C13,$F13)=0,"",ROUND(SUM($C13,$F13),2))</f>
        <v/>
      </c>
      <c r="H13" s="64"/>
    </row>
    <row r="14" customFormat="false" ht="15" hidden="false" customHeight="true" outlineLevel="0" collapsed="false">
      <c r="A14" s="83"/>
      <c r="B14" s="84"/>
      <c r="C14" s="85"/>
      <c r="D14" s="85"/>
      <c r="E14" s="86" t="n">
        <f aca="false">Cover!$C$14</f>
        <v>78</v>
      </c>
      <c r="F14" s="87" t="str">
        <f aca="false">IF(AND(ISNUMBER($D14),ISNUMBER($E14)),ROUND($D14*$E14,2),"")</f>
        <v/>
      </c>
      <c r="G14" s="88" t="str">
        <f aca="false">IF(SUM($C14,$F14)=0,"",ROUND(SUM($C14,$F14),2))</f>
        <v/>
      </c>
      <c r="H14" s="64"/>
    </row>
    <row r="15" customFormat="false" ht="15" hidden="false" customHeight="true" outlineLevel="0" collapsed="false">
      <c r="A15" s="83"/>
      <c r="B15" s="84"/>
      <c r="C15" s="85"/>
      <c r="D15" s="85"/>
      <c r="E15" s="86" t="n">
        <f aca="false">Cover!$C$14</f>
        <v>78</v>
      </c>
      <c r="F15" s="87" t="str">
        <f aca="false">IF(AND(ISNUMBER($D15),ISNUMBER($E15)),ROUND($D15*$E15,2),"")</f>
        <v/>
      </c>
      <c r="G15" s="88" t="str">
        <f aca="false">IF(SUM($C15,$F15)=0,"",ROUND(SUM($C15,$F15),2))</f>
        <v/>
      </c>
      <c r="H15" s="64"/>
    </row>
    <row r="16" customFormat="false" ht="15" hidden="false" customHeight="false" outlineLevel="0" collapsed="false">
      <c r="A16" s="42"/>
      <c r="B16" s="43" t="s">
        <v>298</v>
      </c>
      <c r="C16" s="42"/>
      <c r="D16" s="42"/>
      <c r="E16" s="42"/>
      <c r="F16" s="42"/>
      <c r="G16" s="89" t="n">
        <f aca="false">ROUND(SUM($G$8:$G$15),2)</f>
        <v>274100</v>
      </c>
      <c r="H16" s="42"/>
    </row>
    <row r="18" customFormat="false" ht="15" hidden="false" customHeight="false" outlineLevel="0" collapsed="false">
      <c r="A18" s="80" t="s">
        <v>299</v>
      </c>
      <c r="B18" s="81" t="s">
        <v>300</v>
      </c>
      <c r="C18" s="82"/>
      <c r="D18" s="82"/>
      <c r="E18" s="82"/>
      <c r="F18" s="82"/>
      <c r="G18" s="82"/>
      <c r="H18" s="82"/>
    </row>
    <row r="19" customFormat="false" ht="27.75" hidden="false" customHeight="true" outlineLevel="0" collapsed="false">
      <c r="A19" s="83" t="s">
        <v>301</v>
      </c>
      <c r="B19" s="84" t="s">
        <v>302</v>
      </c>
      <c r="C19" s="85"/>
      <c r="D19" s="85" t="n">
        <v>18500</v>
      </c>
      <c r="E19" s="86" t="n">
        <f aca="false">Cover!$C$14</f>
        <v>78</v>
      </c>
      <c r="F19" s="87" t="n">
        <f aca="false">IF(AND(ISNUMBER($D19),ISNUMBER($E19)),ROUND($D19*$E19,2),"")</f>
        <v>1443000</v>
      </c>
      <c r="G19" s="88" t="n">
        <f aca="false">IF(SUM($C19,$F19)=0,"",ROUND(SUM($C19,$F19),2))</f>
        <v>1443000</v>
      </c>
      <c r="H19" s="64" t="s">
        <v>303</v>
      </c>
    </row>
    <row r="20" customFormat="false" ht="27.75" hidden="false" customHeight="true" outlineLevel="0" collapsed="false">
      <c r="A20" s="83" t="s">
        <v>304</v>
      </c>
      <c r="B20" s="84" t="s">
        <v>305</v>
      </c>
      <c r="C20" s="85" t="n">
        <v>185000</v>
      </c>
      <c r="D20" s="85" t="n">
        <v>4200</v>
      </c>
      <c r="E20" s="86" t="n">
        <f aca="false">Cover!$C$14</f>
        <v>78</v>
      </c>
      <c r="F20" s="87" t="n">
        <f aca="false">IF(AND(ISNUMBER($D20),ISNUMBER($E20)),ROUND($D20*$E20,2),"")</f>
        <v>327600</v>
      </c>
      <c r="G20" s="88" t="n">
        <f aca="false">IF(SUM($C20,$F20)=0,"",ROUND(SUM($C20,$F20),2))</f>
        <v>512600</v>
      </c>
      <c r="H20" s="64"/>
    </row>
    <row r="21" customFormat="false" ht="27.75" hidden="false" customHeight="true" outlineLevel="0" collapsed="false">
      <c r="A21" s="83" t="s">
        <v>306</v>
      </c>
      <c r="B21" s="84" t="s">
        <v>307</v>
      </c>
      <c r="C21" s="85" t="n">
        <v>62000</v>
      </c>
      <c r="D21" s="85" t="n">
        <v>2400</v>
      </c>
      <c r="E21" s="86" t="n">
        <f aca="false">Cover!$C$14</f>
        <v>78</v>
      </c>
      <c r="F21" s="87" t="n">
        <f aca="false">IF(AND(ISNUMBER($D21),ISNUMBER($E21)),ROUND($D21*$E21,2),"")</f>
        <v>187200</v>
      </c>
      <c r="G21" s="88" t="n">
        <f aca="false">IF(SUM($C21,$F21)=0,"",ROUND(SUM($C21,$F21),2))</f>
        <v>249200</v>
      </c>
      <c r="H21" s="64"/>
    </row>
    <row r="22" customFormat="false" ht="15" hidden="false" customHeight="true" outlineLevel="0" collapsed="false">
      <c r="A22" s="83" t="s">
        <v>308</v>
      </c>
      <c r="B22" s="84" t="s">
        <v>309</v>
      </c>
      <c r="C22" s="85" t="n">
        <v>78000</v>
      </c>
      <c r="D22" s="85" t="n">
        <v>3100</v>
      </c>
      <c r="E22" s="86" t="n">
        <f aca="false">Cover!$C$14</f>
        <v>78</v>
      </c>
      <c r="F22" s="87" t="n">
        <f aca="false">IF(AND(ISNUMBER($D22),ISNUMBER($E22)),ROUND($D22*$E22,2),"")</f>
        <v>241800</v>
      </c>
      <c r="G22" s="88" t="n">
        <f aca="false">IF(SUM($C22,$F22)=0,"",ROUND(SUM($C22,$F22),2))</f>
        <v>319800</v>
      </c>
      <c r="H22" s="64"/>
    </row>
    <row r="23" customFormat="false" ht="27.75" hidden="false" customHeight="true" outlineLevel="0" collapsed="false">
      <c r="A23" s="83" t="s">
        <v>310</v>
      </c>
      <c r="B23" s="84" t="s">
        <v>311</v>
      </c>
      <c r="C23" s="85" t="n">
        <v>24000</v>
      </c>
      <c r="D23" s="85" t="n">
        <v>1450</v>
      </c>
      <c r="E23" s="86" t="n">
        <f aca="false">Cover!$C$14</f>
        <v>78</v>
      </c>
      <c r="F23" s="87" t="n">
        <f aca="false">IF(AND(ISNUMBER($D23),ISNUMBER($E23)),ROUND($D23*$E23,2),"")</f>
        <v>113100</v>
      </c>
      <c r="G23" s="88" t="n">
        <f aca="false">IF(SUM($C23,$F23)=0,"",ROUND(SUM($C23,$F23),2))</f>
        <v>137100</v>
      </c>
      <c r="H23" s="64"/>
    </row>
    <row r="24" customFormat="false" ht="27.75" hidden="false" customHeight="true" outlineLevel="0" collapsed="false">
      <c r="A24" s="83" t="s">
        <v>312</v>
      </c>
      <c r="B24" s="84" t="s">
        <v>313</v>
      </c>
      <c r="C24" s="85" t="n">
        <v>18000</v>
      </c>
      <c r="D24" s="85" t="n">
        <v>1250</v>
      </c>
      <c r="E24" s="86" t="n">
        <f aca="false">Cover!$C$14</f>
        <v>78</v>
      </c>
      <c r="F24" s="87" t="n">
        <f aca="false">IF(AND(ISNUMBER($D24),ISNUMBER($E24)),ROUND($D24*$E24,2),"")</f>
        <v>97500</v>
      </c>
      <c r="G24" s="88" t="n">
        <f aca="false">IF(SUM($C24,$F24)=0,"",ROUND(SUM($C24,$F24),2))</f>
        <v>115500</v>
      </c>
      <c r="H24" s="64"/>
    </row>
    <row r="25" customFormat="false" ht="27.75" hidden="false" customHeight="true" outlineLevel="0" collapsed="false">
      <c r="A25" s="83" t="s">
        <v>314</v>
      </c>
      <c r="B25" s="84" t="s">
        <v>315</v>
      </c>
      <c r="C25" s="85" t="n">
        <v>145000</v>
      </c>
      <c r="D25" s="85" t="n">
        <v>9800</v>
      </c>
      <c r="E25" s="86" t="n">
        <f aca="false">Cover!$C$14</f>
        <v>78</v>
      </c>
      <c r="F25" s="87" t="n">
        <f aca="false">IF(AND(ISNUMBER($D25),ISNUMBER($E25)),ROUND($D25*$E25,2),"")</f>
        <v>764400</v>
      </c>
      <c r="G25" s="88" t="n">
        <f aca="false">IF(SUM($C25,$F25)=0,"",ROUND(SUM($C25,$F25),2))</f>
        <v>909400</v>
      </c>
      <c r="H25" s="64"/>
    </row>
    <row r="26" customFormat="false" ht="27.75" hidden="false" customHeight="true" outlineLevel="0" collapsed="false">
      <c r="A26" s="83" t="s">
        <v>316</v>
      </c>
      <c r="B26" s="84" t="s">
        <v>317</v>
      </c>
      <c r="C26" s="85"/>
      <c r="D26" s="85"/>
      <c r="E26" s="86" t="n">
        <f aca="false">Cover!$C$14</f>
        <v>78</v>
      </c>
      <c r="F26" s="87" t="str">
        <f aca="false">IF(AND(ISNUMBER($D26),ISNUMBER($E26)),ROUND($D26*$E26,2),"")</f>
        <v/>
      </c>
      <c r="G26" s="88" t="str">
        <f aca="false">IF(SUM($C26,$F26)=0,"",ROUND(SUM($C26,$F26),2))</f>
        <v/>
      </c>
      <c r="H26" s="64"/>
    </row>
    <row r="27" customFormat="false" ht="15" hidden="false" customHeight="true" outlineLevel="0" collapsed="false">
      <c r="A27" s="83" t="s">
        <v>318</v>
      </c>
      <c r="B27" s="84" t="s">
        <v>319</v>
      </c>
      <c r="C27" s="85"/>
      <c r="D27" s="85"/>
      <c r="E27" s="86" t="n">
        <f aca="false">Cover!$C$14</f>
        <v>78</v>
      </c>
      <c r="F27" s="87" t="str">
        <f aca="false">IF(AND(ISNUMBER($D27),ISNUMBER($E27)),ROUND($D27*$E27,2),"")</f>
        <v/>
      </c>
      <c r="G27" s="88" t="str">
        <f aca="false">IF(SUM($C27,$F27)=0,"",ROUND(SUM($C27,$F27),2))</f>
        <v/>
      </c>
      <c r="H27" s="64"/>
    </row>
    <row r="28" customFormat="false" ht="27.75" hidden="false" customHeight="true" outlineLevel="0" collapsed="false">
      <c r="A28" s="83" t="s">
        <v>320</v>
      </c>
      <c r="B28" s="84" t="s">
        <v>321</v>
      </c>
      <c r="C28" s="85"/>
      <c r="D28" s="85"/>
      <c r="E28" s="86" t="n">
        <f aca="false">Cover!$C$14</f>
        <v>78</v>
      </c>
      <c r="F28" s="87" t="str">
        <f aca="false">IF(AND(ISNUMBER($D28),ISNUMBER($E28)),ROUND($D28*$E28,2),"")</f>
        <v/>
      </c>
      <c r="G28" s="88" t="str">
        <f aca="false">IF(SUM($C28,$F28)=0,"",ROUND(SUM($C28,$F28),2))</f>
        <v/>
      </c>
      <c r="H28" s="64"/>
    </row>
    <row r="29" customFormat="false" ht="15" hidden="false" customHeight="true" outlineLevel="0" collapsed="false">
      <c r="A29" s="83" t="s">
        <v>322</v>
      </c>
      <c r="B29" s="84" t="s">
        <v>323</v>
      </c>
      <c r="C29" s="85"/>
      <c r="D29" s="85"/>
      <c r="E29" s="86" t="n">
        <f aca="false">Cover!$C$14</f>
        <v>78</v>
      </c>
      <c r="F29" s="87" t="str">
        <f aca="false">IF(AND(ISNUMBER($D29),ISNUMBER($E29)),ROUND($D29*$E29,2),"")</f>
        <v/>
      </c>
      <c r="G29" s="88" t="str">
        <f aca="false">IF(SUM($C29,$F29)=0,"",ROUND(SUM($C29,$F29),2))</f>
        <v/>
      </c>
      <c r="H29" s="64"/>
    </row>
    <row r="30" customFormat="false" ht="27.75" hidden="false" customHeight="true" outlineLevel="0" collapsed="false">
      <c r="A30" s="83" t="s">
        <v>324</v>
      </c>
      <c r="B30" s="84" t="s">
        <v>325</v>
      </c>
      <c r="C30" s="85"/>
      <c r="D30" s="85"/>
      <c r="E30" s="86" t="n">
        <f aca="false">Cover!$C$14</f>
        <v>78</v>
      </c>
      <c r="F30" s="87" t="str">
        <f aca="false">IF(AND(ISNUMBER($D30),ISNUMBER($E30)),ROUND($D30*$E30,2),"")</f>
        <v/>
      </c>
      <c r="G30" s="88" t="str">
        <f aca="false">IF(SUM($C30,$F30)=0,"",ROUND(SUM($C30,$F30),2))</f>
        <v/>
      </c>
      <c r="H30" s="64"/>
    </row>
    <row r="31" customFormat="false" ht="27.75" hidden="false" customHeight="true" outlineLevel="0" collapsed="false">
      <c r="A31" s="83" t="s">
        <v>326</v>
      </c>
      <c r="B31" s="84" t="s">
        <v>327</v>
      </c>
      <c r="C31" s="85"/>
      <c r="D31" s="85"/>
      <c r="E31" s="86" t="n">
        <f aca="false">Cover!$C$14</f>
        <v>78</v>
      </c>
      <c r="F31" s="87" t="str">
        <f aca="false">IF(AND(ISNUMBER($D31),ISNUMBER($E31)),ROUND($D31*$E31,2),"")</f>
        <v/>
      </c>
      <c r="G31" s="88" t="str">
        <f aca="false">IF(SUM($C31,$F31)=0,"",ROUND(SUM($C31,$F31),2))</f>
        <v/>
      </c>
      <c r="H31" s="64"/>
    </row>
    <row r="32" customFormat="false" ht="27.75" hidden="false" customHeight="true" outlineLevel="0" collapsed="false">
      <c r="A32" s="83" t="s">
        <v>328</v>
      </c>
      <c r="B32" s="84" t="s">
        <v>329</v>
      </c>
      <c r="C32" s="85"/>
      <c r="D32" s="85"/>
      <c r="E32" s="86" t="n">
        <f aca="false">Cover!$C$14</f>
        <v>78</v>
      </c>
      <c r="F32" s="87" t="str">
        <f aca="false">IF(AND(ISNUMBER($D32),ISNUMBER($E32)),ROUND($D32*$E32,2),"")</f>
        <v/>
      </c>
      <c r="G32" s="88" t="str">
        <f aca="false">IF(SUM($C32,$F32)=0,"",ROUND(SUM($C32,$F32),2))</f>
        <v/>
      </c>
      <c r="H32" s="64"/>
    </row>
    <row r="33" customFormat="false" ht="15" hidden="false" customHeight="true" outlineLevel="0" collapsed="false">
      <c r="A33" s="83"/>
      <c r="B33" s="84"/>
      <c r="C33" s="85"/>
      <c r="D33" s="85"/>
      <c r="E33" s="86" t="n">
        <f aca="false">Cover!$C$14</f>
        <v>78</v>
      </c>
      <c r="F33" s="87" t="str">
        <f aca="false">IF(AND(ISNUMBER($D33),ISNUMBER($E33)),ROUND($D33*$E33,2),"")</f>
        <v/>
      </c>
      <c r="G33" s="88" t="str">
        <f aca="false">IF(SUM($C33,$F33)=0,"",ROUND(SUM($C33,$F33),2))</f>
        <v/>
      </c>
      <c r="H33" s="64"/>
    </row>
    <row r="34" customFormat="false" ht="15" hidden="false" customHeight="true" outlineLevel="0" collapsed="false">
      <c r="A34" s="83"/>
      <c r="B34" s="84"/>
      <c r="C34" s="85"/>
      <c r="D34" s="85"/>
      <c r="E34" s="86" t="n">
        <f aca="false">Cover!$C$14</f>
        <v>78</v>
      </c>
      <c r="F34" s="87" t="str">
        <f aca="false">IF(AND(ISNUMBER($D34),ISNUMBER($E34)),ROUND($D34*$E34,2),"")</f>
        <v/>
      </c>
      <c r="G34" s="88" t="str">
        <f aca="false">IF(SUM($C34,$F34)=0,"",ROUND(SUM($C34,$F34),2))</f>
        <v/>
      </c>
      <c r="H34" s="64"/>
    </row>
    <row r="35" customFormat="false" ht="15" hidden="false" customHeight="true" outlineLevel="0" collapsed="false">
      <c r="A35" s="83"/>
      <c r="B35" s="84"/>
      <c r="C35" s="85"/>
      <c r="D35" s="85"/>
      <c r="E35" s="86" t="n">
        <f aca="false">Cover!$C$14</f>
        <v>78</v>
      </c>
      <c r="F35" s="87" t="str">
        <f aca="false">IF(AND(ISNUMBER($D35),ISNUMBER($E35)),ROUND($D35*$E35,2),"")</f>
        <v/>
      </c>
      <c r="G35" s="88" t="str">
        <f aca="false">IF(SUM($C35,$F35)=0,"",ROUND(SUM($C35,$F35),2))</f>
        <v/>
      </c>
      <c r="H35" s="64"/>
    </row>
    <row r="36" customFormat="false" ht="15" hidden="false" customHeight="true" outlineLevel="0" collapsed="false">
      <c r="A36" s="83"/>
      <c r="B36" s="84"/>
      <c r="C36" s="85"/>
      <c r="D36" s="85"/>
      <c r="E36" s="86" t="n">
        <f aca="false">Cover!$C$14</f>
        <v>78</v>
      </c>
      <c r="F36" s="87" t="str">
        <f aca="false">IF(AND(ISNUMBER($D36),ISNUMBER($E36)),ROUND($D36*$E36,2),"")</f>
        <v/>
      </c>
      <c r="G36" s="88" t="str">
        <f aca="false">IF(SUM($C36,$F36)=0,"",ROUND(SUM($C36,$F36),2))</f>
        <v/>
      </c>
      <c r="H36" s="64"/>
    </row>
    <row r="37" customFormat="false" ht="15" hidden="false" customHeight="true" outlineLevel="0" collapsed="false">
      <c r="A37" s="83"/>
      <c r="B37" s="84"/>
      <c r="C37" s="85"/>
      <c r="D37" s="85"/>
      <c r="E37" s="86" t="n">
        <f aca="false">Cover!$C$14</f>
        <v>78</v>
      </c>
      <c r="F37" s="87" t="str">
        <f aca="false">IF(AND(ISNUMBER($D37),ISNUMBER($E37)),ROUND($D37*$E37,2),"")</f>
        <v/>
      </c>
      <c r="G37" s="88" t="str">
        <f aca="false">IF(SUM($C37,$F37)=0,"",ROUND(SUM($C37,$F37),2))</f>
        <v/>
      </c>
      <c r="H37" s="64"/>
    </row>
    <row r="38" customFormat="false" ht="15" hidden="false" customHeight="true" outlineLevel="0" collapsed="false">
      <c r="A38" s="83"/>
      <c r="B38" s="84"/>
      <c r="C38" s="85"/>
      <c r="D38" s="85"/>
      <c r="E38" s="86" t="n">
        <f aca="false">Cover!$C$14</f>
        <v>78</v>
      </c>
      <c r="F38" s="87" t="str">
        <f aca="false">IF(AND(ISNUMBER($D38),ISNUMBER($E38)),ROUND($D38*$E38,2),"")</f>
        <v/>
      </c>
      <c r="G38" s="88" t="str">
        <f aca="false">IF(SUM($C38,$F38)=0,"",ROUND(SUM($C38,$F38),2))</f>
        <v/>
      </c>
      <c r="H38" s="64"/>
    </row>
    <row r="39" customFormat="false" ht="15" hidden="false" customHeight="true" outlineLevel="0" collapsed="false">
      <c r="A39" s="83"/>
      <c r="B39" s="84"/>
      <c r="C39" s="85"/>
      <c r="D39" s="85"/>
      <c r="E39" s="86" t="n">
        <f aca="false">Cover!$C$14</f>
        <v>78</v>
      </c>
      <c r="F39" s="87" t="str">
        <f aca="false">IF(AND(ISNUMBER($D39),ISNUMBER($E39)),ROUND($D39*$E39,2),"")</f>
        <v/>
      </c>
      <c r="G39" s="88" t="str">
        <f aca="false">IF(SUM($C39,$F39)=0,"",ROUND(SUM($C39,$F39),2))</f>
        <v/>
      </c>
      <c r="H39" s="64"/>
    </row>
    <row r="40" customFormat="false" ht="15" hidden="false" customHeight="true" outlineLevel="0" collapsed="false">
      <c r="A40" s="83"/>
      <c r="B40" s="84"/>
      <c r="C40" s="85"/>
      <c r="D40" s="85"/>
      <c r="E40" s="86" t="n">
        <f aca="false">Cover!$C$14</f>
        <v>78</v>
      </c>
      <c r="F40" s="87" t="str">
        <f aca="false">IF(AND(ISNUMBER($D40),ISNUMBER($E40)),ROUND($D40*$E40,2),"")</f>
        <v/>
      </c>
      <c r="G40" s="88" t="str">
        <f aca="false">IF(SUM($C40,$F40)=0,"",ROUND(SUM($C40,$F40),2))</f>
        <v/>
      </c>
      <c r="H40" s="64"/>
    </row>
    <row r="41" customFormat="false" ht="15" hidden="false" customHeight="false" outlineLevel="0" collapsed="false">
      <c r="A41" s="42"/>
      <c r="B41" s="43" t="s">
        <v>330</v>
      </c>
      <c r="C41" s="42"/>
      <c r="D41" s="42"/>
      <c r="E41" s="42"/>
      <c r="F41" s="42"/>
      <c r="G41" s="89" t="n">
        <f aca="false">ROUND(SUM($G$19:$G$40),2)</f>
        <v>3686600</v>
      </c>
      <c r="H41" s="42"/>
    </row>
  </sheetData>
  <mergeCells count="4">
    <mergeCell ref="A1:G1"/>
    <mergeCell ref="A2:H2"/>
    <mergeCell ref="A3:H3"/>
    <mergeCell ref="A4:F4"/>
  </mergeCells>
  <hyperlinks>
    <hyperlink ref="H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331</v>
      </c>
      <c r="B2" s="32"/>
      <c r="C2" s="32"/>
      <c r="D2" s="32"/>
      <c r="E2" s="32"/>
      <c r="F2" s="32"/>
      <c r="G2" s="32"/>
      <c r="H2" s="32"/>
      <c r="I2" s="32"/>
      <c r="J2" s="32"/>
    </row>
    <row r="3" customFormat="false" ht="15" hidden="false" customHeight="false" outlineLevel="0" collapsed="false">
      <c r="A3" s="17" t="s">
        <v>332</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ROUND($I$14+$I$25+$I$35+$I$50+$I$60+$I$71+$I$80+$I$89+$I$98,2)</f>
        <v>1952976</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339</v>
      </c>
      <c r="B7" s="82"/>
      <c r="C7" s="81" t="s">
        <v>340</v>
      </c>
      <c r="D7" s="82"/>
      <c r="E7" s="82"/>
      <c r="F7" s="82"/>
      <c r="G7" s="82"/>
      <c r="H7" s="82"/>
      <c r="I7" s="82"/>
      <c r="J7" s="91" t="s">
        <v>341</v>
      </c>
    </row>
    <row r="8" customFormat="false" ht="27.75" hidden="false" customHeight="true" outlineLevel="0" collapsed="false">
      <c r="A8" s="83" t="s">
        <v>342</v>
      </c>
      <c r="B8" s="92" t="s">
        <v>339</v>
      </c>
      <c r="C8" s="84" t="s">
        <v>343</v>
      </c>
      <c r="D8" s="83" t="s">
        <v>172</v>
      </c>
      <c r="E8" s="85" t="n">
        <v>1</v>
      </c>
      <c r="F8" s="83"/>
      <c r="G8" s="85" t="n">
        <v>185000</v>
      </c>
      <c r="H8" s="93" t="n">
        <f aca="false">IF($F8&lt;&gt;"",IFERROR(INDEX('Rate Build-Up'!$P$8:$P$47,MATCH($F8,'Rate Build-Up'!$A$8:$A$47,0)),"BU ref not found"),$G8)</f>
        <v>185000</v>
      </c>
      <c r="I8" s="88" t="n">
        <f aca="false">IF(AND(ISNUMBER($E8),ISNUMBER($H8)),ROUND($E8*$H8,2),"")</f>
        <v>185000</v>
      </c>
      <c r="J8" s="64" t="s">
        <v>344</v>
      </c>
    </row>
    <row r="9" customFormat="false" ht="15" hidden="false" customHeight="true" outlineLevel="0" collapsed="false">
      <c r="A9" s="83"/>
      <c r="B9" s="92"/>
      <c r="C9" s="84"/>
      <c r="D9" s="83"/>
      <c r="E9" s="85"/>
      <c r="F9" s="83"/>
      <c r="G9" s="85"/>
      <c r="H9" s="93" t="n">
        <f aca="false">IF($F9&lt;&gt;"",IFERROR(INDEX('Rate Build-Up'!$P$8:$P$47,MATCH($F9,'Rate Build-Up'!$A$8:$A$47,0)),"BU ref not found"),$G9)</f>
        <v>0</v>
      </c>
      <c r="I9" s="88" t="str">
        <f aca="false">IF(AND(ISNUMBER($E9),ISNUMBER($H9)),ROUND($E9*$H9,2),"")</f>
        <v/>
      </c>
      <c r="J9" s="64"/>
    </row>
    <row r="10" customFormat="false" ht="15" hidden="false" customHeight="true" outlineLevel="0" collapsed="false">
      <c r="A10" s="83"/>
      <c r="B10" s="92"/>
      <c r="C10" s="84"/>
      <c r="D10" s="83"/>
      <c r="E10" s="85"/>
      <c r="F10" s="83"/>
      <c r="G10" s="85"/>
      <c r="H10" s="93" t="n">
        <f aca="false">IF($F10&lt;&gt;"",IFERROR(INDEX('Rate Build-Up'!$P$8:$P$47,MATCH($F10,'Rate Build-Up'!$A$8:$A$47,0)),"BU ref not found"),$G10)</f>
        <v>0</v>
      </c>
      <c r="I10" s="88" t="str">
        <f aca="false">IF(AND(ISNUMBER($E10),ISNUMBER($H10)),ROUND($E10*$H10,2),"")</f>
        <v/>
      </c>
      <c r="J10" s="64"/>
    </row>
    <row r="11" customFormat="false" ht="15" hidden="false" customHeight="true" outlineLevel="0" collapsed="false">
      <c r="A11" s="83"/>
      <c r="B11" s="92"/>
      <c r="C11" s="84"/>
      <c r="D11" s="83"/>
      <c r="E11" s="85"/>
      <c r="F11" s="83"/>
      <c r="G11" s="85"/>
      <c r="H11" s="93" t="n">
        <f aca="false">IF($F11&lt;&gt;"",IFERROR(INDEX('Rate Build-Up'!$P$8:$P$47,MATCH($F11,'Rate Build-Up'!$A$8:$A$47,0)),"BU ref not found"),$G11)</f>
        <v>0</v>
      </c>
      <c r="I11" s="88" t="str">
        <f aca="false">IF(AND(ISNUMBER($E11),ISNUMBER($H11)),ROUND($E11*$H11,2),"")</f>
        <v/>
      </c>
      <c r="J11" s="64"/>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false" outlineLevel="0" collapsed="false">
      <c r="A14" s="42"/>
      <c r="B14" s="42"/>
      <c r="C14" s="43" t="s">
        <v>345</v>
      </c>
      <c r="D14" s="42"/>
      <c r="E14" s="42"/>
      <c r="F14" s="42"/>
      <c r="G14" s="42"/>
      <c r="H14" s="42"/>
      <c r="I14" s="89" t="n">
        <f aca="false">ROUND(SUM($I$8:$I$13),2)</f>
        <v>185000</v>
      </c>
      <c r="J14" s="42"/>
    </row>
    <row r="16" customFormat="false" ht="15" hidden="false" customHeight="false" outlineLevel="0" collapsed="false">
      <c r="A16" s="90" t="s">
        <v>346</v>
      </c>
      <c r="B16" s="82"/>
      <c r="C16" s="81" t="s">
        <v>347</v>
      </c>
      <c r="D16" s="82"/>
      <c r="E16" s="82"/>
      <c r="F16" s="82"/>
      <c r="G16" s="82"/>
      <c r="H16" s="82"/>
      <c r="I16" s="82"/>
      <c r="J16" s="91" t="s">
        <v>348</v>
      </c>
    </row>
    <row r="17" customFormat="false" ht="27.75" hidden="false" customHeight="true" outlineLevel="0" collapsed="false">
      <c r="A17" s="83" t="s">
        <v>349</v>
      </c>
      <c r="B17" s="92" t="s">
        <v>346</v>
      </c>
      <c r="C17" s="84" t="s">
        <v>350</v>
      </c>
      <c r="D17" s="83" t="s">
        <v>351</v>
      </c>
      <c r="E17" s="85" t="n">
        <v>1</v>
      </c>
      <c r="F17" s="83"/>
      <c r="G17" s="85" t="n">
        <v>42000</v>
      </c>
      <c r="H17" s="93" t="n">
        <f aca="false">IF($F17&lt;&gt;"",IFERROR(INDEX('Rate Build-Up'!$P$8:$P$47,MATCH($F17,'Rate Build-Up'!$A$8:$A$47,0)),"BU ref not found"),$G17)</f>
        <v>42000</v>
      </c>
      <c r="I17" s="88" t="n">
        <f aca="false">IF(AND(ISNUMBER($E17),ISNUMBER($H17)),ROUND($E17*$H17,2),"")</f>
        <v>42000</v>
      </c>
      <c r="J17" s="64" t="s">
        <v>352</v>
      </c>
    </row>
    <row r="18" customFormat="false" ht="27.75" hidden="false" customHeight="true" outlineLevel="0" collapsed="false">
      <c r="A18" s="83" t="s">
        <v>353</v>
      </c>
      <c r="B18" s="92" t="s">
        <v>346</v>
      </c>
      <c r="C18" s="84" t="s">
        <v>354</v>
      </c>
      <c r="D18" s="83" t="s">
        <v>181</v>
      </c>
      <c r="E18" s="85" t="n">
        <v>850</v>
      </c>
      <c r="F18" s="83"/>
      <c r="G18" s="85" t="n">
        <v>38.5</v>
      </c>
      <c r="H18" s="93" t="n">
        <f aca="false">IF($F18&lt;&gt;"",IFERROR(INDEX('Rate Build-Up'!$P$8:$P$47,MATCH($F18,'Rate Build-Up'!$A$8:$A$47,0)),"BU ref not found"),$G18)</f>
        <v>38.5</v>
      </c>
      <c r="I18" s="88" t="n">
        <f aca="false">IF(AND(ISNUMBER($E18),ISNUMBER($H18)),ROUND($E18*$H18,2),"")</f>
        <v>32725</v>
      </c>
      <c r="J18" s="64"/>
    </row>
    <row r="19" customFormat="false" ht="15" hidden="false" customHeight="true" outlineLevel="0" collapsed="false">
      <c r="A19" s="83"/>
      <c r="B19" s="92"/>
      <c r="C19" s="84"/>
      <c r="D19" s="83"/>
      <c r="E19" s="85"/>
      <c r="F19" s="83"/>
      <c r="G19" s="85"/>
      <c r="H19" s="93" t="n">
        <f aca="false">IF($F19&lt;&gt;"",IFERROR(INDEX('Rate Build-Up'!$P$8:$P$47,MATCH($F19,'Rate Build-Up'!$A$8:$A$47,0)),"BU ref not found"),$G19)</f>
        <v>0</v>
      </c>
      <c r="I19" s="88" t="str">
        <f aca="false">IF(AND(ISNUMBER($E19),ISNUMBER($H19)),ROUND($E19*$H19,2),"")</f>
        <v/>
      </c>
      <c r="J19" s="64"/>
    </row>
    <row r="20" customFormat="false" ht="15" hidden="false" customHeight="true" outlineLevel="0" collapsed="false">
      <c r="A20" s="83"/>
      <c r="B20" s="92"/>
      <c r="C20" s="84"/>
      <c r="D20" s="83"/>
      <c r="E20" s="85"/>
      <c r="F20" s="83"/>
      <c r="G20" s="85"/>
      <c r="H20" s="93" t="n">
        <f aca="false">IF($F20&lt;&gt;"",IFERROR(INDEX('Rate Build-Up'!$P$8:$P$47,MATCH($F20,'Rate Build-Up'!$A$8:$A$47,0)),"BU ref not found"),$G20)</f>
        <v>0</v>
      </c>
      <c r="I20" s="88" t="str">
        <f aca="false">IF(AND(ISNUMBER($E20),ISNUMBER($H20)),ROUND($E20*$H20,2),"")</f>
        <v/>
      </c>
      <c r="J20" s="64"/>
    </row>
    <row r="21" customFormat="false" ht="15" hidden="false" customHeight="true" outlineLevel="0" collapsed="false">
      <c r="A21" s="83"/>
      <c r="B21" s="92"/>
      <c r="C21" s="84"/>
      <c r="D21" s="83"/>
      <c r="E21" s="85"/>
      <c r="F21" s="83"/>
      <c r="G21" s="85"/>
      <c r="H21" s="93" t="n">
        <f aca="false">IF($F21&lt;&gt;"",IFERROR(INDEX('Rate Build-Up'!$P$8:$P$47,MATCH($F21,'Rate Build-Up'!$A$8:$A$47,0)),"BU ref not found"),$G21)</f>
        <v>0</v>
      </c>
      <c r="I21" s="88" t="str">
        <f aca="false">IF(AND(ISNUMBER($E21),ISNUMBER($H21)),ROUND($E21*$H21,2),"")</f>
        <v/>
      </c>
      <c r="J21" s="64"/>
    </row>
    <row r="22" customFormat="false" ht="15" hidden="false" customHeight="true" outlineLevel="0" collapsed="false">
      <c r="A22" s="83"/>
      <c r="B22" s="92"/>
      <c r="C22" s="84"/>
      <c r="D22" s="83"/>
      <c r="E22" s="85"/>
      <c r="F22" s="83"/>
      <c r="G22" s="85"/>
      <c r="H22" s="93" t="n">
        <f aca="false">IF($F22&lt;&gt;"",IFERROR(INDEX('Rate Build-Up'!$P$8:$P$47,MATCH($F22,'Rate Build-Up'!$A$8:$A$47,0)),"BU ref not found"),$G22)</f>
        <v>0</v>
      </c>
      <c r="I22" s="88" t="str">
        <f aca="false">IF(AND(ISNUMBER($E22),ISNUMBER($H22)),ROUND($E22*$H22,2),"")</f>
        <v/>
      </c>
      <c r="J22" s="64"/>
    </row>
    <row r="23" customFormat="false" ht="15" hidden="false" customHeight="true" outlineLevel="0" collapsed="false">
      <c r="A23" s="83"/>
      <c r="B23" s="92"/>
      <c r="C23" s="84"/>
      <c r="D23" s="83"/>
      <c r="E23" s="85"/>
      <c r="F23" s="83"/>
      <c r="G23" s="85"/>
      <c r="H23" s="93" t="n">
        <f aca="false">IF($F23&lt;&gt;"",IFERROR(INDEX('Rate Build-Up'!$P$8:$P$47,MATCH($F23,'Rate Build-Up'!$A$8:$A$47,0)),"BU ref not found"),$G23)</f>
        <v>0</v>
      </c>
      <c r="I23" s="88" t="str">
        <f aca="false">IF(AND(ISNUMBER($E23),ISNUMBER($H23)),ROUND($E23*$H23,2),"")</f>
        <v/>
      </c>
      <c r="J23" s="64"/>
    </row>
    <row r="24" customFormat="false" ht="15" hidden="false" customHeight="true" outlineLevel="0" collapsed="false">
      <c r="A24" s="83"/>
      <c r="B24" s="92"/>
      <c r="C24" s="84"/>
      <c r="D24" s="83"/>
      <c r="E24" s="85"/>
      <c r="F24" s="83"/>
      <c r="G24" s="85"/>
      <c r="H24" s="93" t="n">
        <f aca="false">IF($F24&lt;&gt;"",IFERROR(INDEX('Rate Build-Up'!$P$8:$P$47,MATCH($F24,'Rate Build-Up'!$A$8:$A$47,0)),"BU ref not found"),$G24)</f>
        <v>0</v>
      </c>
      <c r="I24" s="88" t="str">
        <f aca="false">IF(AND(ISNUMBER($E24),ISNUMBER($H24)),ROUND($E24*$H24,2),"")</f>
        <v/>
      </c>
      <c r="J24" s="64"/>
    </row>
    <row r="25" customFormat="false" ht="15" hidden="false" customHeight="false" outlineLevel="0" collapsed="false">
      <c r="A25" s="42"/>
      <c r="B25" s="42"/>
      <c r="C25" s="43" t="s">
        <v>355</v>
      </c>
      <c r="D25" s="42"/>
      <c r="E25" s="42"/>
      <c r="F25" s="42"/>
      <c r="G25" s="42"/>
      <c r="H25" s="42"/>
      <c r="I25" s="89" t="n">
        <f aca="false">ROUND(SUM($I$17:$I$24),2)</f>
        <v>74725</v>
      </c>
      <c r="J25" s="42"/>
    </row>
    <row r="27" customFormat="false" ht="15" hidden="false" customHeight="false" outlineLevel="0" collapsed="false">
      <c r="A27" s="90" t="s">
        <v>356</v>
      </c>
      <c r="B27" s="82"/>
      <c r="C27" s="81" t="s">
        <v>357</v>
      </c>
      <c r="D27" s="82"/>
      <c r="E27" s="82"/>
      <c r="F27" s="82"/>
      <c r="G27" s="82"/>
      <c r="H27" s="82"/>
      <c r="I27" s="82"/>
      <c r="J27" s="91" t="s">
        <v>358</v>
      </c>
    </row>
    <row r="28" customFormat="false" ht="27.75" hidden="false" customHeight="true" outlineLevel="0" collapsed="false">
      <c r="A28" s="83" t="s">
        <v>359</v>
      </c>
      <c r="B28" s="92" t="s">
        <v>356</v>
      </c>
      <c r="C28" s="84" t="s">
        <v>360</v>
      </c>
      <c r="D28" s="83" t="s">
        <v>172</v>
      </c>
      <c r="E28" s="85" t="n">
        <v>6</v>
      </c>
      <c r="F28" s="83"/>
      <c r="G28" s="85" t="n">
        <v>2450</v>
      </c>
      <c r="H28" s="93" t="n">
        <f aca="false">IF($F28&lt;&gt;"",IFERROR(INDEX('Rate Build-Up'!$P$8:$P$47,MATCH($F28,'Rate Build-Up'!$A$8:$A$47,0)),"BU ref not found"),$G28)</f>
        <v>2450</v>
      </c>
      <c r="I28" s="88" t="n">
        <f aca="false">IF(AND(ISNUMBER($E28),ISNUMBER($H28)),ROUND($E28*$H28,2),"")</f>
        <v>14700</v>
      </c>
      <c r="J28" s="64"/>
    </row>
    <row r="29" customFormat="false" ht="15" hidden="false" customHeight="true" outlineLevel="0" collapsed="false">
      <c r="A29" s="83"/>
      <c r="B29" s="92"/>
      <c r="C29" s="84"/>
      <c r="D29" s="83"/>
      <c r="E29" s="85"/>
      <c r="F29" s="83"/>
      <c r="G29" s="85"/>
      <c r="H29" s="93" t="n">
        <f aca="false">IF($F29&lt;&gt;"",IFERROR(INDEX('Rate Build-Up'!$P$8:$P$47,MATCH($F29,'Rate Build-Up'!$A$8:$A$47,0)),"BU ref not found"),$G29)</f>
        <v>0</v>
      </c>
      <c r="I29" s="88" t="str">
        <f aca="false">IF(AND(ISNUMBER($E29),ISNUMBER($H29)),ROUND($E29*$H29,2),"")</f>
        <v/>
      </c>
      <c r="J29" s="64"/>
    </row>
    <row r="30" customFormat="false" ht="15" hidden="false" customHeight="true" outlineLevel="0" collapsed="false">
      <c r="A30" s="83"/>
      <c r="B30" s="92"/>
      <c r="C30" s="84"/>
      <c r="D30" s="83"/>
      <c r="E30" s="85"/>
      <c r="F30" s="83"/>
      <c r="G30" s="85"/>
      <c r="H30" s="93" t="n">
        <f aca="false">IF($F30&lt;&gt;"",IFERROR(INDEX('Rate Build-Up'!$P$8:$P$47,MATCH($F30,'Rate Build-Up'!$A$8:$A$47,0)),"BU ref not found"),$G30)</f>
        <v>0</v>
      </c>
      <c r="I30" s="88" t="str">
        <f aca="false">IF(AND(ISNUMBER($E30),ISNUMBER($H30)),ROUND($E30*$H30,2),"")</f>
        <v/>
      </c>
      <c r="J30" s="64"/>
    </row>
    <row r="31" customFormat="false" ht="15" hidden="false" customHeight="true" outlineLevel="0" collapsed="false">
      <c r="A31" s="83"/>
      <c r="B31" s="92"/>
      <c r="C31" s="84"/>
      <c r="D31" s="83"/>
      <c r="E31" s="85"/>
      <c r="F31" s="83"/>
      <c r="G31" s="85"/>
      <c r="H31" s="93" t="n">
        <f aca="false">IF($F31&lt;&gt;"",IFERROR(INDEX('Rate Build-Up'!$P$8:$P$47,MATCH($F31,'Rate Build-Up'!$A$8:$A$47,0)),"BU ref not found"),$G31)</f>
        <v>0</v>
      </c>
      <c r="I31" s="88" t="str">
        <f aca="false">IF(AND(ISNUMBER($E31),ISNUMBER($H31)),ROUND($E31*$H31,2),"")</f>
        <v/>
      </c>
      <c r="J31" s="64"/>
    </row>
    <row r="32" customFormat="false" ht="15" hidden="false" customHeight="true" outlineLevel="0" collapsed="false">
      <c r="A32" s="83"/>
      <c r="B32" s="92"/>
      <c r="C32" s="84"/>
      <c r="D32" s="83"/>
      <c r="E32" s="85"/>
      <c r="F32" s="83"/>
      <c r="G32" s="85"/>
      <c r="H32" s="93" t="n">
        <f aca="false">IF($F32&lt;&gt;"",IFERROR(INDEX('Rate Build-Up'!$P$8:$P$47,MATCH($F32,'Rate Build-Up'!$A$8:$A$47,0)),"BU ref not found"),$G32)</f>
        <v>0</v>
      </c>
      <c r="I32" s="88" t="str">
        <f aca="false">IF(AND(ISNUMBER($E32),ISNUMBER($H32)),ROUND($E32*$H32,2),"")</f>
        <v/>
      </c>
      <c r="J32" s="64"/>
    </row>
    <row r="33" customFormat="false" ht="15" hidden="false" customHeight="true" outlineLevel="0" collapsed="false">
      <c r="A33" s="83"/>
      <c r="B33" s="92"/>
      <c r="C33" s="84"/>
      <c r="D33" s="83"/>
      <c r="E33" s="85"/>
      <c r="F33" s="83"/>
      <c r="G33" s="85"/>
      <c r="H33" s="93" t="n">
        <f aca="false">IF($F33&lt;&gt;"",IFERROR(INDEX('Rate Build-Up'!$P$8:$P$47,MATCH($F33,'Rate Build-Up'!$A$8:$A$47,0)),"BU ref not found"),$G33)</f>
        <v>0</v>
      </c>
      <c r="I33" s="88" t="str">
        <f aca="false">IF(AND(ISNUMBER($E33),ISNUMBER($H33)),ROUND($E33*$H33,2),"")</f>
        <v/>
      </c>
      <c r="J33" s="64"/>
    </row>
    <row r="34" customFormat="false" ht="15" hidden="false" customHeight="true" outlineLevel="0" collapsed="false">
      <c r="A34" s="83"/>
      <c r="B34" s="92"/>
      <c r="C34" s="84"/>
      <c r="D34" s="83"/>
      <c r="E34" s="85"/>
      <c r="F34" s="83"/>
      <c r="G34" s="85"/>
      <c r="H34" s="93" t="n">
        <f aca="false">IF($F34&lt;&gt;"",IFERROR(INDEX('Rate Build-Up'!$P$8:$P$47,MATCH($F34,'Rate Build-Up'!$A$8:$A$47,0)),"BU ref not found"),$G34)</f>
        <v>0</v>
      </c>
      <c r="I34" s="88" t="str">
        <f aca="false">IF(AND(ISNUMBER($E34),ISNUMBER($H34)),ROUND($E34*$H34,2),"")</f>
        <v/>
      </c>
      <c r="J34" s="64"/>
    </row>
    <row r="35" customFormat="false" ht="15" hidden="false" customHeight="false" outlineLevel="0" collapsed="false">
      <c r="A35" s="42"/>
      <c r="B35" s="42"/>
      <c r="C35" s="43" t="s">
        <v>361</v>
      </c>
      <c r="D35" s="42"/>
      <c r="E35" s="42"/>
      <c r="F35" s="42"/>
      <c r="G35" s="42"/>
      <c r="H35" s="42"/>
      <c r="I35" s="89" t="n">
        <f aca="false">ROUND(SUM($I$28:$I$34),2)</f>
        <v>14700</v>
      </c>
      <c r="J35" s="42"/>
    </row>
    <row r="37" customFormat="false" ht="15" hidden="false" customHeight="false" outlineLevel="0" collapsed="false">
      <c r="A37" s="90" t="s">
        <v>362</v>
      </c>
      <c r="B37" s="82"/>
      <c r="C37" s="81" t="s">
        <v>363</v>
      </c>
      <c r="D37" s="82"/>
      <c r="E37" s="82"/>
      <c r="F37" s="82"/>
      <c r="G37" s="82"/>
      <c r="H37" s="82"/>
      <c r="I37" s="82"/>
      <c r="J37" s="91" t="s">
        <v>364</v>
      </c>
    </row>
    <row r="38" customFormat="false" ht="27.75" hidden="false" customHeight="true" outlineLevel="0" collapsed="false">
      <c r="A38" s="83" t="s">
        <v>365</v>
      </c>
      <c r="B38" s="92" t="s">
        <v>362</v>
      </c>
      <c r="C38" s="84" t="s">
        <v>366</v>
      </c>
      <c r="D38" s="83" t="s">
        <v>181</v>
      </c>
      <c r="E38" s="85" t="n">
        <v>4200</v>
      </c>
      <c r="F38" s="83"/>
      <c r="G38" s="85" t="n">
        <v>6.8</v>
      </c>
      <c r="H38" s="93" t="n">
        <f aca="false">IF($F38&lt;&gt;"",IFERROR(INDEX('Rate Build-Up'!$P$8:$P$47,MATCH($F38,'Rate Build-Up'!$A$8:$A$47,0)),"BU ref not found"),$G38)</f>
        <v>6.8</v>
      </c>
      <c r="I38" s="88" t="n">
        <f aca="false">IF(AND(ISNUMBER($E38),ISNUMBER($H38)),ROUND($E38*$H38,2),"")</f>
        <v>28560</v>
      </c>
      <c r="J38" s="64"/>
    </row>
    <row r="39" customFormat="false" ht="27.75" hidden="false" customHeight="true" outlineLevel="0" collapsed="false">
      <c r="A39" s="83" t="s">
        <v>367</v>
      </c>
      <c r="B39" s="92" t="s">
        <v>362</v>
      </c>
      <c r="C39" s="84" t="s">
        <v>368</v>
      </c>
      <c r="D39" s="83" t="s">
        <v>369</v>
      </c>
      <c r="E39" s="85" t="n">
        <v>3150</v>
      </c>
      <c r="F39" s="83" t="s">
        <v>370</v>
      </c>
      <c r="G39" s="85"/>
      <c r="H39" s="93" t="n">
        <f aca="false">IF($F39&lt;&gt;"",IFERROR(INDEX('Rate Build-Up'!$P$8:$P$47,MATCH($F39,'Rate Build-Up'!$A$8:$A$47,0)),"BU ref not found"),$G39)</f>
        <v>45.54</v>
      </c>
      <c r="I39" s="88" t="n">
        <f aca="false">IF(AND(ISNUMBER($E39),ISNUMBER($H39)),ROUND($E39*$H39,2),"")</f>
        <v>143451</v>
      </c>
      <c r="J39" s="64" t="s">
        <v>371</v>
      </c>
    </row>
    <row r="40" customFormat="false" ht="27.75" hidden="false" customHeight="true" outlineLevel="0" collapsed="false">
      <c r="A40" s="83" t="s">
        <v>372</v>
      </c>
      <c r="B40" s="92" t="s">
        <v>362</v>
      </c>
      <c r="C40" s="84" t="s">
        <v>373</v>
      </c>
      <c r="D40" s="83" t="s">
        <v>369</v>
      </c>
      <c r="E40" s="85" t="n">
        <v>620</v>
      </c>
      <c r="F40" s="83"/>
      <c r="G40" s="85" t="n">
        <v>68</v>
      </c>
      <c r="H40" s="93" t="n">
        <f aca="false">IF($F40&lt;&gt;"",IFERROR(INDEX('Rate Build-Up'!$P$8:$P$47,MATCH($F40,'Rate Build-Up'!$A$8:$A$47,0)),"BU ref not found"),$G40)</f>
        <v>68</v>
      </c>
      <c r="I40" s="88" t="n">
        <f aca="false">IF(AND(ISNUMBER($E40),ISNUMBER($H40)),ROUND($E40*$H40,2),"")</f>
        <v>42160</v>
      </c>
      <c r="J40" s="64"/>
    </row>
    <row r="41" customFormat="false" ht="15" hidden="false" customHeight="true" outlineLevel="0" collapsed="false">
      <c r="A41" s="83" t="s">
        <v>374</v>
      </c>
      <c r="B41" s="92" t="s">
        <v>362</v>
      </c>
      <c r="C41" s="84" t="s">
        <v>375</v>
      </c>
      <c r="D41" s="83" t="s">
        <v>369</v>
      </c>
      <c r="E41" s="85" t="n">
        <v>480</v>
      </c>
      <c r="F41" s="83"/>
      <c r="G41" s="85" t="n">
        <v>96</v>
      </c>
      <c r="H41" s="93" t="n">
        <f aca="false">IF($F41&lt;&gt;"",IFERROR(INDEX('Rate Build-Up'!$P$8:$P$47,MATCH($F41,'Rate Build-Up'!$A$8:$A$47,0)),"BU ref not found"),$G41)</f>
        <v>96</v>
      </c>
      <c r="I41" s="88" t="n">
        <f aca="false">IF(AND(ISNUMBER($E41),ISNUMBER($H41)),ROUND($E41*$H41,2),"")</f>
        <v>46080</v>
      </c>
      <c r="J41" s="64"/>
    </row>
    <row r="42" customFormat="false" ht="15" hidden="false" customHeight="true" outlineLevel="0" collapsed="false">
      <c r="A42" s="83"/>
      <c r="B42" s="92"/>
      <c r="C42" s="84"/>
      <c r="D42" s="83"/>
      <c r="E42" s="85"/>
      <c r="F42" s="83"/>
      <c r="G42" s="85"/>
      <c r="H42" s="93" t="n">
        <f aca="false">IF($F42&lt;&gt;"",IFERROR(INDEX('Rate Build-Up'!$P$8:$P$47,MATCH($F42,'Rate Build-Up'!$A$8:$A$47,0)),"BU ref not found"),$G42)</f>
        <v>0</v>
      </c>
      <c r="I42" s="88" t="str">
        <f aca="false">IF(AND(ISNUMBER($E42),ISNUMBER($H42)),ROUND($E42*$H42,2),"")</f>
        <v/>
      </c>
      <c r="J42" s="64"/>
    </row>
    <row r="43" customFormat="false" ht="15" hidden="false" customHeight="true" outlineLevel="0" collapsed="false">
      <c r="A43" s="83"/>
      <c r="B43" s="92"/>
      <c r="C43" s="84"/>
      <c r="D43" s="83"/>
      <c r="E43" s="85"/>
      <c r="F43" s="83"/>
      <c r="G43" s="85"/>
      <c r="H43" s="93" t="n">
        <f aca="false">IF($F43&lt;&gt;"",IFERROR(INDEX('Rate Build-Up'!$P$8:$P$47,MATCH($F43,'Rate Build-Up'!$A$8:$A$47,0)),"BU ref not found"),$G43)</f>
        <v>0</v>
      </c>
      <c r="I43" s="88" t="str">
        <f aca="false">IF(AND(ISNUMBER($E43),ISNUMBER($H43)),ROUND($E43*$H43,2),"")</f>
        <v/>
      </c>
      <c r="J43" s="64"/>
    </row>
    <row r="44" customFormat="false" ht="15" hidden="false" customHeight="true" outlineLevel="0" collapsed="false">
      <c r="A44" s="83"/>
      <c r="B44" s="92"/>
      <c r="C44" s="84"/>
      <c r="D44" s="83"/>
      <c r="E44" s="85"/>
      <c r="F44" s="83"/>
      <c r="G44" s="85"/>
      <c r="H44" s="93" t="n">
        <f aca="false">IF($F44&lt;&gt;"",IFERROR(INDEX('Rate Build-Up'!$P$8:$P$47,MATCH($F44,'Rate Build-Up'!$A$8:$A$47,0)),"BU ref not found"),$G44)</f>
        <v>0</v>
      </c>
      <c r="I44" s="88" t="str">
        <f aca="false">IF(AND(ISNUMBER($E44),ISNUMBER($H44)),ROUND($E44*$H44,2),"")</f>
        <v/>
      </c>
      <c r="J44" s="64"/>
    </row>
    <row r="45" customFormat="false" ht="15" hidden="false" customHeight="true" outlineLevel="0" collapsed="false">
      <c r="A45" s="83"/>
      <c r="B45" s="92"/>
      <c r="C45" s="84"/>
      <c r="D45" s="83"/>
      <c r="E45" s="85"/>
      <c r="F45" s="83"/>
      <c r="G45" s="85"/>
      <c r="H45" s="93" t="n">
        <f aca="false">IF($F45&lt;&gt;"",IFERROR(INDEX('Rate Build-Up'!$P$8:$P$47,MATCH($F45,'Rate Build-Up'!$A$8:$A$47,0)),"BU ref not found"),$G45)</f>
        <v>0</v>
      </c>
      <c r="I45" s="88" t="str">
        <f aca="false">IF(AND(ISNUMBER($E45),ISNUMBER($H45)),ROUND($E45*$H45,2),"")</f>
        <v/>
      </c>
      <c r="J45" s="64"/>
    </row>
    <row r="46" customFormat="false" ht="15" hidden="false" customHeight="true" outlineLevel="0" collapsed="false">
      <c r="A46" s="83"/>
      <c r="B46" s="92"/>
      <c r="C46" s="84"/>
      <c r="D46" s="83"/>
      <c r="E46" s="85"/>
      <c r="F46" s="83"/>
      <c r="G46" s="85"/>
      <c r="H46" s="93" t="n">
        <f aca="false">IF($F46&lt;&gt;"",IFERROR(INDEX('Rate Build-Up'!$P$8:$P$47,MATCH($F46,'Rate Build-Up'!$A$8:$A$47,0)),"BU ref not found"),$G46)</f>
        <v>0</v>
      </c>
      <c r="I46" s="88" t="str">
        <f aca="false">IF(AND(ISNUMBER($E46),ISNUMBER($H46)),ROUND($E46*$H46,2),"")</f>
        <v/>
      </c>
      <c r="J46" s="64"/>
    </row>
    <row r="47" customFormat="false" ht="15" hidden="false" customHeight="true" outlineLevel="0" collapsed="false">
      <c r="A47" s="83"/>
      <c r="B47" s="92"/>
      <c r="C47" s="84"/>
      <c r="D47" s="83"/>
      <c r="E47" s="85"/>
      <c r="F47" s="83"/>
      <c r="G47" s="85"/>
      <c r="H47" s="93" t="n">
        <f aca="false">IF($F47&lt;&gt;"",IFERROR(INDEX('Rate Build-Up'!$P$8:$P$47,MATCH($F47,'Rate Build-Up'!$A$8:$A$47,0)),"BU ref not found"),$G47)</f>
        <v>0</v>
      </c>
      <c r="I47" s="88" t="str">
        <f aca="false">IF(AND(ISNUMBER($E47),ISNUMBER($H47)),ROUND($E47*$H47,2),"")</f>
        <v/>
      </c>
      <c r="J47" s="64"/>
    </row>
    <row r="48" customFormat="false" ht="15" hidden="false" customHeight="true" outlineLevel="0" collapsed="false">
      <c r="A48" s="83"/>
      <c r="B48" s="92"/>
      <c r="C48" s="84"/>
      <c r="D48" s="83"/>
      <c r="E48" s="85"/>
      <c r="F48" s="83"/>
      <c r="G48" s="85"/>
      <c r="H48" s="93" t="n">
        <f aca="false">IF($F48&lt;&gt;"",IFERROR(INDEX('Rate Build-Up'!$P$8:$P$47,MATCH($F48,'Rate Build-Up'!$A$8:$A$47,0)),"BU ref not found"),$G48)</f>
        <v>0</v>
      </c>
      <c r="I48" s="88" t="str">
        <f aca="false">IF(AND(ISNUMBER($E48),ISNUMBER($H48)),ROUND($E48*$H48,2),"")</f>
        <v/>
      </c>
      <c r="J48" s="64"/>
    </row>
    <row r="49" customFormat="false" ht="15" hidden="false" customHeight="true" outlineLevel="0" collapsed="false">
      <c r="A49" s="83"/>
      <c r="B49" s="92"/>
      <c r="C49" s="84"/>
      <c r="D49" s="83"/>
      <c r="E49" s="85"/>
      <c r="F49" s="83"/>
      <c r="G49" s="85"/>
      <c r="H49" s="93" t="n">
        <f aca="false">IF($F49&lt;&gt;"",IFERROR(INDEX('Rate Build-Up'!$P$8:$P$47,MATCH($F49,'Rate Build-Up'!$A$8:$A$47,0)),"BU ref not found"),$G49)</f>
        <v>0</v>
      </c>
      <c r="I49" s="88" t="str">
        <f aca="false">IF(AND(ISNUMBER($E49),ISNUMBER($H49)),ROUND($E49*$H49,2),"")</f>
        <v/>
      </c>
      <c r="J49" s="64"/>
    </row>
    <row r="50" customFormat="false" ht="15" hidden="false" customHeight="false" outlineLevel="0" collapsed="false">
      <c r="A50" s="42"/>
      <c r="B50" s="42"/>
      <c r="C50" s="43" t="s">
        <v>376</v>
      </c>
      <c r="D50" s="42"/>
      <c r="E50" s="42"/>
      <c r="F50" s="42"/>
      <c r="G50" s="42"/>
      <c r="H50" s="42"/>
      <c r="I50" s="89" t="n">
        <f aca="false">ROUND(SUM($I$38:$I$49),2)</f>
        <v>260251</v>
      </c>
      <c r="J50" s="42"/>
    </row>
    <row r="52" customFormat="false" ht="15" hidden="false" customHeight="false" outlineLevel="0" collapsed="false">
      <c r="A52" s="90" t="s">
        <v>377</v>
      </c>
      <c r="B52" s="82"/>
      <c r="C52" s="81" t="s">
        <v>378</v>
      </c>
      <c r="D52" s="82"/>
      <c r="E52" s="82"/>
      <c r="F52" s="82"/>
      <c r="G52" s="82"/>
      <c r="H52" s="82"/>
      <c r="I52" s="82"/>
      <c r="J52" s="91" t="s">
        <v>379</v>
      </c>
    </row>
    <row r="53" customFormat="false" ht="27.75" hidden="false" customHeight="true" outlineLevel="0" collapsed="false">
      <c r="A53" s="83" t="s">
        <v>380</v>
      </c>
      <c r="B53" s="92" t="s">
        <v>377</v>
      </c>
      <c r="C53" s="84" t="s">
        <v>381</v>
      </c>
      <c r="D53" s="83" t="s">
        <v>382</v>
      </c>
      <c r="E53" s="85" t="n">
        <v>320</v>
      </c>
      <c r="F53" s="83"/>
      <c r="G53" s="85" t="n">
        <v>185</v>
      </c>
      <c r="H53" s="93" t="n">
        <f aca="false">IF($F53&lt;&gt;"",IFERROR(INDEX('Rate Build-Up'!$P$8:$P$47,MATCH($F53,'Rate Build-Up'!$A$8:$A$47,0)),"BU ref not found"),$G53)</f>
        <v>185</v>
      </c>
      <c r="I53" s="88" t="n">
        <f aca="false">IF(AND(ISNUMBER($E53),ISNUMBER($H53)),ROUND($E53*$H53,2),"")</f>
        <v>59200</v>
      </c>
      <c r="J53" s="64" t="s">
        <v>383</v>
      </c>
    </row>
    <row r="54" customFormat="false" ht="15" hidden="false" customHeight="true" outlineLevel="0" collapsed="false">
      <c r="A54" s="83"/>
      <c r="B54" s="92"/>
      <c r="C54" s="84"/>
      <c r="D54" s="83"/>
      <c r="E54" s="85"/>
      <c r="F54" s="83"/>
      <c r="G54" s="85"/>
      <c r="H54" s="93" t="n">
        <f aca="false">IF($F54&lt;&gt;"",IFERROR(INDEX('Rate Build-Up'!$P$8:$P$47,MATCH($F54,'Rate Build-Up'!$A$8:$A$47,0)),"BU ref not found"),$G54)</f>
        <v>0</v>
      </c>
      <c r="I54" s="88" t="str">
        <f aca="false">IF(AND(ISNUMBER($E54),ISNUMBER($H54)),ROUND($E54*$H54,2),"")</f>
        <v/>
      </c>
      <c r="J54" s="64"/>
    </row>
    <row r="55" customFormat="false" ht="15" hidden="false" customHeight="true" outlineLevel="0" collapsed="false">
      <c r="A55" s="83"/>
      <c r="B55" s="92"/>
      <c r="C55" s="84"/>
      <c r="D55" s="83"/>
      <c r="E55" s="85"/>
      <c r="F55" s="83"/>
      <c r="G55" s="85"/>
      <c r="H55" s="93" t="n">
        <f aca="false">IF($F55&lt;&gt;"",IFERROR(INDEX('Rate Build-Up'!$P$8:$P$47,MATCH($F55,'Rate Build-Up'!$A$8:$A$47,0)),"BU ref not found"),$G55)</f>
        <v>0</v>
      </c>
      <c r="I55" s="88" t="str">
        <f aca="false">IF(AND(ISNUMBER($E55),ISNUMBER($H55)),ROUND($E55*$H55,2),"")</f>
        <v/>
      </c>
      <c r="J55" s="64"/>
    </row>
    <row r="56" customFormat="false" ht="15" hidden="false" customHeight="true" outlineLevel="0" collapsed="false">
      <c r="A56" s="83"/>
      <c r="B56" s="92"/>
      <c r="C56" s="84"/>
      <c r="D56" s="83"/>
      <c r="E56" s="85"/>
      <c r="F56" s="83"/>
      <c r="G56" s="85"/>
      <c r="H56" s="93" t="n">
        <f aca="false">IF($F56&lt;&gt;"",IFERROR(INDEX('Rate Build-Up'!$P$8:$P$47,MATCH($F56,'Rate Build-Up'!$A$8:$A$47,0)),"BU ref not found"),$G56)</f>
        <v>0</v>
      </c>
      <c r="I56" s="88" t="str">
        <f aca="false">IF(AND(ISNUMBER($E56),ISNUMBER($H56)),ROUND($E56*$H56,2),"")</f>
        <v/>
      </c>
      <c r="J56" s="64"/>
    </row>
    <row r="57" customFormat="false" ht="15" hidden="false" customHeight="true" outlineLevel="0" collapsed="false">
      <c r="A57" s="83"/>
      <c r="B57" s="92"/>
      <c r="C57" s="84"/>
      <c r="D57" s="83"/>
      <c r="E57" s="85"/>
      <c r="F57" s="83"/>
      <c r="G57" s="85"/>
      <c r="H57" s="93" t="n">
        <f aca="false">IF($F57&lt;&gt;"",IFERROR(INDEX('Rate Build-Up'!$P$8:$P$47,MATCH($F57,'Rate Build-Up'!$A$8:$A$47,0)),"BU ref not found"),$G57)</f>
        <v>0</v>
      </c>
      <c r="I57" s="88" t="str">
        <f aca="false">IF(AND(ISNUMBER($E57),ISNUMBER($H57)),ROUND($E57*$H57,2),"")</f>
        <v/>
      </c>
      <c r="J57" s="64"/>
    </row>
    <row r="58" customFormat="false" ht="15" hidden="false" customHeight="true" outlineLevel="0" collapsed="false">
      <c r="A58" s="83"/>
      <c r="B58" s="92"/>
      <c r="C58" s="84"/>
      <c r="D58" s="83"/>
      <c r="E58" s="85"/>
      <c r="F58" s="83"/>
      <c r="G58" s="85"/>
      <c r="H58" s="93" t="n">
        <f aca="false">IF($F58&lt;&gt;"",IFERROR(INDEX('Rate Build-Up'!$P$8:$P$47,MATCH($F58,'Rate Build-Up'!$A$8:$A$47,0)),"BU ref not found"),$G58)</f>
        <v>0</v>
      </c>
      <c r="I58" s="88" t="str">
        <f aca="false">IF(AND(ISNUMBER($E58),ISNUMBER($H58)),ROUND($E58*$H58,2),"")</f>
        <v/>
      </c>
      <c r="J58" s="64"/>
    </row>
    <row r="59" customFormat="false" ht="15" hidden="false" customHeight="true" outlineLevel="0" collapsed="false">
      <c r="A59" s="83"/>
      <c r="B59" s="92"/>
      <c r="C59" s="84"/>
      <c r="D59" s="83"/>
      <c r="E59" s="85"/>
      <c r="F59" s="83"/>
      <c r="G59" s="85"/>
      <c r="H59" s="93" t="n">
        <f aca="false">IF($F59&lt;&gt;"",IFERROR(INDEX('Rate Build-Up'!$P$8:$P$47,MATCH($F59,'Rate Build-Up'!$A$8:$A$47,0)),"BU ref not found"),$G59)</f>
        <v>0</v>
      </c>
      <c r="I59" s="88" t="str">
        <f aca="false">IF(AND(ISNUMBER($E59),ISNUMBER($H59)),ROUND($E59*$H59,2),"")</f>
        <v/>
      </c>
      <c r="J59" s="64"/>
    </row>
    <row r="60" customFormat="false" ht="15" hidden="false" customHeight="false" outlineLevel="0" collapsed="false">
      <c r="A60" s="42"/>
      <c r="B60" s="42"/>
      <c r="C60" s="43" t="s">
        <v>384</v>
      </c>
      <c r="D60" s="42"/>
      <c r="E60" s="42"/>
      <c r="F60" s="42"/>
      <c r="G60" s="42"/>
      <c r="H60" s="42"/>
      <c r="I60" s="89" t="n">
        <f aca="false">ROUND(SUM($I$53:$I$59),2)</f>
        <v>59200</v>
      </c>
      <c r="J60" s="42"/>
    </row>
    <row r="62" customFormat="false" ht="15" hidden="false" customHeight="false" outlineLevel="0" collapsed="false">
      <c r="A62" s="90" t="s">
        <v>385</v>
      </c>
      <c r="B62" s="82"/>
      <c r="C62" s="81" t="s">
        <v>386</v>
      </c>
      <c r="D62" s="82"/>
      <c r="E62" s="82"/>
      <c r="F62" s="82"/>
      <c r="G62" s="82"/>
      <c r="H62" s="82"/>
      <c r="I62" s="82"/>
      <c r="J62" s="91" t="s">
        <v>387</v>
      </c>
    </row>
    <row r="63" customFormat="false" ht="27.75" hidden="false" customHeight="true" outlineLevel="0" collapsed="false">
      <c r="A63" s="83" t="s">
        <v>388</v>
      </c>
      <c r="B63" s="92" t="s">
        <v>385</v>
      </c>
      <c r="C63" s="84" t="s">
        <v>389</v>
      </c>
      <c r="D63" s="83" t="s">
        <v>390</v>
      </c>
      <c r="E63" s="85" t="n">
        <v>2160</v>
      </c>
      <c r="F63" s="83"/>
      <c r="G63" s="85" t="n">
        <v>235</v>
      </c>
      <c r="H63" s="93" t="n">
        <f aca="false">IF($F63&lt;&gt;"",IFERROR(INDEX('Rate Build-Up'!$P$8:$P$47,MATCH($F63,'Rate Build-Up'!$A$8:$A$47,0)),"BU ref not found"),$G63)</f>
        <v>235</v>
      </c>
      <c r="I63" s="88" t="n">
        <f aca="false">IF(AND(ISNUMBER($E63),ISNUMBER($H63)),ROUND($E63*$H63,2),"")</f>
        <v>507600</v>
      </c>
      <c r="J63" s="64"/>
    </row>
    <row r="64" customFormat="false" ht="15" hidden="false" customHeight="true" outlineLevel="0" collapsed="false">
      <c r="A64" s="83" t="s">
        <v>391</v>
      </c>
      <c r="B64" s="92" t="s">
        <v>385</v>
      </c>
      <c r="C64" s="84" t="s">
        <v>392</v>
      </c>
      <c r="D64" s="83" t="s">
        <v>172</v>
      </c>
      <c r="E64" s="85" t="n">
        <v>120</v>
      </c>
      <c r="F64" s="83"/>
      <c r="G64" s="85" t="n">
        <v>165</v>
      </c>
      <c r="H64" s="93" t="n">
        <f aca="false">IF($F64&lt;&gt;"",IFERROR(INDEX('Rate Build-Up'!$P$8:$P$47,MATCH($F64,'Rate Build-Up'!$A$8:$A$47,0)),"BU ref not found"),$G64)</f>
        <v>165</v>
      </c>
      <c r="I64" s="88" t="n">
        <f aca="false">IF(AND(ISNUMBER($E64),ISNUMBER($H64)),ROUND($E64*$H64,2),"")</f>
        <v>19800</v>
      </c>
      <c r="J64" s="64"/>
    </row>
    <row r="65" customFormat="false" ht="15" hidden="false" customHeight="true" outlineLevel="0" collapsed="false">
      <c r="A65" s="83"/>
      <c r="B65" s="92"/>
      <c r="C65" s="84"/>
      <c r="D65" s="83"/>
      <c r="E65" s="85"/>
      <c r="F65" s="83"/>
      <c r="G65" s="85"/>
      <c r="H65" s="93" t="n">
        <f aca="false">IF($F65&lt;&gt;"",IFERROR(INDEX('Rate Build-Up'!$P$8:$P$47,MATCH($F65,'Rate Build-Up'!$A$8:$A$47,0)),"BU ref not found"),$G65)</f>
        <v>0</v>
      </c>
      <c r="I65" s="88" t="str">
        <f aca="false">IF(AND(ISNUMBER($E65),ISNUMBER($H65)),ROUND($E65*$H65,2),"")</f>
        <v/>
      </c>
      <c r="J65" s="64"/>
    </row>
    <row r="66" customFormat="false" ht="15" hidden="false" customHeight="true" outlineLevel="0" collapsed="false">
      <c r="A66" s="83"/>
      <c r="B66" s="92"/>
      <c r="C66" s="84"/>
      <c r="D66" s="83"/>
      <c r="E66" s="85"/>
      <c r="F66" s="83"/>
      <c r="G66" s="85"/>
      <c r="H66" s="93" t="n">
        <f aca="false">IF($F66&lt;&gt;"",IFERROR(INDEX('Rate Build-Up'!$P$8:$P$47,MATCH($F66,'Rate Build-Up'!$A$8:$A$47,0)),"BU ref not found"),$G66)</f>
        <v>0</v>
      </c>
      <c r="I66" s="88" t="str">
        <f aca="false">IF(AND(ISNUMBER($E66),ISNUMBER($H66)),ROUND($E66*$H66,2),"")</f>
        <v/>
      </c>
      <c r="J66" s="64"/>
    </row>
    <row r="67" customFormat="false" ht="15" hidden="false" customHeight="true" outlineLevel="0" collapsed="false">
      <c r="A67" s="83"/>
      <c r="B67" s="92"/>
      <c r="C67" s="84"/>
      <c r="D67" s="83"/>
      <c r="E67" s="85"/>
      <c r="F67" s="83"/>
      <c r="G67" s="85"/>
      <c r="H67" s="93" t="n">
        <f aca="false">IF($F67&lt;&gt;"",IFERROR(INDEX('Rate Build-Up'!$P$8:$P$47,MATCH($F67,'Rate Build-Up'!$A$8:$A$47,0)),"BU ref not found"),$G67)</f>
        <v>0</v>
      </c>
      <c r="I67" s="88" t="str">
        <f aca="false">IF(AND(ISNUMBER($E67),ISNUMBER($H67)),ROUND($E67*$H67,2),"")</f>
        <v/>
      </c>
      <c r="J67" s="64"/>
    </row>
    <row r="68" customFormat="false" ht="15" hidden="false" customHeight="true" outlineLevel="0" collapsed="false">
      <c r="A68" s="83"/>
      <c r="B68" s="92"/>
      <c r="C68" s="84"/>
      <c r="D68" s="83"/>
      <c r="E68" s="85"/>
      <c r="F68" s="83"/>
      <c r="G68" s="85"/>
      <c r="H68" s="93" t="n">
        <f aca="false">IF($F68&lt;&gt;"",IFERROR(INDEX('Rate Build-Up'!$P$8:$P$47,MATCH($F68,'Rate Build-Up'!$A$8:$A$47,0)),"BU ref not found"),$G68)</f>
        <v>0</v>
      </c>
      <c r="I68" s="88" t="str">
        <f aca="false">IF(AND(ISNUMBER($E68),ISNUMBER($H68)),ROUND($E68*$H68,2),"")</f>
        <v/>
      </c>
      <c r="J68" s="64"/>
    </row>
    <row r="69" customFormat="false" ht="15" hidden="false" customHeight="true" outlineLevel="0" collapsed="false">
      <c r="A69" s="83"/>
      <c r="B69" s="92"/>
      <c r="C69" s="84"/>
      <c r="D69" s="83"/>
      <c r="E69" s="85"/>
      <c r="F69" s="83"/>
      <c r="G69" s="85"/>
      <c r="H69" s="93" t="n">
        <f aca="false">IF($F69&lt;&gt;"",IFERROR(INDEX('Rate Build-Up'!$P$8:$P$47,MATCH($F69,'Rate Build-Up'!$A$8:$A$47,0)),"BU ref not found"),$G69)</f>
        <v>0</v>
      </c>
      <c r="I69" s="88" t="str">
        <f aca="false">IF(AND(ISNUMBER($E69),ISNUMBER($H69)),ROUND($E69*$H69,2),"")</f>
        <v/>
      </c>
      <c r="J69" s="64"/>
    </row>
    <row r="70" customFormat="false" ht="15" hidden="false" customHeight="true" outlineLevel="0" collapsed="false">
      <c r="A70" s="83"/>
      <c r="B70" s="92"/>
      <c r="C70" s="84"/>
      <c r="D70" s="83"/>
      <c r="E70" s="85"/>
      <c r="F70" s="83"/>
      <c r="G70" s="85"/>
      <c r="H70" s="93" t="n">
        <f aca="false">IF($F70&lt;&gt;"",IFERROR(INDEX('Rate Build-Up'!$P$8:$P$47,MATCH($F70,'Rate Build-Up'!$A$8:$A$47,0)),"BU ref not found"),$G70)</f>
        <v>0</v>
      </c>
      <c r="I70" s="88" t="str">
        <f aca="false">IF(AND(ISNUMBER($E70),ISNUMBER($H70)),ROUND($E70*$H70,2),"")</f>
        <v/>
      </c>
      <c r="J70" s="64"/>
    </row>
    <row r="71" customFormat="false" ht="15" hidden="false" customHeight="false" outlineLevel="0" collapsed="false">
      <c r="A71" s="42"/>
      <c r="B71" s="42"/>
      <c r="C71" s="43" t="s">
        <v>393</v>
      </c>
      <c r="D71" s="42"/>
      <c r="E71" s="42"/>
      <c r="F71" s="42"/>
      <c r="G71" s="42"/>
      <c r="H71" s="42"/>
      <c r="I71" s="89" t="n">
        <f aca="false">ROUND(SUM($I$63:$I$70),2)</f>
        <v>527400</v>
      </c>
      <c r="J71" s="42"/>
    </row>
    <row r="73" customFormat="false" ht="15" hidden="false" customHeight="false" outlineLevel="0" collapsed="false">
      <c r="A73" s="90" t="s">
        <v>394</v>
      </c>
      <c r="B73" s="82"/>
      <c r="C73" s="81" t="s">
        <v>395</v>
      </c>
      <c r="D73" s="82"/>
      <c r="E73" s="82"/>
      <c r="F73" s="82"/>
      <c r="G73" s="82"/>
      <c r="H73" s="82"/>
      <c r="I73" s="82"/>
      <c r="J73" s="91" t="s">
        <v>387</v>
      </c>
    </row>
    <row r="74" customFormat="false" ht="27.75" hidden="false" customHeight="true" outlineLevel="0" collapsed="false">
      <c r="A74" s="83" t="s">
        <v>396</v>
      </c>
      <c r="B74" s="92" t="s">
        <v>394</v>
      </c>
      <c r="C74" s="84" t="s">
        <v>397</v>
      </c>
      <c r="D74" s="83" t="s">
        <v>390</v>
      </c>
      <c r="E74" s="85" t="n">
        <v>34</v>
      </c>
      <c r="F74" s="83"/>
      <c r="G74" s="85" t="n">
        <v>1450</v>
      </c>
      <c r="H74" s="93" t="n">
        <f aca="false">IF($F74&lt;&gt;"",IFERROR(INDEX('Rate Build-Up'!$P$8:$P$47,MATCH($F74,'Rate Build-Up'!$A$8:$A$47,0)),"BU ref not found"),$G74)</f>
        <v>1450</v>
      </c>
      <c r="I74" s="88" t="n">
        <f aca="false">IF(AND(ISNUMBER($E74),ISNUMBER($H74)),ROUND($E74*$H74,2),"")</f>
        <v>49300</v>
      </c>
      <c r="J74" s="64"/>
    </row>
    <row r="75" customFormat="false" ht="15" hidden="false" customHeight="true" outlineLevel="0" collapsed="false">
      <c r="A75" s="83"/>
      <c r="B75" s="92"/>
      <c r="C75" s="84"/>
      <c r="D75" s="83"/>
      <c r="E75" s="85"/>
      <c r="F75" s="83"/>
      <c r="G75" s="85"/>
      <c r="H75" s="93" t="n">
        <f aca="false">IF($F75&lt;&gt;"",IFERROR(INDEX('Rate Build-Up'!$P$8:$P$47,MATCH($F75,'Rate Build-Up'!$A$8:$A$47,0)),"BU ref not found"),$G75)</f>
        <v>0</v>
      </c>
      <c r="I75" s="88" t="str">
        <f aca="false">IF(AND(ISNUMBER($E75),ISNUMBER($H75)),ROUND($E75*$H75,2),"")</f>
        <v/>
      </c>
      <c r="J75" s="64"/>
    </row>
    <row r="76" customFormat="false" ht="15" hidden="false" customHeight="true" outlineLevel="0" collapsed="false">
      <c r="A76" s="83"/>
      <c r="B76" s="92"/>
      <c r="C76" s="84"/>
      <c r="D76" s="83"/>
      <c r="E76" s="85"/>
      <c r="F76" s="83"/>
      <c r="G76" s="85"/>
      <c r="H76" s="93" t="n">
        <f aca="false">IF($F76&lt;&gt;"",IFERROR(INDEX('Rate Build-Up'!$P$8:$P$47,MATCH($F76,'Rate Build-Up'!$A$8:$A$47,0)),"BU ref not found"),$G76)</f>
        <v>0</v>
      </c>
      <c r="I76" s="88" t="str">
        <f aca="false">IF(AND(ISNUMBER($E76),ISNUMBER($H76)),ROUND($E76*$H76,2),"")</f>
        <v/>
      </c>
      <c r="J76" s="64"/>
    </row>
    <row r="77" customFormat="false" ht="15" hidden="false" customHeight="true" outlineLevel="0" collapsed="false">
      <c r="A77" s="83"/>
      <c r="B77" s="92"/>
      <c r="C77" s="84"/>
      <c r="D77" s="83"/>
      <c r="E77" s="85"/>
      <c r="F77" s="83"/>
      <c r="G77" s="85"/>
      <c r="H77" s="93" t="n">
        <f aca="false">IF($F77&lt;&gt;"",IFERROR(INDEX('Rate Build-Up'!$P$8:$P$47,MATCH($F77,'Rate Build-Up'!$A$8:$A$47,0)),"BU ref not found"),$G77)</f>
        <v>0</v>
      </c>
      <c r="I77" s="88" t="str">
        <f aca="false">IF(AND(ISNUMBER($E77),ISNUMBER($H77)),ROUND($E77*$H77,2),"")</f>
        <v/>
      </c>
      <c r="J77" s="64"/>
    </row>
    <row r="78" customFormat="false" ht="15" hidden="false" customHeight="true" outlineLevel="0" collapsed="false">
      <c r="A78" s="83"/>
      <c r="B78" s="92"/>
      <c r="C78" s="84"/>
      <c r="D78" s="83"/>
      <c r="E78" s="85"/>
      <c r="F78" s="83"/>
      <c r="G78" s="85"/>
      <c r="H78" s="93" t="n">
        <f aca="false">IF($F78&lt;&gt;"",IFERROR(INDEX('Rate Build-Up'!$P$8:$P$47,MATCH($F78,'Rate Build-Up'!$A$8:$A$47,0)),"BU ref not found"),$G78)</f>
        <v>0</v>
      </c>
      <c r="I78" s="88" t="str">
        <f aca="false">IF(AND(ISNUMBER($E78),ISNUMBER($H78)),ROUND($E78*$H78,2),"")</f>
        <v/>
      </c>
      <c r="J78" s="64"/>
    </row>
    <row r="79" customFormat="false" ht="15" hidden="false" customHeight="true" outlineLevel="0" collapsed="false">
      <c r="A79" s="83"/>
      <c r="B79" s="92"/>
      <c r="C79" s="84"/>
      <c r="D79" s="83"/>
      <c r="E79" s="85"/>
      <c r="F79" s="83"/>
      <c r="G79" s="85"/>
      <c r="H79" s="93" t="n">
        <f aca="false">IF($F79&lt;&gt;"",IFERROR(INDEX('Rate Build-Up'!$P$8:$P$47,MATCH($F79,'Rate Build-Up'!$A$8:$A$47,0)),"BU ref not found"),$G79)</f>
        <v>0</v>
      </c>
      <c r="I79" s="88" t="str">
        <f aca="false">IF(AND(ISNUMBER($E79),ISNUMBER($H79)),ROUND($E79*$H79,2),"")</f>
        <v/>
      </c>
      <c r="J79" s="64"/>
    </row>
    <row r="80" customFormat="false" ht="15" hidden="false" customHeight="false" outlineLevel="0" collapsed="false">
      <c r="A80" s="42"/>
      <c r="B80" s="42"/>
      <c r="C80" s="43" t="s">
        <v>398</v>
      </c>
      <c r="D80" s="42"/>
      <c r="E80" s="42"/>
      <c r="F80" s="42"/>
      <c r="G80" s="42"/>
      <c r="H80" s="42"/>
      <c r="I80" s="89" t="n">
        <f aca="false">ROUND(SUM($I$74:$I$79),2)</f>
        <v>49300</v>
      </c>
      <c r="J80" s="42"/>
    </row>
    <row r="82" customFormat="false" ht="15" hidden="false" customHeight="false" outlineLevel="0" collapsed="false">
      <c r="A82" s="90" t="s">
        <v>399</v>
      </c>
      <c r="B82" s="82"/>
      <c r="C82" s="81" t="s">
        <v>400</v>
      </c>
      <c r="D82" s="82"/>
      <c r="E82" s="82"/>
      <c r="F82" s="82"/>
      <c r="G82" s="82"/>
      <c r="H82" s="82"/>
      <c r="I82" s="82"/>
      <c r="J82" s="91" t="s">
        <v>401</v>
      </c>
    </row>
    <row r="83" customFormat="false" ht="27.75" hidden="false" customHeight="true" outlineLevel="0" collapsed="false">
      <c r="A83" s="83" t="s">
        <v>402</v>
      </c>
      <c r="B83" s="92" t="s">
        <v>399</v>
      </c>
      <c r="C83" s="84" t="s">
        <v>403</v>
      </c>
      <c r="D83" s="83" t="s">
        <v>181</v>
      </c>
      <c r="E83" s="85" t="n">
        <v>890</v>
      </c>
      <c r="F83" s="83"/>
      <c r="G83" s="85" t="n">
        <v>780</v>
      </c>
      <c r="H83" s="93" t="n">
        <f aca="false">IF($F83&lt;&gt;"",IFERROR(INDEX('Rate Build-Up'!$P$8:$P$47,MATCH($F83,'Rate Build-Up'!$A$8:$A$47,0)),"BU ref not found"),$G83)</f>
        <v>780</v>
      </c>
      <c r="I83" s="88" t="n">
        <f aca="false">IF(AND(ISNUMBER($E83),ISNUMBER($H83)),ROUND($E83*$H83,2),"")</f>
        <v>694200</v>
      </c>
      <c r="J83" s="64"/>
    </row>
    <row r="84" customFormat="false" ht="15" hidden="false" customHeight="true" outlineLevel="0" collapsed="false">
      <c r="A84" s="83"/>
      <c r="B84" s="92"/>
      <c r="C84" s="84"/>
      <c r="D84" s="83"/>
      <c r="E84" s="85"/>
      <c r="F84" s="83"/>
      <c r="G84" s="85"/>
      <c r="H84" s="93" t="n">
        <f aca="false">IF($F84&lt;&gt;"",IFERROR(INDEX('Rate Build-Up'!$P$8:$P$47,MATCH($F84,'Rate Build-Up'!$A$8:$A$47,0)),"BU ref not found"),$G84)</f>
        <v>0</v>
      </c>
      <c r="I84" s="88" t="str">
        <f aca="false">IF(AND(ISNUMBER($E84),ISNUMBER($H84)),ROUND($E84*$H84,2),"")</f>
        <v/>
      </c>
      <c r="J84" s="64"/>
    </row>
    <row r="85" customFormat="false" ht="15" hidden="false" customHeight="true" outlineLevel="0" collapsed="false">
      <c r="A85" s="83"/>
      <c r="B85" s="92"/>
      <c r="C85" s="84"/>
      <c r="D85" s="83"/>
      <c r="E85" s="85"/>
      <c r="F85" s="83"/>
      <c r="G85" s="85"/>
      <c r="H85" s="93" t="n">
        <f aca="false">IF($F85&lt;&gt;"",IFERROR(INDEX('Rate Build-Up'!$P$8:$P$47,MATCH($F85,'Rate Build-Up'!$A$8:$A$47,0)),"BU ref not found"),$G85)</f>
        <v>0</v>
      </c>
      <c r="I85" s="88" t="str">
        <f aca="false">IF(AND(ISNUMBER($E85),ISNUMBER($H85)),ROUND($E85*$H85,2),"")</f>
        <v/>
      </c>
      <c r="J85" s="64"/>
    </row>
    <row r="86" customFormat="false" ht="15" hidden="false" customHeight="true" outlineLevel="0" collapsed="false">
      <c r="A86" s="83"/>
      <c r="B86" s="92"/>
      <c r="C86" s="84"/>
      <c r="D86" s="83"/>
      <c r="E86" s="85"/>
      <c r="F86" s="83"/>
      <c r="G86" s="85"/>
      <c r="H86" s="93" t="n">
        <f aca="false">IF($F86&lt;&gt;"",IFERROR(INDEX('Rate Build-Up'!$P$8:$P$47,MATCH($F86,'Rate Build-Up'!$A$8:$A$47,0)),"BU ref not found"),$G86)</f>
        <v>0</v>
      </c>
      <c r="I86" s="88" t="str">
        <f aca="false">IF(AND(ISNUMBER($E86),ISNUMBER($H86)),ROUND($E86*$H86,2),"")</f>
        <v/>
      </c>
      <c r="J86" s="64"/>
    </row>
    <row r="87" customFormat="false" ht="15" hidden="false" customHeight="true" outlineLevel="0" collapsed="false">
      <c r="A87" s="83"/>
      <c r="B87" s="92"/>
      <c r="C87" s="84"/>
      <c r="D87" s="83"/>
      <c r="E87" s="85"/>
      <c r="F87" s="83"/>
      <c r="G87" s="85"/>
      <c r="H87" s="93" t="n">
        <f aca="false">IF($F87&lt;&gt;"",IFERROR(INDEX('Rate Build-Up'!$P$8:$P$47,MATCH($F87,'Rate Build-Up'!$A$8:$A$47,0)),"BU ref not found"),$G87)</f>
        <v>0</v>
      </c>
      <c r="I87" s="88" t="str">
        <f aca="false">IF(AND(ISNUMBER($E87),ISNUMBER($H87)),ROUND($E87*$H87,2),"")</f>
        <v/>
      </c>
      <c r="J87" s="64"/>
    </row>
    <row r="88" customFormat="false" ht="15" hidden="false" customHeight="true" outlineLevel="0" collapsed="false">
      <c r="A88" s="83"/>
      <c r="B88" s="92"/>
      <c r="C88" s="84"/>
      <c r="D88" s="83"/>
      <c r="E88" s="85"/>
      <c r="F88" s="83"/>
      <c r="G88" s="85"/>
      <c r="H88" s="93" t="n">
        <f aca="false">IF($F88&lt;&gt;"",IFERROR(INDEX('Rate Build-Up'!$P$8:$P$47,MATCH($F88,'Rate Build-Up'!$A$8:$A$47,0)),"BU ref not found"),$G88)</f>
        <v>0</v>
      </c>
      <c r="I88" s="88" t="str">
        <f aca="false">IF(AND(ISNUMBER($E88),ISNUMBER($H88)),ROUND($E88*$H88,2),"")</f>
        <v/>
      </c>
      <c r="J88" s="64"/>
    </row>
    <row r="89" customFormat="false" ht="15" hidden="false" customHeight="false" outlineLevel="0" collapsed="false">
      <c r="A89" s="42"/>
      <c r="B89" s="42"/>
      <c r="C89" s="43" t="s">
        <v>404</v>
      </c>
      <c r="D89" s="42"/>
      <c r="E89" s="42"/>
      <c r="F89" s="42"/>
      <c r="G89" s="42"/>
      <c r="H89" s="42"/>
      <c r="I89" s="89" t="n">
        <f aca="false">ROUND(SUM($I$83:$I$88),2)</f>
        <v>694200</v>
      </c>
      <c r="J89" s="42"/>
    </row>
    <row r="91" customFormat="false" ht="15" hidden="false" customHeight="false" outlineLevel="0" collapsed="false">
      <c r="A91" s="90" t="s">
        <v>405</v>
      </c>
      <c r="B91" s="82"/>
      <c r="C91" s="81" t="s">
        <v>406</v>
      </c>
      <c r="D91" s="82"/>
      <c r="E91" s="82"/>
      <c r="F91" s="82"/>
      <c r="G91" s="82"/>
      <c r="H91" s="82"/>
      <c r="I91" s="82"/>
      <c r="J91" s="91" t="s">
        <v>364</v>
      </c>
    </row>
    <row r="92" customFormat="false" ht="27.75" hidden="false" customHeight="true" outlineLevel="0" collapsed="false">
      <c r="A92" s="83" t="s">
        <v>407</v>
      </c>
      <c r="B92" s="92" t="s">
        <v>405</v>
      </c>
      <c r="C92" s="84" t="s">
        <v>408</v>
      </c>
      <c r="D92" s="83" t="s">
        <v>181</v>
      </c>
      <c r="E92" s="85" t="n">
        <v>210</v>
      </c>
      <c r="F92" s="83"/>
      <c r="G92" s="85" t="n">
        <v>420</v>
      </c>
      <c r="H92" s="93" t="n">
        <f aca="false">IF($F92&lt;&gt;"",IFERROR(INDEX('Rate Build-Up'!$P$8:$P$47,MATCH($F92,'Rate Build-Up'!$A$8:$A$47,0)),"BU ref not found"),$G92)</f>
        <v>420</v>
      </c>
      <c r="I92" s="88" t="n">
        <f aca="false">IF(AND(ISNUMBER($E92),ISNUMBER($H92)),ROUND($E92*$H92,2),"")</f>
        <v>88200</v>
      </c>
      <c r="J92" s="64"/>
    </row>
    <row r="93" customFormat="false" ht="15" hidden="false" customHeight="true" outlineLevel="0" collapsed="false">
      <c r="A93" s="83"/>
      <c r="B93" s="92"/>
      <c r="C93" s="84"/>
      <c r="D93" s="83"/>
      <c r="E93" s="85"/>
      <c r="F93" s="83"/>
      <c r="G93" s="85"/>
      <c r="H93" s="93" t="n">
        <f aca="false">IF($F93&lt;&gt;"",IFERROR(INDEX('Rate Build-Up'!$P$8:$P$47,MATCH($F93,'Rate Build-Up'!$A$8:$A$47,0)),"BU ref not found"),$G93)</f>
        <v>0</v>
      </c>
      <c r="I93" s="88" t="str">
        <f aca="false">IF(AND(ISNUMBER($E93),ISNUMBER($H93)),ROUND($E93*$H93,2),"")</f>
        <v/>
      </c>
      <c r="J93" s="64"/>
    </row>
    <row r="94" customFormat="false" ht="15" hidden="false" customHeight="true" outlineLevel="0" collapsed="false">
      <c r="A94" s="83"/>
      <c r="B94" s="92"/>
      <c r="C94" s="84"/>
      <c r="D94" s="83"/>
      <c r="E94" s="85"/>
      <c r="F94" s="83"/>
      <c r="G94" s="85"/>
      <c r="H94" s="93" t="n">
        <f aca="false">IF($F94&lt;&gt;"",IFERROR(INDEX('Rate Build-Up'!$P$8:$P$47,MATCH($F94,'Rate Build-Up'!$A$8:$A$47,0)),"BU ref not found"),$G94)</f>
        <v>0</v>
      </c>
      <c r="I94" s="88" t="str">
        <f aca="false">IF(AND(ISNUMBER($E94),ISNUMBER($H94)),ROUND($E94*$H94,2),"")</f>
        <v/>
      </c>
      <c r="J94" s="64"/>
    </row>
    <row r="95" customFormat="false" ht="15" hidden="false" customHeight="true" outlineLevel="0" collapsed="false">
      <c r="A95" s="83"/>
      <c r="B95" s="92"/>
      <c r="C95" s="84"/>
      <c r="D95" s="83"/>
      <c r="E95" s="85"/>
      <c r="F95" s="83"/>
      <c r="G95" s="85"/>
      <c r="H95" s="93" t="n">
        <f aca="false">IF($F95&lt;&gt;"",IFERROR(INDEX('Rate Build-Up'!$P$8:$P$47,MATCH($F95,'Rate Build-Up'!$A$8:$A$47,0)),"BU ref not found"),$G95)</f>
        <v>0</v>
      </c>
      <c r="I95" s="88" t="str">
        <f aca="false">IF(AND(ISNUMBER($E95),ISNUMBER($H95)),ROUND($E95*$H95,2),"")</f>
        <v/>
      </c>
      <c r="J95" s="64"/>
    </row>
    <row r="96" customFormat="false" ht="15" hidden="false" customHeight="true" outlineLevel="0" collapsed="false">
      <c r="A96" s="83"/>
      <c r="B96" s="92"/>
      <c r="C96" s="84"/>
      <c r="D96" s="83"/>
      <c r="E96" s="85"/>
      <c r="F96" s="83"/>
      <c r="G96" s="85"/>
      <c r="H96" s="93" t="n">
        <f aca="false">IF($F96&lt;&gt;"",IFERROR(INDEX('Rate Build-Up'!$P$8:$P$47,MATCH($F96,'Rate Build-Up'!$A$8:$A$47,0)),"BU ref not found"),$G96)</f>
        <v>0</v>
      </c>
      <c r="I96" s="88" t="str">
        <f aca="false">IF(AND(ISNUMBER($E96),ISNUMBER($H96)),ROUND($E96*$H96,2),"")</f>
        <v/>
      </c>
      <c r="J96" s="64"/>
    </row>
    <row r="97" customFormat="false" ht="15" hidden="false" customHeight="true" outlineLevel="0" collapsed="false">
      <c r="A97" s="83"/>
      <c r="B97" s="92"/>
      <c r="C97" s="84"/>
      <c r="D97" s="83"/>
      <c r="E97" s="85"/>
      <c r="F97" s="83"/>
      <c r="G97" s="85"/>
      <c r="H97" s="93" t="n">
        <f aca="false">IF($F97&lt;&gt;"",IFERROR(INDEX('Rate Build-Up'!$P$8:$P$47,MATCH($F97,'Rate Build-Up'!$A$8:$A$47,0)),"BU ref not found"),$G97)</f>
        <v>0</v>
      </c>
      <c r="I97" s="88" t="str">
        <f aca="false">IF(AND(ISNUMBER($E97),ISNUMBER($H97)),ROUND($E97*$H97,2),"")</f>
        <v/>
      </c>
      <c r="J97" s="64"/>
    </row>
    <row r="98" customFormat="false" ht="15" hidden="false" customHeight="false" outlineLevel="0" collapsed="false">
      <c r="A98" s="42"/>
      <c r="B98" s="42"/>
      <c r="C98" s="43" t="s">
        <v>409</v>
      </c>
      <c r="D98" s="42"/>
      <c r="E98" s="42"/>
      <c r="F98" s="42"/>
      <c r="G98" s="42"/>
      <c r="H98" s="42"/>
      <c r="I98" s="89" t="n">
        <f aca="false">ROUND(SUM($I$92:$I$97),2)</f>
        <v>88200</v>
      </c>
      <c r="J98" s="42"/>
    </row>
  </sheetData>
  <mergeCells count="4">
    <mergeCell ref="A1:I1"/>
    <mergeCell ref="A2:J2"/>
    <mergeCell ref="A3:J3"/>
    <mergeCell ref="A4:H4"/>
  </mergeCells>
  <conditionalFormatting sqref="C7:J100">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100"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7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410</v>
      </c>
      <c r="B2" s="32"/>
      <c r="C2" s="32"/>
      <c r="D2" s="32"/>
      <c r="E2" s="32"/>
      <c r="F2" s="32"/>
      <c r="G2" s="32"/>
      <c r="H2" s="32"/>
      <c r="I2" s="32"/>
      <c r="J2" s="32"/>
    </row>
    <row r="3" customFormat="false" ht="15" hidden="false" customHeight="false" outlineLevel="0" collapsed="false">
      <c r="A3" s="17" t="s">
        <v>411</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ROUND($I$20+$I$29+$I$38+$I$50+$I$61+$I$72,2)</f>
        <v>4468120.75</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412</v>
      </c>
      <c r="B7" s="82"/>
      <c r="C7" s="81" t="s">
        <v>413</v>
      </c>
      <c r="D7" s="82"/>
      <c r="E7" s="82"/>
      <c r="F7" s="82"/>
      <c r="G7" s="82"/>
      <c r="H7" s="82"/>
      <c r="I7" s="82"/>
      <c r="J7" s="91" t="s">
        <v>414</v>
      </c>
    </row>
    <row r="8" customFormat="false" ht="27.75" hidden="false" customHeight="true" outlineLevel="0" collapsed="false">
      <c r="A8" s="83" t="s">
        <v>415</v>
      </c>
      <c r="B8" s="92" t="s">
        <v>412</v>
      </c>
      <c r="C8" s="84" t="s">
        <v>416</v>
      </c>
      <c r="D8" s="83" t="s">
        <v>369</v>
      </c>
      <c r="E8" s="85" t="n">
        <v>340</v>
      </c>
      <c r="F8" s="83"/>
      <c r="G8" s="85" t="n">
        <v>385</v>
      </c>
      <c r="H8" s="93" t="n">
        <f aca="false">IF($F8&lt;&gt;"",IFERROR(INDEX('Rate Build-Up'!$P$8:$P$47,MATCH($F8,'Rate Build-Up'!$A$8:$A$47,0)),"BU ref not found"),$G8)</f>
        <v>385</v>
      </c>
      <c r="I8" s="88" t="n">
        <f aca="false">IF(AND(ISNUMBER($E8),ISNUMBER($H8)),ROUND($E8*$H8,2),"")</f>
        <v>130900</v>
      </c>
      <c r="J8" s="64"/>
    </row>
    <row r="9" customFormat="false" ht="27.75" hidden="false" customHeight="true" outlineLevel="0" collapsed="false">
      <c r="A9" s="83" t="s">
        <v>417</v>
      </c>
      <c r="B9" s="92" t="s">
        <v>412</v>
      </c>
      <c r="C9" s="84" t="s">
        <v>418</v>
      </c>
      <c r="D9" s="83" t="s">
        <v>369</v>
      </c>
      <c r="E9" s="85" t="n">
        <v>1180</v>
      </c>
      <c r="F9" s="83" t="s">
        <v>419</v>
      </c>
      <c r="G9" s="85"/>
      <c r="H9" s="93" t="n">
        <f aca="false">IF($F9&lt;&gt;"",IFERROR(INDEX('Rate Build-Up'!$P$8:$P$47,MATCH($F9,'Rate Build-Up'!$A$8:$A$47,0)),"BU ref not found"),$G9)</f>
        <v>407.73</v>
      </c>
      <c r="I9" s="88" t="n">
        <f aca="false">IF(AND(ISNUMBER($E9),ISNUMBER($H9)),ROUND($E9*$H9,2),"")</f>
        <v>481121.4</v>
      </c>
      <c r="J9" s="64" t="s">
        <v>420</v>
      </c>
    </row>
    <row r="10" customFormat="false" ht="27.75" hidden="false" customHeight="true" outlineLevel="0" collapsed="false">
      <c r="A10" s="83" t="s">
        <v>421</v>
      </c>
      <c r="B10" s="92" t="s">
        <v>412</v>
      </c>
      <c r="C10" s="84" t="s">
        <v>422</v>
      </c>
      <c r="D10" s="83" t="s">
        <v>382</v>
      </c>
      <c r="E10" s="85" t="n">
        <v>145</v>
      </c>
      <c r="F10" s="83" t="s">
        <v>423</v>
      </c>
      <c r="G10" s="85"/>
      <c r="H10" s="93" t="n">
        <f aca="false">IF($F10&lt;&gt;"",IFERROR(INDEX('Rate Build-Up'!$P$8:$P$47,MATCH($F10,'Rate Build-Up'!$A$8:$A$47,0)),"BU ref not found"),$G10)</f>
        <v>2821.39</v>
      </c>
      <c r="I10" s="88" t="n">
        <f aca="false">IF(AND(ISNUMBER($E10),ISNUMBER($H10)),ROUND($E10*$H10,2),"")</f>
        <v>409101.55</v>
      </c>
      <c r="J10" s="64" t="s">
        <v>424</v>
      </c>
    </row>
    <row r="11" customFormat="false" ht="15" hidden="false" customHeight="true" outlineLevel="0" collapsed="false">
      <c r="A11" s="83" t="s">
        <v>425</v>
      </c>
      <c r="B11" s="92" t="s">
        <v>412</v>
      </c>
      <c r="C11" s="84" t="s">
        <v>426</v>
      </c>
      <c r="D11" s="83" t="s">
        <v>181</v>
      </c>
      <c r="E11" s="85" t="n">
        <v>4720</v>
      </c>
      <c r="F11" s="83" t="s">
        <v>427</v>
      </c>
      <c r="G11" s="85"/>
      <c r="H11" s="93" t="n">
        <f aca="false">IF($F11&lt;&gt;"",IFERROR(INDEX('Rate Build-Up'!$P$8:$P$47,MATCH($F11,'Rate Build-Up'!$A$8:$A$47,0)),"BU ref not found"),$G11)</f>
        <v>69.54</v>
      </c>
      <c r="I11" s="88" t="n">
        <f aca="false">IF(AND(ISNUMBER($E11),ISNUMBER($H11)),ROUND($E11*$H11,2),"")</f>
        <v>328228.8</v>
      </c>
      <c r="J11" s="64" t="s">
        <v>428</v>
      </c>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true" outlineLevel="0" collapsed="false">
      <c r="A15" s="83"/>
      <c r="B15" s="92"/>
      <c r="C15" s="84"/>
      <c r="D15" s="83"/>
      <c r="E15" s="85"/>
      <c r="F15" s="83"/>
      <c r="G15" s="85"/>
      <c r="H15" s="93" t="n">
        <f aca="false">IF($F15&lt;&gt;"",IFERROR(INDEX('Rate Build-Up'!$P$8:$P$47,MATCH($F15,'Rate Build-Up'!$A$8:$A$47,0)),"BU ref not found"),$G15)</f>
        <v>0</v>
      </c>
      <c r="I15" s="88" t="str">
        <f aca="false">IF(AND(ISNUMBER($E15),ISNUMBER($H15)),ROUND($E15*$H15,2),"")</f>
        <v/>
      </c>
      <c r="J15" s="64"/>
    </row>
    <row r="16" customFormat="false" ht="15" hidden="false" customHeight="true" outlineLevel="0" collapsed="false">
      <c r="A16" s="83"/>
      <c r="B16" s="92"/>
      <c r="C16" s="84"/>
      <c r="D16" s="83"/>
      <c r="E16" s="85"/>
      <c r="F16" s="83"/>
      <c r="G16" s="85"/>
      <c r="H16" s="93" t="n">
        <f aca="false">IF($F16&lt;&gt;"",IFERROR(INDEX('Rate Build-Up'!$P$8:$P$47,MATCH($F16,'Rate Build-Up'!$A$8:$A$47,0)),"BU ref not found"),$G16)</f>
        <v>0</v>
      </c>
      <c r="I16" s="88" t="str">
        <f aca="false">IF(AND(ISNUMBER($E16),ISNUMBER($H16)),ROUND($E16*$H16,2),"")</f>
        <v/>
      </c>
      <c r="J16" s="64"/>
    </row>
    <row r="17" customFormat="false" ht="15" hidden="false" customHeight="true" outlineLevel="0" collapsed="false">
      <c r="A17" s="83"/>
      <c r="B17" s="92"/>
      <c r="C17" s="84"/>
      <c r="D17" s="83"/>
      <c r="E17" s="85"/>
      <c r="F17" s="83"/>
      <c r="G17" s="85"/>
      <c r="H17" s="93" t="n">
        <f aca="false">IF($F17&lt;&gt;"",IFERROR(INDEX('Rate Build-Up'!$P$8:$P$47,MATCH($F17,'Rate Build-Up'!$A$8:$A$47,0)),"BU ref not found"),$G17)</f>
        <v>0</v>
      </c>
      <c r="I17" s="88" t="str">
        <f aca="false">IF(AND(ISNUMBER($E17),ISNUMBER($H17)),ROUND($E17*$H17,2),"")</f>
        <v/>
      </c>
      <c r="J17" s="64"/>
    </row>
    <row r="18" customFormat="false" ht="15" hidden="false" customHeight="true" outlineLevel="0" collapsed="false">
      <c r="A18" s="83"/>
      <c r="B18" s="92"/>
      <c r="C18" s="84"/>
      <c r="D18" s="83"/>
      <c r="E18" s="85"/>
      <c r="F18" s="83"/>
      <c r="G18" s="85"/>
      <c r="H18" s="93" t="n">
        <f aca="false">IF($F18&lt;&gt;"",IFERROR(INDEX('Rate Build-Up'!$P$8:$P$47,MATCH($F18,'Rate Build-Up'!$A$8:$A$47,0)),"BU ref not found"),$G18)</f>
        <v>0</v>
      </c>
      <c r="I18" s="88" t="str">
        <f aca="false">IF(AND(ISNUMBER($E18),ISNUMBER($H18)),ROUND($E18*$H18,2),"")</f>
        <v/>
      </c>
      <c r="J18" s="64"/>
    </row>
    <row r="19" customFormat="false" ht="15" hidden="false" customHeight="true" outlineLevel="0" collapsed="false">
      <c r="A19" s="83"/>
      <c r="B19" s="92"/>
      <c r="C19" s="84"/>
      <c r="D19" s="83"/>
      <c r="E19" s="85"/>
      <c r="F19" s="83"/>
      <c r="G19" s="85"/>
      <c r="H19" s="93" t="n">
        <f aca="false">IF($F19&lt;&gt;"",IFERROR(INDEX('Rate Build-Up'!$P$8:$P$47,MATCH($F19,'Rate Build-Up'!$A$8:$A$47,0)),"BU ref not found"),$G19)</f>
        <v>0</v>
      </c>
      <c r="I19" s="88" t="str">
        <f aca="false">IF(AND(ISNUMBER($E19),ISNUMBER($H19)),ROUND($E19*$H19,2),"")</f>
        <v/>
      </c>
      <c r="J19" s="64"/>
    </row>
    <row r="20" customFormat="false" ht="15" hidden="false" customHeight="false" outlineLevel="0" collapsed="false">
      <c r="A20" s="42"/>
      <c r="B20" s="42"/>
      <c r="C20" s="43" t="s">
        <v>429</v>
      </c>
      <c r="D20" s="42"/>
      <c r="E20" s="42"/>
      <c r="F20" s="42"/>
      <c r="G20" s="42"/>
      <c r="H20" s="42"/>
      <c r="I20" s="89" t="n">
        <f aca="false">ROUND(SUM($I$8:$I$19),2)</f>
        <v>1349351.75</v>
      </c>
      <c r="J20" s="42"/>
    </row>
    <row r="22" customFormat="false" ht="15" hidden="false" customHeight="false" outlineLevel="0" collapsed="false">
      <c r="A22" s="90" t="s">
        <v>430</v>
      </c>
      <c r="B22" s="82"/>
      <c r="C22" s="81" t="s">
        <v>431</v>
      </c>
      <c r="D22" s="82"/>
      <c r="E22" s="82"/>
      <c r="F22" s="82"/>
      <c r="G22" s="82"/>
      <c r="H22" s="82"/>
      <c r="I22" s="82"/>
      <c r="J22" s="91" t="s">
        <v>432</v>
      </c>
    </row>
    <row r="23" customFormat="false" ht="27.75" hidden="false" customHeight="true" outlineLevel="0" collapsed="false">
      <c r="A23" s="83" t="s">
        <v>433</v>
      </c>
      <c r="B23" s="92" t="s">
        <v>430</v>
      </c>
      <c r="C23" s="84" t="s">
        <v>434</v>
      </c>
      <c r="D23" s="83" t="s">
        <v>181</v>
      </c>
      <c r="E23" s="85" t="n">
        <v>2400</v>
      </c>
      <c r="F23" s="83"/>
      <c r="G23" s="85" t="n">
        <v>195</v>
      </c>
      <c r="H23" s="93" t="n">
        <f aca="false">IF($F23&lt;&gt;"",IFERROR(INDEX('Rate Build-Up'!$P$8:$P$47,MATCH($F23,'Rate Build-Up'!$A$8:$A$47,0)),"BU ref not found"),$G23)</f>
        <v>195</v>
      </c>
      <c r="I23" s="88" t="n">
        <f aca="false">IF(AND(ISNUMBER($E23),ISNUMBER($H23)),ROUND($E23*$H23,2),"")</f>
        <v>468000</v>
      </c>
      <c r="J23" s="64"/>
    </row>
    <row r="24" customFormat="false" ht="15" hidden="false" customHeight="true" outlineLevel="0" collapsed="false">
      <c r="A24" s="83"/>
      <c r="B24" s="92"/>
      <c r="C24" s="84"/>
      <c r="D24" s="83"/>
      <c r="E24" s="85"/>
      <c r="F24" s="83"/>
      <c r="G24" s="85"/>
      <c r="H24" s="93" t="n">
        <f aca="false">IF($F24&lt;&gt;"",IFERROR(INDEX('Rate Build-Up'!$P$8:$P$47,MATCH($F24,'Rate Build-Up'!$A$8:$A$47,0)),"BU ref not found"),$G24)</f>
        <v>0</v>
      </c>
      <c r="I24" s="88" t="str">
        <f aca="false">IF(AND(ISNUMBER($E24),ISNUMBER($H24)),ROUND($E24*$H24,2),"")</f>
        <v/>
      </c>
      <c r="J24" s="64"/>
    </row>
    <row r="25" customFormat="false" ht="15" hidden="false" customHeight="true" outlineLevel="0" collapsed="false">
      <c r="A25" s="83"/>
      <c r="B25" s="92"/>
      <c r="C25" s="84"/>
      <c r="D25" s="83"/>
      <c r="E25" s="85"/>
      <c r="F25" s="83"/>
      <c r="G25" s="85"/>
      <c r="H25" s="93" t="n">
        <f aca="false">IF($F25&lt;&gt;"",IFERROR(INDEX('Rate Build-Up'!$P$8:$P$47,MATCH($F25,'Rate Build-Up'!$A$8:$A$47,0)),"BU ref not found"),$G25)</f>
        <v>0</v>
      </c>
      <c r="I25" s="88" t="str">
        <f aca="false">IF(AND(ISNUMBER($E25),ISNUMBER($H25)),ROUND($E25*$H25,2),"")</f>
        <v/>
      </c>
      <c r="J25" s="64"/>
    </row>
    <row r="26" customFormat="false" ht="15" hidden="false" customHeight="true" outlineLevel="0" collapsed="false">
      <c r="A26" s="83"/>
      <c r="B26" s="92"/>
      <c r="C26" s="84"/>
      <c r="D26" s="83"/>
      <c r="E26" s="85"/>
      <c r="F26" s="83"/>
      <c r="G26" s="85"/>
      <c r="H26" s="93" t="n">
        <f aca="false">IF($F26&lt;&gt;"",IFERROR(INDEX('Rate Build-Up'!$P$8:$P$47,MATCH($F26,'Rate Build-Up'!$A$8:$A$47,0)),"BU ref not found"),$G26)</f>
        <v>0</v>
      </c>
      <c r="I26" s="88" t="str">
        <f aca="false">IF(AND(ISNUMBER($E26),ISNUMBER($H26)),ROUND($E26*$H26,2),"")</f>
        <v/>
      </c>
      <c r="J26" s="64"/>
    </row>
    <row r="27" customFormat="false" ht="15" hidden="false" customHeight="true" outlineLevel="0" collapsed="false">
      <c r="A27" s="83"/>
      <c r="B27" s="92"/>
      <c r="C27" s="84"/>
      <c r="D27" s="83"/>
      <c r="E27" s="85"/>
      <c r="F27" s="83"/>
      <c r="G27" s="85"/>
      <c r="H27" s="93" t="n">
        <f aca="false">IF($F27&lt;&gt;"",IFERROR(INDEX('Rate Build-Up'!$P$8:$P$47,MATCH($F27,'Rate Build-Up'!$A$8:$A$47,0)),"BU ref not found"),$G27)</f>
        <v>0</v>
      </c>
      <c r="I27" s="88" t="str">
        <f aca="false">IF(AND(ISNUMBER($E27),ISNUMBER($H27)),ROUND($E27*$H27,2),"")</f>
        <v/>
      </c>
      <c r="J27" s="64"/>
    </row>
    <row r="28" customFormat="false" ht="15" hidden="false" customHeight="true" outlineLevel="0" collapsed="false">
      <c r="A28" s="83"/>
      <c r="B28" s="92"/>
      <c r="C28" s="84"/>
      <c r="D28" s="83"/>
      <c r="E28" s="85"/>
      <c r="F28" s="83"/>
      <c r="G28" s="85"/>
      <c r="H28" s="93" t="n">
        <f aca="false">IF($F28&lt;&gt;"",IFERROR(INDEX('Rate Build-Up'!$P$8:$P$47,MATCH($F28,'Rate Build-Up'!$A$8:$A$47,0)),"BU ref not found"),$G28)</f>
        <v>0</v>
      </c>
      <c r="I28" s="88" t="str">
        <f aca="false">IF(AND(ISNUMBER($E28),ISNUMBER($H28)),ROUND($E28*$H28,2),"")</f>
        <v/>
      </c>
      <c r="J28" s="64"/>
    </row>
    <row r="29" customFormat="false" ht="15" hidden="false" customHeight="false" outlineLevel="0" collapsed="false">
      <c r="A29" s="42"/>
      <c r="B29" s="42"/>
      <c r="C29" s="43" t="s">
        <v>435</v>
      </c>
      <c r="D29" s="42"/>
      <c r="E29" s="42"/>
      <c r="F29" s="42"/>
      <c r="G29" s="42"/>
      <c r="H29" s="42"/>
      <c r="I29" s="89" t="n">
        <f aca="false">ROUND(SUM($I$23:$I$28),2)</f>
        <v>468000</v>
      </c>
      <c r="J29" s="42"/>
    </row>
    <row r="31" customFormat="false" ht="15" hidden="false" customHeight="false" outlineLevel="0" collapsed="false">
      <c r="A31" s="90" t="s">
        <v>436</v>
      </c>
      <c r="B31" s="82"/>
      <c r="C31" s="81" t="s">
        <v>437</v>
      </c>
      <c r="D31" s="82"/>
      <c r="E31" s="82"/>
      <c r="F31" s="82"/>
      <c r="G31" s="82"/>
      <c r="H31" s="82"/>
      <c r="I31" s="82"/>
      <c r="J31" s="91" t="s">
        <v>438</v>
      </c>
    </row>
    <row r="32" customFormat="false" ht="15" hidden="false" customHeight="true" outlineLevel="0" collapsed="false">
      <c r="A32" s="83" t="s">
        <v>439</v>
      </c>
      <c r="B32" s="92" t="s">
        <v>436</v>
      </c>
      <c r="C32" s="84" t="s">
        <v>440</v>
      </c>
      <c r="D32" s="83" t="s">
        <v>172</v>
      </c>
      <c r="E32" s="85" t="n">
        <v>12</v>
      </c>
      <c r="F32" s="83"/>
      <c r="G32" s="85" t="n">
        <v>4850</v>
      </c>
      <c r="H32" s="93" t="n">
        <f aca="false">IF($F32&lt;&gt;"",IFERROR(INDEX('Rate Build-Up'!$P$8:$P$47,MATCH($F32,'Rate Build-Up'!$A$8:$A$47,0)),"BU ref not found"),$G32)</f>
        <v>4850</v>
      </c>
      <c r="I32" s="88" t="n">
        <f aca="false">IF(AND(ISNUMBER($E32),ISNUMBER($H32)),ROUND($E32*$H32,2),"")</f>
        <v>58200</v>
      </c>
      <c r="J32" s="64"/>
    </row>
    <row r="33" customFormat="false" ht="15" hidden="false" customHeight="true" outlineLevel="0" collapsed="false">
      <c r="A33" s="83"/>
      <c r="B33" s="92"/>
      <c r="C33" s="84"/>
      <c r="D33" s="83"/>
      <c r="E33" s="85"/>
      <c r="F33" s="83"/>
      <c r="G33" s="85"/>
      <c r="H33" s="93" t="n">
        <f aca="false">IF($F33&lt;&gt;"",IFERROR(INDEX('Rate Build-Up'!$P$8:$P$47,MATCH($F33,'Rate Build-Up'!$A$8:$A$47,0)),"BU ref not found"),$G33)</f>
        <v>0</v>
      </c>
      <c r="I33" s="88" t="str">
        <f aca="false">IF(AND(ISNUMBER($E33),ISNUMBER($H33)),ROUND($E33*$H33,2),"")</f>
        <v/>
      </c>
      <c r="J33" s="64"/>
    </row>
    <row r="34" customFormat="false" ht="15" hidden="false" customHeight="true" outlineLevel="0" collapsed="false">
      <c r="A34" s="83"/>
      <c r="B34" s="92"/>
      <c r="C34" s="84"/>
      <c r="D34" s="83"/>
      <c r="E34" s="85"/>
      <c r="F34" s="83"/>
      <c r="G34" s="85"/>
      <c r="H34" s="93" t="n">
        <f aca="false">IF($F34&lt;&gt;"",IFERROR(INDEX('Rate Build-Up'!$P$8:$P$47,MATCH($F34,'Rate Build-Up'!$A$8:$A$47,0)),"BU ref not found"),$G34)</f>
        <v>0</v>
      </c>
      <c r="I34" s="88" t="str">
        <f aca="false">IF(AND(ISNUMBER($E34),ISNUMBER($H34)),ROUND($E34*$H34,2),"")</f>
        <v/>
      </c>
      <c r="J34" s="64"/>
    </row>
    <row r="35" customFormat="false" ht="15" hidden="false" customHeight="true" outlineLevel="0" collapsed="false">
      <c r="A35" s="83"/>
      <c r="B35" s="92"/>
      <c r="C35" s="84"/>
      <c r="D35" s="83"/>
      <c r="E35" s="85"/>
      <c r="F35" s="83"/>
      <c r="G35" s="85"/>
      <c r="H35" s="93" t="n">
        <f aca="false">IF($F35&lt;&gt;"",IFERROR(INDEX('Rate Build-Up'!$P$8:$P$47,MATCH($F35,'Rate Build-Up'!$A$8:$A$47,0)),"BU ref not found"),$G35)</f>
        <v>0</v>
      </c>
      <c r="I35" s="88" t="str">
        <f aca="false">IF(AND(ISNUMBER($E35),ISNUMBER($H35)),ROUND($E35*$H35,2),"")</f>
        <v/>
      </c>
      <c r="J35" s="64"/>
    </row>
    <row r="36" customFormat="false" ht="15" hidden="false" customHeight="true" outlineLevel="0" collapsed="false">
      <c r="A36" s="83"/>
      <c r="B36" s="92"/>
      <c r="C36" s="84"/>
      <c r="D36" s="83"/>
      <c r="E36" s="85"/>
      <c r="F36" s="83"/>
      <c r="G36" s="85"/>
      <c r="H36" s="93" t="n">
        <f aca="false">IF($F36&lt;&gt;"",IFERROR(INDEX('Rate Build-Up'!$P$8:$P$47,MATCH($F36,'Rate Build-Up'!$A$8:$A$47,0)),"BU ref not found"),$G36)</f>
        <v>0</v>
      </c>
      <c r="I36" s="88" t="str">
        <f aca="false">IF(AND(ISNUMBER($E36),ISNUMBER($H36)),ROUND($E36*$H36,2),"")</f>
        <v/>
      </c>
      <c r="J36" s="64"/>
    </row>
    <row r="37" customFormat="false" ht="15" hidden="false" customHeight="true" outlineLevel="0" collapsed="false">
      <c r="A37" s="83"/>
      <c r="B37" s="92"/>
      <c r="C37" s="84"/>
      <c r="D37" s="83"/>
      <c r="E37" s="85"/>
      <c r="F37" s="83"/>
      <c r="G37" s="85"/>
      <c r="H37" s="93" t="n">
        <f aca="false">IF($F37&lt;&gt;"",IFERROR(INDEX('Rate Build-Up'!$P$8:$P$47,MATCH($F37,'Rate Build-Up'!$A$8:$A$47,0)),"BU ref not found"),$G37)</f>
        <v>0</v>
      </c>
      <c r="I37" s="88" t="str">
        <f aca="false">IF(AND(ISNUMBER($E37),ISNUMBER($H37)),ROUND($E37*$H37,2),"")</f>
        <v/>
      </c>
      <c r="J37" s="64"/>
    </row>
    <row r="38" customFormat="false" ht="15" hidden="false" customHeight="false" outlineLevel="0" collapsed="false">
      <c r="A38" s="42"/>
      <c r="B38" s="42"/>
      <c r="C38" s="43" t="s">
        <v>441</v>
      </c>
      <c r="D38" s="42"/>
      <c r="E38" s="42"/>
      <c r="F38" s="42"/>
      <c r="G38" s="42"/>
      <c r="H38" s="42"/>
      <c r="I38" s="89" t="n">
        <f aca="false">ROUND(SUM($I$32:$I$37),2)</f>
        <v>58200</v>
      </c>
      <c r="J38" s="42"/>
    </row>
    <row r="40" customFormat="false" ht="15" hidden="false" customHeight="false" outlineLevel="0" collapsed="false">
      <c r="A40" s="90" t="s">
        <v>442</v>
      </c>
      <c r="B40" s="82"/>
      <c r="C40" s="81" t="s">
        <v>443</v>
      </c>
      <c r="D40" s="82"/>
      <c r="E40" s="82"/>
      <c r="F40" s="82"/>
      <c r="G40" s="82"/>
      <c r="H40" s="82"/>
      <c r="I40" s="82"/>
      <c r="J40" s="91" t="s">
        <v>444</v>
      </c>
    </row>
    <row r="41" customFormat="false" ht="27.75" hidden="false" customHeight="true" outlineLevel="0" collapsed="false">
      <c r="A41" s="83" t="s">
        <v>445</v>
      </c>
      <c r="B41" s="92" t="s">
        <v>442</v>
      </c>
      <c r="C41" s="84" t="s">
        <v>446</v>
      </c>
      <c r="D41" s="83" t="s">
        <v>181</v>
      </c>
      <c r="E41" s="85" t="n">
        <v>1860</v>
      </c>
      <c r="F41" s="83" t="s">
        <v>447</v>
      </c>
      <c r="G41" s="85"/>
      <c r="H41" s="93" t="n">
        <f aca="false">IF($F41&lt;&gt;"",IFERROR(INDEX('Rate Build-Up'!$P$8:$P$47,MATCH($F41,'Rate Build-Up'!$A$8:$A$47,0)),"BU ref not found"),$G41)</f>
        <v>204.18</v>
      </c>
      <c r="I41" s="88" t="n">
        <f aca="false">IF(AND(ISNUMBER($E41),ISNUMBER($H41)),ROUND($E41*$H41,2),"")</f>
        <v>379774.8</v>
      </c>
      <c r="J41" s="64" t="s">
        <v>448</v>
      </c>
    </row>
    <row r="42" customFormat="false" ht="15" hidden="false" customHeight="true" outlineLevel="0" collapsed="false">
      <c r="A42" s="83" t="s">
        <v>449</v>
      </c>
      <c r="B42" s="92" t="s">
        <v>442</v>
      </c>
      <c r="C42" s="84" t="s">
        <v>450</v>
      </c>
      <c r="D42" s="83" t="s">
        <v>181</v>
      </c>
      <c r="E42" s="85" t="n">
        <v>1860</v>
      </c>
      <c r="F42" s="83" t="s">
        <v>451</v>
      </c>
      <c r="G42" s="85"/>
      <c r="H42" s="93" t="n">
        <f aca="false">IF($F42&lt;&gt;"",IFERROR(INDEX('Rate Build-Up'!$P$8:$P$47,MATCH($F42,'Rate Build-Up'!$A$8:$A$47,0)),"BU ref not found"),$G42)</f>
        <v>126.47</v>
      </c>
      <c r="I42" s="88" t="n">
        <f aca="false">IF(AND(ISNUMBER($E42),ISNUMBER($H42)),ROUND($E42*$H42,2),"")</f>
        <v>235234.2</v>
      </c>
      <c r="J42" s="64" t="s">
        <v>452</v>
      </c>
    </row>
    <row r="43" customFormat="false" ht="15" hidden="false" customHeight="true" outlineLevel="0" collapsed="false">
      <c r="A43" s="83"/>
      <c r="B43" s="92"/>
      <c r="C43" s="84"/>
      <c r="D43" s="83"/>
      <c r="E43" s="85"/>
      <c r="F43" s="83"/>
      <c r="G43" s="85"/>
      <c r="H43" s="93" t="n">
        <f aca="false">IF($F43&lt;&gt;"",IFERROR(INDEX('Rate Build-Up'!$P$8:$P$47,MATCH($F43,'Rate Build-Up'!$A$8:$A$47,0)),"BU ref not found"),$G43)</f>
        <v>0</v>
      </c>
      <c r="I43" s="88" t="str">
        <f aca="false">IF(AND(ISNUMBER($E43),ISNUMBER($H43)),ROUND($E43*$H43,2),"")</f>
        <v/>
      </c>
      <c r="J43" s="64"/>
    </row>
    <row r="44" customFormat="false" ht="15" hidden="false" customHeight="true" outlineLevel="0" collapsed="false">
      <c r="A44" s="83"/>
      <c r="B44" s="92"/>
      <c r="C44" s="84"/>
      <c r="D44" s="83"/>
      <c r="E44" s="85"/>
      <c r="F44" s="83"/>
      <c r="G44" s="85"/>
      <c r="H44" s="93" t="n">
        <f aca="false">IF($F44&lt;&gt;"",IFERROR(INDEX('Rate Build-Up'!$P$8:$P$47,MATCH($F44,'Rate Build-Up'!$A$8:$A$47,0)),"BU ref not found"),$G44)</f>
        <v>0</v>
      </c>
      <c r="I44" s="88" t="str">
        <f aca="false">IF(AND(ISNUMBER($E44),ISNUMBER($H44)),ROUND($E44*$H44,2),"")</f>
        <v/>
      </c>
      <c r="J44" s="64"/>
    </row>
    <row r="45" customFormat="false" ht="15" hidden="false" customHeight="true" outlineLevel="0" collapsed="false">
      <c r="A45" s="83"/>
      <c r="B45" s="92"/>
      <c r="C45" s="84"/>
      <c r="D45" s="83"/>
      <c r="E45" s="85"/>
      <c r="F45" s="83"/>
      <c r="G45" s="85"/>
      <c r="H45" s="93" t="n">
        <f aca="false">IF($F45&lt;&gt;"",IFERROR(INDEX('Rate Build-Up'!$P$8:$P$47,MATCH($F45,'Rate Build-Up'!$A$8:$A$47,0)),"BU ref not found"),$G45)</f>
        <v>0</v>
      </c>
      <c r="I45" s="88" t="str">
        <f aca="false">IF(AND(ISNUMBER($E45),ISNUMBER($H45)),ROUND($E45*$H45,2),"")</f>
        <v/>
      </c>
      <c r="J45" s="64"/>
    </row>
    <row r="46" customFormat="false" ht="15" hidden="false" customHeight="true" outlineLevel="0" collapsed="false">
      <c r="A46" s="83"/>
      <c r="B46" s="92"/>
      <c r="C46" s="84"/>
      <c r="D46" s="83"/>
      <c r="E46" s="85"/>
      <c r="F46" s="83"/>
      <c r="G46" s="85"/>
      <c r="H46" s="93" t="n">
        <f aca="false">IF($F46&lt;&gt;"",IFERROR(INDEX('Rate Build-Up'!$P$8:$P$47,MATCH($F46,'Rate Build-Up'!$A$8:$A$47,0)),"BU ref not found"),$G46)</f>
        <v>0</v>
      </c>
      <c r="I46" s="88" t="str">
        <f aca="false">IF(AND(ISNUMBER($E46),ISNUMBER($H46)),ROUND($E46*$H46,2),"")</f>
        <v/>
      </c>
      <c r="J46" s="64"/>
    </row>
    <row r="47" customFormat="false" ht="15" hidden="false" customHeight="true" outlineLevel="0" collapsed="false">
      <c r="A47" s="83"/>
      <c r="B47" s="92"/>
      <c r="C47" s="84"/>
      <c r="D47" s="83"/>
      <c r="E47" s="85"/>
      <c r="F47" s="83"/>
      <c r="G47" s="85"/>
      <c r="H47" s="93" t="n">
        <f aca="false">IF($F47&lt;&gt;"",IFERROR(INDEX('Rate Build-Up'!$P$8:$P$47,MATCH($F47,'Rate Build-Up'!$A$8:$A$47,0)),"BU ref not found"),$G47)</f>
        <v>0</v>
      </c>
      <c r="I47" s="88" t="str">
        <f aca="false">IF(AND(ISNUMBER($E47),ISNUMBER($H47)),ROUND($E47*$H47,2),"")</f>
        <v/>
      </c>
      <c r="J47" s="64"/>
    </row>
    <row r="48" customFormat="false" ht="15" hidden="false" customHeight="true" outlineLevel="0" collapsed="false">
      <c r="A48" s="83"/>
      <c r="B48" s="92"/>
      <c r="C48" s="84"/>
      <c r="D48" s="83"/>
      <c r="E48" s="85"/>
      <c r="F48" s="83"/>
      <c r="G48" s="85"/>
      <c r="H48" s="93" t="n">
        <f aca="false">IF($F48&lt;&gt;"",IFERROR(INDEX('Rate Build-Up'!$P$8:$P$47,MATCH($F48,'Rate Build-Up'!$A$8:$A$47,0)),"BU ref not found"),$G48)</f>
        <v>0</v>
      </c>
      <c r="I48" s="88" t="str">
        <f aca="false">IF(AND(ISNUMBER($E48),ISNUMBER($H48)),ROUND($E48*$H48,2),"")</f>
        <v/>
      </c>
      <c r="J48" s="64"/>
    </row>
    <row r="49" customFormat="false" ht="15" hidden="false" customHeight="true" outlineLevel="0" collapsed="false">
      <c r="A49" s="83"/>
      <c r="B49" s="92"/>
      <c r="C49" s="84"/>
      <c r="D49" s="83"/>
      <c r="E49" s="85"/>
      <c r="F49" s="83"/>
      <c r="G49" s="85"/>
      <c r="H49" s="93" t="n">
        <f aca="false">IF($F49&lt;&gt;"",IFERROR(INDEX('Rate Build-Up'!$P$8:$P$47,MATCH($F49,'Rate Build-Up'!$A$8:$A$47,0)),"BU ref not found"),$G49)</f>
        <v>0</v>
      </c>
      <c r="I49" s="88" t="str">
        <f aca="false">IF(AND(ISNUMBER($E49),ISNUMBER($H49)),ROUND($E49*$H49,2),"")</f>
        <v/>
      </c>
      <c r="J49" s="64"/>
    </row>
    <row r="50" customFormat="false" ht="15" hidden="false" customHeight="false" outlineLevel="0" collapsed="false">
      <c r="A50" s="42"/>
      <c r="B50" s="42"/>
      <c r="C50" s="43" t="s">
        <v>453</v>
      </c>
      <c r="D50" s="42"/>
      <c r="E50" s="42"/>
      <c r="F50" s="42"/>
      <c r="G50" s="42"/>
      <c r="H50" s="42"/>
      <c r="I50" s="89" t="n">
        <f aca="false">ROUND(SUM($I$41:$I$49),2)</f>
        <v>615009</v>
      </c>
      <c r="J50" s="42"/>
    </row>
    <row r="52" customFormat="false" ht="15" hidden="false" customHeight="false" outlineLevel="0" collapsed="false">
      <c r="A52" s="90" t="s">
        <v>454</v>
      </c>
      <c r="B52" s="82"/>
      <c r="C52" s="81" t="s">
        <v>455</v>
      </c>
      <c r="D52" s="82"/>
      <c r="E52" s="82"/>
      <c r="F52" s="82"/>
      <c r="G52" s="82"/>
      <c r="H52" s="82"/>
      <c r="I52" s="82"/>
      <c r="J52" s="91" t="s">
        <v>456</v>
      </c>
    </row>
    <row r="53" customFormat="false" ht="27.75" hidden="false" customHeight="true" outlineLevel="0" collapsed="false">
      <c r="A53" s="83" t="s">
        <v>457</v>
      </c>
      <c r="B53" s="92" t="s">
        <v>454</v>
      </c>
      <c r="C53" s="84" t="s">
        <v>458</v>
      </c>
      <c r="D53" s="83" t="s">
        <v>382</v>
      </c>
      <c r="E53" s="85" t="n">
        <v>285</v>
      </c>
      <c r="F53" s="83"/>
      <c r="G53" s="85" t="n">
        <v>5900</v>
      </c>
      <c r="H53" s="93" t="n">
        <f aca="false">IF($F53&lt;&gt;"",IFERROR(INDEX('Rate Build-Up'!$P$8:$P$47,MATCH($F53,'Rate Build-Up'!$A$8:$A$47,0)),"BU ref not found"),$G53)</f>
        <v>5900</v>
      </c>
      <c r="I53" s="88" t="n">
        <f aca="false">IF(AND(ISNUMBER($E53),ISNUMBER($H53)),ROUND($E53*$H53,2),"")</f>
        <v>1681500</v>
      </c>
      <c r="J53" s="64"/>
    </row>
    <row r="54" customFormat="false" ht="27.75" hidden="false" customHeight="true" outlineLevel="0" collapsed="false">
      <c r="A54" s="83" t="s">
        <v>459</v>
      </c>
      <c r="B54" s="92" t="s">
        <v>454</v>
      </c>
      <c r="C54" s="84" t="s">
        <v>460</v>
      </c>
      <c r="D54" s="83" t="s">
        <v>181</v>
      </c>
      <c r="E54" s="85" t="n">
        <v>3100</v>
      </c>
      <c r="F54" s="83"/>
      <c r="G54" s="85" t="n">
        <v>62</v>
      </c>
      <c r="H54" s="93" t="n">
        <f aca="false">IF($F54&lt;&gt;"",IFERROR(INDEX('Rate Build-Up'!$P$8:$P$47,MATCH($F54,'Rate Build-Up'!$A$8:$A$47,0)),"BU ref not found"),$G54)</f>
        <v>62</v>
      </c>
      <c r="I54" s="88" t="n">
        <f aca="false">IF(AND(ISNUMBER($E54),ISNUMBER($H54)),ROUND($E54*$H54,2),"")</f>
        <v>192200</v>
      </c>
      <c r="J54" s="64"/>
    </row>
    <row r="55" customFormat="false" ht="15" hidden="false" customHeight="true" outlineLevel="0" collapsed="false">
      <c r="A55" s="83"/>
      <c r="B55" s="92"/>
      <c r="C55" s="84"/>
      <c r="D55" s="83"/>
      <c r="E55" s="85"/>
      <c r="F55" s="83"/>
      <c r="G55" s="85"/>
      <c r="H55" s="93" t="n">
        <f aca="false">IF($F55&lt;&gt;"",IFERROR(INDEX('Rate Build-Up'!$P$8:$P$47,MATCH($F55,'Rate Build-Up'!$A$8:$A$47,0)),"BU ref not found"),$G55)</f>
        <v>0</v>
      </c>
      <c r="I55" s="88" t="str">
        <f aca="false">IF(AND(ISNUMBER($E55),ISNUMBER($H55)),ROUND($E55*$H55,2),"")</f>
        <v/>
      </c>
      <c r="J55" s="64"/>
    </row>
    <row r="56" customFormat="false" ht="15" hidden="false" customHeight="true" outlineLevel="0" collapsed="false">
      <c r="A56" s="83"/>
      <c r="B56" s="92"/>
      <c r="C56" s="84"/>
      <c r="D56" s="83"/>
      <c r="E56" s="85"/>
      <c r="F56" s="83"/>
      <c r="G56" s="85"/>
      <c r="H56" s="93" t="n">
        <f aca="false">IF($F56&lt;&gt;"",IFERROR(INDEX('Rate Build-Up'!$P$8:$P$47,MATCH($F56,'Rate Build-Up'!$A$8:$A$47,0)),"BU ref not found"),$G56)</f>
        <v>0</v>
      </c>
      <c r="I56" s="88" t="str">
        <f aca="false">IF(AND(ISNUMBER($E56),ISNUMBER($H56)),ROUND($E56*$H56,2),"")</f>
        <v/>
      </c>
      <c r="J56" s="64"/>
    </row>
    <row r="57" customFormat="false" ht="15" hidden="false" customHeight="true" outlineLevel="0" collapsed="false">
      <c r="A57" s="83"/>
      <c r="B57" s="92"/>
      <c r="C57" s="84"/>
      <c r="D57" s="83"/>
      <c r="E57" s="85"/>
      <c r="F57" s="83"/>
      <c r="G57" s="85"/>
      <c r="H57" s="93" t="n">
        <f aca="false">IF($F57&lt;&gt;"",IFERROR(INDEX('Rate Build-Up'!$P$8:$P$47,MATCH($F57,'Rate Build-Up'!$A$8:$A$47,0)),"BU ref not found"),$G57)</f>
        <v>0</v>
      </c>
      <c r="I57" s="88" t="str">
        <f aca="false">IF(AND(ISNUMBER($E57),ISNUMBER($H57)),ROUND($E57*$H57,2),"")</f>
        <v/>
      </c>
      <c r="J57" s="64"/>
    </row>
    <row r="58" customFormat="false" ht="15" hidden="false" customHeight="true" outlineLevel="0" collapsed="false">
      <c r="A58" s="83"/>
      <c r="B58" s="92"/>
      <c r="C58" s="84"/>
      <c r="D58" s="83"/>
      <c r="E58" s="85"/>
      <c r="F58" s="83"/>
      <c r="G58" s="85"/>
      <c r="H58" s="93" t="n">
        <f aca="false">IF($F58&lt;&gt;"",IFERROR(INDEX('Rate Build-Up'!$P$8:$P$47,MATCH($F58,'Rate Build-Up'!$A$8:$A$47,0)),"BU ref not found"),$G58)</f>
        <v>0</v>
      </c>
      <c r="I58" s="88" t="str">
        <f aca="false">IF(AND(ISNUMBER($E58),ISNUMBER($H58)),ROUND($E58*$H58,2),"")</f>
        <v/>
      </c>
      <c r="J58" s="64"/>
    </row>
    <row r="59" customFormat="false" ht="15" hidden="false" customHeight="true" outlineLevel="0" collapsed="false">
      <c r="A59" s="83"/>
      <c r="B59" s="92"/>
      <c r="C59" s="84"/>
      <c r="D59" s="83"/>
      <c r="E59" s="85"/>
      <c r="F59" s="83"/>
      <c r="G59" s="85"/>
      <c r="H59" s="93" t="n">
        <f aca="false">IF($F59&lt;&gt;"",IFERROR(INDEX('Rate Build-Up'!$P$8:$P$47,MATCH($F59,'Rate Build-Up'!$A$8:$A$47,0)),"BU ref not found"),$G59)</f>
        <v>0</v>
      </c>
      <c r="I59" s="88" t="str">
        <f aca="false">IF(AND(ISNUMBER($E59),ISNUMBER($H59)),ROUND($E59*$H59,2),"")</f>
        <v/>
      </c>
      <c r="J59" s="64"/>
    </row>
    <row r="60" customFormat="false" ht="15" hidden="false" customHeight="true" outlineLevel="0" collapsed="false">
      <c r="A60" s="83"/>
      <c r="B60" s="92"/>
      <c r="C60" s="84"/>
      <c r="D60" s="83"/>
      <c r="E60" s="85"/>
      <c r="F60" s="83"/>
      <c r="G60" s="85"/>
      <c r="H60" s="93" t="n">
        <f aca="false">IF($F60&lt;&gt;"",IFERROR(INDEX('Rate Build-Up'!$P$8:$P$47,MATCH($F60,'Rate Build-Up'!$A$8:$A$47,0)),"BU ref not found"),$G60)</f>
        <v>0</v>
      </c>
      <c r="I60" s="88" t="str">
        <f aca="false">IF(AND(ISNUMBER($E60),ISNUMBER($H60)),ROUND($E60*$H60,2),"")</f>
        <v/>
      </c>
      <c r="J60" s="64"/>
    </row>
    <row r="61" customFormat="false" ht="15" hidden="false" customHeight="false" outlineLevel="0" collapsed="false">
      <c r="A61" s="42"/>
      <c r="B61" s="42"/>
      <c r="C61" s="43" t="s">
        <v>461</v>
      </c>
      <c r="D61" s="42"/>
      <c r="E61" s="42"/>
      <c r="F61" s="42"/>
      <c r="G61" s="42"/>
      <c r="H61" s="42"/>
      <c r="I61" s="89" t="n">
        <f aca="false">ROUND(SUM($I$53:$I$60),2)</f>
        <v>1873700</v>
      </c>
      <c r="J61" s="42"/>
    </row>
    <row r="63" customFormat="false" ht="15" hidden="false" customHeight="false" outlineLevel="0" collapsed="false">
      <c r="A63" s="90" t="s">
        <v>462</v>
      </c>
      <c r="B63" s="82"/>
      <c r="C63" s="81" t="s">
        <v>463</v>
      </c>
      <c r="D63" s="82"/>
      <c r="E63" s="82"/>
      <c r="F63" s="82"/>
      <c r="G63" s="82"/>
      <c r="H63" s="82"/>
      <c r="I63" s="82"/>
      <c r="J63" s="91" t="s">
        <v>464</v>
      </c>
    </row>
    <row r="64" customFormat="false" ht="27.75" hidden="false" customHeight="true" outlineLevel="0" collapsed="false">
      <c r="A64" s="83" t="s">
        <v>465</v>
      </c>
      <c r="B64" s="92" t="s">
        <v>462</v>
      </c>
      <c r="C64" s="84" t="s">
        <v>466</v>
      </c>
      <c r="D64" s="83" t="s">
        <v>390</v>
      </c>
      <c r="E64" s="85" t="n">
        <v>340</v>
      </c>
      <c r="F64" s="83"/>
      <c r="G64" s="85" t="n">
        <v>145</v>
      </c>
      <c r="H64" s="93" t="n">
        <f aca="false">IF($F64&lt;&gt;"",IFERROR(INDEX('Rate Build-Up'!$P$8:$P$47,MATCH($F64,'Rate Build-Up'!$A$8:$A$47,0)),"BU ref not found"),$G64)</f>
        <v>145</v>
      </c>
      <c r="I64" s="88" t="n">
        <f aca="false">IF(AND(ISNUMBER($E64),ISNUMBER($H64)),ROUND($E64*$H64,2),"")</f>
        <v>49300</v>
      </c>
      <c r="J64" s="64"/>
    </row>
    <row r="65" customFormat="false" ht="15" hidden="false" customHeight="true" outlineLevel="0" collapsed="false">
      <c r="A65" s="83" t="s">
        <v>467</v>
      </c>
      <c r="B65" s="92" t="s">
        <v>462</v>
      </c>
      <c r="C65" s="84" t="s">
        <v>468</v>
      </c>
      <c r="D65" s="83" t="s">
        <v>181</v>
      </c>
      <c r="E65" s="85" t="n">
        <v>620</v>
      </c>
      <c r="F65" s="83"/>
      <c r="G65" s="85" t="n">
        <v>88</v>
      </c>
      <c r="H65" s="93" t="n">
        <f aca="false">IF($F65&lt;&gt;"",IFERROR(INDEX('Rate Build-Up'!$P$8:$P$47,MATCH($F65,'Rate Build-Up'!$A$8:$A$47,0)),"BU ref not found"),$G65)</f>
        <v>88</v>
      </c>
      <c r="I65" s="88" t="n">
        <f aca="false">IF(AND(ISNUMBER($E65),ISNUMBER($H65)),ROUND($E65*$H65,2),"")</f>
        <v>54560</v>
      </c>
      <c r="J65" s="64"/>
    </row>
    <row r="66" customFormat="false" ht="15" hidden="false" customHeight="true" outlineLevel="0" collapsed="false">
      <c r="A66" s="83"/>
      <c r="B66" s="92"/>
      <c r="C66" s="84"/>
      <c r="D66" s="83"/>
      <c r="E66" s="85"/>
      <c r="F66" s="83"/>
      <c r="G66" s="85"/>
      <c r="H66" s="93" t="n">
        <f aca="false">IF($F66&lt;&gt;"",IFERROR(INDEX('Rate Build-Up'!$P$8:$P$47,MATCH($F66,'Rate Build-Up'!$A$8:$A$47,0)),"BU ref not found"),$G66)</f>
        <v>0</v>
      </c>
      <c r="I66" s="88" t="str">
        <f aca="false">IF(AND(ISNUMBER($E66),ISNUMBER($H66)),ROUND($E66*$H66,2),"")</f>
        <v/>
      </c>
      <c r="J66" s="64"/>
    </row>
    <row r="67" customFormat="false" ht="15" hidden="false" customHeight="true" outlineLevel="0" collapsed="false">
      <c r="A67" s="83"/>
      <c r="B67" s="92"/>
      <c r="C67" s="84"/>
      <c r="D67" s="83"/>
      <c r="E67" s="85"/>
      <c r="F67" s="83"/>
      <c r="G67" s="85"/>
      <c r="H67" s="93" t="n">
        <f aca="false">IF($F67&lt;&gt;"",IFERROR(INDEX('Rate Build-Up'!$P$8:$P$47,MATCH($F67,'Rate Build-Up'!$A$8:$A$47,0)),"BU ref not found"),$G67)</f>
        <v>0</v>
      </c>
      <c r="I67" s="88" t="str">
        <f aca="false">IF(AND(ISNUMBER($E67),ISNUMBER($H67)),ROUND($E67*$H67,2),"")</f>
        <v/>
      </c>
      <c r="J67" s="64"/>
    </row>
    <row r="68" customFormat="false" ht="15" hidden="false" customHeight="true" outlineLevel="0" collapsed="false">
      <c r="A68" s="83"/>
      <c r="B68" s="92"/>
      <c r="C68" s="84"/>
      <c r="D68" s="83"/>
      <c r="E68" s="85"/>
      <c r="F68" s="83"/>
      <c r="G68" s="85"/>
      <c r="H68" s="93" t="n">
        <f aca="false">IF($F68&lt;&gt;"",IFERROR(INDEX('Rate Build-Up'!$P$8:$P$47,MATCH($F68,'Rate Build-Up'!$A$8:$A$47,0)),"BU ref not found"),$G68)</f>
        <v>0</v>
      </c>
      <c r="I68" s="88" t="str">
        <f aca="false">IF(AND(ISNUMBER($E68),ISNUMBER($H68)),ROUND($E68*$H68,2),"")</f>
        <v/>
      </c>
      <c r="J68" s="64"/>
    </row>
    <row r="69" customFormat="false" ht="15" hidden="false" customHeight="true" outlineLevel="0" collapsed="false">
      <c r="A69" s="83"/>
      <c r="B69" s="92"/>
      <c r="C69" s="84"/>
      <c r="D69" s="83"/>
      <c r="E69" s="85"/>
      <c r="F69" s="83"/>
      <c r="G69" s="85"/>
      <c r="H69" s="93" t="n">
        <f aca="false">IF($F69&lt;&gt;"",IFERROR(INDEX('Rate Build-Up'!$P$8:$P$47,MATCH($F69,'Rate Build-Up'!$A$8:$A$47,0)),"BU ref not found"),$G69)</f>
        <v>0</v>
      </c>
      <c r="I69" s="88" t="str">
        <f aca="false">IF(AND(ISNUMBER($E69),ISNUMBER($H69)),ROUND($E69*$H69,2),"")</f>
        <v/>
      </c>
      <c r="J69" s="64"/>
    </row>
    <row r="70" customFormat="false" ht="15" hidden="false" customHeight="true" outlineLevel="0" collapsed="false">
      <c r="A70" s="83"/>
      <c r="B70" s="92"/>
      <c r="C70" s="84"/>
      <c r="D70" s="83"/>
      <c r="E70" s="85"/>
      <c r="F70" s="83"/>
      <c r="G70" s="85"/>
      <c r="H70" s="93" t="n">
        <f aca="false">IF($F70&lt;&gt;"",IFERROR(INDEX('Rate Build-Up'!$P$8:$P$47,MATCH($F70,'Rate Build-Up'!$A$8:$A$47,0)),"BU ref not found"),$G70)</f>
        <v>0</v>
      </c>
      <c r="I70" s="88" t="str">
        <f aca="false">IF(AND(ISNUMBER($E70),ISNUMBER($H70)),ROUND($E70*$H70,2),"")</f>
        <v/>
      </c>
      <c r="J70" s="64"/>
    </row>
    <row r="71" customFormat="false" ht="15" hidden="false" customHeight="true" outlineLevel="0" collapsed="false">
      <c r="A71" s="83"/>
      <c r="B71" s="92"/>
      <c r="C71" s="84"/>
      <c r="D71" s="83"/>
      <c r="E71" s="85"/>
      <c r="F71" s="83"/>
      <c r="G71" s="85"/>
      <c r="H71" s="93" t="n">
        <f aca="false">IF($F71&lt;&gt;"",IFERROR(INDEX('Rate Build-Up'!$P$8:$P$47,MATCH($F71,'Rate Build-Up'!$A$8:$A$47,0)),"BU ref not found"),$G71)</f>
        <v>0</v>
      </c>
      <c r="I71" s="88" t="str">
        <f aca="false">IF(AND(ISNUMBER($E71),ISNUMBER($H71)),ROUND($E71*$H71,2),"")</f>
        <v/>
      </c>
      <c r="J71" s="64"/>
    </row>
    <row r="72" customFormat="false" ht="15" hidden="false" customHeight="false" outlineLevel="0" collapsed="false">
      <c r="A72" s="42"/>
      <c r="B72" s="42"/>
      <c r="C72" s="43" t="s">
        <v>469</v>
      </c>
      <c r="D72" s="42"/>
      <c r="E72" s="42"/>
      <c r="F72" s="42"/>
      <c r="G72" s="42"/>
      <c r="H72" s="42"/>
      <c r="I72" s="89" t="n">
        <f aca="false">ROUND(SUM($I$64:$I$71),2)</f>
        <v>103860</v>
      </c>
      <c r="J72" s="42"/>
    </row>
  </sheetData>
  <mergeCells count="4">
    <mergeCell ref="A1:I1"/>
    <mergeCell ref="A2:J2"/>
    <mergeCell ref="A3:J3"/>
    <mergeCell ref="A4:H4"/>
  </mergeCells>
  <conditionalFormatting sqref="C7:J74">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74"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470</v>
      </c>
      <c r="B2" s="32"/>
      <c r="C2" s="32"/>
      <c r="D2" s="32"/>
      <c r="E2" s="32"/>
      <c r="F2" s="32"/>
      <c r="G2" s="32"/>
      <c r="H2" s="32"/>
      <c r="I2" s="32"/>
      <c r="J2" s="32"/>
    </row>
    <row r="3" customFormat="false" ht="15" hidden="false" customHeight="false" outlineLevel="0" collapsed="false">
      <c r="A3" s="17" t="s">
        <v>471</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ROUND($I$15+$I$24+$I$35+$I$45+$I$57,2)</f>
        <v>4925228</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472</v>
      </c>
      <c r="B7" s="82"/>
      <c r="C7" s="81" t="s">
        <v>473</v>
      </c>
      <c r="D7" s="82"/>
      <c r="E7" s="82"/>
      <c r="F7" s="82"/>
      <c r="G7" s="82"/>
      <c r="H7" s="82"/>
      <c r="I7" s="82"/>
      <c r="J7" s="91" t="s">
        <v>401</v>
      </c>
    </row>
    <row r="8" customFormat="false" ht="27.75" hidden="false" customHeight="true" outlineLevel="0" collapsed="false">
      <c r="A8" s="83" t="s">
        <v>474</v>
      </c>
      <c r="B8" s="92" t="s">
        <v>472</v>
      </c>
      <c r="C8" s="84" t="s">
        <v>475</v>
      </c>
      <c r="D8" s="83" t="s">
        <v>181</v>
      </c>
      <c r="E8" s="85" t="n">
        <v>2650</v>
      </c>
      <c r="F8" s="83"/>
      <c r="G8" s="85" t="n">
        <v>165</v>
      </c>
      <c r="H8" s="93" t="n">
        <f aca="false">IF($F8&lt;&gt;"",IFERROR(INDEX('Rate Build-Up'!$P$8:$P$47,MATCH($F8,'Rate Build-Up'!$A$8:$A$47,0)),"BU ref not found"),$G8)</f>
        <v>165</v>
      </c>
      <c r="I8" s="88" t="n">
        <f aca="false">IF(AND(ISNUMBER($E8),ISNUMBER($H8)),ROUND($E8*$H8,2),"")</f>
        <v>437250</v>
      </c>
      <c r="J8" s="64"/>
    </row>
    <row r="9" customFormat="false" ht="15" hidden="false" customHeight="true" outlineLevel="0" collapsed="false">
      <c r="A9" s="83"/>
      <c r="B9" s="92"/>
      <c r="C9" s="84"/>
      <c r="D9" s="83"/>
      <c r="E9" s="85"/>
      <c r="F9" s="83"/>
      <c r="G9" s="85"/>
      <c r="H9" s="93" t="n">
        <f aca="false">IF($F9&lt;&gt;"",IFERROR(INDEX('Rate Build-Up'!$P$8:$P$47,MATCH($F9,'Rate Build-Up'!$A$8:$A$47,0)),"BU ref not found"),$G9)</f>
        <v>0</v>
      </c>
      <c r="I9" s="88" t="str">
        <f aca="false">IF(AND(ISNUMBER($E9),ISNUMBER($H9)),ROUND($E9*$H9,2),"")</f>
        <v/>
      </c>
      <c r="J9" s="64"/>
    </row>
    <row r="10" customFormat="false" ht="15" hidden="false" customHeight="true" outlineLevel="0" collapsed="false">
      <c r="A10" s="83"/>
      <c r="B10" s="92"/>
      <c r="C10" s="84"/>
      <c r="D10" s="83"/>
      <c r="E10" s="85"/>
      <c r="F10" s="83"/>
      <c r="G10" s="85"/>
      <c r="H10" s="93" t="n">
        <f aca="false">IF($F10&lt;&gt;"",IFERROR(INDEX('Rate Build-Up'!$P$8:$P$47,MATCH($F10,'Rate Build-Up'!$A$8:$A$47,0)),"BU ref not found"),$G10)</f>
        <v>0</v>
      </c>
      <c r="I10" s="88" t="str">
        <f aca="false">IF(AND(ISNUMBER($E10),ISNUMBER($H10)),ROUND($E10*$H10,2),"")</f>
        <v/>
      </c>
      <c r="J10" s="64"/>
    </row>
    <row r="11" customFormat="false" ht="15" hidden="false" customHeight="true" outlineLevel="0" collapsed="false">
      <c r="A11" s="83"/>
      <c r="B11" s="92"/>
      <c r="C11" s="84"/>
      <c r="D11" s="83"/>
      <c r="E11" s="85"/>
      <c r="F11" s="83"/>
      <c r="G11" s="85"/>
      <c r="H11" s="93" t="n">
        <f aca="false">IF($F11&lt;&gt;"",IFERROR(INDEX('Rate Build-Up'!$P$8:$P$47,MATCH($F11,'Rate Build-Up'!$A$8:$A$47,0)),"BU ref not found"),$G11)</f>
        <v>0</v>
      </c>
      <c r="I11" s="88" t="str">
        <f aca="false">IF(AND(ISNUMBER($E11),ISNUMBER($H11)),ROUND($E11*$H11,2),"")</f>
        <v/>
      </c>
      <c r="J11" s="64"/>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false" outlineLevel="0" collapsed="false">
      <c r="A15" s="42"/>
      <c r="B15" s="42"/>
      <c r="C15" s="43" t="s">
        <v>476</v>
      </c>
      <c r="D15" s="42"/>
      <c r="E15" s="42"/>
      <c r="F15" s="42"/>
      <c r="G15" s="42"/>
      <c r="H15" s="42"/>
      <c r="I15" s="89" t="n">
        <f aca="false">ROUND(SUM($I$8:$I$14),2)</f>
        <v>437250</v>
      </c>
      <c r="J15" s="42"/>
    </row>
    <row r="17" customFormat="false" ht="15" hidden="false" customHeight="false" outlineLevel="0" collapsed="false">
      <c r="A17" s="90" t="s">
        <v>477</v>
      </c>
      <c r="B17" s="82"/>
      <c r="C17" s="81" t="s">
        <v>478</v>
      </c>
      <c r="D17" s="82"/>
      <c r="E17" s="82"/>
      <c r="F17" s="82"/>
      <c r="G17" s="82"/>
      <c r="H17" s="82"/>
      <c r="I17" s="82"/>
      <c r="J17" s="91" t="s">
        <v>401</v>
      </c>
    </row>
    <row r="18" customFormat="false" ht="27.75" hidden="false" customHeight="true" outlineLevel="0" collapsed="false">
      <c r="A18" s="83" t="s">
        <v>479</v>
      </c>
      <c r="B18" s="92" t="s">
        <v>477</v>
      </c>
      <c r="C18" s="84" t="s">
        <v>480</v>
      </c>
      <c r="D18" s="83" t="s">
        <v>181</v>
      </c>
      <c r="E18" s="85" t="n">
        <v>480</v>
      </c>
      <c r="F18" s="83"/>
      <c r="G18" s="85" t="n">
        <v>210</v>
      </c>
      <c r="H18" s="93" t="n">
        <f aca="false">IF($F18&lt;&gt;"",IFERROR(INDEX('Rate Build-Up'!$P$8:$P$47,MATCH($F18,'Rate Build-Up'!$A$8:$A$47,0)),"BU ref not found"),$G18)</f>
        <v>210</v>
      </c>
      <c r="I18" s="88" t="n">
        <f aca="false">IF(AND(ISNUMBER($E18),ISNUMBER($H18)),ROUND($E18*$H18,2),"")</f>
        <v>100800</v>
      </c>
      <c r="J18" s="64"/>
    </row>
    <row r="19" customFormat="false" ht="15" hidden="false" customHeight="true" outlineLevel="0" collapsed="false">
      <c r="A19" s="83"/>
      <c r="B19" s="92"/>
      <c r="C19" s="84"/>
      <c r="D19" s="83"/>
      <c r="E19" s="85"/>
      <c r="F19" s="83"/>
      <c r="G19" s="85"/>
      <c r="H19" s="93" t="n">
        <f aca="false">IF($F19&lt;&gt;"",IFERROR(INDEX('Rate Build-Up'!$P$8:$P$47,MATCH($F19,'Rate Build-Up'!$A$8:$A$47,0)),"BU ref not found"),$G19)</f>
        <v>0</v>
      </c>
      <c r="I19" s="88" t="str">
        <f aca="false">IF(AND(ISNUMBER($E19),ISNUMBER($H19)),ROUND($E19*$H19,2),"")</f>
        <v/>
      </c>
      <c r="J19" s="64"/>
    </row>
    <row r="20" customFormat="false" ht="15" hidden="false" customHeight="true" outlineLevel="0" collapsed="false">
      <c r="A20" s="83"/>
      <c r="B20" s="92"/>
      <c r="C20" s="84"/>
      <c r="D20" s="83"/>
      <c r="E20" s="85"/>
      <c r="F20" s="83"/>
      <c r="G20" s="85"/>
      <c r="H20" s="93" t="n">
        <f aca="false">IF($F20&lt;&gt;"",IFERROR(INDEX('Rate Build-Up'!$P$8:$P$47,MATCH($F20,'Rate Build-Up'!$A$8:$A$47,0)),"BU ref not found"),$G20)</f>
        <v>0</v>
      </c>
      <c r="I20" s="88" t="str">
        <f aca="false">IF(AND(ISNUMBER($E20),ISNUMBER($H20)),ROUND($E20*$H20,2),"")</f>
        <v/>
      </c>
      <c r="J20" s="64"/>
    </row>
    <row r="21" customFormat="false" ht="15" hidden="false" customHeight="true" outlineLevel="0" collapsed="false">
      <c r="A21" s="83"/>
      <c r="B21" s="92"/>
      <c r="C21" s="84"/>
      <c r="D21" s="83"/>
      <c r="E21" s="85"/>
      <c r="F21" s="83"/>
      <c r="G21" s="85"/>
      <c r="H21" s="93" t="n">
        <f aca="false">IF($F21&lt;&gt;"",IFERROR(INDEX('Rate Build-Up'!$P$8:$P$47,MATCH($F21,'Rate Build-Up'!$A$8:$A$47,0)),"BU ref not found"),$G21)</f>
        <v>0</v>
      </c>
      <c r="I21" s="88" t="str">
        <f aca="false">IF(AND(ISNUMBER($E21),ISNUMBER($H21)),ROUND($E21*$H21,2),"")</f>
        <v/>
      </c>
      <c r="J21" s="64"/>
    </row>
    <row r="22" customFormat="false" ht="15" hidden="false" customHeight="true" outlineLevel="0" collapsed="false">
      <c r="A22" s="83"/>
      <c r="B22" s="92"/>
      <c r="C22" s="84"/>
      <c r="D22" s="83"/>
      <c r="E22" s="85"/>
      <c r="F22" s="83"/>
      <c r="G22" s="85"/>
      <c r="H22" s="93" t="n">
        <f aca="false">IF($F22&lt;&gt;"",IFERROR(INDEX('Rate Build-Up'!$P$8:$P$47,MATCH($F22,'Rate Build-Up'!$A$8:$A$47,0)),"BU ref not found"),$G22)</f>
        <v>0</v>
      </c>
      <c r="I22" s="88" t="str">
        <f aca="false">IF(AND(ISNUMBER($E22),ISNUMBER($H22)),ROUND($E22*$H22,2),"")</f>
        <v/>
      </c>
      <c r="J22" s="64"/>
    </row>
    <row r="23" customFormat="false" ht="15" hidden="false" customHeight="true" outlineLevel="0" collapsed="false">
      <c r="A23" s="83"/>
      <c r="B23" s="92"/>
      <c r="C23" s="84"/>
      <c r="D23" s="83"/>
      <c r="E23" s="85"/>
      <c r="F23" s="83"/>
      <c r="G23" s="85"/>
      <c r="H23" s="93" t="n">
        <f aca="false">IF($F23&lt;&gt;"",IFERROR(INDEX('Rate Build-Up'!$P$8:$P$47,MATCH($F23,'Rate Build-Up'!$A$8:$A$47,0)),"BU ref not found"),$G23)</f>
        <v>0</v>
      </c>
      <c r="I23" s="88" t="str">
        <f aca="false">IF(AND(ISNUMBER($E23),ISNUMBER($H23)),ROUND($E23*$H23,2),"")</f>
        <v/>
      </c>
      <c r="J23" s="64"/>
    </row>
    <row r="24" customFormat="false" ht="15" hidden="false" customHeight="false" outlineLevel="0" collapsed="false">
      <c r="A24" s="42"/>
      <c r="B24" s="42"/>
      <c r="C24" s="43" t="s">
        <v>481</v>
      </c>
      <c r="D24" s="42"/>
      <c r="E24" s="42"/>
      <c r="F24" s="42"/>
      <c r="G24" s="42"/>
      <c r="H24" s="42"/>
      <c r="I24" s="89" t="n">
        <f aca="false">ROUND(SUM($I$18:$I$23),2)</f>
        <v>100800</v>
      </c>
      <c r="J24" s="42"/>
    </row>
    <row r="26" customFormat="false" ht="15" hidden="false" customHeight="false" outlineLevel="0" collapsed="false">
      <c r="A26" s="90" t="s">
        <v>482</v>
      </c>
      <c r="B26" s="82"/>
      <c r="C26" s="81" t="s">
        <v>483</v>
      </c>
      <c r="D26" s="82"/>
      <c r="E26" s="82"/>
      <c r="F26" s="82"/>
      <c r="G26" s="82"/>
      <c r="H26" s="82"/>
      <c r="I26" s="82"/>
      <c r="J26" s="91" t="s">
        <v>401</v>
      </c>
    </row>
    <row r="27" customFormat="false" ht="15" hidden="false" customHeight="true" outlineLevel="0" collapsed="false">
      <c r="A27" s="83" t="s">
        <v>484</v>
      </c>
      <c r="B27" s="92" t="s">
        <v>482</v>
      </c>
      <c r="C27" s="84" t="s">
        <v>485</v>
      </c>
      <c r="D27" s="83" t="s">
        <v>181</v>
      </c>
      <c r="E27" s="85" t="n">
        <v>1240</v>
      </c>
      <c r="F27" s="83"/>
      <c r="G27" s="85" t="n">
        <v>78</v>
      </c>
      <c r="H27" s="93" t="n">
        <f aca="false">IF($F27&lt;&gt;"",IFERROR(INDEX('Rate Build-Up'!$P$8:$P$47,MATCH($F27,'Rate Build-Up'!$A$8:$A$47,0)),"BU ref not found"),$G27)</f>
        <v>78</v>
      </c>
      <c r="I27" s="88" t="n">
        <f aca="false">IF(AND(ISNUMBER($E27),ISNUMBER($H27)),ROUND($E27*$H27,2),"")</f>
        <v>96720</v>
      </c>
      <c r="J27" s="64"/>
    </row>
    <row r="28" customFormat="false" ht="15" hidden="false" customHeight="true" outlineLevel="0" collapsed="false">
      <c r="A28" s="83" t="s">
        <v>486</v>
      </c>
      <c r="B28" s="92" t="s">
        <v>482</v>
      </c>
      <c r="C28" s="84" t="s">
        <v>487</v>
      </c>
      <c r="D28" s="83" t="s">
        <v>181</v>
      </c>
      <c r="E28" s="85" t="n">
        <v>860</v>
      </c>
      <c r="F28" s="83"/>
      <c r="G28" s="85" t="n">
        <v>145</v>
      </c>
      <c r="H28" s="93" t="n">
        <f aca="false">IF($F28&lt;&gt;"",IFERROR(INDEX('Rate Build-Up'!$P$8:$P$47,MATCH($F28,'Rate Build-Up'!$A$8:$A$47,0)),"BU ref not found"),$G28)</f>
        <v>145</v>
      </c>
      <c r="I28" s="88" t="n">
        <f aca="false">IF(AND(ISNUMBER($E28),ISNUMBER($H28)),ROUND($E28*$H28,2),"")</f>
        <v>124700</v>
      </c>
      <c r="J28" s="64"/>
    </row>
    <row r="29" customFormat="false" ht="15" hidden="false" customHeight="true" outlineLevel="0" collapsed="false">
      <c r="A29" s="83"/>
      <c r="B29" s="92"/>
      <c r="C29" s="84"/>
      <c r="D29" s="83"/>
      <c r="E29" s="85"/>
      <c r="F29" s="83"/>
      <c r="G29" s="85"/>
      <c r="H29" s="93" t="n">
        <f aca="false">IF($F29&lt;&gt;"",IFERROR(INDEX('Rate Build-Up'!$P$8:$P$47,MATCH($F29,'Rate Build-Up'!$A$8:$A$47,0)),"BU ref not found"),$G29)</f>
        <v>0</v>
      </c>
      <c r="I29" s="88" t="str">
        <f aca="false">IF(AND(ISNUMBER($E29),ISNUMBER($H29)),ROUND($E29*$H29,2),"")</f>
        <v/>
      </c>
      <c r="J29" s="64"/>
    </row>
    <row r="30" customFormat="false" ht="15" hidden="false" customHeight="true" outlineLevel="0" collapsed="false">
      <c r="A30" s="83"/>
      <c r="B30" s="92"/>
      <c r="C30" s="84"/>
      <c r="D30" s="83"/>
      <c r="E30" s="85"/>
      <c r="F30" s="83"/>
      <c r="G30" s="85"/>
      <c r="H30" s="93" t="n">
        <f aca="false">IF($F30&lt;&gt;"",IFERROR(INDEX('Rate Build-Up'!$P$8:$P$47,MATCH($F30,'Rate Build-Up'!$A$8:$A$47,0)),"BU ref not found"),$G30)</f>
        <v>0</v>
      </c>
      <c r="I30" s="88" t="str">
        <f aca="false">IF(AND(ISNUMBER($E30),ISNUMBER($H30)),ROUND($E30*$H30,2),"")</f>
        <v/>
      </c>
      <c r="J30" s="64"/>
    </row>
    <row r="31" customFormat="false" ht="15" hidden="false" customHeight="true" outlineLevel="0" collapsed="false">
      <c r="A31" s="83"/>
      <c r="B31" s="92"/>
      <c r="C31" s="84"/>
      <c r="D31" s="83"/>
      <c r="E31" s="85"/>
      <c r="F31" s="83"/>
      <c r="G31" s="85"/>
      <c r="H31" s="93" t="n">
        <f aca="false">IF($F31&lt;&gt;"",IFERROR(INDEX('Rate Build-Up'!$P$8:$P$47,MATCH($F31,'Rate Build-Up'!$A$8:$A$47,0)),"BU ref not found"),$G31)</f>
        <v>0</v>
      </c>
      <c r="I31" s="88" t="str">
        <f aca="false">IF(AND(ISNUMBER($E31),ISNUMBER($H31)),ROUND($E31*$H31,2),"")</f>
        <v/>
      </c>
      <c r="J31" s="64"/>
    </row>
    <row r="32" customFormat="false" ht="15" hidden="false" customHeight="true" outlineLevel="0" collapsed="false">
      <c r="A32" s="83"/>
      <c r="B32" s="92"/>
      <c r="C32" s="84"/>
      <c r="D32" s="83"/>
      <c r="E32" s="85"/>
      <c r="F32" s="83"/>
      <c r="G32" s="85"/>
      <c r="H32" s="93" t="n">
        <f aca="false">IF($F32&lt;&gt;"",IFERROR(INDEX('Rate Build-Up'!$P$8:$P$47,MATCH($F32,'Rate Build-Up'!$A$8:$A$47,0)),"BU ref not found"),$G32)</f>
        <v>0</v>
      </c>
      <c r="I32" s="88" t="str">
        <f aca="false">IF(AND(ISNUMBER($E32),ISNUMBER($H32)),ROUND($E32*$H32,2),"")</f>
        <v/>
      </c>
      <c r="J32" s="64"/>
    </row>
    <row r="33" customFormat="false" ht="15" hidden="false" customHeight="true" outlineLevel="0" collapsed="false">
      <c r="A33" s="83"/>
      <c r="B33" s="92"/>
      <c r="C33" s="84"/>
      <c r="D33" s="83"/>
      <c r="E33" s="85"/>
      <c r="F33" s="83"/>
      <c r="G33" s="85"/>
      <c r="H33" s="93" t="n">
        <f aca="false">IF($F33&lt;&gt;"",IFERROR(INDEX('Rate Build-Up'!$P$8:$P$47,MATCH($F33,'Rate Build-Up'!$A$8:$A$47,0)),"BU ref not found"),$G33)</f>
        <v>0</v>
      </c>
      <c r="I33" s="88" t="str">
        <f aca="false">IF(AND(ISNUMBER($E33),ISNUMBER($H33)),ROUND($E33*$H33,2),"")</f>
        <v/>
      </c>
      <c r="J33" s="64"/>
    </row>
    <row r="34" customFormat="false" ht="15" hidden="false" customHeight="true" outlineLevel="0" collapsed="false">
      <c r="A34" s="83"/>
      <c r="B34" s="92"/>
      <c r="C34" s="84"/>
      <c r="D34" s="83"/>
      <c r="E34" s="85"/>
      <c r="F34" s="83"/>
      <c r="G34" s="85"/>
      <c r="H34" s="93" t="n">
        <f aca="false">IF($F34&lt;&gt;"",IFERROR(INDEX('Rate Build-Up'!$P$8:$P$47,MATCH($F34,'Rate Build-Up'!$A$8:$A$47,0)),"BU ref not found"),$G34)</f>
        <v>0</v>
      </c>
      <c r="I34" s="88" t="str">
        <f aca="false">IF(AND(ISNUMBER($E34),ISNUMBER($H34)),ROUND($E34*$H34,2),"")</f>
        <v/>
      </c>
      <c r="J34" s="64"/>
    </row>
    <row r="35" customFormat="false" ht="15" hidden="false" customHeight="false" outlineLevel="0" collapsed="false">
      <c r="A35" s="42"/>
      <c r="B35" s="42"/>
      <c r="C35" s="43" t="s">
        <v>488</v>
      </c>
      <c r="D35" s="42"/>
      <c r="E35" s="42"/>
      <c r="F35" s="42"/>
      <c r="G35" s="42"/>
      <c r="H35" s="42"/>
      <c r="I35" s="89" t="n">
        <f aca="false">ROUND(SUM($I$27:$I$34),2)</f>
        <v>221420</v>
      </c>
      <c r="J35" s="42"/>
    </row>
    <row r="37" customFormat="false" ht="15" hidden="false" customHeight="false" outlineLevel="0" collapsed="false">
      <c r="A37" s="90" t="s">
        <v>489</v>
      </c>
      <c r="B37" s="82"/>
      <c r="C37" s="81" t="s">
        <v>490</v>
      </c>
      <c r="D37" s="82"/>
      <c r="E37" s="82"/>
      <c r="F37" s="82"/>
      <c r="G37" s="82"/>
      <c r="H37" s="82"/>
      <c r="I37" s="82"/>
      <c r="J37" s="91" t="s">
        <v>401</v>
      </c>
    </row>
    <row r="38" customFormat="false" ht="27.75" hidden="false" customHeight="true" outlineLevel="0" collapsed="false">
      <c r="A38" s="83" t="s">
        <v>491</v>
      </c>
      <c r="B38" s="92" t="s">
        <v>489</v>
      </c>
      <c r="C38" s="84" t="s">
        <v>492</v>
      </c>
      <c r="D38" s="83" t="s">
        <v>181</v>
      </c>
      <c r="E38" s="85" t="n">
        <v>3200</v>
      </c>
      <c r="F38" s="83" t="s">
        <v>493</v>
      </c>
      <c r="G38" s="85"/>
      <c r="H38" s="93" t="n">
        <f aca="false">IF($F38&lt;&gt;"",IFERROR(INDEX('Rate Build-Up'!$P$8:$P$47,MATCH($F38,'Rate Build-Up'!$A$8:$A$47,0)),"BU ref not found"),$G38)</f>
        <v>148.44</v>
      </c>
      <c r="I38" s="88" t="n">
        <f aca="false">IF(AND(ISNUMBER($E38),ISNUMBER($H38)),ROUND($E38*$H38,2),"")</f>
        <v>475008</v>
      </c>
      <c r="J38" s="64" t="s">
        <v>494</v>
      </c>
    </row>
    <row r="39" customFormat="false" ht="15" hidden="false" customHeight="true" outlineLevel="0" collapsed="false">
      <c r="A39" s="83"/>
      <c r="B39" s="92"/>
      <c r="C39" s="84"/>
      <c r="D39" s="83"/>
      <c r="E39" s="85"/>
      <c r="F39" s="83"/>
      <c r="G39" s="85"/>
      <c r="H39" s="93" t="n">
        <f aca="false">IF($F39&lt;&gt;"",IFERROR(INDEX('Rate Build-Up'!$P$8:$P$47,MATCH($F39,'Rate Build-Up'!$A$8:$A$47,0)),"BU ref not found"),$G39)</f>
        <v>0</v>
      </c>
      <c r="I39" s="88" t="str">
        <f aca="false">IF(AND(ISNUMBER($E39),ISNUMBER($H39)),ROUND($E39*$H39,2),"")</f>
        <v/>
      </c>
      <c r="J39" s="64"/>
    </row>
    <row r="40" customFormat="false" ht="15" hidden="false" customHeight="true" outlineLevel="0" collapsed="false">
      <c r="A40" s="83"/>
      <c r="B40" s="92"/>
      <c r="C40" s="84"/>
      <c r="D40" s="83"/>
      <c r="E40" s="85"/>
      <c r="F40" s="83"/>
      <c r="G40" s="85"/>
      <c r="H40" s="93" t="n">
        <f aca="false">IF($F40&lt;&gt;"",IFERROR(INDEX('Rate Build-Up'!$P$8:$P$47,MATCH($F40,'Rate Build-Up'!$A$8:$A$47,0)),"BU ref not found"),$G40)</f>
        <v>0</v>
      </c>
      <c r="I40" s="88" t="str">
        <f aca="false">IF(AND(ISNUMBER($E40),ISNUMBER($H40)),ROUND($E40*$H40,2),"")</f>
        <v/>
      </c>
      <c r="J40" s="64"/>
    </row>
    <row r="41" customFormat="false" ht="15" hidden="false" customHeight="true" outlineLevel="0" collapsed="false">
      <c r="A41" s="83"/>
      <c r="B41" s="92"/>
      <c r="C41" s="84"/>
      <c r="D41" s="83"/>
      <c r="E41" s="85"/>
      <c r="F41" s="83"/>
      <c r="G41" s="85"/>
      <c r="H41" s="93" t="n">
        <f aca="false">IF($F41&lt;&gt;"",IFERROR(INDEX('Rate Build-Up'!$P$8:$P$47,MATCH($F41,'Rate Build-Up'!$A$8:$A$47,0)),"BU ref not found"),$G41)</f>
        <v>0</v>
      </c>
      <c r="I41" s="88" t="str">
        <f aca="false">IF(AND(ISNUMBER($E41),ISNUMBER($H41)),ROUND($E41*$H41,2),"")</f>
        <v/>
      </c>
      <c r="J41" s="64"/>
    </row>
    <row r="42" customFormat="false" ht="15" hidden="false" customHeight="true" outlineLevel="0" collapsed="false">
      <c r="A42" s="83"/>
      <c r="B42" s="92"/>
      <c r="C42" s="84"/>
      <c r="D42" s="83"/>
      <c r="E42" s="85"/>
      <c r="F42" s="83"/>
      <c r="G42" s="85"/>
      <c r="H42" s="93" t="n">
        <f aca="false">IF($F42&lt;&gt;"",IFERROR(INDEX('Rate Build-Up'!$P$8:$P$47,MATCH($F42,'Rate Build-Up'!$A$8:$A$47,0)),"BU ref not found"),$G42)</f>
        <v>0</v>
      </c>
      <c r="I42" s="88" t="str">
        <f aca="false">IF(AND(ISNUMBER($E42),ISNUMBER($H42)),ROUND($E42*$H42,2),"")</f>
        <v/>
      </c>
      <c r="J42" s="64"/>
    </row>
    <row r="43" customFormat="false" ht="15" hidden="false" customHeight="true" outlineLevel="0" collapsed="false">
      <c r="A43" s="83"/>
      <c r="B43" s="92"/>
      <c r="C43" s="84"/>
      <c r="D43" s="83"/>
      <c r="E43" s="85"/>
      <c r="F43" s="83"/>
      <c r="G43" s="85"/>
      <c r="H43" s="93" t="n">
        <f aca="false">IF($F43&lt;&gt;"",IFERROR(INDEX('Rate Build-Up'!$P$8:$P$47,MATCH($F43,'Rate Build-Up'!$A$8:$A$47,0)),"BU ref not found"),$G43)</f>
        <v>0</v>
      </c>
      <c r="I43" s="88" t="str">
        <f aca="false">IF(AND(ISNUMBER($E43),ISNUMBER($H43)),ROUND($E43*$H43,2),"")</f>
        <v/>
      </c>
      <c r="J43" s="64"/>
    </row>
    <row r="44" customFormat="false" ht="15" hidden="false" customHeight="true" outlineLevel="0" collapsed="false">
      <c r="A44" s="83"/>
      <c r="B44" s="92"/>
      <c r="C44" s="84"/>
      <c r="D44" s="83"/>
      <c r="E44" s="85"/>
      <c r="F44" s="83"/>
      <c r="G44" s="85"/>
      <c r="H44" s="93" t="n">
        <f aca="false">IF($F44&lt;&gt;"",IFERROR(INDEX('Rate Build-Up'!$P$8:$P$47,MATCH($F44,'Rate Build-Up'!$A$8:$A$47,0)),"BU ref not found"),$G44)</f>
        <v>0</v>
      </c>
      <c r="I44" s="88" t="str">
        <f aca="false">IF(AND(ISNUMBER($E44),ISNUMBER($H44)),ROUND($E44*$H44,2),"")</f>
        <v/>
      </c>
      <c r="J44" s="64"/>
    </row>
    <row r="45" customFormat="false" ht="15" hidden="false" customHeight="false" outlineLevel="0" collapsed="false">
      <c r="A45" s="42"/>
      <c r="B45" s="42"/>
      <c r="C45" s="43" t="s">
        <v>495</v>
      </c>
      <c r="D45" s="42"/>
      <c r="E45" s="42"/>
      <c r="F45" s="42"/>
      <c r="G45" s="42"/>
      <c r="H45" s="42"/>
      <c r="I45" s="89" t="n">
        <f aca="false">ROUND(SUM($I$38:$I$44),2)</f>
        <v>475008</v>
      </c>
      <c r="J45" s="42"/>
    </row>
    <row r="47" customFormat="false" ht="15" hidden="false" customHeight="false" outlineLevel="0" collapsed="false">
      <c r="A47" s="90" t="s">
        <v>496</v>
      </c>
      <c r="B47" s="82"/>
      <c r="C47" s="81" t="s">
        <v>497</v>
      </c>
      <c r="D47" s="82"/>
      <c r="E47" s="82"/>
      <c r="F47" s="82"/>
      <c r="G47" s="82"/>
      <c r="H47" s="82"/>
      <c r="I47" s="82"/>
      <c r="J47" s="91" t="s">
        <v>444</v>
      </c>
    </row>
    <row r="48" customFormat="false" ht="27.75" hidden="false" customHeight="true" outlineLevel="0" collapsed="false">
      <c r="A48" s="83" t="s">
        <v>498</v>
      </c>
      <c r="B48" s="92" t="s">
        <v>496</v>
      </c>
      <c r="C48" s="84" t="s">
        <v>499</v>
      </c>
      <c r="D48" s="83" t="s">
        <v>181</v>
      </c>
      <c r="E48" s="85" t="n">
        <v>2850</v>
      </c>
      <c r="F48" s="83"/>
      <c r="G48" s="85" t="n">
        <v>1150</v>
      </c>
      <c r="H48" s="93" t="n">
        <f aca="false">IF($F48&lt;&gt;"",IFERROR(INDEX('Rate Build-Up'!$P$8:$P$47,MATCH($F48,'Rate Build-Up'!$A$8:$A$47,0)),"BU ref not found"),$G48)</f>
        <v>1150</v>
      </c>
      <c r="I48" s="88" t="n">
        <f aca="false">IF(AND(ISNUMBER($E48),ISNUMBER($H48)),ROUND($E48*$H48,2),"")</f>
        <v>3277500</v>
      </c>
      <c r="J48" s="64"/>
    </row>
    <row r="49" customFormat="false" ht="15" hidden="false" customHeight="true" outlineLevel="0" collapsed="false">
      <c r="A49" s="83" t="s">
        <v>500</v>
      </c>
      <c r="B49" s="92" t="s">
        <v>496</v>
      </c>
      <c r="C49" s="84" t="s">
        <v>501</v>
      </c>
      <c r="D49" s="83" t="s">
        <v>181</v>
      </c>
      <c r="E49" s="85" t="n">
        <v>1450</v>
      </c>
      <c r="F49" s="83"/>
      <c r="G49" s="85" t="n">
        <v>285</v>
      </c>
      <c r="H49" s="93" t="n">
        <f aca="false">IF($F49&lt;&gt;"",IFERROR(INDEX('Rate Build-Up'!$P$8:$P$47,MATCH($F49,'Rate Build-Up'!$A$8:$A$47,0)),"BU ref not found"),$G49)</f>
        <v>285</v>
      </c>
      <c r="I49" s="88" t="n">
        <f aca="false">IF(AND(ISNUMBER($E49),ISNUMBER($H49)),ROUND($E49*$H49,2),"")</f>
        <v>413250</v>
      </c>
      <c r="J49" s="64"/>
    </row>
    <row r="50" customFormat="false" ht="15" hidden="false" customHeight="true" outlineLevel="0" collapsed="false">
      <c r="A50" s="83"/>
      <c r="B50" s="92"/>
      <c r="C50" s="84"/>
      <c r="D50" s="83"/>
      <c r="E50" s="85"/>
      <c r="F50" s="83"/>
      <c r="G50" s="85"/>
      <c r="H50" s="93" t="n">
        <f aca="false">IF($F50&lt;&gt;"",IFERROR(INDEX('Rate Build-Up'!$P$8:$P$47,MATCH($F50,'Rate Build-Up'!$A$8:$A$47,0)),"BU ref not found"),$G50)</f>
        <v>0</v>
      </c>
      <c r="I50" s="88" t="str">
        <f aca="false">IF(AND(ISNUMBER($E50),ISNUMBER($H50)),ROUND($E50*$H50,2),"")</f>
        <v/>
      </c>
      <c r="J50" s="64"/>
    </row>
    <row r="51" customFormat="false" ht="15" hidden="false" customHeight="true" outlineLevel="0" collapsed="false">
      <c r="A51" s="83"/>
      <c r="B51" s="92"/>
      <c r="C51" s="84"/>
      <c r="D51" s="83"/>
      <c r="E51" s="85"/>
      <c r="F51" s="83"/>
      <c r="G51" s="85"/>
      <c r="H51" s="93" t="n">
        <f aca="false">IF($F51&lt;&gt;"",IFERROR(INDEX('Rate Build-Up'!$P$8:$P$47,MATCH($F51,'Rate Build-Up'!$A$8:$A$47,0)),"BU ref not found"),$G51)</f>
        <v>0</v>
      </c>
      <c r="I51" s="88" t="str">
        <f aca="false">IF(AND(ISNUMBER($E51),ISNUMBER($H51)),ROUND($E51*$H51,2),"")</f>
        <v/>
      </c>
      <c r="J51" s="64"/>
    </row>
    <row r="52" customFormat="false" ht="15" hidden="false" customHeight="true" outlineLevel="0" collapsed="false">
      <c r="A52" s="83"/>
      <c r="B52" s="92"/>
      <c r="C52" s="84"/>
      <c r="D52" s="83"/>
      <c r="E52" s="85"/>
      <c r="F52" s="83"/>
      <c r="G52" s="85"/>
      <c r="H52" s="93" t="n">
        <f aca="false">IF($F52&lt;&gt;"",IFERROR(INDEX('Rate Build-Up'!$P$8:$P$47,MATCH($F52,'Rate Build-Up'!$A$8:$A$47,0)),"BU ref not found"),$G52)</f>
        <v>0</v>
      </c>
      <c r="I52" s="88" t="str">
        <f aca="false">IF(AND(ISNUMBER($E52),ISNUMBER($H52)),ROUND($E52*$H52,2),"")</f>
        <v/>
      </c>
      <c r="J52" s="64"/>
    </row>
    <row r="53" customFormat="false" ht="15" hidden="false" customHeight="true" outlineLevel="0" collapsed="false">
      <c r="A53" s="83"/>
      <c r="B53" s="92"/>
      <c r="C53" s="84"/>
      <c r="D53" s="83"/>
      <c r="E53" s="85"/>
      <c r="F53" s="83"/>
      <c r="G53" s="85"/>
      <c r="H53" s="93" t="n">
        <f aca="false">IF($F53&lt;&gt;"",IFERROR(INDEX('Rate Build-Up'!$P$8:$P$47,MATCH($F53,'Rate Build-Up'!$A$8:$A$47,0)),"BU ref not found"),$G53)</f>
        <v>0</v>
      </c>
      <c r="I53" s="88" t="str">
        <f aca="false">IF(AND(ISNUMBER($E53),ISNUMBER($H53)),ROUND($E53*$H53,2),"")</f>
        <v/>
      </c>
      <c r="J53" s="64"/>
    </row>
    <row r="54" customFormat="false" ht="15" hidden="false" customHeight="true" outlineLevel="0" collapsed="false">
      <c r="A54" s="83"/>
      <c r="B54" s="92"/>
      <c r="C54" s="84"/>
      <c r="D54" s="83"/>
      <c r="E54" s="85"/>
      <c r="F54" s="83"/>
      <c r="G54" s="85"/>
      <c r="H54" s="93" t="n">
        <f aca="false">IF($F54&lt;&gt;"",IFERROR(INDEX('Rate Build-Up'!$P$8:$P$47,MATCH($F54,'Rate Build-Up'!$A$8:$A$47,0)),"BU ref not found"),$G54)</f>
        <v>0</v>
      </c>
      <c r="I54" s="88" t="str">
        <f aca="false">IF(AND(ISNUMBER($E54),ISNUMBER($H54)),ROUND($E54*$H54,2),"")</f>
        <v/>
      </c>
      <c r="J54" s="64"/>
    </row>
    <row r="55" customFormat="false" ht="15" hidden="false" customHeight="true" outlineLevel="0" collapsed="false">
      <c r="A55" s="83"/>
      <c r="B55" s="92"/>
      <c r="C55" s="84"/>
      <c r="D55" s="83"/>
      <c r="E55" s="85"/>
      <c r="F55" s="83"/>
      <c r="G55" s="85"/>
      <c r="H55" s="93" t="n">
        <f aca="false">IF($F55&lt;&gt;"",IFERROR(INDEX('Rate Build-Up'!$P$8:$P$47,MATCH($F55,'Rate Build-Up'!$A$8:$A$47,0)),"BU ref not found"),$G55)</f>
        <v>0</v>
      </c>
      <c r="I55" s="88" t="str">
        <f aca="false">IF(AND(ISNUMBER($E55),ISNUMBER($H55)),ROUND($E55*$H55,2),"")</f>
        <v/>
      </c>
      <c r="J55" s="64"/>
    </row>
    <row r="56" customFormat="false" ht="15" hidden="false" customHeight="true" outlineLevel="0" collapsed="false">
      <c r="A56" s="83"/>
      <c r="B56" s="92"/>
      <c r="C56" s="84"/>
      <c r="D56" s="83"/>
      <c r="E56" s="85"/>
      <c r="F56" s="83"/>
      <c r="G56" s="85"/>
      <c r="H56" s="93" t="n">
        <f aca="false">IF($F56&lt;&gt;"",IFERROR(INDEX('Rate Build-Up'!$P$8:$P$47,MATCH($F56,'Rate Build-Up'!$A$8:$A$47,0)),"BU ref not found"),$G56)</f>
        <v>0</v>
      </c>
      <c r="I56" s="88" t="str">
        <f aca="false">IF(AND(ISNUMBER($E56),ISNUMBER($H56)),ROUND($E56*$H56,2),"")</f>
        <v/>
      </c>
      <c r="J56" s="64"/>
    </row>
    <row r="57" customFormat="false" ht="15" hidden="false" customHeight="false" outlineLevel="0" collapsed="false">
      <c r="A57" s="42"/>
      <c r="B57" s="42"/>
      <c r="C57" s="43" t="s">
        <v>502</v>
      </c>
      <c r="D57" s="42"/>
      <c r="E57" s="42"/>
      <c r="F57" s="42"/>
      <c r="G57" s="42"/>
      <c r="H57" s="42"/>
      <c r="I57" s="89" t="n">
        <f aca="false">ROUND(SUM($I$48:$I$56),2)</f>
        <v>3690750</v>
      </c>
      <c r="J57" s="42"/>
    </row>
  </sheetData>
  <mergeCells count="4">
    <mergeCell ref="A1:I1"/>
    <mergeCell ref="A2:J2"/>
    <mergeCell ref="A3:J3"/>
    <mergeCell ref="A4:H4"/>
  </mergeCells>
  <conditionalFormatting sqref="C7:J59">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59"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2" min="1" style="0" width="9"/>
    <col collapsed="false" customWidth="true" hidden="false" outlineLevel="0" max="3" min="3" style="0" width="72"/>
    <col collapsed="false" customWidth="true" hidden="false" outlineLevel="0" max="4" min="4" style="0" width="8"/>
    <col collapsed="false" customWidth="true" hidden="false" outlineLevel="0" max="5" min="5" style="0" width="11"/>
    <col collapsed="false" customWidth="true" hidden="false" outlineLevel="0" max="6" min="6" style="0" width="9"/>
    <col collapsed="false" customWidth="true" hidden="false" outlineLevel="0" max="8" min="7" style="0" width="13"/>
    <col collapsed="false" customWidth="true" hidden="false" outlineLevel="0" max="9" min="9" style="0" width="15"/>
    <col collapsed="false" customWidth="true" hidden="false" outlineLevel="0" max="10" min="10" style="0" width="40"/>
  </cols>
  <sheetData>
    <row r="1" customFormat="false" ht="30" hidden="false" customHeight="true" outlineLevel="0" collapsed="false">
      <c r="A1" s="31" t="str">
        <f aca="false">Cover!$C$6</f>
        <v>Example Project – Commercial Office Fit-out and Base Build</v>
      </c>
      <c r="B1" s="31"/>
      <c r="C1" s="31"/>
      <c r="D1" s="31"/>
      <c r="E1" s="31"/>
      <c r="F1" s="31"/>
      <c r="G1" s="31"/>
      <c r="H1" s="31"/>
      <c r="I1" s="31"/>
      <c r="J1" s="76" t="s">
        <v>283</v>
      </c>
    </row>
    <row r="2" customFormat="false" ht="21.75" hidden="false" customHeight="true" outlineLevel="0" collapsed="false">
      <c r="A2" s="32" t="s">
        <v>503</v>
      </c>
      <c r="B2" s="32"/>
      <c r="C2" s="32"/>
      <c r="D2" s="32"/>
      <c r="E2" s="32"/>
      <c r="F2" s="32"/>
      <c r="G2" s="32"/>
      <c r="H2" s="32"/>
      <c r="I2" s="32"/>
      <c r="J2" s="32"/>
    </row>
    <row r="3" customFormat="false" ht="15" hidden="false" customHeight="false" outlineLevel="0" collapsed="false">
      <c r="A3" s="17" t="s">
        <v>504</v>
      </c>
      <c r="B3" s="17"/>
      <c r="C3" s="17"/>
      <c r="D3" s="17"/>
      <c r="E3" s="17"/>
      <c r="F3" s="17"/>
      <c r="G3" s="17"/>
      <c r="H3" s="17"/>
      <c r="I3" s="17"/>
      <c r="J3" s="17"/>
    </row>
    <row r="4" customFormat="false" ht="15" hidden="false" customHeight="false" outlineLevel="0" collapsed="false">
      <c r="A4" s="77" t="s">
        <v>333</v>
      </c>
      <c r="B4" s="77"/>
      <c r="C4" s="77"/>
      <c r="D4" s="77"/>
      <c r="E4" s="77"/>
      <c r="F4" s="77"/>
      <c r="G4" s="77"/>
      <c r="H4" s="77"/>
      <c r="I4" s="78" t="n">
        <f aca="false">ROUND($I$16+$I$26+$I$37+$I$48+$I$57+$I$66,2)</f>
        <v>771760</v>
      </c>
      <c r="J4" s="79" t="str">
        <f aca="false">"Total in "&amp;Cover!$C$10</f>
        <v>Total in CUR</v>
      </c>
    </row>
    <row r="6" customFormat="false" ht="31.5" hidden="false" customHeight="true" outlineLevel="0" collapsed="false">
      <c r="A6" s="36" t="s">
        <v>334</v>
      </c>
      <c r="B6" s="36" t="s">
        <v>335</v>
      </c>
      <c r="C6" s="36" t="s">
        <v>204</v>
      </c>
      <c r="D6" s="36" t="s">
        <v>336</v>
      </c>
      <c r="E6" s="36" t="s">
        <v>337</v>
      </c>
      <c r="F6" s="36" t="s">
        <v>338</v>
      </c>
      <c r="G6" s="36" t="str">
        <f aca="false">"Manual rate ("&amp;Cover!$C$10&amp;")"</f>
        <v>Manual rate (CUR)</v>
      </c>
      <c r="H6" s="36" t="str">
        <f aca="false">"Rate applied ("&amp;Cover!$C$10&amp;")"</f>
        <v>Rate applied (CUR)</v>
      </c>
      <c r="I6" s="36" t="str">
        <f aca="false">"AMOUNT ("&amp;Cover!$C$10&amp;")"</f>
        <v>AMOUNT (CUR)</v>
      </c>
      <c r="J6" s="36" t="s">
        <v>288</v>
      </c>
    </row>
    <row r="7" customFormat="false" ht="15" hidden="false" customHeight="false" outlineLevel="0" collapsed="false">
      <c r="A7" s="90" t="s">
        <v>505</v>
      </c>
      <c r="B7" s="82"/>
      <c r="C7" s="81" t="s">
        <v>506</v>
      </c>
      <c r="D7" s="82"/>
      <c r="E7" s="82"/>
      <c r="F7" s="82"/>
      <c r="G7" s="82"/>
      <c r="H7" s="82"/>
      <c r="I7" s="82"/>
      <c r="J7" s="91" t="s">
        <v>507</v>
      </c>
    </row>
    <row r="8" customFormat="false" ht="15" hidden="false" customHeight="true" outlineLevel="0" collapsed="false">
      <c r="A8" s="83" t="s">
        <v>508</v>
      </c>
      <c r="B8" s="92" t="s">
        <v>505</v>
      </c>
      <c r="C8" s="84" t="s">
        <v>509</v>
      </c>
      <c r="D8" s="83" t="s">
        <v>390</v>
      </c>
      <c r="E8" s="85" t="n">
        <v>2450</v>
      </c>
      <c r="F8" s="83"/>
      <c r="G8" s="85" t="n">
        <v>38</v>
      </c>
      <c r="H8" s="93" t="n">
        <f aca="false">IF($F8&lt;&gt;"",IFERROR(INDEX('Rate Build-Up'!$P$8:$P$47,MATCH($F8,'Rate Build-Up'!$A$8:$A$47,0)),"BU ref not found"),$G8)</f>
        <v>38</v>
      </c>
      <c r="I8" s="88" t="n">
        <f aca="false">IF(AND(ISNUMBER($E8),ISNUMBER($H8)),ROUND($E8*$H8,2),"")</f>
        <v>93100</v>
      </c>
      <c r="J8" s="64"/>
    </row>
    <row r="9" customFormat="false" ht="15" hidden="false" customHeight="true" outlineLevel="0" collapsed="false">
      <c r="A9" s="83" t="s">
        <v>510</v>
      </c>
      <c r="B9" s="92" t="s">
        <v>505</v>
      </c>
      <c r="C9" s="84" t="s">
        <v>511</v>
      </c>
      <c r="D9" s="83" t="s">
        <v>172</v>
      </c>
      <c r="E9" s="85" t="n">
        <v>1</v>
      </c>
      <c r="F9" s="83"/>
      <c r="G9" s="85" t="n">
        <v>18500</v>
      </c>
      <c r="H9" s="93" t="n">
        <f aca="false">IF($F9&lt;&gt;"",IFERROR(INDEX('Rate Build-Up'!$P$8:$P$47,MATCH($F9,'Rate Build-Up'!$A$8:$A$47,0)),"BU ref not found"),$G9)</f>
        <v>18500</v>
      </c>
      <c r="I9" s="88" t="n">
        <f aca="false">IF(AND(ISNUMBER($E9),ISNUMBER($H9)),ROUND($E9*$H9,2),"")</f>
        <v>18500</v>
      </c>
      <c r="J9" s="64"/>
    </row>
    <row r="10" customFormat="false" ht="15" hidden="false" customHeight="true" outlineLevel="0" collapsed="false">
      <c r="A10" s="83"/>
      <c r="B10" s="92"/>
      <c r="C10" s="84"/>
      <c r="D10" s="83"/>
      <c r="E10" s="85"/>
      <c r="F10" s="83"/>
      <c r="G10" s="85"/>
      <c r="H10" s="93" t="n">
        <f aca="false">IF($F10&lt;&gt;"",IFERROR(INDEX('Rate Build-Up'!$P$8:$P$47,MATCH($F10,'Rate Build-Up'!$A$8:$A$47,0)),"BU ref not found"),$G10)</f>
        <v>0</v>
      </c>
      <c r="I10" s="88" t="str">
        <f aca="false">IF(AND(ISNUMBER($E10),ISNUMBER($H10)),ROUND($E10*$H10,2),"")</f>
        <v/>
      </c>
      <c r="J10" s="64"/>
    </row>
    <row r="11" customFormat="false" ht="15" hidden="false" customHeight="true" outlineLevel="0" collapsed="false">
      <c r="A11" s="83"/>
      <c r="B11" s="92"/>
      <c r="C11" s="84"/>
      <c r="D11" s="83"/>
      <c r="E11" s="85"/>
      <c r="F11" s="83"/>
      <c r="G11" s="85"/>
      <c r="H11" s="93" t="n">
        <f aca="false">IF($F11&lt;&gt;"",IFERROR(INDEX('Rate Build-Up'!$P$8:$P$47,MATCH($F11,'Rate Build-Up'!$A$8:$A$47,0)),"BU ref not found"),$G11)</f>
        <v>0</v>
      </c>
      <c r="I11" s="88" t="str">
        <f aca="false">IF(AND(ISNUMBER($E11),ISNUMBER($H11)),ROUND($E11*$H11,2),"")</f>
        <v/>
      </c>
      <c r="J11" s="64"/>
    </row>
    <row r="12" customFormat="false" ht="15" hidden="false" customHeight="true" outlineLevel="0" collapsed="false">
      <c r="A12" s="83"/>
      <c r="B12" s="92"/>
      <c r="C12" s="84"/>
      <c r="D12" s="83"/>
      <c r="E12" s="85"/>
      <c r="F12" s="83"/>
      <c r="G12" s="85"/>
      <c r="H12" s="93" t="n">
        <f aca="false">IF($F12&lt;&gt;"",IFERROR(INDEX('Rate Build-Up'!$P$8:$P$47,MATCH($F12,'Rate Build-Up'!$A$8:$A$47,0)),"BU ref not found"),$G12)</f>
        <v>0</v>
      </c>
      <c r="I12" s="88" t="str">
        <f aca="false">IF(AND(ISNUMBER($E12),ISNUMBER($H12)),ROUND($E12*$H12,2),"")</f>
        <v/>
      </c>
      <c r="J12" s="64"/>
    </row>
    <row r="13" customFormat="false" ht="15" hidden="false" customHeight="true" outlineLevel="0" collapsed="false">
      <c r="A13" s="83"/>
      <c r="B13" s="92"/>
      <c r="C13" s="84"/>
      <c r="D13" s="83"/>
      <c r="E13" s="85"/>
      <c r="F13" s="83"/>
      <c r="G13" s="85"/>
      <c r="H13" s="93" t="n">
        <f aca="false">IF($F13&lt;&gt;"",IFERROR(INDEX('Rate Build-Up'!$P$8:$P$47,MATCH($F13,'Rate Build-Up'!$A$8:$A$47,0)),"BU ref not found"),$G13)</f>
        <v>0</v>
      </c>
      <c r="I13" s="88" t="str">
        <f aca="false">IF(AND(ISNUMBER($E13),ISNUMBER($H13)),ROUND($E13*$H13,2),"")</f>
        <v/>
      </c>
      <c r="J13" s="64"/>
    </row>
    <row r="14" customFormat="false" ht="15" hidden="false" customHeight="true" outlineLevel="0" collapsed="false">
      <c r="A14" s="83"/>
      <c r="B14" s="92"/>
      <c r="C14" s="84"/>
      <c r="D14" s="83"/>
      <c r="E14" s="85"/>
      <c r="F14" s="83"/>
      <c r="G14" s="85"/>
      <c r="H14" s="93" t="n">
        <f aca="false">IF($F14&lt;&gt;"",IFERROR(INDEX('Rate Build-Up'!$P$8:$P$47,MATCH($F14,'Rate Build-Up'!$A$8:$A$47,0)),"BU ref not found"),$G14)</f>
        <v>0</v>
      </c>
      <c r="I14" s="88" t="str">
        <f aca="false">IF(AND(ISNUMBER($E14),ISNUMBER($H14)),ROUND($E14*$H14,2),"")</f>
        <v/>
      </c>
      <c r="J14" s="64"/>
    </row>
    <row r="15" customFormat="false" ht="15" hidden="false" customHeight="true" outlineLevel="0" collapsed="false">
      <c r="A15" s="83"/>
      <c r="B15" s="92"/>
      <c r="C15" s="84"/>
      <c r="D15" s="83"/>
      <c r="E15" s="85"/>
      <c r="F15" s="83"/>
      <c r="G15" s="85"/>
      <c r="H15" s="93" t="n">
        <f aca="false">IF($F15&lt;&gt;"",IFERROR(INDEX('Rate Build-Up'!$P$8:$P$47,MATCH($F15,'Rate Build-Up'!$A$8:$A$47,0)),"BU ref not found"),$G15)</f>
        <v>0</v>
      </c>
      <c r="I15" s="88" t="str">
        <f aca="false">IF(AND(ISNUMBER($E15),ISNUMBER($H15)),ROUND($E15*$H15,2),"")</f>
        <v/>
      </c>
      <c r="J15" s="64"/>
    </row>
    <row r="16" customFormat="false" ht="15" hidden="false" customHeight="false" outlineLevel="0" collapsed="false">
      <c r="A16" s="42"/>
      <c r="B16" s="42"/>
      <c r="C16" s="43" t="s">
        <v>512</v>
      </c>
      <c r="D16" s="42"/>
      <c r="E16" s="42"/>
      <c r="F16" s="42"/>
      <c r="G16" s="42"/>
      <c r="H16" s="42"/>
      <c r="I16" s="89" t="n">
        <f aca="false">ROUND(SUM($I$8:$I$15),2)</f>
        <v>111600</v>
      </c>
      <c r="J16" s="42"/>
    </row>
    <row r="18" customFormat="false" ht="15" hidden="false" customHeight="false" outlineLevel="0" collapsed="false">
      <c r="A18" s="90" t="s">
        <v>513</v>
      </c>
      <c r="B18" s="82"/>
      <c r="C18" s="81" t="s">
        <v>514</v>
      </c>
      <c r="D18" s="82"/>
      <c r="E18" s="82"/>
      <c r="F18" s="82"/>
      <c r="G18" s="82"/>
      <c r="H18" s="82"/>
      <c r="I18" s="82"/>
      <c r="J18" s="91" t="s">
        <v>515</v>
      </c>
    </row>
    <row r="19" customFormat="false" ht="27.75" hidden="false" customHeight="true" outlineLevel="0" collapsed="false">
      <c r="A19" s="83" t="s">
        <v>516</v>
      </c>
      <c r="B19" s="92" t="s">
        <v>513</v>
      </c>
      <c r="C19" s="84" t="s">
        <v>517</v>
      </c>
      <c r="D19" s="83" t="s">
        <v>172</v>
      </c>
      <c r="E19" s="85" t="n">
        <v>96</v>
      </c>
      <c r="F19" s="83"/>
      <c r="G19" s="85" t="n">
        <v>1850</v>
      </c>
      <c r="H19" s="93" t="n">
        <f aca="false">IF($F19&lt;&gt;"",IFERROR(INDEX('Rate Build-Up'!$P$8:$P$47,MATCH($F19,'Rate Build-Up'!$A$8:$A$47,0)),"BU ref not found"),$G19)</f>
        <v>1850</v>
      </c>
      <c r="I19" s="88" t="n">
        <f aca="false">IF(AND(ISNUMBER($E19),ISNUMBER($H19)),ROUND($E19*$H19,2),"")</f>
        <v>177600</v>
      </c>
      <c r="J19" s="64"/>
    </row>
    <row r="20" customFormat="false" ht="15" hidden="false" customHeight="true" outlineLevel="0" collapsed="false">
      <c r="A20" s="83"/>
      <c r="B20" s="92"/>
      <c r="C20" s="84"/>
      <c r="D20" s="83"/>
      <c r="E20" s="85"/>
      <c r="F20" s="83"/>
      <c r="G20" s="85"/>
      <c r="H20" s="93" t="n">
        <f aca="false">IF($F20&lt;&gt;"",IFERROR(INDEX('Rate Build-Up'!$P$8:$P$47,MATCH($F20,'Rate Build-Up'!$A$8:$A$47,0)),"BU ref not found"),$G20)</f>
        <v>0</v>
      </c>
      <c r="I20" s="88" t="str">
        <f aca="false">IF(AND(ISNUMBER($E20),ISNUMBER($H20)),ROUND($E20*$H20,2),"")</f>
        <v/>
      </c>
      <c r="J20" s="64"/>
    </row>
    <row r="21" customFormat="false" ht="15" hidden="false" customHeight="true" outlineLevel="0" collapsed="false">
      <c r="A21" s="83"/>
      <c r="B21" s="92"/>
      <c r="C21" s="84"/>
      <c r="D21" s="83"/>
      <c r="E21" s="85"/>
      <c r="F21" s="83"/>
      <c r="G21" s="85"/>
      <c r="H21" s="93" t="n">
        <f aca="false">IF($F21&lt;&gt;"",IFERROR(INDEX('Rate Build-Up'!$P$8:$P$47,MATCH($F21,'Rate Build-Up'!$A$8:$A$47,0)),"BU ref not found"),$G21)</f>
        <v>0</v>
      </c>
      <c r="I21" s="88" t="str">
        <f aca="false">IF(AND(ISNUMBER($E21),ISNUMBER($H21)),ROUND($E21*$H21,2),"")</f>
        <v/>
      </c>
      <c r="J21" s="64"/>
    </row>
    <row r="22" customFormat="false" ht="15" hidden="false" customHeight="true" outlineLevel="0" collapsed="false">
      <c r="A22" s="83"/>
      <c r="B22" s="92"/>
      <c r="C22" s="84"/>
      <c r="D22" s="83"/>
      <c r="E22" s="85"/>
      <c r="F22" s="83"/>
      <c r="G22" s="85"/>
      <c r="H22" s="93" t="n">
        <f aca="false">IF($F22&lt;&gt;"",IFERROR(INDEX('Rate Build-Up'!$P$8:$P$47,MATCH($F22,'Rate Build-Up'!$A$8:$A$47,0)),"BU ref not found"),$G22)</f>
        <v>0</v>
      </c>
      <c r="I22" s="88" t="str">
        <f aca="false">IF(AND(ISNUMBER($E22),ISNUMBER($H22)),ROUND($E22*$H22,2),"")</f>
        <v/>
      </c>
      <c r="J22" s="64"/>
    </row>
    <row r="23" customFormat="false" ht="15" hidden="false" customHeight="true" outlineLevel="0" collapsed="false">
      <c r="A23" s="83"/>
      <c r="B23" s="92"/>
      <c r="C23" s="84"/>
      <c r="D23" s="83"/>
      <c r="E23" s="85"/>
      <c r="F23" s="83"/>
      <c r="G23" s="85"/>
      <c r="H23" s="93" t="n">
        <f aca="false">IF($F23&lt;&gt;"",IFERROR(INDEX('Rate Build-Up'!$P$8:$P$47,MATCH($F23,'Rate Build-Up'!$A$8:$A$47,0)),"BU ref not found"),$G23)</f>
        <v>0</v>
      </c>
      <c r="I23" s="88" t="str">
        <f aca="false">IF(AND(ISNUMBER($E23),ISNUMBER($H23)),ROUND($E23*$H23,2),"")</f>
        <v/>
      </c>
      <c r="J23" s="64"/>
    </row>
    <row r="24" customFormat="false" ht="15" hidden="false" customHeight="true" outlineLevel="0" collapsed="false">
      <c r="A24" s="83"/>
      <c r="B24" s="92"/>
      <c r="C24" s="84"/>
      <c r="D24" s="83"/>
      <c r="E24" s="85"/>
      <c r="F24" s="83"/>
      <c r="G24" s="85"/>
      <c r="H24" s="93" t="n">
        <f aca="false">IF($F24&lt;&gt;"",IFERROR(INDEX('Rate Build-Up'!$P$8:$P$47,MATCH($F24,'Rate Build-Up'!$A$8:$A$47,0)),"BU ref not found"),$G24)</f>
        <v>0</v>
      </c>
      <c r="I24" s="88" t="str">
        <f aca="false">IF(AND(ISNUMBER($E24),ISNUMBER($H24)),ROUND($E24*$H24,2),"")</f>
        <v/>
      </c>
      <c r="J24" s="64"/>
    </row>
    <row r="25" customFormat="false" ht="15" hidden="false" customHeight="true" outlineLevel="0" collapsed="false">
      <c r="A25" s="83"/>
      <c r="B25" s="92"/>
      <c r="C25" s="84"/>
      <c r="D25" s="83"/>
      <c r="E25" s="85"/>
      <c r="F25" s="83"/>
      <c r="G25" s="85"/>
      <c r="H25" s="93" t="n">
        <f aca="false">IF($F25&lt;&gt;"",IFERROR(INDEX('Rate Build-Up'!$P$8:$P$47,MATCH($F25,'Rate Build-Up'!$A$8:$A$47,0)),"BU ref not found"),$G25)</f>
        <v>0</v>
      </c>
      <c r="I25" s="88" t="str">
        <f aca="false">IF(AND(ISNUMBER($E25),ISNUMBER($H25)),ROUND($E25*$H25,2),"")</f>
        <v/>
      </c>
      <c r="J25" s="64"/>
    </row>
    <row r="26" customFormat="false" ht="15" hidden="false" customHeight="false" outlineLevel="0" collapsed="false">
      <c r="A26" s="42"/>
      <c r="B26" s="42"/>
      <c r="C26" s="43" t="s">
        <v>518</v>
      </c>
      <c r="D26" s="42"/>
      <c r="E26" s="42"/>
      <c r="F26" s="42"/>
      <c r="G26" s="42"/>
      <c r="H26" s="42"/>
      <c r="I26" s="89" t="n">
        <f aca="false">ROUND(SUM($I$19:$I$25),2)</f>
        <v>177600</v>
      </c>
      <c r="J26" s="42"/>
    </row>
    <row r="28" customFormat="false" ht="15" hidden="false" customHeight="false" outlineLevel="0" collapsed="false">
      <c r="A28" s="90" t="s">
        <v>519</v>
      </c>
      <c r="B28" s="82"/>
      <c r="C28" s="81" t="s">
        <v>520</v>
      </c>
      <c r="D28" s="82"/>
      <c r="E28" s="82"/>
      <c r="F28" s="82"/>
      <c r="G28" s="82"/>
      <c r="H28" s="82"/>
      <c r="I28" s="82"/>
      <c r="J28" s="91" t="s">
        <v>521</v>
      </c>
    </row>
    <row r="29" customFormat="false" ht="27.75" hidden="false" customHeight="true" outlineLevel="0" collapsed="false">
      <c r="A29" s="83" t="s">
        <v>522</v>
      </c>
      <c r="B29" s="92" t="s">
        <v>519</v>
      </c>
      <c r="C29" s="84" t="s">
        <v>523</v>
      </c>
      <c r="D29" s="83" t="s">
        <v>172</v>
      </c>
      <c r="E29" s="85" t="n">
        <v>84</v>
      </c>
      <c r="F29" s="83"/>
      <c r="G29" s="85" t="n">
        <v>1650</v>
      </c>
      <c r="H29" s="93" t="n">
        <f aca="false">IF($F29&lt;&gt;"",IFERROR(INDEX('Rate Build-Up'!$P$8:$P$47,MATCH($F29,'Rate Build-Up'!$A$8:$A$47,0)),"BU ref not found"),$G29)</f>
        <v>1650</v>
      </c>
      <c r="I29" s="88" t="n">
        <f aca="false">IF(AND(ISNUMBER($E29),ISNUMBER($H29)),ROUND($E29*$H29,2),"")</f>
        <v>138600</v>
      </c>
      <c r="J29" s="64"/>
    </row>
    <row r="30" customFormat="false" ht="15" hidden="false" customHeight="true" outlineLevel="0" collapsed="false">
      <c r="A30" s="83" t="s">
        <v>524</v>
      </c>
      <c r="B30" s="92" t="s">
        <v>519</v>
      </c>
      <c r="C30" s="84" t="s">
        <v>525</v>
      </c>
      <c r="D30" s="83" t="s">
        <v>172</v>
      </c>
      <c r="E30" s="85" t="n">
        <v>3</v>
      </c>
      <c r="F30" s="83"/>
      <c r="G30" s="85" t="n">
        <v>12800</v>
      </c>
      <c r="H30" s="93" t="n">
        <f aca="false">IF($F30&lt;&gt;"",IFERROR(INDEX('Rate Build-Up'!$P$8:$P$47,MATCH($F30,'Rate Build-Up'!$A$8:$A$47,0)),"BU ref not found"),$G30)</f>
        <v>12800</v>
      </c>
      <c r="I30" s="88" t="n">
        <f aca="false">IF(AND(ISNUMBER($E30),ISNUMBER($H30)),ROUND($E30*$H30,2),"")</f>
        <v>38400</v>
      </c>
      <c r="J30" s="64"/>
    </row>
    <row r="31" customFormat="false" ht="15" hidden="false" customHeight="true" outlineLevel="0" collapsed="false">
      <c r="A31" s="83"/>
      <c r="B31" s="92"/>
      <c r="C31" s="84"/>
      <c r="D31" s="83"/>
      <c r="E31" s="85"/>
      <c r="F31" s="83"/>
      <c r="G31" s="85"/>
      <c r="H31" s="93" t="n">
        <f aca="false">IF($F31&lt;&gt;"",IFERROR(INDEX('Rate Build-Up'!$P$8:$P$47,MATCH($F31,'Rate Build-Up'!$A$8:$A$47,0)),"BU ref not found"),$G31)</f>
        <v>0</v>
      </c>
      <c r="I31" s="88" t="str">
        <f aca="false">IF(AND(ISNUMBER($E31),ISNUMBER($H31)),ROUND($E31*$H31,2),"")</f>
        <v/>
      </c>
      <c r="J31" s="64"/>
    </row>
    <row r="32" customFormat="false" ht="15" hidden="false" customHeight="true" outlineLevel="0" collapsed="false">
      <c r="A32" s="83"/>
      <c r="B32" s="92"/>
      <c r="C32" s="84"/>
      <c r="D32" s="83"/>
      <c r="E32" s="85"/>
      <c r="F32" s="83"/>
      <c r="G32" s="85"/>
      <c r="H32" s="93" t="n">
        <f aca="false">IF($F32&lt;&gt;"",IFERROR(INDEX('Rate Build-Up'!$P$8:$P$47,MATCH($F32,'Rate Build-Up'!$A$8:$A$47,0)),"BU ref not found"),$G32)</f>
        <v>0</v>
      </c>
      <c r="I32" s="88" t="str">
        <f aca="false">IF(AND(ISNUMBER($E32),ISNUMBER($H32)),ROUND($E32*$H32,2),"")</f>
        <v/>
      </c>
      <c r="J32" s="64"/>
    </row>
    <row r="33" customFormat="false" ht="15" hidden="false" customHeight="true" outlineLevel="0" collapsed="false">
      <c r="A33" s="83"/>
      <c r="B33" s="92"/>
      <c r="C33" s="84"/>
      <c r="D33" s="83"/>
      <c r="E33" s="85"/>
      <c r="F33" s="83"/>
      <c r="G33" s="85"/>
      <c r="H33" s="93" t="n">
        <f aca="false">IF($F33&lt;&gt;"",IFERROR(INDEX('Rate Build-Up'!$P$8:$P$47,MATCH($F33,'Rate Build-Up'!$A$8:$A$47,0)),"BU ref not found"),$G33)</f>
        <v>0</v>
      </c>
      <c r="I33" s="88" t="str">
        <f aca="false">IF(AND(ISNUMBER($E33),ISNUMBER($H33)),ROUND($E33*$H33,2),"")</f>
        <v/>
      </c>
      <c r="J33" s="64"/>
    </row>
    <row r="34" customFormat="false" ht="15" hidden="false" customHeight="true" outlineLevel="0" collapsed="false">
      <c r="A34" s="83"/>
      <c r="B34" s="92"/>
      <c r="C34" s="84"/>
      <c r="D34" s="83"/>
      <c r="E34" s="85"/>
      <c r="F34" s="83"/>
      <c r="G34" s="85"/>
      <c r="H34" s="93" t="n">
        <f aca="false">IF($F34&lt;&gt;"",IFERROR(INDEX('Rate Build-Up'!$P$8:$P$47,MATCH($F34,'Rate Build-Up'!$A$8:$A$47,0)),"BU ref not found"),$G34)</f>
        <v>0</v>
      </c>
      <c r="I34" s="88" t="str">
        <f aca="false">IF(AND(ISNUMBER($E34),ISNUMBER($H34)),ROUND($E34*$H34,2),"")</f>
        <v/>
      </c>
      <c r="J34" s="64"/>
    </row>
    <row r="35" customFormat="false" ht="15" hidden="false" customHeight="true" outlineLevel="0" collapsed="false">
      <c r="A35" s="83"/>
      <c r="B35" s="92"/>
      <c r="C35" s="84"/>
      <c r="D35" s="83"/>
      <c r="E35" s="85"/>
      <c r="F35" s="83"/>
      <c r="G35" s="85"/>
      <c r="H35" s="93" t="n">
        <f aca="false">IF($F35&lt;&gt;"",IFERROR(INDEX('Rate Build-Up'!$P$8:$P$47,MATCH($F35,'Rate Build-Up'!$A$8:$A$47,0)),"BU ref not found"),$G35)</f>
        <v>0</v>
      </c>
      <c r="I35" s="88" t="str">
        <f aca="false">IF(AND(ISNUMBER($E35),ISNUMBER($H35)),ROUND($E35*$H35,2),"")</f>
        <v/>
      </c>
      <c r="J35" s="64"/>
    </row>
    <row r="36" customFormat="false" ht="15" hidden="false" customHeight="true" outlineLevel="0" collapsed="false">
      <c r="A36" s="83"/>
      <c r="B36" s="92"/>
      <c r="C36" s="84"/>
      <c r="D36" s="83"/>
      <c r="E36" s="85"/>
      <c r="F36" s="83"/>
      <c r="G36" s="85"/>
      <c r="H36" s="93" t="n">
        <f aca="false">IF($F36&lt;&gt;"",IFERROR(INDEX('Rate Build-Up'!$P$8:$P$47,MATCH($F36,'Rate Build-Up'!$A$8:$A$47,0)),"BU ref not found"),$G36)</f>
        <v>0</v>
      </c>
      <c r="I36" s="88" t="str">
        <f aca="false">IF(AND(ISNUMBER($E36),ISNUMBER($H36)),ROUND($E36*$H36,2),"")</f>
        <v/>
      </c>
      <c r="J36" s="64"/>
    </row>
    <row r="37" customFormat="false" ht="15" hidden="false" customHeight="false" outlineLevel="0" collapsed="false">
      <c r="A37" s="42"/>
      <c r="B37" s="42"/>
      <c r="C37" s="43" t="s">
        <v>526</v>
      </c>
      <c r="D37" s="42"/>
      <c r="E37" s="42"/>
      <c r="F37" s="42"/>
      <c r="G37" s="42"/>
      <c r="H37" s="42"/>
      <c r="I37" s="89" t="n">
        <f aca="false">ROUND(SUM($I$29:$I$36),2)</f>
        <v>177000</v>
      </c>
      <c r="J37" s="42"/>
    </row>
    <row r="39" customFormat="false" ht="15" hidden="false" customHeight="false" outlineLevel="0" collapsed="false">
      <c r="A39" s="90" t="s">
        <v>527</v>
      </c>
      <c r="B39" s="82"/>
      <c r="C39" s="81" t="s">
        <v>528</v>
      </c>
      <c r="D39" s="82"/>
      <c r="E39" s="82"/>
      <c r="F39" s="82"/>
      <c r="G39" s="82"/>
      <c r="H39" s="82"/>
      <c r="I39" s="82"/>
      <c r="J39" s="91" t="s">
        <v>438</v>
      </c>
    </row>
    <row r="40" customFormat="false" ht="27.75" hidden="false" customHeight="true" outlineLevel="0" collapsed="false">
      <c r="A40" s="83" t="s">
        <v>529</v>
      </c>
      <c r="B40" s="92" t="s">
        <v>527</v>
      </c>
      <c r="C40" s="84" t="s">
        <v>530</v>
      </c>
      <c r="D40" s="83" t="s">
        <v>172</v>
      </c>
      <c r="E40" s="85" t="n">
        <v>4</v>
      </c>
      <c r="F40" s="83"/>
      <c r="G40" s="85" t="n">
        <v>16500</v>
      </c>
      <c r="H40" s="93" t="n">
        <f aca="false">IF($F40&lt;&gt;"",IFERROR(INDEX('Rate Build-Up'!$P$8:$P$47,MATCH($F40,'Rate Build-Up'!$A$8:$A$47,0)),"BU ref not found"),$G40)</f>
        <v>16500</v>
      </c>
      <c r="I40" s="88" t="n">
        <f aca="false">IF(AND(ISNUMBER($E40),ISNUMBER($H40)),ROUND($E40*$H40,2),"")</f>
        <v>66000</v>
      </c>
      <c r="J40" s="64"/>
    </row>
    <row r="41" customFormat="false" ht="15" hidden="false" customHeight="true" outlineLevel="0" collapsed="false">
      <c r="A41" s="83" t="s">
        <v>531</v>
      </c>
      <c r="B41" s="92" t="s">
        <v>527</v>
      </c>
      <c r="C41" s="84" t="s">
        <v>532</v>
      </c>
      <c r="D41" s="83" t="s">
        <v>390</v>
      </c>
      <c r="E41" s="85" t="n">
        <v>145</v>
      </c>
      <c r="F41" s="83"/>
      <c r="G41" s="85" t="n">
        <v>780</v>
      </c>
      <c r="H41" s="93" t="n">
        <f aca="false">IF($F41&lt;&gt;"",IFERROR(INDEX('Rate Build-Up'!$P$8:$P$47,MATCH($F41,'Rate Build-Up'!$A$8:$A$47,0)),"BU ref not found"),$G41)</f>
        <v>780</v>
      </c>
      <c r="I41" s="88" t="n">
        <f aca="false">IF(AND(ISNUMBER($E41),ISNUMBER($H41)),ROUND($E41*$H41,2),"")</f>
        <v>113100</v>
      </c>
      <c r="J41" s="64"/>
    </row>
    <row r="42" customFormat="false" ht="15" hidden="false" customHeight="true" outlineLevel="0" collapsed="false">
      <c r="A42" s="83"/>
      <c r="B42" s="92"/>
      <c r="C42" s="84"/>
      <c r="D42" s="83"/>
      <c r="E42" s="85"/>
      <c r="F42" s="83"/>
      <c r="G42" s="85"/>
      <c r="H42" s="93" t="n">
        <f aca="false">IF($F42&lt;&gt;"",IFERROR(INDEX('Rate Build-Up'!$P$8:$P$47,MATCH($F42,'Rate Build-Up'!$A$8:$A$47,0)),"BU ref not found"),$G42)</f>
        <v>0</v>
      </c>
      <c r="I42" s="88" t="str">
        <f aca="false">IF(AND(ISNUMBER($E42),ISNUMBER($H42)),ROUND($E42*$H42,2),"")</f>
        <v/>
      </c>
      <c r="J42" s="64"/>
    </row>
    <row r="43" customFormat="false" ht="15" hidden="false" customHeight="true" outlineLevel="0" collapsed="false">
      <c r="A43" s="83"/>
      <c r="B43" s="92"/>
      <c r="C43" s="84"/>
      <c r="D43" s="83"/>
      <c r="E43" s="85"/>
      <c r="F43" s="83"/>
      <c r="G43" s="85"/>
      <c r="H43" s="93" t="n">
        <f aca="false">IF($F43&lt;&gt;"",IFERROR(INDEX('Rate Build-Up'!$P$8:$P$47,MATCH($F43,'Rate Build-Up'!$A$8:$A$47,0)),"BU ref not found"),$G43)</f>
        <v>0</v>
      </c>
      <c r="I43" s="88" t="str">
        <f aca="false">IF(AND(ISNUMBER($E43),ISNUMBER($H43)),ROUND($E43*$H43,2),"")</f>
        <v/>
      </c>
      <c r="J43" s="64"/>
    </row>
    <row r="44" customFormat="false" ht="15" hidden="false" customHeight="true" outlineLevel="0" collapsed="false">
      <c r="A44" s="83"/>
      <c r="B44" s="92"/>
      <c r="C44" s="84"/>
      <c r="D44" s="83"/>
      <c r="E44" s="85"/>
      <c r="F44" s="83"/>
      <c r="G44" s="85"/>
      <c r="H44" s="93" t="n">
        <f aca="false">IF($F44&lt;&gt;"",IFERROR(INDEX('Rate Build-Up'!$P$8:$P$47,MATCH($F44,'Rate Build-Up'!$A$8:$A$47,0)),"BU ref not found"),$G44)</f>
        <v>0</v>
      </c>
      <c r="I44" s="88" t="str">
        <f aca="false">IF(AND(ISNUMBER($E44),ISNUMBER($H44)),ROUND($E44*$H44,2),"")</f>
        <v/>
      </c>
      <c r="J44" s="64"/>
    </row>
    <row r="45" customFormat="false" ht="15" hidden="false" customHeight="true" outlineLevel="0" collapsed="false">
      <c r="A45" s="83"/>
      <c r="B45" s="92"/>
      <c r="C45" s="84"/>
      <c r="D45" s="83"/>
      <c r="E45" s="85"/>
      <c r="F45" s="83"/>
      <c r="G45" s="85"/>
      <c r="H45" s="93" t="n">
        <f aca="false">IF($F45&lt;&gt;"",IFERROR(INDEX('Rate Build-Up'!$P$8:$P$47,MATCH($F45,'Rate Build-Up'!$A$8:$A$47,0)),"BU ref not found"),$G45)</f>
        <v>0</v>
      </c>
      <c r="I45" s="88" t="str">
        <f aca="false">IF(AND(ISNUMBER($E45),ISNUMBER($H45)),ROUND($E45*$H45,2),"")</f>
        <v/>
      </c>
      <c r="J45" s="64"/>
    </row>
    <row r="46" customFormat="false" ht="15" hidden="false" customHeight="true" outlineLevel="0" collapsed="false">
      <c r="A46" s="83"/>
      <c r="B46" s="92"/>
      <c r="C46" s="84"/>
      <c r="D46" s="83"/>
      <c r="E46" s="85"/>
      <c r="F46" s="83"/>
      <c r="G46" s="85"/>
      <c r="H46" s="93" t="n">
        <f aca="false">IF($F46&lt;&gt;"",IFERROR(INDEX('Rate Build-Up'!$P$8:$P$47,MATCH($F46,'Rate Build-Up'!$A$8:$A$47,0)),"BU ref not found"),$G46)</f>
        <v>0</v>
      </c>
      <c r="I46" s="88" t="str">
        <f aca="false">IF(AND(ISNUMBER($E46),ISNUMBER($H46)),ROUND($E46*$H46,2),"")</f>
        <v/>
      </c>
      <c r="J46" s="64"/>
    </row>
    <row r="47" customFormat="false" ht="15" hidden="false" customHeight="true" outlineLevel="0" collapsed="false">
      <c r="A47" s="83"/>
      <c r="B47" s="92"/>
      <c r="C47" s="84"/>
      <c r="D47" s="83"/>
      <c r="E47" s="85"/>
      <c r="F47" s="83"/>
      <c r="G47" s="85"/>
      <c r="H47" s="93" t="n">
        <f aca="false">IF($F47&lt;&gt;"",IFERROR(INDEX('Rate Build-Up'!$P$8:$P$47,MATCH($F47,'Rate Build-Up'!$A$8:$A$47,0)),"BU ref not found"),$G47)</f>
        <v>0</v>
      </c>
      <c r="I47" s="88" t="str">
        <f aca="false">IF(AND(ISNUMBER($E47),ISNUMBER($H47)),ROUND($E47*$H47,2),"")</f>
        <v/>
      </c>
      <c r="J47" s="64"/>
    </row>
    <row r="48" customFormat="false" ht="15" hidden="false" customHeight="false" outlineLevel="0" collapsed="false">
      <c r="A48" s="42"/>
      <c r="B48" s="42"/>
      <c r="C48" s="43" t="s">
        <v>533</v>
      </c>
      <c r="D48" s="42"/>
      <c r="E48" s="42"/>
      <c r="F48" s="42"/>
      <c r="G48" s="42"/>
      <c r="H48" s="42"/>
      <c r="I48" s="89" t="n">
        <f aca="false">ROUND(SUM($I$40:$I$47),2)</f>
        <v>179100</v>
      </c>
      <c r="J48" s="42"/>
    </row>
    <row r="50" customFormat="false" ht="15" hidden="false" customHeight="false" outlineLevel="0" collapsed="false">
      <c r="A50" s="90" t="s">
        <v>534</v>
      </c>
      <c r="B50" s="82"/>
      <c r="C50" s="81" t="s">
        <v>535</v>
      </c>
      <c r="D50" s="82"/>
      <c r="E50" s="82"/>
      <c r="F50" s="82"/>
      <c r="G50" s="82"/>
      <c r="H50" s="82"/>
      <c r="I50" s="82"/>
      <c r="J50" s="91" t="s">
        <v>536</v>
      </c>
    </row>
    <row r="51" customFormat="false" ht="15" hidden="false" customHeight="true" outlineLevel="0" collapsed="false">
      <c r="A51" s="83" t="s">
        <v>537</v>
      </c>
      <c r="B51" s="92" t="s">
        <v>534</v>
      </c>
      <c r="C51" s="84" t="s">
        <v>538</v>
      </c>
      <c r="D51" s="83" t="s">
        <v>172</v>
      </c>
      <c r="E51" s="85" t="n">
        <v>28</v>
      </c>
      <c r="F51" s="83"/>
      <c r="G51" s="85" t="n">
        <v>420</v>
      </c>
      <c r="H51" s="93" t="n">
        <f aca="false">IF($F51&lt;&gt;"",IFERROR(INDEX('Rate Build-Up'!$P$8:$P$47,MATCH($F51,'Rate Build-Up'!$A$8:$A$47,0)),"BU ref not found"),$G51)</f>
        <v>420</v>
      </c>
      <c r="I51" s="88" t="n">
        <f aca="false">IF(AND(ISNUMBER($E51),ISNUMBER($H51)),ROUND($E51*$H51,2),"")</f>
        <v>11760</v>
      </c>
      <c r="J51" s="64"/>
    </row>
    <row r="52" customFormat="false" ht="15" hidden="false" customHeight="true" outlineLevel="0" collapsed="false">
      <c r="A52" s="83"/>
      <c r="B52" s="92"/>
      <c r="C52" s="84"/>
      <c r="D52" s="83"/>
      <c r="E52" s="85"/>
      <c r="F52" s="83"/>
      <c r="G52" s="85"/>
      <c r="H52" s="93" t="n">
        <f aca="false">IF($F52&lt;&gt;"",IFERROR(INDEX('Rate Build-Up'!$P$8:$P$47,MATCH($F52,'Rate Build-Up'!$A$8:$A$47,0)),"BU ref not found"),$G52)</f>
        <v>0</v>
      </c>
      <c r="I52" s="88" t="str">
        <f aca="false">IF(AND(ISNUMBER($E52),ISNUMBER($H52)),ROUND($E52*$H52,2),"")</f>
        <v/>
      </c>
      <c r="J52" s="64"/>
    </row>
    <row r="53" customFormat="false" ht="15" hidden="false" customHeight="true" outlineLevel="0" collapsed="false">
      <c r="A53" s="83"/>
      <c r="B53" s="92"/>
      <c r="C53" s="84"/>
      <c r="D53" s="83"/>
      <c r="E53" s="85"/>
      <c r="F53" s="83"/>
      <c r="G53" s="85"/>
      <c r="H53" s="93" t="n">
        <f aca="false">IF($F53&lt;&gt;"",IFERROR(INDEX('Rate Build-Up'!$P$8:$P$47,MATCH($F53,'Rate Build-Up'!$A$8:$A$47,0)),"BU ref not found"),$G53)</f>
        <v>0</v>
      </c>
      <c r="I53" s="88" t="str">
        <f aca="false">IF(AND(ISNUMBER($E53),ISNUMBER($H53)),ROUND($E53*$H53,2),"")</f>
        <v/>
      </c>
      <c r="J53" s="64"/>
    </row>
    <row r="54" customFormat="false" ht="15" hidden="false" customHeight="true" outlineLevel="0" collapsed="false">
      <c r="A54" s="83"/>
      <c r="B54" s="92"/>
      <c r="C54" s="84"/>
      <c r="D54" s="83"/>
      <c r="E54" s="85"/>
      <c r="F54" s="83"/>
      <c r="G54" s="85"/>
      <c r="H54" s="93" t="n">
        <f aca="false">IF($F54&lt;&gt;"",IFERROR(INDEX('Rate Build-Up'!$P$8:$P$47,MATCH($F54,'Rate Build-Up'!$A$8:$A$47,0)),"BU ref not found"),$G54)</f>
        <v>0</v>
      </c>
      <c r="I54" s="88" t="str">
        <f aca="false">IF(AND(ISNUMBER($E54),ISNUMBER($H54)),ROUND($E54*$H54,2),"")</f>
        <v/>
      </c>
      <c r="J54" s="64"/>
    </row>
    <row r="55" customFormat="false" ht="15" hidden="false" customHeight="true" outlineLevel="0" collapsed="false">
      <c r="A55" s="83"/>
      <c r="B55" s="92"/>
      <c r="C55" s="84"/>
      <c r="D55" s="83"/>
      <c r="E55" s="85"/>
      <c r="F55" s="83"/>
      <c r="G55" s="85"/>
      <c r="H55" s="93" t="n">
        <f aca="false">IF($F55&lt;&gt;"",IFERROR(INDEX('Rate Build-Up'!$P$8:$P$47,MATCH($F55,'Rate Build-Up'!$A$8:$A$47,0)),"BU ref not found"),$G55)</f>
        <v>0</v>
      </c>
      <c r="I55" s="88" t="str">
        <f aca="false">IF(AND(ISNUMBER($E55),ISNUMBER($H55)),ROUND($E55*$H55,2),"")</f>
        <v/>
      </c>
      <c r="J55" s="64"/>
    </row>
    <row r="56" customFormat="false" ht="15" hidden="false" customHeight="true" outlineLevel="0" collapsed="false">
      <c r="A56" s="83"/>
      <c r="B56" s="92"/>
      <c r="C56" s="84"/>
      <c r="D56" s="83"/>
      <c r="E56" s="85"/>
      <c r="F56" s="83"/>
      <c r="G56" s="85"/>
      <c r="H56" s="93" t="n">
        <f aca="false">IF($F56&lt;&gt;"",IFERROR(INDEX('Rate Build-Up'!$P$8:$P$47,MATCH($F56,'Rate Build-Up'!$A$8:$A$47,0)),"BU ref not found"),$G56)</f>
        <v>0</v>
      </c>
      <c r="I56" s="88" t="str">
        <f aca="false">IF(AND(ISNUMBER($E56),ISNUMBER($H56)),ROUND($E56*$H56,2),"")</f>
        <v/>
      </c>
      <c r="J56" s="64"/>
    </row>
    <row r="57" customFormat="false" ht="15" hidden="false" customHeight="false" outlineLevel="0" collapsed="false">
      <c r="A57" s="42"/>
      <c r="B57" s="42"/>
      <c r="C57" s="43" t="s">
        <v>539</v>
      </c>
      <c r="D57" s="42"/>
      <c r="E57" s="42"/>
      <c r="F57" s="42"/>
      <c r="G57" s="42"/>
      <c r="H57" s="42"/>
      <c r="I57" s="89" t="n">
        <f aca="false">ROUND(SUM($I$51:$I$56),2)</f>
        <v>11760</v>
      </c>
      <c r="J57" s="42"/>
    </row>
    <row r="59" customFormat="false" ht="15" hidden="false" customHeight="false" outlineLevel="0" collapsed="false">
      <c r="A59" s="90" t="s">
        <v>540</v>
      </c>
      <c r="B59" s="82"/>
      <c r="C59" s="81" t="s">
        <v>541</v>
      </c>
      <c r="D59" s="82"/>
      <c r="E59" s="82"/>
      <c r="F59" s="82"/>
      <c r="G59" s="82"/>
      <c r="H59" s="82"/>
      <c r="I59" s="82"/>
      <c r="J59" s="91" t="s">
        <v>432</v>
      </c>
    </row>
    <row r="60" customFormat="false" ht="27.75" hidden="false" customHeight="true" outlineLevel="0" collapsed="false">
      <c r="A60" s="83" t="s">
        <v>542</v>
      </c>
      <c r="B60" s="92" t="s">
        <v>540</v>
      </c>
      <c r="C60" s="84" t="s">
        <v>543</v>
      </c>
      <c r="D60" s="83" t="s">
        <v>181</v>
      </c>
      <c r="E60" s="85" t="n">
        <v>185</v>
      </c>
      <c r="F60" s="83"/>
      <c r="G60" s="85" t="n">
        <v>620</v>
      </c>
      <c r="H60" s="93" t="n">
        <f aca="false">IF($F60&lt;&gt;"",IFERROR(INDEX('Rate Build-Up'!$P$8:$P$47,MATCH($F60,'Rate Build-Up'!$A$8:$A$47,0)),"BU ref not found"),$G60)</f>
        <v>620</v>
      </c>
      <c r="I60" s="88" t="n">
        <f aca="false">IF(AND(ISNUMBER($E60),ISNUMBER($H60)),ROUND($E60*$H60,2),"")</f>
        <v>114700</v>
      </c>
      <c r="J60" s="64"/>
    </row>
    <row r="61" customFormat="false" ht="15" hidden="false" customHeight="true" outlineLevel="0" collapsed="false">
      <c r="A61" s="83"/>
      <c r="B61" s="92"/>
      <c r="C61" s="84"/>
      <c r="D61" s="83"/>
      <c r="E61" s="85"/>
      <c r="F61" s="83"/>
      <c r="G61" s="85"/>
      <c r="H61" s="93" t="n">
        <f aca="false">IF($F61&lt;&gt;"",IFERROR(INDEX('Rate Build-Up'!$P$8:$P$47,MATCH($F61,'Rate Build-Up'!$A$8:$A$47,0)),"BU ref not found"),$G61)</f>
        <v>0</v>
      </c>
      <c r="I61" s="88" t="str">
        <f aca="false">IF(AND(ISNUMBER($E61),ISNUMBER($H61)),ROUND($E61*$H61,2),"")</f>
        <v/>
      </c>
      <c r="J61" s="64"/>
    </row>
    <row r="62" customFormat="false" ht="15" hidden="false" customHeight="true" outlineLevel="0" collapsed="false">
      <c r="A62" s="83"/>
      <c r="B62" s="92"/>
      <c r="C62" s="84"/>
      <c r="D62" s="83"/>
      <c r="E62" s="85"/>
      <c r="F62" s="83"/>
      <c r="G62" s="85"/>
      <c r="H62" s="93" t="n">
        <f aca="false">IF($F62&lt;&gt;"",IFERROR(INDEX('Rate Build-Up'!$P$8:$P$47,MATCH($F62,'Rate Build-Up'!$A$8:$A$47,0)),"BU ref not found"),$G62)</f>
        <v>0</v>
      </c>
      <c r="I62" s="88" t="str">
        <f aca="false">IF(AND(ISNUMBER($E62),ISNUMBER($H62)),ROUND($E62*$H62,2),"")</f>
        <v/>
      </c>
      <c r="J62" s="64"/>
    </row>
    <row r="63" customFormat="false" ht="15" hidden="false" customHeight="true" outlineLevel="0" collapsed="false">
      <c r="A63" s="83"/>
      <c r="B63" s="92"/>
      <c r="C63" s="84"/>
      <c r="D63" s="83"/>
      <c r="E63" s="85"/>
      <c r="F63" s="83"/>
      <c r="G63" s="85"/>
      <c r="H63" s="93" t="n">
        <f aca="false">IF($F63&lt;&gt;"",IFERROR(INDEX('Rate Build-Up'!$P$8:$P$47,MATCH($F63,'Rate Build-Up'!$A$8:$A$47,0)),"BU ref not found"),$G63)</f>
        <v>0</v>
      </c>
      <c r="I63" s="88" t="str">
        <f aca="false">IF(AND(ISNUMBER($E63),ISNUMBER($H63)),ROUND($E63*$H63,2),"")</f>
        <v/>
      </c>
      <c r="J63" s="64"/>
    </row>
    <row r="64" customFormat="false" ht="15" hidden="false" customHeight="true" outlineLevel="0" collapsed="false">
      <c r="A64" s="83"/>
      <c r="B64" s="92"/>
      <c r="C64" s="84"/>
      <c r="D64" s="83"/>
      <c r="E64" s="85"/>
      <c r="F64" s="83"/>
      <c r="G64" s="85"/>
      <c r="H64" s="93" t="n">
        <f aca="false">IF($F64&lt;&gt;"",IFERROR(INDEX('Rate Build-Up'!$P$8:$P$47,MATCH($F64,'Rate Build-Up'!$A$8:$A$47,0)),"BU ref not found"),$G64)</f>
        <v>0</v>
      </c>
      <c r="I64" s="88" t="str">
        <f aca="false">IF(AND(ISNUMBER($E64),ISNUMBER($H64)),ROUND($E64*$H64,2),"")</f>
        <v/>
      </c>
      <c r="J64" s="64"/>
    </row>
    <row r="65" customFormat="false" ht="15" hidden="false" customHeight="true" outlineLevel="0" collapsed="false">
      <c r="A65" s="83"/>
      <c r="B65" s="92"/>
      <c r="C65" s="84"/>
      <c r="D65" s="83"/>
      <c r="E65" s="85"/>
      <c r="F65" s="83"/>
      <c r="G65" s="85"/>
      <c r="H65" s="93" t="n">
        <f aca="false">IF($F65&lt;&gt;"",IFERROR(INDEX('Rate Build-Up'!$P$8:$P$47,MATCH($F65,'Rate Build-Up'!$A$8:$A$47,0)),"BU ref not found"),$G65)</f>
        <v>0</v>
      </c>
      <c r="I65" s="88" t="str">
        <f aca="false">IF(AND(ISNUMBER($E65),ISNUMBER($H65)),ROUND($E65*$H65,2),"")</f>
        <v/>
      </c>
      <c r="J65" s="64"/>
    </row>
    <row r="66" customFormat="false" ht="15" hidden="false" customHeight="false" outlineLevel="0" collapsed="false">
      <c r="A66" s="42"/>
      <c r="B66" s="42"/>
      <c r="C66" s="43" t="s">
        <v>544</v>
      </c>
      <c r="D66" s="42"/>
      <c r="E66" s="42"/>
      <c r="F66" s="42"/>
      <c r="G66" s="42"/>
      <c r="H66" s="42"/>
      <c r="I66" s="89" t="n">
        <f aca="false">ROUND(SUM($I$60:$I$65),2)</f>
        <v>114700</v>
      </c>
      <c r="J66" s="42"/>
    </row>
  </sheetData>
  <mergeCells count="4">
    <mergeCell ref="A1:I1"/>
    <mergeCell ref="A2:J2"/>
    <mergeCell ref="A3:J3"/>
    <mergeCell ref="A4:H4"/>
  </mergeCells>
  <conditionalFormatting sqref="C7:J68">
    <cfRule type="expression" priority="2" aboveAverage="0" equalAverage="0" bottom="0" percent="0" rank="0" text="" dxfId="0">
      <formula>AND($E7&lt;&gt;"",NOT(ISNUMBER($H7)))</formula>
    </cfRule>
  </conditionalFormatting>
  <dataValidations count="1">
    <dataValidation allowBlank="true" errorStyle="stop" operator="between" showDropDown="false" showErrorMessage="false" showInputMessage="false" sqref="D7:D68" type="list">
      <formula1>Lists!$A$2:$A$14</formula1>
      <formula2>0</formula2>
    </dataValidation>
  </dataValidations>
  <hyperlinks>
    <hyperlink ref="J1" r:id="rId1" display="mastt.com"/>
  </hyperlinks>
  <printOptions headings="false" gridLines="false" gridLinesSet="true" horizontalCentered="false" verticalCentered="false"/>
  <pageMargins left="0.75" right="0.75" top="1" bottom="1" header="0.511811023622047" footer="0.5"/>
  <pageSetup paperSize="1" scale="100" fitToWidth="1" fitToHeight="0" pageOrder="downThenOver" orientation="landscape" blackAndWhite="false" draft="false" cellComments="none" horizontalDpi="300" verticalDpi="300" copies="1"/>
  <headerFooter differentFirst="false" differentOddEven="false">
    <oddHeader/>
    <oddFooter>&amp;L&amp;8 &amp;A&amp;C&amp;8 Page &amp;P of &amp;N&amp;R&amp;8 &amp;K133246Mastt  |  mastt.com</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2026-08-10T06:15:40Z</dcterms:created>
  <dc:creator>openpyxl</dc:creator>
  <dc:description/>
  <dc:language>en-US</dc:language>
  <cp:lastModifiedBy/>
  <dcterms:modified xsi:type="dcterms:W3CDTF">2026-08-10T06:15:41Z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