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1.xml.rels" ContentType="application/vnd.openxmlformats-package.relationships+xml"/>
  <Override PartName="/xl/worksheets/_rels/sheet5.xml.rels" ContentType="application/vnd.openxmlformats-package.relationships+xml"/>
  <Override PartName="/xl/worksheets/_rels/sheet10.xml.rels" ContentType="application/vnd.openxmlformats-package.relationships+xml"/>
  <Override PartName="/xl/worksheets/_rels/sheet4.xml.rels" ContentType="application/vnd.openxmlformats-package.relationships+xml"/>
  <Override PartName="/xl/worksheets/_rels/sheet9.xml.rels" ContentType="application/vnd.openxmlformats-package.relationships+xml"/>
  <Override PartName="/xl/worksheets/_rels/sheet8.xml.rels" ContentType="application/vnd.openxmlformats-package.relationships+xml"/>
  <Override PartName="/xl/worksheets/_rels/sheet7.xml.rels" ContentType="application/vnd.openxmlformats-package.relationships+xml"/>
  <Override PartName="/xl/worksheets/_rels/sheet6.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9.xml.rels" ContentType="application/vnd.openxmlformats-package.relationships+xml"/>
  <Override PartName="/xl/drawings/_rels/drawing8.xml.rels" ContentType="application/vnd.openxmlformats-package.relationships+xml"/>
  <Override PartName="/xl/drawings/_rels/drawing11.xml.rels" ContentType="application/vnd.openxmlformats-package.relationships+xml"/>
  <Override PartName="/xl/drawings/_rels/drawing6.xml.rels" ContentType="application/vnd.openxmlformats-package.relationships+xml"/>
  <Override PartName="/xl/drawings/_rels/drawing7.xml.rels" ContentType="application/vnd.openxmlformats-package.relationships+xml"/>
  <Override PartName="/xl/drawings/_rels/drawing10.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10.xml" ContentType="application/vnd.openxmlformats-officedocument.drawing+xml"/>
  <Override PartName="/xl/drawings/drawing7.xml" ContentType="application/vnd.openxmlformats-officedocument.drawing+xml"/>
  <Override PartName="/xl/drawings/drawing11.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Contract Particulars" sheetId="2" state="visible" r:id="rId4"/>
    <sheet name="Payment Certificate" sheetId="3" state="visible" r:id="rId5"/>
    <sheet name="Payment Schedule" sheetId="4" state="visible" r:id="rId6"/>
    <sheet name="Works Breakdown" sheetId="5" state="visible" r:id="rId7"/>
    <sheet name="Variations Register" sheetId="6" state="visible" r:id="rId8"/>
    <sheet name="Provisional Sums" sheetId="7" state="visible" r:id="rId9"/>
    <sheet name="Materials On Site" sheetId="8" state="visible" r:id="rId10"/>
    <sheet name="Retention and Security" sheetId="9" state="visible" r:id="rId11"/>
    <sheet name="Certificate Register" sheetId="10" state="visible" r:id="rId12"/>
    <sheet name="SOP Reference" sheetId="11" state="visible" r:id="rId13"/>
  </sheets>
  <definedNames>
    <definedName function="false" hidden="false" localSheetId="9" name="_xlnm.Print_Titles" vbProcedure="false">'Certificate Register'!$1:$8</definedName>
    <definedName function="false" hidden="false" localSheetId="7" name="_xlnm.Print_Titles" vbProcedure="false">'Materials On Site'!$1:$8</definedName>
    <definedName function="false" hidden="false" localSheetId="2" name="_xlnm.Print_Area" vbProcedure="false">'Payment Certificate'!$B$1:$F$90</definedName>
    <definedName function="false" hidden="false" localSheetId="3" name="_xlnm.Print_Area" vbProcedure="false">'Payment Schedule'!$B$1:$E$63</definedName>
    <definedName function="false" hidden="false" localSheetId="6" name="_xlnm.Print_Titles" vbProcedure="false">'Provisional Sums'!$1:$8</definedName>
    <definedName function="false" hidden="false" localSheetId="5" name="_xlnm.Print_Titles" vbProcedure="false">'Variations Register'!$1:$8</definedName>
    <definedName function="false" hidden="false" localSheetId="4" name="_xlnm.Print_Titles" vbProcedure="false">'Works Breakdown'!$1:$8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<sst xmlns="http://schemas.openxmlformats.org/spreadsheetml/2006/main" count="672" uniqueCount="575">
  <si>
    <t xml:space="preserve">Progress Payment Certificate</t>
  </si>
  <si>
    <t xml:space="preserve">Australian construction contracts  ·  Mastt template  ·  2026 edition</t>
  </si>
  <si>
    <t xml:space="preserve">READ ME FIRST</t>
  </si>
  <si>
    <t xml:space="preserve">  WHAT THIS WORKBOOK IS</t>
  </si>
  <si>
    <t xml:space="preserve">A complete progress payment certificate for Australian construction contracts. It works as three documents in one: an internal assessment (how the Superintendent got to the number), the certificate itself (what is payable), and a statutory payment schedule (the reasons anything was withheld). Every figure on the certificate is driven by a formula from the registers behind it — nothing is typed twice. It is drafted to suit the Australian Standard suite (AS 4000, AS 2124, AS 4902), GC21 and bespoke contracts, and adapts to any state or territory from a single dropdown.</t>
  </si>
  <si>
    <t xml:space="preserve">  THE TABS, IN THE ORDER YOU USE THEM</t>
  </si>
  <si>
    <t xml:space="preserve">Tab</t>
  </si>
  <si>
    <t xml:space="preserve">What it does</t>
  </si>
  <si>
    <t xml:space="preserve">You do this</t>
  </si>
  <si>
    <t xml:space="preserve">1.  Contract Particulars</t>
  </si>
  <si>
    <t xml:space="preserve">Parties, contract sum, GST, retention rules, jurisdiction. Everything else reads from here.</t>
  </si>
  <si>
    <t xml:space="preserve">Set up once at contract award.</t>
  </si>
  <si>
    <t xml:space="preserve">2.  Works Breakdown</t>
  </si>
  <si>
    <t xml:space="preserve">Trade-by-trade schedule of the contract works with claimed and certified percentages complete.</t>
  </si>
  <si>
    <t xml:space="preserve">Update % complete each month.</t>
  </si>
  <si>
    <t xml:space="preserve">3.  Variations Register</t>
  </si>
  <si>
    <t xml:space="preserve">All variations, approved or not. Only 'Approved' ones enter the Contract Sum.</t>
  </si>
  <si>
    <t xml:space="preserve">Add and assess each month.</t>
  </si>
  <si>
    <t xml:space="preserve">4.  Provisional Sums</t>
  </si>
  <si>
    <t xml:space="preserve">The net adjustment between the PS allowance and the actual value. No double counting.</t>
  </si>
  <si>
    <t xml:space="preserve">Update as PS items are let.</t>
  </si>
  <si>
    <t xml:space="preserve">5.  Materials On Site</t>
  </si>
  <si>
    <t xml:space="preserve">Unfixed plant and materials, allowed only against a vesting certificate and evidence of insurance.</t>
  </si>
  <si>
    <t xml:space="preserve">Update each month; reverse on incorporation.</t>
  </si>
  <si>
    <t xml:space="preserve">6.  Retention and Security</t>
  </si>
  <si>
    <t xml:space="preserve">Calculates retention on certified value, applies the cap, and handles PC and DLP releases. Registers bank guarantees.</t>
  </si>
  <si>
    <t xml:space="preserve">Check; enter last month's retention.</t>
  </si>
  <si>
    <t xml:space="preserve">7.  Payment Certificate</t>
  </si>
  <si>
    <t xml:space="preserve">The certificate. Claimed against certified, with the variance shown line by line, and the statutory dates.</t>
  </si>
  <si>
    <t xml:space="preserve">Enter certificate and claim details.</t>
  </si>
  <si>
    <t xml:space="preserve">8.  Payment Schedule</t>
  </si>
  <si>
    <t xml:space="preserve">The statutory payment schedule, with every reason for withholding tied to the certificate variance.</t>
  </si>
  <si>
    <t xml:space="preserve">Edit the reasons to fit the facts.</t>
  </si>
  <si>
    <t xml:space="preserve">9.  Certificate Register</t>
  </si>
  <si>
    <t xml:space="preserve">The audit trail of what has been certified and paid. Drives 'amounts previously certified'.</t>
  </si>
  <si>
    <t xml:space="preserve">Add a row after each certificate.</t>
  </si>
  <si>
    <t xml:space="preserve">10. SOP Reference</t>
  </si>
  <si>
    <t xml:space="preserve">Statutory timeframes for all eight jurisdictions, and the public holiday list used for business-day counts.</t>
  </si>
  <si>
    <t xml:space="preserve">Add your state's public holidays.</t>
  </si>
  <si>
    <t xml:space="preserve">  CELL COLOURS</t>
  </si>
  <si>
    <t xml:space="preserve">Blue text on a pale blue fill</t>
  </si>
  <si>
    <t xml:space="preserve">You type here. These are the only cells you should change.</t>
  </si>
  <si>
    <t xml:space="preserve">Black text</t>
  </si>
  <si>
    <t xml:space="preserve">A formula. Do not overtype — you will break the chain back to the registers.</t>
  </si>
  <si>
    <t xml:space="preserve">Green text</t>
  </si>
  <si>
    <t xml:space="preserve">A link to another sheet in this workbook.</t>
  </si>
  <si>
    <t xml:space="preserve">Red text</t>
  </si>
  <si>
    <t xml:space="preserve">A negative value, an exception, or a check that has failed. Investigate before issuing.</t>
  </si>
  <si>
    <t xml:space="preserve">  THE MONTHLY CYCLE</t>
  </si>
  <si>
    <t xml:space="preserve">Step 1</t>
  </si>
  <si>
    <t xml:space="preserve">Receive the payment claim. Record the date it was served on the Payment Certificate — every statutory clock runs from that date, not from the date on the claim.</t>
  </si>
  <si>
    <t xml:space="preserve">Step 2</t>
  </si>
  <si>
    <t xml:space="preserve">Enter the claimed percentages in column F of the Works Breakdown and column I of the Variations Register, so the workbook can show the variance.</t>
  </si>
  <si>
    <t xml:space="preserve">Step 3</t>
  </si>
  <si>
    <t xml:space="preserve">Carry forward last month's position: copy column I of the Works Breakdown into column J, column L of the Variations Register into column M, and the same for Provisional Sums and Materials On Site. Enter last month's net retention on the Retention and Security sheet.</t>
  </si>
  <si>
    <t xml:space="preserve">Step 4</t>
  </si>
  <si>
    <t xml:space="preserve">Assess. Enter your certified percentages and write the assessment comment against any line where you differ from the claim.</t>
  </si>
  <si>
    <t xml:space="preserve">Step 5</t>
  </si>
  <si>
    <t xml:space="preserve">Review the Payment Certificate. The variance column shows exactly where and why you differ. Confirm the total in column E of section B equals the sum of the reasons on the Payment Schedule — the check at the bottom of that sheet tells you.</t>
  </si>
  <si>
    <t xml:space="preserve">Step 6</t>
  </si>
  <si>
    <t xml:space="preserve">Edit the reasons on the Payment Schedule so they state the actual facts and the actual clause. Generic reasons are the single most common ground on which a payment schedule fails in adjudication.</t>
  </si>
  <si>
    <t xml:space="preserve">Step 7</t>
  </si>
  <si>
    <t xml:space="preserve">Issue both documents by the statutory date shown in section E of the certificate, and keep proof of service.</t>
  </si>
  <si>
    <t xml:space="preserve">Step 8</t>
  </si>
  <si>
    <t xml:space="preserve">Add a row to the Certificate Register. Until you do, the next certificate will not deduct this one.</t>
  </si>
  <si>
    <t xml:space="preserve">  BEFORE YOU USE IT ON A LIVE CONTRACT</t>
  </si>
  <si>
    <t xml:space="preserve">SAMPLE DATA IS LOADED. Every register is populated with a worked example — a $26.7m building project at certificate 8 — so you can see the formulas produce the right answers end to end. Before issuing anything, clear the sample rows on Works Breakdown, Variations Register, Provisional Sums, Materials On Site, Certificate Register and the security table on Retention and Security, and replace the particulars on the Contract Particulars sheet. Delete the CONTENTS of the blue cells only — never delete the rows themselves, or you will break the totals.</t>
  </si>
  <si>
    <t xml:space="preserve">  A FEW THINGS THAT MATTER</t>
  </si>
  <si>
    <t xml:space="preserve">Certificate numbers must be whole numbers in sequence</t>
  </si>
  <si>
    <t xml:space="preserve">Item 10 of the certificate sums every register row with a lower certificate number. A text reference such as 'PC-008' will not work — use the separate reference field for that.</t>
  </si>
  <si>
    <t xml:space="preserve">Provisional sums are not double counted</t>
  </si>
  <si>
    <t xml:space="preserve">The PS allowance stays as a line in the Works Breakdown and is valued there. The Provisional Sums sheet carries only the adjustment between the allowance and the actual value.</t>
  </si>
  <si>
    <t xml:space="preserve">Materials on site must reverse out</t>
  </si>
  <si>
    <t xml:space="preserve">When materials are built in, they are picked up by the Works Breakdown percentage. Set the % allowed on the Materials On Site sheet to zero in the same certificate, or you will pay for them twice.</t>
  </si>
  <si>
    <t xml:space="preserve">Retention is capped and released, not just accrued</t>
  </si>
  <si>
    <t xml:space="preserve">The workbook holds the lesser of the calculated retention and the contractual cap, releases the agreed proportion once Practical Completion is marked achieved, and releases the balance once the certificate date passes DLP expiry.</t>
  </si>
  <si>
    <t xml:space="preserve">Business days are only as good as your holiday list</t>
  </si>
  <si>
    <t xml:space="preserve">The statutory dates use WORKDAY over the holidays on the SOP Reference sheet. Nationally observed holidays for 2026-2027 are loaded; add your state's own. Victoria's 22 December to 10 January exclusion is not applied automatically.</t>
  </si>
  <si>
    <t xml:space="preserve">The certificate is also the payment schedule</t>
  </si>
  <si>
    <t xml:space="preserve">In every jurisdiction except the Northern Territory, this certificate and the Payment Schedule sheet together satisfy the statutory requirements: they identify the claim, state the scheduled amount, and state the reasons for any difference.</t>
  </si>
  <si>
    <t xml:space="preserve">  DISCLAIMER</t>
  </si>
  <si>
    <t xml:space="preserve">This template is provided by Mastt as a commercial project-administration tool. It is not legal advice, and the Security of Payment summaries in it are general information current at August 2026 only. Legislation differs between states and territories and changes frequently — Victoria's regime was substantially reformed on 15 April 2026, and the Northern Territory operates a different model entirely. The contract itself may impose shorter periods or different requirements, and where it does, the contract applies. Confirm the current legislation and your contractual obligations before issuing a certificate or a payment schedule.</t>
  </si>
  <si>
    <t xml:space="preserve">Built with Mastt  ·  capital project controls, cost management and reporting  ·  www.mastt.com</t>
  </si>
  <si>
    <t xml:space="preserve">Contract Particulars</t>
  </si>
  <si>
    <t xml:space="preserve">Single source of truth — every other sheet in this workbook reads from here</t>
  </si>
  <si>
    <t xml:space="preserve">SETUP</t>
  </si>
  <si>
    <t xml:space="preserve">  1 · PROJECT AND CONTRACT</t>
  </si>
  <si>
    <t xml:space="preserve">Project name</t>
  </si>
  <si>
    <t xml:space="preserve">Central Precinct Redevelopment — Building C</t>
  </si>
  <si>
    <t xml:space="preserve">Project number</t>
  </si>
  <si>
    <t xml:space="preserve">MST-2026-0412</t>
  </si>
  <si>
    <t xml:space="preserve">Project address</t>
  </si>
  <si>
    <t xml:space="preserve">14-22 Harbour Street, Sydney NSW 2000</t>
  </si>
  <si>
    <t xml:space="preserve">State / Territory (drives statutory dates)</t>
  </si>
  <si>
    <t xml:space="preserve">NSW</t>
  </si>
  <si>
    <t xml:space="preserve">Contract title / reference</t>
  </si>
  <si>
    <t xml:space="preserve">Head Contract HC-2025-118</t>
  </si>
  <si>
    <t xml:space="preserve">Contract form</t>
  </si>
  <si>
    <t xml:space="preserve">AS 4000-1997</t>
  </si>
  <si>
    <t xml:space="preserve">Date of contract</t>
  </si>
  <si>
    <t xml:space="preserve">Date for Practical Completion</t>
  </si>
  <si>
    <t xml:space="preserve">Defects Liability Period (months)</t>
  </si>
  <si>
    <t xml:space="preserve">  2 · PARTIES</t>
  </si>
  <si>
    <t xml:space="preserve">Principal</t>
  </si>
  <si>
    <t xml:space="preserve">Contractor</t>
  </si>
  <si>
    <t xml:space="preserve">Superintendent / Project Manager</t>
  </si>
  <si>
    <t xml:space="preserve">Legal entity name</t>
  </si>
  <si>
    <t xml:space="preserve">Harbour Precinct Holdings Pty Ltd</t>
  </si>
  <si>
    <t xml:space="preserve">Meridian Constructions Pty Ltd</t>
  </si>
  <si>
    <t xml:space="preserve">Mastt Advisory Pty Ltd</t>
  </si>
  <si>
    <t xml:space="preserve">ABN</t>
  </si>
  <si>
    <t xml:space="preserve">24 118 902 447</t>
  </si>
  <si>
    <t xml:space="preserve">61 004 552 118</t>
  </si>
  <si>
    <t xml:space="preserve">88 640 210 903</t>
  </si>
  <si>
    <t xml:space="preserve">Registered address</t>
  </si>
  <si>
    <t xml:space="preserve">Level 22, 1 Macquarie Place, Sydney NSW 2000</t>
  </si>
  <si>
    <t xml:space="preserve">8 Kirkham Road, Bowral NSW 2576</t>
  </si>
  <si>
    <t xml:space="preserve">Level 5, 100 Harris Street, Pyrmont NSW 2009</t>
  </si>
  <si>
    <t xml:space="preserve">Contact name</t>
  </si>
  <si>
    <t xml:space="preserve">A. Whitmore</t>
  </si>
  <si>
    <t xml:space="preserve">J. Calder</t>
  </si>
  <si>
    <t xml:space="preserve">D. Vincent</t>
  </si>
  <si>
    <t xml:space="preserve">Email</t>
  </si>
  <si>
    <t xml:space="preserve">awhitmore@harbourprecinct.com.au</t>
  </si>
  <si>
    <t xml:space="preserve">jcalder@meridiancon.com.au</t>
  </si>
  <si>
    <t xml:space="preserve">doug.vincent@mastt.com</t>
  </si>
  <si>
    <t xml:space="preserve">Telephone</t>
  </si>
  <si>
    <t xml:space="preserve">(02) 9210 4400</t>
  </si>
  <si>
    <t xml:space="preserve">(02) 4861 7720</t>
  </si>
  <si>
    <t xml:space="preserve">(02) 8005 1190</t>
  </si>
  <si>
    <t xml:space="preserve">  3 · CONTRACT SUM</t>
  </si>
  <si>
    <t xml:space="preserve">Original Contract Sum (excl GST)</t>
  </si>
  <si>
    <t xml:space="preserve">Add: approved variations (net, excl GST)</t>
  </si>
  <si>
    <t xml:space="preserve">← Variations Register (approved only)</t>
  </si>
  <si>
    <t xml:space="preserve">Add / (Less): provisional sum adjustments (net, excl GST)</t>
  </si>
  <si>
    <t xml:space="preserve">← Provisional Sums (net adjustment only, not the allowance)</t>
  </si>
  <si>
    <t xml:space="preserve">Adjusted Contract Sum (excl GST)</t>
  </si>
  <si>
    <t xml:space="preserve">GST rate</t>
  </si>
  <si>
    <t xml:space="preserve">GST on Adjusted Contract Sum</t>
  </si>
  <si>
    <t xml:space="preserve">Adjusted Contract Sum (incl GST)</t>
  </si>
  <si>
    <t xml:space="preserve">  4 · RETENTION AND SECURITY SETTINGS</t>
  </si>
  <si>
    <t xml:space="preserve">Retention rate — contract works</t>
  </si>
  <si>
    <t xml:space="preserve">Retention rate — variations</t>
  </si>
  <si>
    <t xml:space="preserve">Apply retention to unfixed plant and materials?</t>
  </si>
  <si>
    <t xml:space="preserve">No</t>
  </si>
  <si>
    <t xml:space="preserve">Yes / No. Materials on site are commonly held free of retention where a vesting certificate is provided.</t>
  </si>
  <si>
    <t xml:space="preserve">Retention cap (% of Adjusted Contract Sum)</t>
  </si>
  <si>
    <t xml:space="preserve">Retention cap ($)</t>
  </si>
  <si>
    <t xml:space="preserve">Proportion released at Practical Completion</t>
  </si>
  <si>
    <t xml:space="preserve">Practical Completion achieved?</t>
  </si>
  <si>
    <t xml:space="preserve">Date of Practical Completion</t>
  </si>
  <si>
    <t xml:space="preserve">Leave blank until Practical Completion is certified.</t>
  </si>
  <si>
    <t xml:space="preserve">Defects Liability Period expires</t>
  </si>
  <si>
    <t xml:space="preserve">Form of security held</t>
  </si>
  <si>
    <t xml:space="preserve">Cash retention and undertaking</t>
  </si>
  <si>
    <t xml:space="preserve">  5 · SECURITY OF PAYMENT — AUTOMATIC FROM STATE / TERRITORY</t>
  </si>
  <si>
    <t xml:space="preserve">Governing legislation</t>
  </si>
  <si>
    <t xml:space="preserve">Payment schedule due (business days after claim served)</t>
  </si>
  <si>
    <t xml:space="preserve">Payment due (business days after claim served)</t>
  </si>
  <si>
    <t xml:space="preserve">Statutory notes</t>
  </si>
  <si>
    <t xml:space="preserve">  6 · CERTIFYING PARTY</t>
  </si>
  <si>
    <t xml:space="preserve">Name of person certifying</t>
  </si>
  <si>
    <t xml:space="preserve">Douglas Vincent</t>
  </si>
  <si>
    <t xml:space="preserve">Role under the contract</t>
  </si>
  <si>
    <t xml:space="preserve">Superintendent's Representative</t>
  </si>
  <si>
    <t xml:space="preserve">Firm</t>
  </si>
  <si>
    <t xml:space="preserve">Registration / licence number</t>
  </si>
  <si>
    <t xml:space="preserve">NSW BDC 1140228</t>
  </si>
  <si>
    <t xml:space="preserve">Mastt  ·  Capital project controls, cost management and reporting  ·  www.mastt.com</t>
  </si>
  <si>
    <t xml:space="preserve">Issued by the Superintendent / Project Manager under the Contract and the applicable Security of Payment legislation</t>
  </si>
  <si>
    <t xml:space="preserve">PAYMENT CERTIFICATE</t>
  </si>
  <si>
    <t xml:space="preserve">  CERTIFICATE PARTICULARS</t>
  </si>
  <si>
    <t xml:space="preserve">Certificate number (numeric — drives the register lookup)</t>
  </si>
  <si>
    <t xml:space="preserve">Blue cells are inputs. Everything else calculates.</t>
  </si>
  <si>
    <t xml:space="preserve">Certificate reference</t>
  </si>
  <si>
    <t xml:space="preserve">PC-008</t>
  </si>
  <si>
    <t xml:space="preserve">Payment claim number</t>
  </si>
  <si>
    <t xml:space="preserve">Payment claim reference</t>
  </si>
  <si>
    <t xml:space="preserve">MC-PC008-JUL26</t>
  </si>
  <si>
    <t xml:space="preserve">Date payment claim served / received</t>
  </si>
  <si>
    <t xml:space="preserve">Statutory clocks in section E run from this date.</t>
  </si>
  <si>
    <t xml:space="preserve">Claim period — from</t>
  </si>
  <si>
    <t xml:space="preserve">Claim period — to</t>
  </si>
  <si>
    <t xml:space="preserve">Date of this certificate</t>
  </si>
  <si>
    <t xml:space="preserve">Certificate type</t>
  </si>
  <si>
    <t xml:space="preserve">Progress</t>
  </si>
  <si>
    <t xml:space="preserve">  PROJECT AND PARTIES</t>
  </si>
  <si>
    <t xml:space="preserve">Project</t>
  </si>
  <si>
    <t xml:space="preserve">Contract</t>
  </si>
  <si>
    <t xml:space="preserve">State / Territory</t>
  </si>
  <si>
    <t xml:space="preserve">  A · CONTRACT SUM</t>
  </si>
  <si>
    <t xml:space="preserve">Amount (excl GST)</t>
  </si>
  <si>
    <t xml:space="preserve">Original Contract Sum</t>
  </si>
  <si>
    <t xml:space="preserve">Add: approved variations (net)</t>
  </si>
  <si>
    <t xml:space="preserve">Add / (Less): provisional sum adjustments (net)</t>
  </si>
  <si>
    <t xml:space="preserve">ADJUSTED CONTRACT SUM (excl GST)</t>
  </si>
  <si>
    <t xml:space="preserve">  B · ASSESSMENT OF VALUE COMPLETED TO DATE</t>
  </si>
  <si>
    <t xml:space="preserve">Claimed by
Contractor</t>
  </si>
  <si>
    <t xml:space="preserve">Certified by
Superintendent</t>
  </si>
  <si>
    <t xml:space="preserve">Variance
(certified less claimed)</t>
  </si>
  <si>
    <t xml:space="preserve">Assessment comment</t>
  </si>
  <si>
    <t xml:space="preserve">1.  Value of contract works completed to date</t>
  </si>
  <si>
    <t xml:space="preserve">Assessed against the Works Breakdown, trade by trade.</t>
  </si>
  <si>
    <t xml:space="preserve">2.  Value of approved variations completed to date</t>
  </si>
  <si>
    <t xml:space="preserve">Only variations with status 'Approved' are certified.</t>
  </si>
  <si>
    <t xml:space="preserve">3.  Provisional sum adjustments certified to date</t>
  </si>
  <si>
    <t xml:space="preserve">Net adjustment only — the allowance is valued in item 1.</t>
  </si>
  <si>
    <t xml:space="preserve">4.  Unfixed plant and materials on site</t>
  </si>
  <si>
    <t xml:space="preserve">Allowed only where vesting and insurance are evidenced.</t>
  </si>
  <si>
    <t xml:space="preserve">GROSS VALUE CERTIFIED TO DATE</t>
  </si>
  <si>
    <t xml:space="preserve">5.  Less: retention held to date</t>
  </si>
  <si>
    <t xml:space="preserve">Capped, and net of releases — see Retention and Security.</t>
  </si>
  <si>
    <t xml:space="preserve">VALUE AFTER RETENTION</t>
  </si>
  <si>
    <t xml:space="preserve">  C · ADJUSTMENTS AND DEDUCTIONS</t>
  </si>
  <si>
    <t xml:space="preserve">6.  Less: liquidated damages</t>
  </si>
  <si>
    <t xml:space="preserve">Enter as a positive number. State the clause and the period in the comment.</t>
  </si>
  <si>
    <t xml:space="preserve">7.  Less: set-offs, back-charges and contra charges</t>
  </si>
  <si>
    <t xml:space="preserve">Temporary fencing and site clean, weeks 27-30 (contra charge CC-14).</t>
  </si>
  <si>
    <t xml:space="preserve">8.  Less: other deductions (specify)</t>
  </si>
  <si>
    <t xml:space="preserve">9.  Add: other amounts (specify)</t>
  </si>
  <si>
    <t xml:space="preserve">e.g. rise and fall, insurance recoveries, agreed prolongation costs.</t>
  </si>
  <si>
    <t xml:space="preserve">NET VALUE CERTIFIED TO DATE (excl GST)</t>
  </si>
  <si>
    <t xml:space="preserve">  D · AMOUNT PAYABLE UNDER THIS CERTIFICATE</t>
  </si>
  <si>
    <t xml:space="preserve">10.  Less: amounts previously certified (excl GST)</t>
  </si>
  <si>
    <t xml:space="preserve">Sum of every certificate in the register with a lower certificate number.</t>
  </si>
  <si>
    <t xml:space="preserve">11.  Amount due this certificate (excl GST)</t>
  </si>
  <si>
    <t xml:space="preserve">12.  GST</t>
  </si>
  <si>
    <t xml:space="preserve">GST rate is set on Contract Particulars.</t>
  </si>
  <si>
    <t xml:space="preserve">13.  TOTAL PAYABLE UNDER THIS CERTIFICATE (incl GST)</t>
  </si>
  <si>
    <t xml:space="preserve">This is the scheduled amount for the purposes of the payment schedule.</t>
  </si>
  <si>
    <t xml:space="preserve">  E · STATUTORY DATES — SECURITY OF PAYMENT</t>
  </si>
  <si>
    <t xml:space="preserve">Payment schedule to be served on or before</t>
  </si>
  <si>
    <t xml:space="preserve">Payment due on or before</t>
  </si>
  <si>
    <t xml:space="preserve">Statutory default only. The contract may require a shorter period, in which case the shorter period applies. Business days exclude weekends and the public holidays listed on the SOP Reference sheet — check that your state's holidays are loaded. In Victoria, 22 December to 10 January is excluded from business-day counts and is NOT applied automatically here.</t>
  </si>
  <si>
    <t xml:space="preserve">  F · PROJECT STATUS SUMMARY</t>
  </si>
  <si>
    <t xml:space="preserve">Gross value certified to date (excl GST)</t>
  </si>
  <si>
    <t xml:space="preserve">Percentage of Adjusted Contract Sum certified</t>
  </si>
  <si>
    <t xml:space="preserve">Balance of contract works to complete (excl GST)</t>
  </si>
  <si>
    <t xml:space="preserve">Net retention held</t>
  </si>
  <si>
    <t xml:space="preserve">Retention cap</t>
  </si>
  <si>
    <t xml:space="preserve">Security held (unconditional undertakings)</t>
  </si>
  <si>
    <t xml:space="preserve">Total certified to date (incl GST)</t>
  </si>
  <si>
    <t xml:space="preserve">  G · CERTIFICATION</t>
  </si>
  <si>
    <t xml:space="preserve">I certify that, in my opinion as Superintendent / Project Manager under the Contract, the amount set out at item 13 above is the amount properly payable to the Contractor for the claim period stated, having assessed the payment claim identified above.</t>
  </si>
  <si>
    <t xml:space="preserve">This certificate constitutes a payment schedule for the purposes of the Security of Payment legislation identified in section E. The scheduled amount is the amount at item 13. Where the scheduled amount is less than the claimed amount, the reasons are set out in full on the Payment Schedule sheet of this workbook and are incorporated into this certificate.</t>
  </si>
  <si>
    <t xml:space="preserve">This certificate is not evidence that the works to which it relates have been carried out in accordance with the Contract, is not an approval or acceptance of any work, and is subject to correction in any subsequent certificate.</t>
  </si>
  <si>
    <t xml:space="preserve">Amounts are stated in Australian dollars. GST is payable in addition to the amounts shown as excluding GST.</t>
  </si>
  <si>
    <t xml:space="preserve">Certified by
Superintendent / Project Manager</t>
  </si>
  <si>
    <t xml:space="preserve">Received and acknowledged by
the Contractor</t>
  </si>
  <si>
    <t xml:space="preserve">For the Principal (payment authorisation)</t>
  </si>
  <si>
    <t xml:space="preserve">Name</t>
  </si>
  <si>
    <t xml:space="preserve">Position</t>
  </si>
  <si>
    <t xml:space="preserve">Company</t>
  </si>
  <si>
    <t xml:space="preserve">Signature</t>
  </si>
  <si>
    <t xml:space="preserve">Date</t>
  </si>
  <si>
    <t xml:space="preserve">Registration / licence no.</t>
  </si>
  <si>
    <t xml:space="preserve">Template provided by Mastt for use by capital project owners and their advisers. It is a commercial administration tool, not legal advice. Confirm the requirements of your contract and the Security of Payment legislation in the relevant jurisdiction before issuing a certificate or payment schedule.</t>
  </si>
  <si>
    <t xml:space="preserve">Payment Schedule</t>
  </si>
  <si>
    <t xml:space="preserve">Statutory payment schedule in response to the payment claim identified below</t>
  </si>
  <si>
    <t xml:space="preserve">SECURITY OF PAYMENT</t>
  </si>
  <si>
    <t xml:space="preserve">  A · PARTIES</t>
  </si>
  <si>
    <t xml:space="preserve">To (Claimant / Contractor)</t>
  </si>
  <si>
    <t xml:space="preserve">From (Respondent / Principal)</t>
  </si>
  <si>
    <t xml:space="preserve">  B · PAYMENT CLAIM TO WHICH THIS SCHEDULE RELATES</t>
  </si>
  <si>
    <t xml:space="preserve">Date the payment claim was served</t>
  </si>
  <si>
    <t xml:space="preserve">Claim period</t>
  </si>
  <si>
    <t xml:space="preserve">Claimed amount (excl GST)</t>
  </si>
  <si>
    <t xml:space="preserve">GST on the claimed amount</t>
  </si>
  <si>
    <t xml:space="preserve">CLAIMED AMOUNT (incl GST)</t>
  </si>
  <si>
    <t xml:space="preserve">  C · SCHEDULED AMOUNT</t>
  </si>
  <si>
    <t xml:space="preserve">Scheduled amount (excl GST)</t>
  </si>
  <si>
    <t xml:space="preserve">GST on the scheduled amount</t>
  </si>
  <si>
    <t xml:space="preserve">SCHEDULED AMOUNT (incl GST)</t>
  </si>
  <si>
    <t xml:space="preserve">The amount the Respondent proposes to pay in respect of this payment claim.</t>
  </si>
  <si>
    <t xml:space="preserve">Difference (scheduled less claimed, incl GST)</t>
  </si>
  <si>
    <t xml:space="preserve">Where this is negative, every reason for withholding must be stated in section D.</t>
  </si>
  <si>
    <t xml:space="preserve">  D · REASONS FOR WITHHOLDING PAYMENT</t>
  </si>
  <si>
    <t xml:space="preserve">Item / basis of the difference</t>
  </si>
  <si>
    <t xml:space="preserve">Amount withheld
(excl GST)</t>
  </si>
  <si>
    <t xml:space="preserve">Contract clause</t>
  </si>
  <si>
    <t xml:space="preserve">Reason (this text is the statutory reason — edit it to fit the facts)</t>
  </si>
  <si>
    <t xml:space="preserve">Item 1 — contract works</t>
  </si>
  <si>
    <t xml:space="preserve">cl. 37.2</t>
  </si>
  <si>
    <t xml:space="preserve">The Superintendent's assessment of the value of work carried out to date is less than the amount claimed. Percentages complete have been assessed against the Works Breakdown, trade by trade, from site inspection and the contractor's supporting documentation.</t>
  </si>
  <si>
    <t xml:space="preserve">Item 2 — variations</t>
  </si>
  <si>
    <t xml:space="preserve">cl. 36</t>
  </si>
  <si>
    <t xml:space="preserve">Amounts claimed for variations that have not been approved under the Contract are not certified. Approved variations have been valued at the assessed percentage complete.</t>
  </si>
  <si>
    <t xml:space="preserve">Item 3 — provisional sums</t>
  </si>
  <si>
    <t xml:space="preserve">cl. 11</t>
  </si>
  <si>
    <t xml:space="preserve">The adjustment to provisional and prime cost sums has been assessed on the actual value of work performed and substantiated to date.</t>
  </si>
  <si>
    <t xml:space="preserve">Item 4 — unfixed plant and materials</t>
  </si>
  <si>
    <t xml:space="preserve">cl. 42.4</t>
  </si>
  <si>
    <t xml:space="preserve">Amounts for unfixed plant and materials are allowed only where a vesting certificate has been provided and evidence of insurance has been produced. Items that do not meet both requirements are not certified.</t>
  </si>
  <si>
    <t xml:space="preserve">Item 5 — retention</t>
  </si>
  <si>
    <t xml:space="preserve">cl. 5</t>
  </si>
  <si>
    <t xml:space="preserve">Retention has been deducted at the rate provided by the Contract, capped at the contractual limit, and net of any amounts released.</t>
  </si>
  <si>
    <t xml:space="preserve">Item 6 — liquidated damages</t>
  </si>
  <si>
    <t xml:space="preserve">cl. 34.7</t>
  </si>
  <si>
    <t xml:space="preserve">Liquidated damages have been set off in respect of the period stated in the certificate.</t>
  </si>
  <si>
    <t xml:space="preserve">Item 7 — set-offs and back-charges</t>
  </si>
  <si>
    <t xml:space="preserve">cl. 37.6</t>
  </si>
  <si>
    <t xml:space="preserve">Amounts owing by the Contractor to the Principal have been set off, as itemised in the certificate.</t>
  </si>
  <si>
    <t xml:space="preserve">Item 8 — other deductions</t>
  </si>
  <si>
    <t xml:space="preserve">Other deductions as specified in the certificate.</t>
  </si>
  <si>
    <t xml:space="preserve">Item 9 — other amounts added</t>
  </si>
  <si>
    <t xml:space="preserve">Additional amounts certified in favour of the Contractor, which reduce the net amount withheld.</t>
  </si>
  <si>
    <t xml:space="preserve">TOTAL WITHHELD (excl GST)</t>
  </si>
  <si>
    <t xml:space="preserve">GST on the amount withheld</t>
  </si>
  <si>
    <t xml:space="preserve">TOTAL WITHHELD (incl GST)</t>
  </si>
  <si>
    <t xml:space="preserve">  E · SERVICE AND SIGNATURE</t>
  </si>
  <si>
    <t xml:space="preserve">This payment schedule must be served on or before</t>
  </si>
  <si>
    <t xml:space="preserve">If a payment schedule is not served within the statutory period, the respondent becomes liable to pay the full claimed amount and, in several jurisdictions, is barred from raising a cross-claim or defence in recovery proceedings. Serve the schedule in accordance with the service provisions of the Contract and keep proof of service. In the Northern Territory there is no payment schedule regime — issue a written notice of dispute instead.</t>
  </si>
  <si>
    <t xml:space="preserve">Signed for the Respondent</t>
  </si>
  <si>
    <t xml:space="preserve">Works Breakdown</t>
  </si>
  <si>
    <t xml:space="preserve">Trade-by-trade assessment of the contract works</t>
  </si>
  <si>
    <t xml:space="preserve">SCHEDULE OF WORKS</t>
  </si>
  <si>
    <t xml:space="preserve">  SCHEDULE OF WORKS</t>
  </si>
  <si>
    <t xml:space="preserve">Item
No.</t>
  </si>
  <si>
    <t xml:space="preserve">Description of work</t>
  </si>
  <si>
    <t xml:space="preserve">Trade /
WBS</t>
  </si>
  <si>
    <t xml:space="preserve">Contract value
(excl GST)</t>
  </si>
  <si>
    <t xml:space="preserve">Claimed %
to date</t>
  </si>
  <si>
    <t xml:space="preserve">Claimed value
to date</t>
  </si>
  <si>
    <t xml:space="preserve">Certified %
to date</t>
  </si>
  <si>
    <t xml:space="preserve">Certified value
to date</t>
  </si>
  <si>
    <t xml:space="preserve">Previously
certified $</t>
  </si>
  <si>
    <t xml:space="preserve">This
certificate $</t>
  </si>
  <si>
    <t xml:space="preserve">Balance to
complete</t>
  </si>
  <si>
    <t xml:space="preserve">1.00</t>
  </si>
  <si>
    <t xml:space="preserve">Preliminaries, site establishment and site management</t>
  </si>
  <si>
    <t xml:space="preserve">PRE</t>
  </si>
  <si>
    <t xml:space="preserve">2.00</t>
  </si>
  <si>
    <t xml:space="preserve">Demolition and site preparation</t>
  </si>
  <si>
    <t xml:space="preserve">DEM</t>
  </si>
  <si>
    <t xml:space="preserve">3.00</t>
  </si>
  <si>
    <t xml:space="preserve">Bulk excavation and earthworks</t>
  </si>
  <si>
    <t xml:space="preserve">EAR</t>
  </si>
  <si>
    <t xml:space="preserve">4.00</t>
  </si>
  <si>
    <t xml:space="preserve">Piling and foundations</t>
  </si>
  <si>
    <t xml:space="preserve">SUB</t>
  </si>
  <si>
    <t xml:space="preserve">5.00</t>
  </si>
  <si>
    <t xml:space="preserve">Concrete structure — suspended slabs, columns, cores</t>
  </si>
  <si>
    <t xml:space="preserve">STR</t>
  </si>
  <si>
    <t xml:space="preserve">6.00</t>
  </si>
  <si>
    <t xml:space="preserve">Structural steelwork</t>
  </si>
  <si>
    <t xml:space="preserve">7.00</t>
  </si>
  <si>
    <t xml:space="preserve">Roofing, membranes and waterproofing</t>
  </si>
  <si>
    <t xml:space="preserve">ENV</t>
  </si>
  <si>
    <t xml:space="preserve">8.00</t>
  </si>
  <si>
    <t xml:space="preserve">Facade, curtain wall and glazing</t>
  </si>
  <si>
    <t xml:space="preserve">9.00</t>
  </si>
  <si>
    <t xml:space="preserve">Internal walls, partitions and doors</t>
  </si>
  <si>
    <t xml:space="preserve">FIT</t>
  </si>
  <si>
    <t xml:space="preserve">10.00</t>
  </si>
  <si>
    <t xml:space="preserve">Suspended ceilings</t>
  </si>
  <si>
    <t xml:space="preserve">11.00</t>
  </si>
  <si>
    <t xml:space="preserve">Floor finishes</t>
  </si>
  <si>
    <t xml:space="preserve">12.00</t>
  </si>
  <si>
    <t xml:space="preserve">Painting and decorative finishes</t>
  </si>
  <si>
    <t xml:space="preserve">13.00</t>
  </si>
  <si>
    <t xml:space="preserve">Joinery and built-in fitout</t>
  </si>
  <si>
    <t xml:space="preserve">14.00</t>
  </si>
  <si>
    <t xml:space="preserve">Hydraulic services</t>
  </si>
  <si>
    <t xml:space="preserve">SVC</t>
  </si>
  <si>
    <t xml:space="preserve">15.00</t>
  </si>
  <si>
    <t xml:space="preserve">Mechanical services — HVAC</t>
  </si>
  <si>
    <t xml:space="preserve">16.00</t>
  </si>
  <si>
    <t xml:space="preserve">Electrical services and communications</t>
  </si>
  <si>
    <t xml:space="preserve">17.00</t>
  </si>
  <si>
    <t xml:space="preserve">Fire protection services</t>
  </si>
  <si>
    <t xml:space="preserve">18.00</t>
  </si>
  <si>
    <t xml:space="preserve">Vertical transportation — lifts</t>
  </si>
  <si>
    <t xml:space="preserve">19.00</t>
  </si>
  <si>
    <t xml:space="preserve">External works, civil and landscaping</t>
  </si>
  <si>
    <t xml:space="preserve">EXT</t>
  </si>
  <si>
    <t xml:space="preserve">20.00</t>
  </si>
  <si>
    <t xml:space="preserve">Provisional sum — signage and wayfinding</t>
  </si>
  <si>
    <t xml:space="preserve">PSM</t>
  </si>
  <si>
    <t xml:space="preserve">21.00</t>
  </si>
  <si>
    <t xml:space="preserve">Provisional sum — specialist audio visual</t>
  </si>
  <si>
    <t xml:space="preserve">TOTAL</t>
  </si>
  <si>
    <t xml:space="preserve">Variance to Original Contract Sum</t>
  </si>
  <si>
    <t xml:space="preserve">Enter the contract value and the certified percentage complete for each item. 'Previously certified $' is carried forward from the last issued certificate — copy column I from last month into column J before you assess this month. The total in column E must reconcile to the Original Contract Sum on Contract Particulars.</t>
  </si>
  <si>
    <t xml:space="preserve">Variations Register</t>
  </si>
  <si>
    <t xml:space="preserve">Only variations marked Approved carry into the Adjusted Contract Sum</t>
  </si>
  <si>
    <t xml:space="preserve">VARIATIONS</t>
  </si>
  <si>
    <t xml:space="preserve">  VARIATIONS</t>
  </si>
  <si>
    <t xml:space="preserve">Variation
No.</t>
  </si>
  <si>
    <t xml:space="preserve">Description</t>
  </si>
  <si>
    <t xml:space="preserve">Date
instructed</t>
  </si>
  <si>
    <t xml:space="preserve">Date
approved</t>
  </si>
  <si>
    <t xml:space="preserve">Status</t>
  </si>
  <si>
    <t xml:space="preserve">Value submitted
(excl GST)</t>
  </si>
  <si>
    <t xml:space="preserve">Approved value in
Contract Sum</t>
  </si>
  <si>
    <t xml:space="preserve">Notes</t>
  </si>
  <si>
    <t xml:space="preserve">VO-001</t>
  </si>
  <si>
    <t xml:space="preserve">Additional ground anchors — latent rock conditions at grid C4</t>
  </si>
  <si>
    <t xml:space="preserve">Approved</t>
  </si>
  <si>
    <t xml:space="preserve">VO-002</t>
  </si>
  <si>
    <t xml:space="preserve">Upgrade to Level 3 lobby stone finishes (client-directed)</t>
  </si>
  <si>
    <t xml:space="preserve">VO-003</t>
  </si>
  <si>
    <t xml:space="preserve">Relocation of substation to comply with network authority</t>
  </si>
  <si>
    <t xml:space="preserve">VO-004</t>
  </si>
  <si>
    <t xml:space="preserve">Omission of external planter irrigation</t>
  </si>
  <si>
    <t xml:space="preserve">VO-005</t>
  </si>
  <si>
    <t xml:space="preserve">Acceleration — additional night shift, Zone B facade</t>
  </si>
  <si>
    <t xml:space="preserve">Submitted</t>
  </si>
  <si>
    <t xml:space="preserve">VO-006</t>
  </si>
  <si>
    <t xml:space="preserve">Rectification of non-conforming fire dampers</t>
  </si>
  <si>
    <t xml:space="preserve">Rejected</t>
  </si>
  <si>
    <t xml:space="preserve">Column H (approved value) is driven by the Status in column F — a variation only enters the Contract Sum once its status is 'Approved'. Column K values the contractor's claim on the full submitted value so that the variance on the certificate shows what has been withheld and why. Enter omissions as negative values.</t>
  </si>
  <si>
    <t xml:space="preserve">Provisional Sums</t>
  </si>
  <si>
    <t xml:space="preserve">Tracks only the adjustment to the allowance — the allowance itself is valued in the Works Breakdown</t>
  </si>
  <si>
    <t xml:space="preserve">PROVISIONAL AND PRIME COST SUMS</t>
  </si>
  <si>
    <t xml:space="preserve">  PROVISIONAL AND PRIME COST SUMS</t>
  </si>
  <si>
    <t xml:space="preserve">PS No.</t>
  </si>
  <si>
    <t xml:space="preserve">Provisional / prime cost item</t>
  </si>
  <si>
    <t xml:space="preserve">Allowance in
Contract Sum</t>
  </si>
  <si>
    <t xml:space="preserve">Actual / adjusted
value</t>
  </si>
  <si>
    <t xml:space="preserve">Net adjustment
(+/-)</t>
  </si>
  <si>
    <t xml:space="preserve">Claimed % of
adjustment</t>
  </si>
  <si>
    <t xml:space="preserve">Certified % of
adjustment</t>
  </si>
  <si>
    <t xml:space="preserve">Claimed adjustment
to date</t>
  </si>
  <si>
    <t xml:space="preserve">Certified adjustment
to date</t>
  </si>
  <si>
    <t xml:space="preserve">PS-01</t>
  </si>
  <si>
    <t xml:space="preserve">Signage and wayfinding package</t>
  </si>
  <si>
    <t xml:space="preserve">Adjusted</t>
  </si>
  <si>
    <t xml:space="preserve">PS-02</t>
  </si>
  <si>
    <t xml:space="preserve">Specialist audio visual fitout</t>
  </si>
  <si>
    <t xml:space="preserve">Important — no double counting: the provisional sum ALLOWANCE stays as a line in the Works Breakdown and is valued there. This sheet carries only the NET ADJUSTMENT (actual value less allowance), which flows to the Adjusted Contract Sum. Leave column E blank until the actual value is known.</t>
  </si>
  <si>
    <t xml:space="preserve">Unfixed Plant and Materials</t>
  </si>
  <si>
    <t xml:space="preserve">Amounts allowed for materials on or off site, subject to vesting and insurance</t>
  </si>
  <si>
    <t xml:space="preserve">MATERIALS ON SITE</t>
  </si>
  <si>
    <t xml:space="preserve">  MATERIALS ON SITE</t>
  </si>
  <si>
    <t xml:space="preserve">Item</t>
  </si>
  <si>
    <t xml:space="preserve">Description of plant / materials</t>
  </si>
  <si>
    <t xml:space="preserve">Location</t>
  </si>
  <si>
    <t xml:space="preserve">Supplier</t>
  </si>
  <si>
    <t xml:space="preserve">Invoice /
delivery ref</t>
  </si>
  <si>
    <t xml:space="preserve">Invoice value
(excl GST)</t>
  </si>
  <si>
    <t xml:space="preserve">%
allowed</t>
  </si>
  <si>
    <t xml:space="preserve">Vesting cert.
received</t>
  </si>
  <si>
    <t xml:space="preserve">Insured</t>
  </si>
  <si>
    <t xml:space="preserve">Claimed value</t>
  </si>
  <si>
    <t xml:space="preserve">Allowed (certified)</t>
  </si>
  <si>
    <t xml:space="preserve">Previously
allowed</t>
  </si>
  <si>
    <t xml:space="preserve">Movement this
certificate</t>
  </si>
  <si>
    <t xml:space="preserve">1</t>
  </si>
  <si>
    <t xml:space="preserve">Curtain wall unitised panels — Batch 3 (48 units)</t>
  </si>
  <si>
    <t xml:space="preserve">Yard 2, Port Botany</t>
  </si>
  <si>
    <t xml:space="preserve">Facade Systems Pty Ltd</t>
  </si>
  <si>
    <t xml:space="preserve">INV-88214</t>
  </si>
  <si>
    <t xml:space="preserve">Yes</t>
  </si>
  <si>
    <t xml:space="preserve">2</t>
  </si>
  <si>
    <t xml:space="preserve">Chilled water pumps and plant skids</t>
  </si>
  <si>
    <t xml:space="preserve">Contractor's store, Seven Hills</t>
  </si>
  <si>
    <t xml:space="preserve">Airflow Mechanical Pty Ltd</t>
  </si>
  <si>
    <t xml:space="preserve">INV-40917</t>
  </si>
  <si>
    <t xml:space="preserve">3</t>
  </si>
  <si>
    <t xml:space="preserve">Architectural stone — Level 3 lobby</t>
  </si>
  <si>
    <t xml:space="preserve">Supplier's warehouse, Kewdale</t>
  </si>
  <si>
    <t xml:space="preserve">Stoneworks Australia</t>
  </si>
  <si>
    <t xml:space="preserve">INV-11302</t>
  </si>
  <si>
    <t xml:space="preserve">Column L only allows an amount where BOTH the vesting certificate (column I) and evidence of insurance (column J) are 'Yes'. When materials are incorporated into the works they must be picked up in the Works Breakdown percentage and REMOVED from this sheet — set the % allowed to zero so the movement reverses out and the value is not counted twice.</t>
  </si>
  <si>
    <t xml:space="preserve">Retention and Security</t>
  </si>
  <si>
    <t xml:space="preserve">Retention calculated on certified value, capped, and released at Practical Completion and expiry of the DLP</t>
  </si>
  <si>
    <t xml:space="preserve">RETENTION</t>
  </si>
  <si>
    <t xml:space="preserve">  A · RETENTION CALCULATED TO DATE</t>
  </si>
  <si>
    <t xml:space="preserve">Basis</t>
  </si>
  <si>
    <t xml:space="preserve">Certified value to date
(excl GST)</t>
  </si>
  <si>
    <t xml:space="preserve">Retention
rate</t>
  </si>
  <si>
    <t xml:space="preserve">Retention $</t>
  </si>
  <si>
    <t xml:space="preserve">Source</t>
  </si>
  <si>
    <t xml:space="preserve">Contract works certified to date</t>
  </si>
  <si>
    <t xml:space="preserve">'Works Breakdown' column I</t>
  </si>
  <si>
    <t xml:space="preserve">Approved variations certified to date</t>
  </si>
  <si>
    <t xml:space="preserve">'Variations Register' column L</t>
  </si>
  <si>
    <t xml:space="preserve">Provisional sum adjustments certified to date</t>
  </si>
  <si>
    <t xml:space="preserve">'Provisional Sums' column K</t>
  </si>
  <si>
    <t xml:space="preserve">Unfixed plant and materials allowed</t>
  </si>
  <si>
    <t xml:space="preserve">'Materials On Site' column L</t>
  </si>
  <si>
    <t xml:space="preserve">Gross retention calculated to date</t>
  </si>
  <si>
    <t xml:space="preserve">Retention cap (Contract Particulars)</t>
  </si>
  <si>
    <t xml:space="preserve">Retention held to date — lesser of calculated and cap</t>
  </si>
  <si>
    <t xml:space="preserve">  B · RETENTION RELEASES</t>
  </si>
  <si>
    <t xml:space="preserve">Release at Practical Completion</t>
  </si>
  <si>
    <t xml:space="preserve">Release at expiry of the Defects Liability Period</t>
  </si>
  <si>
    <t xml:space="preserve">Released once the certificate date passes the DLP expiry date.</t>
  </si>
  <si>
    <t xml:space="preserve">Total retention released to date</t>
  </si>
  <si>
    <t xml:space="preserve">NET RETENTION HELD — carried to the Payment Certificate</t>
  </si>
  <si>
    <t xml:space="preserve">Net retention held at the previous certificate</t>
  </si>
  <si>
    <t xml:space="preserve">Carry forward from last month's certificate.</t>
  </si>
  <si>
    <t xml:space="preserve">Retention movement this certificate</t>
  </si>
  <si>
    <t xml:space="preserve">  C · SECURITY INSTRUMENTS HELD</t>
  </si>
  <si>
    <t xml:space="preserve">Instrument / description</t>
  </si>
  <si>
    <t xml:space="preserve">Issuer</t>
  </si>
  <si>
    <t xml:space="preserve">Reference</t>
  </si>
  <si>
    <t xml:space="preserve">Face value</t>
  </si>
  <si>
    <t xml:space="preserve">Date lodged</t>
  </si>
  <si>
    <t xml:space="preserve">Date released</t>
  </si>
  <si>
    <t xml:space="preserve">Unconditional undertaking — performance security (Tranche 1)</t>
  </si>
  <si>
    <t xml:space="preserve">Westpac Banking Corporation</t>
  </si>
  <si>
    <t xml:space="preserve">BG-77120</t>
  </si>
  <si>
    <t xml:space="preserve">Held</t>
  </si>
  <si>
    <t xml:space="preserve">2.5% of Original Contract Sum — returnable at Practical Completion</t>
  </si>
  <si>
    <t xml:space="preserve">Unconditional undertaking — performance security (Tranche 2)</t>
  </si>
  <si>
    <t xml:space="preserve">BG-77121</t>
  </si>
  <si>
    <t xml:space="preserve">2.5% of Original Contract Sum — returnable at expiry of the DLP</t>
  </si>
  <si>
    <t xml:space="preserve">TOTAL SECURITY HELD</t>
  </si>
  <si>
    <t xml:space="preserve">Total security held counts only instruments with status 'Held'. Where the contract provides for security by way of unconditional undertaking rather than cash retention, set the retention rates on Contract Particulars to zero and track the undertakings here. In WA, cash retention on contracts of $20,000 or more (incl GST) must be held in a retention trust account; NSW requires a trust account for head contracts of $20m or more.</t>
  </si>
  <si>
    <t xml:space="preserve">Certificate Register</t>
  </si>
  <si>
    <t xml:space="preserve">Every certificate issued on this contract — the Payment Certificate reads its opening position from here</t>
  </si>
  <si>
    <t xml:space="preserve">REGISTER</t>
  </si>
  <si>
    <t xml:space="preserve">  CERTIFICATES ISSUED</t>
  </si>
  <si>
    <t xml:space="preserve">Cert
No.</t>
  </si>
  <si>
    <t xml:space="preserve">Certificate
date</t>
  </si>
  <si>
    <t xml:space="preserve">Claim
No.</t>
  </si>
  <si>
    <t xml:space="preserve">Period
ended</t>
  </si>
  <si>
    <t xml:space="preserve">Gross certified
to date (excl GST)</t>
  </si>
  <si>
    <t xml:space="preserve">Retention held
at that date</t>
  </si>
  <si>
    <t xml:space="preserve">Amount certified this
certificate (excl GST)</t>
  </si>
  <si>
    <t xml:space="preserve">GST</t>
  </si>
  <si>
    <t xml:space="preserve">Total
(incl GST)</t>
  </si>
  <si>
    <t xml:space="preserve">Date paid</t>
  </si>
  <si>
    <t xml:space="preserve">Amount paid
(incl GST)</t>
  </si>
  <si>
    <t xml:space="preserve">Variance
paid v certified</t>
  </si>
  <si>
    <t xml:space="preserve">  CURRENT CERTIFICATE — LIVE FROM THE PAYMENT CERTIFICATE SHEET (not included in the totals above)</t>
  </si>
  <si>
    <t xml:space="preserve">When this certificate is issued, copy row values into the register above as a new row.</t>
  </si>
  <si>
    <t xml:space="preserve">How this sheet is used: the Payment Certificate subtracts every register row with a certificate number LOWER than the current certificate number (item 10). Certificate numbers must therefore be whole numbers entered in sequence. Keep this register as values, not formulas — it is the audit trail of what was actually certified and paid. Column M flags any payment that differs from the amount certified.</t>
  </si>
  <si>
    <t xml:space="preserve">Security of Payment Reference</t>
  </si>
  <si>
    <t xml:space="preserve">Statutory timeframes by jurisdiction, and the public holidays used in business-day calculations</t>
  </si>
  <si>
    <t xml:space="preserve">REFERENCE DATA</t>
  </si>
  <si>
    <t xml:space="preserve">  A · SECURITY OF PAYMENT — JURISDICTION SUMMARY</t>
  </si>
  <si>
    <t xml:space="preserve">Payment schedule due
(business days)</t>
  </si>
  <si>
    <t xml:space="preserve">Maximum payment term
(business days)</t>
  </si>
  <si>
    <t xml:space="preserve">Key requirements and notes</t>
  </si>
  <si>
    <t xml:space="preserve">Building and Construction Industry Security of Payment Act 1999 (NSW)</t>
  </si>
  <si>
    <t xml:space="preserve">Payment schedule due the earlier of the contract period or 10 business days. Payment: head contractor 15 BD; subcontractor 20 BD; exempt residential 10 BD. Reference dates abolished for contracts from 21 Oct 2019. Head contractors must serve a supporting statement with each payment claim. Retention trust applies to head contracts of $20m or more.</t>
  </si>
  <si>
    <t xml:space="preserve">VIC</t>
  </si>
  <si>
    <t xml:space="preserve">Building and Construction Industry Security of Payment Act 2002 (Vic)</t>
  </si>
  <si>
    <t xml:space="preserve">Reformed from 15 April 2026 (Act No. 43/2025). Excluded amounts and reference dates abolished; one claim per calendar month. Payment terms capped at 20 BD (10 BD if the contract is silent). Reasons not stated in the payment schedule cannot be raised in adjudication. 22 Dec - 10 Jan excluded from business-day counts.</t>
  </si>
  <si>
    <t xml:space="preserve">QLD</t>
  </si>
  <si>
    <t xml:space="preserve">Building Industry Fairness (Security of Payment) Act 2017 (Qld)</t>
  </si>
  <si>
    <t xml:space="preserve">Payment schedule due the earlier of the contract period or 15 business days. Payment: contract date, otherwise 10 BD; capped at 15 BD (commercial building contract) and 25 BD (subcontract). Reference dates still apply. Project and retention trust accounts apply above prescribed thresholds.</t>
  </si>
  <si>
    <t xml:space="preserve">WA</t>
  </si>
  <si>
    <t xml:space="preserve">Building and Construction Industry (Security of Payment) Act 2021 (WA)</t>
  </si>
  <si>
    <t xml:space="preserve">Payment schedule due the earlier of the contract period or 15 business days. Payment: principal to head contractor 20 BD; contractor to subcontractor 25 BD; home building 10 BD. Retention Trust Scheme applies to contracts of $20,000 or more (incl GST) from 1 Feb 2024. Mining and resources exclusion retained.</t>
  </si>
  <si>
    <t xml:space="preserve">SA</t>
  </si>
  <si>
    <t xml:space="preserve">Building and Construction Industry Security of Payment Act 2009 (SA)</t>
  </si>
  <si>
    <t xml:space="preserve">Payment schedule due the earlier of the contract period or 15 business days. Payment on the contract date; 15 BD if the contract is silent. No statutory cap on contractual payment terms. Reference dates still apply.</t>
  </si>
  <si>
    <t xml:space="preserve">TAS</t>
  </si>
  <si>
    <t xml:space="preserve">Building and Construction Industry Security of Payment Act 2009 (Tas)</t>
  </si>
  <si>
    <t xml:space="preserve">Payment schedule due the earlier of the contract period or 10 business days (20 BD for residential where the respondent is the owner and not a building practitioner). Payment on the contract date; 10 BD if silent. No statutory cap. Reference dates still apply.</t>
  </si>
  <si>
    <t xml:space="preserve">NT</t>
  </si>
  <si>
    <t xml:space="preserve">Construction Contracts (Security of Payments) Act 2004 (NT)</t>
  </si>
  <si>
    <t xml:space="preserve">West Coast model - there is no payment schedule regime. If the contract is silent, the implied terms require a written notice of dispute plus payment of any undisputed amount within 10 working days, or payment in full within 20 working days. A contractual term requiring payment more than 30 working days after a claim is read down to 30 working days. VERIFY against the current NT reprint before relying on these figures.</t>
  </si>
  <si>
    <t xml:space="preserve">ACT</t>
  </si>
  <si>
    <t xml:space="preserve">Building and Construction Industry (Security of Payment) Act 2009 (ACT)</t>
  </si>
  <si>
    <t xml:space="preserve">Amended 11 March 2024. Payment schedule due the earlier of the contract period or 10 business days. Payment due the earlier of the contract date or 15 business days for all tiers. Reference dates removed; one payment claim per calendar month unless the contract allows more.</t>
  </si>
  <si>
    <t xml:space="preserve">Summary only, current at August 2026, and not legal advice. Business-day counts run from service of the payment claim. Confirm the position under the contract and the current legislation for the relevant jurisdiction before issuing. Victoria's 22 December - 10 January exclusion and each state's public holidays are not applied automatically beyond the holiday table below.</t>
  </si>
  <si>
    <t xml:space="preserve">  B · PUBLIC HOLIDAYS USED IN BUSINESS-DAY CALCULATIONS</t>
  </si>
  <si>
    <t xml:space="preserve">The Payment Certificate uses WORKDAY() over this list. Nationally observed holidays for 2026-2027 are pre-loaded — add your state's own holidays (e.g. Labour Day, Queen's/King's Birthday, show days) and extend the list for later years. Rows must stay inside B22:B51 for the formulas to pick them up.</t>
  </si>
  <si>
    <t xml:space="preserve">Public holiday</t>
  </si>
  <si>
    <t xml:space="preserve">Applies to</t>
  </si>
  <si>
    <t xml:space="preserve">New Year's Day</t>
  </si>
  <si>
    <t xml:space="preserve">All</t>
  </si>
  <si>
    <t xml:space="preserve">Australia Day</t>
  </si>
  <si>
    <t xml:space="preserve">Good Friday</t>
  </si>
  <si>
    <t xml:space="preserve">Easter Saturday</t>
  </si>
  <si>
    <t xml:space="preserve">All except TAS/WA</t>
  </si>
  <si>
    <t xml:space="preserve">Easter Monday</t>
  </si>
  <si>
    <t xml:space="preserve">Anzac Day</t>
  </si>
  <si>
    <t xml:space="preserve">Christmas Day</t>
  </si>
  <si>
    <t xml:space="preserve">Boxing Day</t>
  </si>
  <si>
    <t xml:space="preserve">All except SA (Proclamation Day)</t>
  </si>
</sst>
</file>

<file path=xl/styles.xml><?xml version="1.0" encoding="utf-8"?>
<styleSheet xmlns="http://schemas.openxmlformats.org/spreadsheetml/2006/main">
  <numFmts count="7">
    <numFmt numFmtId="164" formatCode="General"/>
    <numFmt numFmtId="165" formatCode="dd/mm/yyyy"/>
    <numFmt numFmtId="166" formatCode="0"/>
    <numFmt numFmtId="167" formatCode="\$#,##0.00;&quot;($&quot;#,##0.00\);\-"/>
    <numFmt numFmtId="168" formatCode="0.0%"/>
    <numFmt numFmtId="169" formatCode="\$#,##0.00;[RED]&quot;($&quot;#,##0.00\);\-"/>
    <numFmt numFmtId="170" formatCode="0.00%"/>
  </numFmts>
  <fonts count="28">
    <font>
      <sz val="11"/>
      <color theme="1"/>
      <name val="Calibri"/>
      <family val="2"/>
      <charset val="1"/>
    </font>
    <font>
      <sz val="10"/>
      <name val="Arial"/>
      <family val="0"/>
    </font>
    <font>
      <sz val="10"/>
      <name val="Arial"/>
      <family val="0"/>
    </font>
    <font>
      <sz val="10"/>
      <name val="Arial"/>
      <family val="0"/>
    </font>
    <font>
      <b val="true"/>
      <sz val="20"/>
      <color rgb="FF0D3C61"/>
      <name val="Arial"/>
      <family val="0"/>
      <charset val="1"/>
    </font>
    <font>
      <sz val="9.5"/>
      <color rgb="FF8E98A2"/>
      <name val="Arial"/>
      <family val="0"/>
      <charset val="1"/>
    </font>
    <font>
      <b val="true"/>
      <sz val="8"/>
      <color rgb="FF8E98A2"/>
      <name val="Arial"/>
      <family val="0"/>
      <charset val="1"/>
    </font>
    <font>
      <b val="true"/>
      <sz val="10"/>
      <color rgb="FFF6F9FC"/>
      <name val="Arial"/>
      <family val="0"/>
      <charset val="1"/>
    </font>
    <font>
      <sz val="10"/>
      <color rgb="FF1D3245"/>
      <name val="Arial"/>
      <family val="0"/>
      <charset val="1"/>
    </font>
    <font>
      <b val="true"/>
      <sz val="9"/>
      <color rgb="FF0D3C61"/>
      <name val="Arial"/>
      <family val="0"/>
      <charset val="1"/>
    </font>
    <font>
      <b val="true"/>
      <sz val="10"/>
      <color rgb="FF1D3245"/>
      <name val="Arial"/>
      <family val="0"/>
      <charset val="1"/>
    </font>
    <font>
      <b val="true"/>
      <sz val="9"/>
      <color rgb="FF3480BC"/>
      <name val="Arial"/>
      <family val="0"/>
      <charset val="1"/>
    </font>
    <font>
      <b val="true"/>
      <sz val="10"/>
      <color rgb="FF0000FF"/>
      <name val="Arial"/>
      <family val="0"/>
      <charset val="1"/>
    </font>
    <font>
      <b val="true"/>
      <sz val="10"/>
      <color rgb="FF000000"/>
      <name val="Arial"/>
      <family val="0"/>
      <charset val="1"/>
    </font>
    <font>
      <b val="true"/>
      <sz val="10"/>
      <color rgb="FF0F7B4F"/>
      <name val="Arial"/>
      <family val="0"/>
      <charset val="1"/>
    </font>
    <font>
      <b val="true"/>
      <sz val="10"/>
      <color rgb="FFB3261E"/>
      <name val="Arial"/>
      <family val="0"/>
      <charset val="1"/>
    </font>
    <font>
      <b val="true"/>
      <sz val="10"/>
      <color rgb="FF8A6100"/>
      <name val="Arial"/>
      <family val="0"/>
      <charset val="1"/>
    </font>
    <font>
      <i val="true"/>
      <sz val="8.5"/>
      <color rgb="FF8E98A2"/>
      <name val="Arial"/>
      <family val="0"/>
      <charset val="1"/>
    </font>
    <font>
      <b val="true"/>
      <u val="single"/>
      <sz val="10"/>
      <color rgb="FF3480BC"/>
      <name val="Arial"/>
      <family val="0"/>
      <charset val="1"/>
    </font>
    <font>
      <sz val="10"/>
      <color rgb="FF0000FF"/>
      <name val="Arial"/>
      <family val="0"/>
      <charset val="1"/>
    </font>
    <font>
      <sz val="10"/>
      <color rgb="FF0F7B4F"/>
      <name val="Arial"/>
      <family val="0"/>
      <charset val="1"/>
    </font>
    <font>
      <b val="true"/>
      <sz val="10"/>
      <color rgb="FF0D3C61"/>
      <name val="Arial"/>
      <family val="0"/>
      <charset val="1"/>
    </font>
    <font>
      <sz val="10"/>
      <color rgb="FF000000"/>
      <name val="Arial"/>
      <family val="0"/>
      <charset val="1"/>
    </font>
    <font>
      <u val="single"/>
      <sz val="9"/>
      <color rgb="FF3480BC"/>
      <name val="Arial"/>
      <family val="0"/>
      <charset val="1"/>
    </font>
    <font>
      <b val="true"/>
      <sz val="12"/>
      <color rgb="FF0D3C61"/>
      <name val="Arial"/>
      <family val="0"/>
      <charset val="1"/>
    </font>
    <font>
      <sz val="8.5"/>
      <color rgb="FF1D3245"/>
      <name val="Arial"/>
      <family val="0"/>
      <charset val="1"/>
    </font>
    <font>
      <b val="true"/>
      <sz val="9.5"/>
      <color rgb="FF0D3C61"/>
      <name val="Arial"/>
      <family val="0"/>
      <charset val="1"/>
    </font>
    <font>
      <sz val="8.5"/>
      <color rgb="FF0000FF"/>
      <name val="Arial"/>
      <family val="0"/>
      <charset val="1"/>
    </font>
  </fonts>
  <fills count="9">
    <fill>
      <patternFill patternType="none"/>
    </fill>
    <fill>
      <patternFill patternType="gray125"/>
    </fill>
    <fill>
      <patternFill patternType="solid">
        <fgColor rgb="FFF6F9FC"/>
        <bgColor rgb="FFFBFCFE"/>
      </patternFill>
    </fill>
    <fill>
      <patternFill patternType="solid">
        <fgColor rgb="FF1D3245"/>
        <bgColor rgb="FF0D3C61"/>
      </patternFill>
    </fill>
    <fill>
      <patternFill patternType="solid">
        <fgColor rgb="FFE8EEF5"/>
        <bgColor rgb="FFEAF1F8"/>
      </patternFill>
    </fill>
    <fill>
      <patternFill patternType="solid">
        <fgColor rgb="FFEAF1F8"/>
        <bgColor rgb="FFE8EEF5"/>
      </patternFill>
    </fill>
    <fill>
      <patternFill patternType="solid">
        <fgColor rgb="FFFDF6E3"/>
        <bgColor rgb="FFF6F9FC"/>
      </patternFill>
    </fill>
    <fill>
      <patternFill patternType="solid">
        <fgColor rgb="FFDCE6F0"/>
        <bgColor rgb="FFE8EEF5"/>
      </patternFill>
    </fill>
    <fill>
      <patternFill patternType="solid">
        <fgColor rgb="FFFBFCFE"/>
        <bgColor rgb="FFF6F9FC"/>
      </patternFill>
    </fill>
  </fills>
  <borders count="6">
    <border diagonalUp="false" diagonalDown="false">
      <left/>
      <right/>
      <top/>
      <bottom/>
      <diagonal/>
    </border>
    <border diagonalUp="false" diagonalDown="false">
      <left/>
      <right/>
      <top style="medium">
        <color rgb="FF3480BC"/>
      </top>
      <bottom/>
      <diagonal/>
    </border>
    <border diagonalUp="false" diagonalDown="false">
      <left style="thin">
        <color rgb="FFC3CDD9"/>
      </left>
      <right style="thin">
        <color rgb="FFC3CDD9"/>
      </right>
      <top style="thin">
        <color rgb="FFC3CDD9"/>
      </top>
      <bottom style="thin">
        <color rgb="FFC3CDD9"/>
      </bottom>
      <diagonal/>
    </border>
    <border diagonalUp="false" diagonalDown="false">
      <left style="thin">
        <color rgb="FFC3CDD9"/>
      </left>
      <right/>
      <top style="thin">
        <color rgb="FFC3CDD9"/>
      </top>
      <bottom style="thin">
        <color rgb="FFC3CDD9"/>
      </bottom>
      <diagonal/>
    </border>
    <border diagonalUp="false" diagonalDown="false">
      <left/>
      <right/>
      <top style="thin">
        <color rgb="FF0D3C61"/>
      </top>
      <bottom style="double">
        <color rgb="FF0D3C61"/>
      </bottom>
      <diagonal/>
    </border>
    <border diagonalUp="false" diagonalDown="false">
      <left/>
      <right/>
      <top/>
      <bottom style="hair">
        <color rgb="FFC3CD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3" shrinkToFit="false"/>
      <protection locked="true" hidden="false"/>
    </xf>
    <xf numFmtId="164" fontId="5" fillId="2" borderId="0" xfId="0" applyFont="true" applyBorder="true" applyAlignment="true" applyProtection="false">
      <alignment horizontal="left" vertical="center" textRotation="0" wrapText="false" indent="13" shrinkToFit="false"/>
      <protection locked="true" hidden="false"/>
    </xf>
    <xf numFmtId="164" fontId="6" fillId="2" borderId="0" xfId="0" applyFont="true" applyBorder="true" applyAlignment="true" applyProtection="false">
      <alignment horizontal="right" vertical="center" textRotation="0" wrapText="fals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xf numFmtId="164" fontId="7" fillId="3" borderId="0" xfId="0" applyFont="true" applyBorder="true" applyAlignment="true" applyProtection="false">
      <alignment horizontal="left" vertical="center" textRotation="0" wrapText="false" indent="0" shrinkToFit="false"/>
      <protection locked="true" hidden="false"/>
    </xf>
    <xf numFmtId="164" fontId="8" fillId="0" borderId="0" xfId="0" applyFont="true" applyBorder="true" applyAlignment="true" applyProtection="false">
      <alignment horizontal="left" vertical="top" textRotation="0" wrapText="true" indent="0" shrinkToFit="false"/>
      <protection locked="true" hidden="false"/>
    </xf>
    <xf numFmtId="164" fontId="9" fillId="4" borderId="2" xfId="0" applyFont="true" applyBorder="true" applyAlignment="true" applyProtection="false">
      <alignment horizontal="center" vertical="center" textRotation="0" wrapText="true" indent="0" shrinkToFit="false"/>
      <protection locked="true" hidden="false"/>
    </xf>
    <xf numFmtId="164" fontId="10" fillId="0" borderId="2" xfId="0" applyFont="true" applyBorder="true" applyAlignment="true" applyProtection="false">
      <alignment horizontal="left" vertical="center" textRotation="0" wrapText="false" indent="0" shrinkToFit="false"/>
      <protection locked="true" hidden="false"/>
    </xf>
    <xf numFmtId="164" fontId="8" fillId="0" borderId="2" xfId="0" applyFont="true" applyBorder="true" applyAlignment="true" applyProtection="false">
      <alignment horizontal="left" vertical="top" textRotation="0" wrapText="true" indent="0" shrinkToFit="false"/>
      <protection locked="true" hidden="false"/>
    </xf>
    <xf numFmtId="164" fontId="11" fillId="0" borderId="2" xfId="0" applyFont="true" applyBorder="true" applyAlignment="true" applyProtection="false">
      <alignment horizontal="left" vertical="top" textRotation="0" wrapText="true" indent="0" shrinkToFit="false"/>
      <protection locked="true" hidden="false"/>
    </xf>
    <xf numFmtId="164" fontId="12" fillId="5" borderId="2" xfId="0" applyFont="true" applyBorder="true" applyAlignment="true" applyProtection="false">
      <alignment horizontal="left" vertical="center" textRotation="0" wrapText="false" indent="0" shrinkToFit="false"/>
      <protection locked="true" hidden="false"/>
    </xf>
    <xf numFmtId="164" fontId="8" fillId="0" borderId="2" xfId="0" applyFont="true" applyBorder="true" applyAlignment="true" applyProtection="false">
      <alignment horizontal="left" vertical="center" textRotation="0" wrapText="false" indent="0" shrinkToFit="false"/>
      <protection locked="true" hidden="false"/>
    </xf>
    <xf numFmtId="164" fontId="13" fillId="0" borderId="2" xfId="0" applyFont="true" applyBorder="true" applyAlignment="true" applyProtection="false">
      <alignment horizontal="left" vertical="center" textRotation="0" wrapText="false" indent="0" shrinkToFit="false"/>
      <protection locked="true" hidden="false"/>
    </xf>
    <xf numFmtId="164" fontId="14" fillId="0" borderId="2" xfId="0" applyFont="true" applyBorder="true" applyAlignment="true" applyProtection="false">
      <alignment horizontal="left" vertical="center" textRotation="0" wrapText="false" indent="0" shrinkToFit="false"/>
      <protection locked="true" hidden="false"/>
    </xf>
    <xf numFmtId="164" fontId="15" fillId="0" borderId="2" xfId="0" applyFont="true" applyBorder="true" applyAlignment="true" applyProtection="false">
      <alignment horizontal="left" vertical="center" textRotation="0" wrapText="false" indent="0" shrinkToFit="false"/>
      <protection locked="true" hidden="false"/>
    </xf>
    <xf numFmtId="164" fontId="16" fillId="6" borderId="3" xfId="0" applyFont="true" applyBorder="true" applyAlignment="true" applyProtection="false">
      <alignment horizontal="left" vertical="top" textRotation="0" wrapText="true" indent="0" shrinkToFit="false"/>
      <protection locked="true" hidden="false"/>
    </xf>
    <xf numFmtId="164" fontId="10" fillId="0" borderId="2" xfId="0" applyFont="true" applyBorder="true" applyAlignment="true" applyProtection="false">
      <alignment horizontal="left" vertical="top" textRotation="0" wrapText="true" indent="0" shrinkToFit="false"/>
      <protection locked="true" hidden="false"/>
    </xf>
    <xf numFmtId="164" fontId="17" fillId="0" borderId="0" xfId="0" applyFont="true" applyBorder="true" applyAlignment="true" applyProtection="false">
      <alignment horizontal="left" vertical="top" textRotation="0" wrapText="true" indent="0" shrinkToFit="false"/>
      <protection locked="true" hidden="false"/>
    </xf>
    <xf numFmtId="164" fontId="18" fillId="4" borderId="1"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false" applyAlignment="true" applyProtection="false">
      <alignment horizontal="left" vertical="center" textRotation="0" wrapText="false" indent="0" shrinkToFit="false"/>
      <protection locked="true" hidden="false"/>
    </xf>
    <xf numFmtId="164" fontId="19" fillId="5" borderId="2" xfId="0" applyFont="true" applyBorder="true" applyAlignment="true" applyProtection="false">
      <alignment horizontal="left" vertical="center" textRotation="0" wrapText="false" indent="0" shrinkToFit="false"/>
      <protection locked="true" hidden="false"/>
    </xf>
    <xf numFmtId="165" fontId="19" fillId="5" borderId="2" xfId="0" applyFont="true" applyBorder="true" applyAlignment="true" applyProtection="false">
      <alignment horizontal="left" vertical="center" textRotation="0" wrapText="false" indent="0" shrinkToFit="false"/>
      <protection locked="true" hidden="false"/>
    </xf>
    <xf numFmtId="166" fontId="19" fillId="5" borderId="2" xfId="0" applyFont="true" applyBorder="true" applyAlignment="true" applyProtection="false">
      <alignment horizontal="left" vertical="center"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left" vertical="center" textRotation="0" wrapText="false" indent="0" shrinkToFit="false"/>
      <protection locked="true" hidden="false"/>
    </xf>
    <xf numFmtId="167" fontId="19" fillId="5" borderId="2" xfId="0" applyFont="true" applyBorder="true" applyAlignment="true" applyProtection="false">
      <alignment horizontal="right" vertical="center" textRotation="0" wrapText="false" indent="0" shrinkToFit="false"/>
      <protection locked="true" hidden="false"/>
    </xf>
    <xf numFmtId="167" fontId="20" fillId="0" borderId="2" xfId="0" applyFont="true" applyBorder="true" applyAlignment="true" applyProtection="false">
      <alignment horizontal="right" vertical="center" textRotation="0" wrapText="false" indent="0" shrinkToFit="false"/>
      <protection locked="true" hidden="false"/>
    </xf>
    <xf numFmtId="167" fontId="21" fillId="0" borderId="4" xfId="0" applyFont="true" applyBorder="true" applyAlignment="true" applyProtection="false">
      <alignment horizontal="right" vertical="center" textRotation="0" wrapText="false" indent="0" shrinkToFit="false"/>
      <protection locked="true" hidden="false"/>
    </xf>
    <xf numFmtId="168" fontId="19" fillId="5" borderId="2" xfId="0" applyFont="true" applyBorder="true" applyAlignment="true" applyProtection="false">
      <alignment horizontal="right" vertical="center" textRotation="0" wrapText="false" indent="0" shrinkToFit="false"/>
      <protection locked="true" hidden="false"/>
    </xf>
    <xf numFmtId="167" fontId="22" fillId="0" borderId="2" xfId="0" applyFont="true" applyBorder="true" applyAlignment="true" applyProtection="false">
      <alignment horizontal="right" vertical="center" textRotation="0" wrapText="false" indent="0" shrinkToFit="false"/>
      <protection locked="true" hidden="false"/>
    </xf>
    <xf numFmtId="167" fontId="21" fillId="0" borderId="2" xfId="0" applyFont="true" applyBorder="true" applyAlignment="true" applyProtection="false">
      <alignment horizontal="right" vertical="center" textRotation="0" wrapText="false" indent="0" shrinkToFit="false"/>
      <protection locked="true" hidden="false"/>
    </xf>
    <xf numFmtId="165" fontId="21" fillId="0" borderId="2" xfId="0" applyFont="true" applyBorder="true" applyAlignment="true" applyProtection="false">
      <alignment horizontal="right" vertical="center" textRotation="0" wrapText="false" indent="0" shrinkToFit="false"/>
      <protection locked="true" hidden="false"/>
    </xf>
    <xf numFmtId="164" fontId="20" fillId="0" borderId="3" xfId="0" applyFont="true" applyBorder="true" applyAlignment="true" applyProtection="false">
      <alignment horizontal="left" vertical="center" textRotation="0" wrapText="false" indent="0" shrinkToFit="false"/>
      <protection locked="true" hidden="false"/>
    </xf>
    <xf numFmtId="166" fontId="20" fillId="0" borderId="2" xfId="0" applyFont="true" applyBorder="true" applyAlignment="true" applyProtection="false">
      <alignment horizontal="right" vertical="center" textRotation="0" wrapText="false" indent="0" shrinkToFit="false"/>
      <protection locked="true" hidden="false"/>
    </xf>
    <xf numFmtId="164" fontId="20" fillId="0" borderId="3" xfId="0" applyFont="true" applyBorder="true" applyAlignment="true" applyProtection="false">
      <alignment horizontal="left" vertical="top" textRotation="0" wrapText="true" indent="0" shrinkToFit="false"/>
      <protection locked="true" hidden="false"/>
    </xf>
    <xf numFmtId="164" fontId="23" fillId="0" borderId="0" xfId="0" applyFont="true" applyBorder="true" applyAlignment="true" applyProtection="false">
      <alignment horizontal="right" vertical="center" textRotation="0" wrapText="false" indent="0" shrinkToFit="false"/>
      <protection locked="true" hidden="false"/>
    </xf>
    <xf numFmtId="166" fontId="19" fillId="5" borderId="2" xfId="0" applyFont="true" applyBorder="true" applyAlignment="true" applyProtection="false">
      <alignment horizontal="center" vertical="center" textRotation="0" wrapText="false" indent="0" shrinkToFit="false"/>
      <protection locked="true" hidden="false"/>
    </xf>
    <xf numFmtId="164" fontId="17" fillId="0" borderId="0" xfId="0" applyFont="true" applyBorder="false" applyAlignment="true" applyProtection="false">
      <alignment horizontal="left" vertical="top" textRotation="0" wrapText="true" indent="0" shrinkToFit="false"/>
      <protection locked="true" hidden="false"/>
    </xf>
    <xf numFmtId="165" fontId="19" fillId="5" borderId="2" xfId="0" applyFont="true" applyBorder="true" applyAlignment="true" applyProtection="false">
      <alignment horizontal="center" vertical="center" textRotation="0" wrapText="false" indent="0" shrinkToFit="false"/>
      <protection locked="true" hidden="false"/>
    </xf>
    <xf numFmtId="164" fontId="19" fillId="5" borderId="2" xfId="0" applyFont="true" applyBorder="true" applyAlignment="true" applyProtection="false">
      <alignment horizontal="center" vertical="center" textRotation="0" wrapText="false" indent="0" shrinkToFit="false"/>
      <protection locked="true" hidden="false"/>
    </xf>
    <xf numFmtId="164" fontId="20" fillId="0" borderId="2" xfId="0" applyFont="true" applyBorder="true" applyAlignment="true" applyProtection="false">
      <alignment horizontal="left" vertical="center" textRotation="0" wrapText="false" indent="0" shrinkToFit="false"/>
      <protection locked="true" hidden="false"/>
    </xf>
    <xf numFmtId="164" fontId="8" fillId="0" borderId="5" xfId="0" applyFont="true" applyBorder="true" applyAlignment="true" applyProtection="false">
      <alignment horizontal="left" vertical="center" textRotation="0" wrapText="false" indent="0" shrinkToFit="false"/>
      <protection locked="true" hidden="false"/>
    </xf>
    <xf numFmtId="164" fontId="10" fillId="0" borderId="5" xfId="0" applyFont="true" applyBorder="true" applyAlignment="true" applyProtection="false">
      <alignment horizontal="left" vertical="center" textRotation="0" wrapText="false" indent="0" shrinkToFit="false"/>
      <protection locked="true" hidden="false"/>
    </xf>
    <xf numFmtId="169" fontId="22" fillId="0" borderId="2" xfId="0" applyFont="true" applyBorder="true" applyAlignment="true" applyProtection="false">
      <alignment horizontal="right" vertical="center" textRotation="0" wrapText="false" indent="0" shrinkToFit="false"/>
      <protection locked="true" hidden="false"/>
    </xf>
    <xf numFmtId="169" fontId="21" fillId="0" borderId="4" xfId="0" applyFont="true" applyBorder="true" applyAlignment="true" applyProtection="false">
      <alignment horizontal="right" vertical="center" textRotation="0" wrapText="false" indent="0" shrinkToFit="false"/>
      <protection locked="true" hidden="false"/>
    </xf>
    <xf numFmtId="169" fontId="21" fillId="0" borderId="2" xfId="0" applyFont="true" applyBorder="true" applyAlignment="true" applyProtection="false">
      <alignment horizontal="right" vertical="center" textRotation="0" wrapText="false" indent="0" shrinkToFit="false"/>
      <protection locked="true" hidden="false"/>
    </xf>
    <xf numFmtId="167" fontId="24" fillId="7" borderId="4" xfId="0" applyFont="true" applyBorder="true" applyAlignment="true" applyProtection="false">
      <alignment horizontal="right" vertical="center" textRotation="0" wrapText="false" indent="0" shrinkToFit="false"/>
      <protection locked="true" hidden="false"/>
    </xf>
    <xf numFmtId="169" fontId="21" fillId="7" borderId="4" xfId="0" applyFont="true" applyBorder="true" applyAlignment="true" applyProtection="false">
      <alignment horizontal="right" vertical="center" textRotation="0" wrapText="false" indent="0" shrinkToFit="false"/>
      <protection locked="true" hidden="false"/>
    </xf>
    <xf numFmtId="165" fontId="21" fillId="0" borderId="2" xfId="0" applyFont="true" applyBorder="true" applyAlignment="true" applyProtection="false">
      <alignment horizontal="center" vertical="center" textRotation="0" wrapText="false" indent="0" shrinkToFit="false"/>
      <protection locked="true" hidden="false"/>
    </xf>
    <xf numFmtId="164" fontId="22" fillId="0" borderId="2" xfId="0" applyFont="true" applyBorder="true" applyAlignment="true" applyProtection="false">
      <alignment horizontal="left" vertical="center" textRotation="0" wrapText="false" indent="0" shrinkToFit="false"/>
      <protection locked="true" hidden="false"/>
    </xf>
    <xf numFmtId="170" fontId="22" fillId="0" borderId="2" xfId="0" applyFont="true" applyBorder="true" applyAlignment="true" applyProtection="false">
      <alignment horizontal="right" vertical="center" textRotation="0" wrapText="false" indent="0" shrinkToFit="false"/>
      <protection locked="true" hidden="false"/>
    </xf>
    <xf numFmtId="164" fontId="25" fillId="0" borderId="0" xfId="0" applyFont="true" applyBorder="true" applyAlignment="true" applyProtection="false">
      <alignment horizontal="left" vertical="top" textRotation="0" wrapText="true" indent="0" shrinkToFit="false"/>
      <protection locked="true" hidden="false"/>
    </xf>
    <xf numFmtId="164" fontId="26" fillId="0" borderId="0" xfId="0" applyFont="true" applyBorder="true" applyAlignment="true" applyProtection="false">
      <alignment horizontal="left" vertical="top" textRotation="0" wrapText="true" indent="0" shrinkToFit="false"/>
      <protection locked="true" hidden="false"/>
    </xf>
    <xf numFmtId="164" fontId="20" fillId="0" borderId="2" xfId="0" applyFont="true" applyBorder="true" applyAlignment="true" applyProtection="false">
      <alignment horizontal="right" vertical="center" textRotation="0" wrapText="false" indent="0" shrinkToFit="false"/>
      <protection locked="true" hidden="false"/>
    </xf>
    <xf numFmtId="165" fontId="20" fillId="0" borderId="2" xfId="0" applyFont="true" applyBorder="true" applyAlignment="true" applyProtection="false">
      <alignment horizontal="center" vertical="center" textRotation="0" wrapText="false" indent="0" shrinkToFit="false"/>
      <protection locked="true" hidden="false"/>
    </xf>
    <xf numFmtId="164" fontId="20" fillId="0" borderId="2" xfId="0" applyFont="true" applyBorder="true" applyAlignment="true" applyProtection="false">
      <alignment horizontal="center" vertical="center" textRotation="0" wrapText="false" indent="0" shrinkToFit="false"/>
      <protection locked="true" hidden="false"/>
    </xf>
    <xf numFmtId="164" fontId="27" fillId="5" borderId="2" xfId="0" applyFont="true" applyBorder="true" applyAlignment="true" applyProtection="false">
      <alignment horizontal="left" vertical="top" textRotation="0" wrapText="true" indent="0" shrinkToFit="false"/>
      <protection locked="true" hidden="false"/>
    </xf>
    <xf numFmtId="164" fontId="19" fillId="5" borderId="2" xfId="0" applyFont="true" applyBorder="true" applyAlignment="true" applyProtection="false">
      <alignment horizontal="left" vertical="top" textRotation="0" wrapText="true" indent="0" shrinkToFit="false"/>
      <protection locked="true" hidden="false"/>
    </xf>
    <xf numFmtId="164" fontId="21" fillId="7" borderId="4" xfId="0" applyFont="true" applyBorder="true" applyAlignment="true" applyProtection="false">
      <alignment horizontal="left" vertical="center" textRotation="0" wrapText="false" indent="0" shrinkToFit="false"/>
      <protection locked="true" hidden="false"/>
    </xf>
    <xf numFmtId="167" fontId="21" fillId="7" borderId="2" xfId="0" applyFont="true" applyBorder="true" applyAlignment="true" applyProtection="false">
      <alignment horizontal="right" vertical="center" textRotation="0" wrapText="false" indent="0" shrinkToFit="false"/>
      <protection locked="true" hidden="false"/>
    </xf>
    <xf numFmtId="164" fontId="21" fillId="7" borderId="4" xfId="0" applyFont="true" applyBorder="true" applyAlignment="true" applyProtection="false">
      <alignment horizontal="right" vertical="center" textRotation="0" wrapText="false" indent="0" shrinkToFit="false"/>
      <protection locked="true" hidden="false"/>
    </xf>
    <xf numFmtId="164" fontId="14" fillId="0" borderId="3" xfId="0" applyFont="true" applyBorder="true" applyAlignment="true" applyProtection="false">
      <alignment horizontal="left" vertical="top" textRotation="0" wrapText="true" indent="0" shrinkToFit="false"/>
      <protection locked="true" hidden="false"/>
    </xf>
    <xf numFmtId="170" fontId="19" fillId="5" borderId="2" xfId="0" applyFont="true" applyBorder="true" applyAlignment="true" applyProtection="false">
      <alignment horizontal="center" vertical="center" textRotation="0" wrapText="false" indent="0" shrinkToFit="false"/>
      <protection locked="true" hidden="false"/>
    </xf>
    <xf numFmtId="167" fontId="22" fillId="8" borderId="2" xfId="0" applyFont="true" applyBorder="true" applyAlignment="true" applyProtection="false">
      <alignment horizontal="right" vertical="center" textRotation="0" wrapText="false" indent="0" shrinkToFit="false"/>
      <protection locked="true" hidden="false"/>
    </xf>
    <xf numFmtId="167" fontId="21" fillId="7" borderId="4" xfId="0" applyFont="true" applyBorder="true" applyAlignment="true" applyProtection="false">
      <alignment horizontal="right" vertical="center" textRotation="0" wrapText="false" indent="0" shrinkToFit="false"/>
      <protection locked="true" hidden="false"/>
    </xf>
    <xf numFmtId="164" fontId="10" fillId="0" borderId="0" xfId="0" applyFont="true" applyBorder="true" applyAlignment="true" applyProtection="false">
      <alignment horizontal="left" vertical="center" textRotation="0" wrapText="false" indent="0" shrinkToFit="false"/>
      <protection locked="true" hidden="false"/>
    </xf>
    <xf numFmtId="164" fontId="22" fillId="0" borderId="3" xfId="0" applyFont="true" applyBorder="true" applyAlignment="true" applyProtection="false">
      <alignment horizontal="left" vertical="center" textRotation="0" wrapText="false" indent="0" shrinkToFit="false"/>
      <protection locked="true" hidden="false"/>
    </xf>
    <xf numFmtId="168" fontId="20" fillId="0" borderId="2" xfId="0" applyFont="true" applyBorder="true" applyAlignment="true" applyProtection="false">
      <alignment horizontal="center" vertical="center" textRotation="0" wrapText="false" indent="0" shrinkToFit="false"/>
      <protection locked="true" hidden="false"/>
    </xf>
    <xf numFmtId="169" fontId="22" fillId="8" borderId="2" xfId="0" applyFont="true" applyBorder="true" applyAlignment="true" applyProtection="false">
      <alignment horizontal="right" vertical="center" textRotation="0" wrapText="false" indent="0" shrinkToFit="false"/>
      <protection locked="true" hidden="false"/>
    </xf>
    <xf numFmtId="166" fontId="20" fillId="0" borderId="2" xfId="0" applyFont="true" applyBorder="true" applyAlignment="true" applyProtection="false">
      <alignment horizontal="center" vertical="center" textRotation="0" wrapText="false" indent="0" shrinkToFit="false"/>
      <protection locked="true" hidden="false"/>
    </xf>
    <xf numFmtId="164" fontId="0" fillId="0" borderId="2" xfId="0" applyFont="false" applyBorder="true" applyAlignment="true" applyProtection="false">
      <alignment horizontal="right" vertical="center" textRotation="0" wrapText="false" indent="0" shrinkToFit="false"/>
      <protection locked="true" hidden="false"/>
    </xf>
    <xf numFmtId="164" fontId="17" fillId="0" borderId="2" xfId="0" applyFont="true" applyBorder="true" applyAlignment="true" applyProtection="false">
      <alignment horizontal="left" vertical="center" textRotation="0" wrapText="false" indent="0" shrinkToFit="false"/>
      <protection locked="true" hidden="false"/>
    </xf>
    <xf numFmtId="164" fontId="10" fillId="0" borderId="2" xfId="0" applyFont="true" applyBorder="true" applyAlignment="true" applyProtection="false">
      <alignment horizontal="center" vertical="center" textRotation="0" wrapText="false" indent="0" shrinkToFit="false"/>
      <protection locked="true" hidden="false"/>
    </xf>
    <xf numFmtId="164" fontId="25" fillId="0" borderId="2" xfId="0" applyFont="true" applyBorder="true" applyAlignment="true" applyProtection="false">
      <alignment horizontal="left" vertical="top" textRotation="0" wrapText="true" indent="0" shrinkToFit="false"/>
      <protection locked="true" hidden="false"/>
    </xf>
    <xf numFmtId="164" fontId="10" fillId="8" borderId="2" xfId="0" applyFont="true" applyBorder="true" applyAlignment="true" applyProtection="false">
      <alignment horizontal="center" vertical="center" textRotation="0" wrapText="false" indent="0" shrinkToFit="false"/>
      <protection locked="true" hidden="false"/>
    </xf>
    <xf numFmtId="164" fontId="8" fillId="8" borderId="2" xfId="0" applyFont="true" applyBorder="true" applyAlignment="true" applyProtection="false">
      <alignment horizontal="left" vertical="top" textRotation="0" wrapText="true" indent="0" shrinkToFit="false"/>
      <protection locked="true" hidden="false"/>
    </xf>
    <xf numFmtId="164" fontId="25" fillId="8" borderId="2" xfId="0" applyFont="true" applyBorder="true" applyAlignment="true" applyProtection="false">
      <alignment horizontal="left" vertical="top" textRotation="0" wrapText="true" indent="0" shrinkToFit="false"/>
      <protection locked="true" hidden="false"/>
    </xf>
    <xf numFmtId="164" fontId="19" fillId="5" borderId="2"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ont>
        <name val="Arial"/>
        <charset val="1"/>
        <family val="0"/>
        <b val="1"/>
        <color rgb="FFB3261E"/>
      </font>
    </dxf>
    <dxf>
      <font>
        <name val="Arial"/>
        <charset val="1"/>
        <family val="0"/>
        <color rgb="FFB0B8C1"/>
        <sz val="8"/>
      </font>
    </dxf>
    <dxf>
      <font>
        <name val="Arial"/>
        <charset val="1"/>
        <family val="0"/>
        <b val="1"/>
        <color rgb="FFB3261E"/>
      </font>
      <fill>
        <patternFill>
          <bgColor rgb="FFFDE7E5"/>
        </patternFill>
      </fill>
    </dxf>
    <dxf>
      <font>
        <name val="Arial"/>
        <charset val="1"/>
        <family val="0"/>
        <b val="1"/>
        <color rgb="FF0F7B4F"/>
      </font>
    </dxf>
    <dxf>
      <font>
        <name val="Arial"/>
        <charset val="1"/>
        <family val="0"/>
        <color rgb="FFB3261E"/>
      </font>
    </dxf>
  </dxfs>
  <colors>
    <indexedColors>
      <rgbColor rgb="FF000000"/>
      <rgbColor rgb="FFFBFCFE"/>
      <rgbColor rgb="FFFF0000"/>
      <rgbColor rgb="FF00FF00"/>
      <rgbColor rgb="FF0000FF"/>
      <rgbColor rgb="FFFFFF00"/>
      <rgbColor rgb="FFFF00FF"/>
      <rgbColor rgb="FF00FFFF"/>
      <rgbColor rgb="FF800000"/>
      <rgbColor rgb="FF008000"/>
      <rgbColor rgb="FF000080"/>
      <rgbColor rgb="FF8A6100"/>
      <rgbColor rgb="FF800080"/>
      <rgbColor rgb="FF0F7B4F"/>
      <rgbColor rgb="FFB0B8C1"/>
      <rgbColor rgb="FF808080"/>
      <rgbColor rgb="FF9999FF"/>
      <rgbColor rgb="FF993366"/>
      <rgbColor rgb="FFFDF6E3"/>
      <rgbColor rgb="FFEAF1F8"/>
      <rgbColor rgb="FF660066"/>
      <rgbColor rgb="FFFF8080"/>
      <rgbColor rgb="FF0066CC"/>
      <rgbColor rgb="FFC3CDD9"/>
      <rgbColor rgb="FF000080"/>
      <rgbColor rgb="FFFF00FF"/>
      <rgbColor rgb="FFFFFF00"/>
      <rgbColor rgb="FF00FFFF"/>
      <rgbColor rgb="FF800080"/>
      <rgbColor rgb="FF800000"/>
      <rgbColor rgb="FF008080"/>
      <rgbColor rgb="FF0000FF"/>
      <rgbColor rgb="FF00CCFF"/>
      <rgbColor rgb="FFE8EEF5"/>
      <rgbColor rgb="FFDCE6F0"/>
      <rgbColor rgb="FFFDE7E5"/>
      <rgbColor rgb="FF99CCFF"/>
      <rgbColor rgb="FFFF99CC"/>
      <rgbColor rgb="FFCC99FF"/>
      <rgbColor rgb="FFF6F9FC"/>
      <rgbColor rgb="FF3480BC"/>
      <rgbColor rgb="FF33CCCC"/>
      <rgbColor rgb="FF99CC00"/>
      <rgbColor rgb="FFFFCC00"/>
      <rgbColor rgb="FFFF9900"/>
      <rgbColor rgb="FFFF6600"/>
      <rgbColor rgb="FF666699"/>
      <rgbColor rgb="FF8E98A2"/>
      <rgbColor rgb="FF0D3C61"/>
      <rgbColor rgb="FF339966"/>
      <rgbColor rgb="FF0C2029"/>
      <rgbColor rgb="FF0C1628"/>
      <rgbColor rgb="FFB3261E"/>
      <rgbColor rgb="FF993366"/>
      <rgbColor rgb="FF333399"/>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10.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1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6.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7.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8.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9.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875880</xdr:colOff>
      <xdr:row>1</xdr:row>
      <xdr:rowOff>275760</xdr:rowOff>
    </xdr:to>
    <xdr:pic>
      <xdr:nvPicPr>
        <xdr:cNvPr id="0" name="Image 1" descr="Picture">
          <a:hlinkClick xmlns:a="http://schemas.openxmlformats.org/drawingml/2006/main" xmlns:r="http://schemas.openxmlformats.org/officeDocument/2006/relationships" r:id="rId2" tooltip="Built with Mastt — visit mastt.com"/>
        </xdr:cNvPr>
        <xdr:cNvPicPr/>
      </xdr:nvPicPr>
      <xdr:blipFill>
        <a:blip r:embed="rId1"/>
        <a:stretch/>
      </xdr:blipFill>
      <xdr:spPr>
        <a:xfrm>
          <a:off x="141120" y="95400"/>
          <a:ext cx="875880" cy="27576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2</xdr:col>
      <xdr:colOff>100800</xdr:colOff>
      <xdr:row>1</xdr:row>
      <xdr:rowOff>275760</xdr:rowOff>
    </xdr:to>
    <xdr:pic>
      <xdr:nvPicPr>
        <xdr:cNvPr id="9" name="Image 1" descr="Picture">
          <a:hlinkClick xmlns:a="http://schemas.openxmlformats.org/drawingml/2006/main" xmlns:r="http://schemas.openxmlformats.org/officeDocument/2006/relationships" r:id="rId2" tooltip="Built with Mastt — visit mastt.com"/>
        </xdr:cNvPr>
        <xdr:cNvPicPr/>
      </xdr:nvPicPr>
      <xdr:blipFill>
        <a:blip r:embed="rId1"/>
        <a:stretch/>
      </xdr:blipFill>
      <xdr:spPr>
        <a:xfrm>
          <a:off x="141120" y="95400"/>
          <a:ext cx="875880" cy="27576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875880</xdr:colOff>
      <xdr:row>1</xdr:row>
      <xdr:rowOff>275760</xdr:rowOff>
    </xdr:to>
    <xdr:pic>
      <xdr:nvPicPr>
        <xdr:cNvPr id="10" name="Image 1" descr="Picture">
          <a:hlinkClick xmlns:a="http://schemas.openxmlformats.org/drawingml/2006/main" xmlns:r="http://schemas.openxmlformats.org/officeDocument/2006/relationships" r:id="rId2" tooltip="Built with Mastt — visit mastt.com"/>
        </xdr:cNvPr>
        <xdr:cNvPicPr/>
      </xdr:nvPicPr>
      <xdr:blipFill>
        <a:blip r:embed="rId1"/>
        <a:stretch/>
      </xdr:blipFill>
      <xdr:spPr>
        <a:xfrm>
          <a:off x="141120" y="95400"/>
          <a:ext cx="875880" cy="2757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875880</xdr:colOff>
      <xdr:row>1</xdr:row>
      <xdr:rowOff>275760</xdr:rowOff>
    </xdr:to>
    <xdr:pic>
      <xdr:nvPicPr>
        <xdr:cNvPr id="1" name="Image 1" descr="Picture">
          <a:hlinkClick xmlns:a="http://schemas.openxmlformats.org/drawingml/2006/main" xmlns:r="http://schemas.openxmlformats.org/officeDocument/2006/relationships" r:id="rId2" tooltip="Built with Mastt — visit mastt.com"/>
        </xdr:cNvPr>
        <xdr:cNvPicPr/>
      </xdr:nvPicPr>
      <xdr:blipFill>
        <a:blip r:embed="rId1"/>
        <a:stretch/>
      </xdr:blipFill>
      <xdr:spPr>
        <a:xfrm>
          <a:off x="141120" y="95400"/>
          <a:ext cx="875880" cy="2757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875880</xdr:colOff>
      <xdr:row>1</xdr:row>
      <xdr:rowOff>275760</xdr:rowOff>
    </xdr:to>
    <xdr:pic>
      <xdr:nvPicPr>
        <xdr:cNvPr id="2" name="Image 1" descr="Picture">
          <a:hlinkClick xmlns:a="http://schemas.openxmlformats.org/drawingml/2006/main" xmlns:r="http://schemas.openxmlformats.org/officeDocument/2006/relationships" r:id="rId2" tooltip="Built with Mastt — visit mastt.com"/>
        </xdr:cNvPr>
        <xdr:cNvPicPr/>
      </xdr:nvPicPr>
      <xdr:blipFill>
        <a:blip r:embed="rId1"/>
        <a:stretch/>
      </xdr:blipFill>
      <xdr:spPr>
        <a:xfrm>
          <a:off x="141120" y="95400"/>
          <a:ext cx="875880" cy="27576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875880</xdr:colOff>
      <xdr:row>1</xdr:row>
      <xdr:rowOff>275760</xdr:rowOff>
    </xdr:to>
    <xdr:pic>
      <xdr:nvPicPr>
        <xdr:cNvPr id="3" name="Image 1" descr="Picture">
          <a:hlinkClick xmlns:a="http://schemas.openxmlformats.org/drawingml/2006/main" xmlns:r="http://schemas.openxmlformats.org/officeDocument/2006/relationships" r:id="rId2" tooltip="Built with Mastt — visit mastt.com"/>
        </xdr:cNvPr>
        <xdr:cNvPicPr/>
      </xdr:nvPicPr>
      <xdr:blipFill>
        <a:blip r:embed="rId1"/>
        <a:stretch/>
      </xdr:blipFill>
      <xdr:spPr>
        <a:xfrm>
          <a:off x="141120" y="95400"/>
          <a:ext cx="875880" cy="27576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2</xdr:col>
      <xdr:colOff>241560</xdr:colOff>
      <xdr:row>1</xdr:row>
      <xdr:rowOff>275760</xdr:rowOff>
    </xdr:to>
    <xdr:pic>
      <xdr:nvPicPr>
        <xdr:cNvPr id="4" name="Image 1" descr="Picture">
          <a:hlinkClick xmlns:a="http://schemas.openxmlformats.org/drawingml/2006/main" xmlns:r="http://schemas.openxmlformats.org/officeDocument/2006/relationships" r:id="rId2" tooltip="Built with Mastt — visit mastt.com"/>
        </xdr:cNvPr>
        <xdr:cNvPicPr/>
      </xdr:nvPicPr>
      <xdr:blipFill>
        <a:blip r:embed="rId1"/>
        <a:stretch/>
      </xdr:blipFill>
      <xdr:spPr>
        <a:xfrm>
          <a:off x="141120" y="95400"/>
          <a:ext cx="875880" cy="27576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2</xdr:col>
      <xdr:colOff>171000</xdr:colOff>
      <xdr:row>1</xdr:row>
      <xdr:rowOff>275760</xdr:rowOff>
    </xdr:to>
    <xdr:pic>
      <xdr:nvPicPr>
        <xdr:cNvPr id="5" name="Image 1" descr="Picture">
          <a:hlinkClick xmlns:a="http://schemas.openxmlformats.org/drawingml/2006/main" xmlns:r="http://schemas.openxmlformats.org/officeDocument/2006/relationships" r:id="rId2" tooltip="Built with Mastt — visit mastt.com"/>
        </xdr:cNvPr>
        <xdr:cNvPicPr/>
      </xdr:nvPicPr>
      <xdr:blipFill>
        <a:blip r:embed="rId1"/>
        <a:stretch/>
      </xdr:blipFill>
      <xdr:spPr>
        <a:xfrm>
          <a:off x="141120" y="95400"/>
          <a:ext cx="875880" cy="27576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2</xdr:col>
      <xdr:colOff>171000</xdr:colOff>
      <xdr:row>1</xdr:row>
      <xdr:rowOff>275760</xdr:rowOff>
    </xdr:to>
    <xdr:pic>
      <xdr:nvPicPr>
        <xdr:cNvPr id="6" name="Image 1" descr="Picture">
          <a:hlinkClick xmlns:a="http://schemas.openxmlformats.org/drawingml/2006/main" xmlns:r="http://schemas.openxmlformats.org/officeDocument/2006/relationships" r:id="rId2" tooltip="Built with Mastt — visit mastt.com"/>
        </xdr:cNvPr>
        <xdr:cNvPicPr/>
      </xdr:nvPicPr>
      <xdr:blipFill>
        <a:blip r:embed="rId1"/>
        <a:stretch/>
      </xdr:blipFill>
      <xdr:spPr>
        <a:xfrm>
          <a:off x="141120" y="95400"/>
          <a:ext cx="875880" cy="27576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2</xdr:col>
      <xdr:colOff>312120</xdr:colOff>
      <xdr:row>1</xdr:row>
      <xdr:rowOff>275760</xdr:rowOff>
    </xdr:to>
    <xdr:pic>
      <xdr:nvPicPr>
        <xdr:cNvPr id="7" name="Image 1" descr="Picture">
          <a:hlinkClick xmlns:a="http://schemas.openxmlformats.org/drawingml/2006/main" xmlns:r="http://schemas.openxmlformats.org/officeDocument/2006/relationships" r:id="rId2" tooltip="Built with Mastt — visit mastt.com"/>
        </xdr:cNvPr>
        <xdr:cNvPicPr/>
      </xdr:nvPicPr>
      <xdr:blipFill>
        <a:blip r:embed="rId1"/>
        <a:stretch/>
      </xdr:blipFill>
      <xdr:spPr>
        <a:xfrm>
          <a:off x="141120" y="95400"/>
          <a:ext cx="875880" cy="27576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1</xdr:col>
      <xdr:colOff>875880</xdr:colOff>
      <xdr:row>1</xdr:row>
      <xdr:rowOff>275760</xdr:rowOff>
    </xdr:to>
    <xdr:pic>
      <xdr:nvPicPr>
        <xdr:cNvPr id="8" name="Image 1" descr="Picture">
          <a:hlinkClick xmlns:a="http://schemas.openxmlformats.org/drawingml/2006/main" xmlns:r="http://schemas.openxmlformats.org/officeDocument/2006/relationships" r:id="rId2" tooltip="Built with Mastt — visit mastt.com"/>
        </xdr:cNvPr>
        <xdr:cNvPicPr/>
      </xdr:nvPicPr>
      <xdr:blipFill>
        <a:blip r:embed="rId1"/>
        <a:stretch/>
      </xdr:blipFill>
      <xdr:spPr>
        <a:xfrm>
          <a:off x="141120" y="95400"/>
          <a:ext cx="875880" cy="27576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0.xml"/>
</Relationships>
</file>

<file path=xl/worksheets/_rels/sheet1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1.x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8.xml"/>
</Relationships>
</file>

<file path=xl/worksheets/_rels/sheet9.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A1:D53"/>
  <sheetViews>
    <sheetView showFormulas="false" showGridLines="false" showRowColHeaders="true" showZeros="true" rightToLeft="false" tabSelected="tru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0"/>
    <col collapsed="false" customWidth="true" hidden="false" outlineLevel="0" max="3" min="3" style="0" width="96"/>
    <col collapsed="false" customWidth="true" hidden="false" outlineLevel="0" max="4" min="4" style="0" width="40"/>
  </cols>
  <sheetData>
    <row r="1" customFormat="false" ht="7.5" hidden="false" customHeight="true" outlineLevel="0" collapsed="false">
      <c r="A1" s="1"/>
      <c r="B1" s="1"/>
      <c r="C1" s="1"/>
      <c r="D1" s="1"/>
    </row>
    <row r="2" customFormat="false" ht="30" hidden="false" customHeight="true" outlineLevel="0" collapsed="false">
      <c r="A2" s="1"/>
      <c r="B2" s="2" t="s">
        <v>0</v>
      </c>
      <c r="C2" s="2"/>
      <c r="D2" s="2"/>
    </row>
    <row r="3" customFormat="false" ht="16.5" hidden="false" customHeight="true" outlineLevel="0" collapsed="false">
      <c r="A3" s="1"/>
      <c r="B3" s="3" t="s">
        <v>1</v>
      </c>
      <c r="C3" s="3"/>
      <c r="D3" s="3"/>
    </row>
    <row r="4" customFormat="false" ht="9.75" hidden="false" customHeight="true" outlineLevel="0" collapsed="false">
      <c r="A4" s="1"/>
      <c r="B4" s="4" t="s">
        <v>2</v>
      </c>
      <c r="C4" s="4"/>
      <c r="D4" s="4"/>
    </row>
    <row r="5" customFormat="false" ht="6" hidden="false" customHeight="true" outlineLevel="0" collapsed="false">
      <c r="A5" s="1"/>
      <c r="B5" s="5"/>
      <c r="C5" s="5"/>
      <c r="D5" s="5"/>
    </row>
    <row r="7" customFormat="false" ht="19.5" hidden="false" customHeight="true" outlineLevel="0" collapsed="false">
      <c r="B7" s="6" t="s">
        <v>3</v>
      </c>
      <c r="C7" s="6"/>
      <c r="D7" s="6"/>
    </row>
    <row r="8" customFormat="false" ht="61.5" hidden="false" customHeight="true" outlineLevel="0" collapsed="false">
      <c r="B8" s="7" t="s">
        <v>4</v>
      </c>
      <c r="C8" s="7"/>
      <c r="D8" s="7"/>
    </row>
    <row r="10" customFormat="false" ht="19.5" hidden="false" customHeight="true" outlineLevel="0" collapsed="false">
      <c r="B10" s="6" t="s">
        <v>5</v>
      </c>
      <c r="C10" s="6"/>
      <c r="D10" s="6"/>
    </row>
    <row r="11" customFormat="false" ht="19.5" hidden="false" customHeight="true" outlineLevel="0" collapsed="false">
      <c r="B11" s="8" t="s">
        <v>6</v>
      </c>
      <c r="C11" s="8" t="s">
        <v>7</v>
      </c>
      <c r="D11" s="8" t="s">
        <v>8</v>
      </c>
    </row>
    <row r="12" customFormat="false" ht="25.5" hidden="false" customHeight="true" outlineLevel="0" collapsed="false">
      <c r="B12" s="9" t="s">
        <v>9</v>
      </c>
      <c r="C12" s="10" t="s">
        <v>10</v>
      </c>
      <c r="D12" s="11" t="s">
        <v>11</v>
      </c>
    </row>
    <row r="13" customFormat="false" ht="25.5" hidden="false" customHeight="true" outlineLevel="0" collapsed="false">
      <c r="B13" s="9" t="s">
        <v>12</v>
      </c>
      <c r="C13" s="10" t="s">
        <v>13</v>
      </c>
      <c r="D13" s="11" t="s">
        <v>14</v>
      </c>
    </row>
    <row r="14" customFormat="false" ht="25.5" hidden="false" customHeight="true" outlineLevel="0" collapsed="false">
      <c r="B14" s="9" t="s">
        <v>15</v>
      </c>
      <c r="C14" s="10" t="s">
        <v>16</v>
      </c>
      <c r="D14" s="11" t="s">
        <v>17</v>
      </c>
    </row>
    <row r="15" customFormat="false" ht="25.5" hidden="false" customHeight="true" outlineLevel="0" collapsed="false">
      <c r="B15" s="9" t="s">
        <v>18</v>
      </c>
      <c r="C15" s="10" t="s">
        <v>19</v>
      </c>
      <c r="D15" s="11" t="s">
        <v>20</v>
      </c>
    </row>
    <row r="16" customFormat="false" ht="25.5" hidden="false" customHeight="true" outlineLevel="0" collapsed="false">
      <c r="B16" s="9" t="s">
        <v>21</v>
      </c>
      <c r="C16" s="10" t="s">
        <v>22</v>
      </c>
      <c r="D16" s="11" t="s">
        <v>23</v>
      </c>
    </row>
    <row r="17" customFormat="false" ht="25.5" hidden="false" customHeight="true" outlineLevel="0" collapsed="false">
      <c r="B17" s="9" t="s">
        <v>24</v>
      </c>
      <c r="C17" s="10" t="s">
        <v>25</v>
      </c>
      <c r="D17" s="11" t="s">
        <v>26</v>
      </c>
    </row>
    <row r="18" customFormat="false" ht="25.5" hidden="false" customHeight="true" outlineLevel="0" collapsed="false">
      <c r="B18" s="9" t="s">
        <v>27</v>
      </c>
      <c r="C18" s="10" t="s">
        <v>28</v>
      </c>
      <c r="D18" s="11" t="s">
        <v>29</v>
      </c>
    </row>
    <row r="19" customFormat="false" ht="25.5" hidden="false" customHeight="true" outlineLevel="0" collapsed="false">
      <c r="B19" s="9" t="s">
        <v>30</v>
      </c>
      <c r="C19" s="10" t="s">
        <v>31</v>
      </c>
      <c r="D19" s="11" t="s">
        <v>32</v>
      </c>
    </row>
    <row r="20" customFormat="false" ht="25.5" hidden="false" customHeight="true" outlineLevel="0" collapsed="false">
      <c r="B20" s="9" t="s">
        <v>33</v>
      </c>
      <c r="C20" s="10" t="s">
        <v>34</v>
      </c>
      <c r="D20" s="11" t="s">
        <v>35</v>
      </c>
    </row>
    <row r="21" customFormat="false" ht="25.5" hidden="false" customHeight="true" outlineLevel="0" collapsed="false">
      <c r="B21" s="9" t="s">
        <v>36</v>
      </c>
      <c r="C21" s="10" t="s">
        <v>37</v>
      </c>
      <c r="D21" s="11" t="s">
        <v>38</v>
      </c>
    </row>
    <row r="23" customFormat="false" ht="19.5" hidden="false" customHeight="true" outlineLevel="0" collapsed="false">
      <c r="B23" s="6" t="s">
        <v>39</v>
      </c>
      <c r="C23" s="6"/>
      <c r="D23" s="6"/>
    </row>
    <row r="24" customFormat="false" ht="19.5" hidden="false" customHeight="true" outlineLevel="0" collapsed="false">
      <c r="B24" s="12" t="s">
        <v>40</v>
      </c>
      <c r="C24" s="13" t="s">
        <v>41</v>
      </c>
      <c r="D24" s="13"/>
    </row>
    <row r="25" customFormat="false" ht="19.5" hidden="false" customHeight="true" outlineLevel="0" collapsed="false">
      <c r="B25" s="14" t="s">
        <v>42</v>
      </c>
      <c r="C25" s="13" t="s">
        <v>43</v>
      </c>
      <c r="D25" s="13"/>
    </row>
    <row r="26" customFormat="false" ht="19.5" hidden="false" customHeight="true" outlineLevel="0" collapsed="false">
      <c r="B26" s="15" t="s">
        <v>44</v>
      </c>
      <c r="C26" s="13" t="s">
        <v>45</v>
      </c>
      <c r="D26" s="13"/>
    </row>
    <row r="27" customFormat="false" ht="19.5" hidden="false" customHeight="true" outlineLevel="0" collapsed="false">
      <c r="B27" s="16" t="s">
        <v>46</v>
      </c>
      <c r="C27" s="13" t="s">
        <v>47</v>
      </c>
      <c r="D27" s="13"/>
    </row>
    <row r="29" customFormat="false" ht="19.5" hidden="false" customHeight="true" outlineLevel="0" collapsed="false">
      <c r="B29" s="6" t="s">
        <v>48</v>
      </c>
      <c r="C29" s="6"/>
      <c r="D29" s="6"/>
    </row>
    <row r="30" customFormat="false" ht="30" hidden="false" customHeight="true" outlineLevel="0" collapsed="false">
      <c r="B30" s="9" t="s">
        <v>49</v>
      </c>
      <c r="C30" s="10" t="s">
        <v>50</v>
      </c>
      <c r="D30" s="10"/>
    </row>
    <row r="31" customFormat="false" ht="30" hidden="false" customHeight="true" outlineLevel="0" collapsed="false">
      <c r="B31" s="9" t="s">
        <v>51</v>
      </c>
      <c r="C31" s="10" t="s">
        <v>52</v>
      </c>
      <c r="D31" s="10"/>
    </row>
    <row r="32" customFormat="false" ht="30" hidden="false" customHeight="true" outlineLevel="0" collapsed="false">
      <c r="B32" s="9" t="s">
        <v>53</v>
      </c>
      <c r="C32" s="10" t="s">
        <v>54</v>
      </c>
      <c r="D32" s="10"/>
    </row>
    <row r="33" customFormat="false" ht="30" hidden="false" customHeight="true" outlineLevel="0" collapsed="false">
      <c r="B33" s="9" t="s">
        <v>55</v>
      </c>
      <c r="C33" s="10" t="s">
        <v>56</v>
      </c>
      <c r="D33" s="10"/>
    </row>
    <row r="34" customFormat="false" ht="30" hidden="false" customHeight="true" outlineLevel="0" collapsed="false">
      <c r="B34" s="9" t="s">
        <v>57</v>
      </c>
      <c r="C34" s="10" t="s">
        <v>58</v>
      </c>
      <c r="D34" s="10"/>
    </row>
    <row r="35" customFormat="false" ht="30" hidden="false" customHeight="true" outlineLevel="0" collapsed="false">
      <c r="B35" s="9" t="s">
        <v>59</v>
      </c>
      <c r="C35" s="10" t="s">
        <v>60</v>
      </c>
      <c r="D35" s="10"/>
    </row>
    <row r="36" customFormat="false" ht="30" hidden="false" customHeight="true" outlineLevel="0" collapsed="false">
      <c r="B36" s="9" t="s">
        <v>61</v>
      </c>
      <c r="C36" s="10" t="s">
        <v>62</v>
      </c>
      <c r="D36" s="10"/>
    </row>
    <row r="37" customFormat="false" ht="30" hidden="false" customHeight="true" outlineLevel="0" collapsed="false">
      <c r="B37" s="9" t="s">
        <v>63</v>
      </c>
      <c r="C37" s="10" t="s">
        <v>64</v>
      </c>
      <c r="D37" s="10"/>
    </row>
    <row r="39" customFormat="false" ht="19.5" hidden="false" customHeight="true" outlineLevel="0" collapsed="false">
      <c r="B39" s="6" t="s">
        <v>65</v>
      </c>
      <c r="C39" s="6"/>
      <c r="D39" s="6"/>
    </row>
    <row r="40" customFormat="false" ht="61.5" hidden="false" customHeight="true" outlineLevel="0" collapsed="false">
      <c r="B40" s="17" t="s">
        <v>66</v>
      </c>
      <c r="C40" s="17"/>
      <c r="D40" s="17"/>
    </row>
    <row r="42" customFormat="false" ht="19.5" hidden="false" customHeight="true" outlineLevel="0" collapsed="false">
      <c r="B42" s="6" t="s">
        <v>67</v>
      </c>
      <c r="C42" s="6"/>
      <c r="D42" s="6"/>
    </row>
    <row r="43" customFormat="false" ht="39.75" hidden="false" customHeight="true" outlineLevel="0" collapsed="false">
      <c r="B43" s="18" t="s">
        <v>68</v>
      </c>
      <c r="C43" s="10" t="s">
        <v>69</v>
      </c>
      <c r="D43" s="10"/>
    </row>
    <row r="44" customFormat="false" ht="39.75" hidden="false" customHeight="true" outlineLevel="0" collapsed="false">
      <c r="B44" s="18" t="s">
        <v>70</v>
      </c>
      <c r="C44" s="10" t="s">
        <v>71</v>
      </c>
      <c r="D44" s="10"/>
    </row>
    <row r="45" customFormat="false" ht="39.75" hidden="false" customHeight="true" outlineLevel="0" collapsed="false">
      <c r="B45" s="18" t="s">
        <v>72</v>
      </c>
      <c r="C45" s="10" t="s">
        <v>73</v>
      </c>
      <c r="D45" s="10"/>
    </row>
    <row r="46" customFormat="false" ht="39.75" hidden="false" customHeight="true" outlineLevel="0" collapsed="false">
      <c r="B46" s="18" t="s">
        <v>74</v>
      </c>
      <c r="C46" s="10" t="s">
        <v>75</v>
      </c>
      <c r="D46" s="10"/>
    </row>
    <row r="47" customFormat="false" ht="39.75" hidden="false" customHeight="true" outlineLevel="0" collapsed="false">
      <c r="B47" s="18" t="s">
        <v>76</v>
      </c>
      <c r="C47" s="10" t="s">
        <v>77</v>
      </c>
      <c r="D47" s="10"/>
    </row>
    <row r="48" customFormat="false" ht="39.75" hidden="false" customHeight="true" outlineLevel="0" collapsed="false">
      <c r="B48" s="18" t="s">
        <v>78</v>
      </c>
      <c r="C48" s="10" t="s">
        <v>79</v>
      </c>
      <c r="D48" s="10"/>
    </row>
    <row r="50" customFormat="false" ht="19.5" hidden="false" customHeight="true" outlineLevel="0" collapsed="false">
      <c r="B50" s="6" t="s">
        <v>80</v>
      </c>
      <c r="C50" s="6"/>
      <c r="D50" s="6"/>
    </row>
    <row r="51" customFormat="false" ht="55.5" hidden="false" customHeight="true" outlineLevel="0" collapsed="false">
      <c r="B51" s="19" t="s">
        <v>81</v>
      </c>
      <c r="C51" s="19"/>
      <c r="D51" s="19"/>
    </row>
    <row r="53" customFormat="false" ht="25.5" hidden="false" customHeight="true" outlineLevel="0" collapsed="false">
      <c r="B53" s="20" t="s">
        <v>82</v>
      </c>
      <c r="C53" s="20"/>
      <c r="D53" s="20"/>
    </row>
  </sheetData>
  <mergeCells count="32">
    <mergeCell ref="B2:D2"/>
    <mergeCell ref="B3:D3"/>
    <mergeCell ref="B4:D4"/>
    <mergeCell ref="B7:D7"/>
    <mergeCell ref="B8:D8"/>
    <mergeCell ref="B10:D10"/>
    <mergeCell ref="B23:D23"/>
    <mergeCell ref="C24:D24"/>
    <mergeCell ref="C25:D25"/>
    <mergeCell ref="C26:D26"/>
    <mergeCell ref="C27:D27"/>
    <mergeCell ref="B29:D29"/>
    <mergeCell ref="C30:D30"/>
    <mergeCell ref="C31:D31"/>
    <mergeCell ref="C32:D32"/>
    <mergeCell ref="C33:D33"/>
    <mergeCell ref="C34:D34"/>
    <mergeCell ref="C35:D35"/>
    <mergeCell ref="C36:D36"/>
    <mergeCell ref="C37:D37"/>
    <mergeCell ref="B39:D39"/>
    <mergeCell ref="B40:D40"/>
    <mergeCell ref="B42:D42"/>
    <mergeCell ref="C43:D43"/>
    <mergeCell ref="C44:D44"/>
    <mergeCell ref="C45:D45"/>
    <mergeCell ref="C46:D46"/>
    <mergeCell ref="C47:D47"/>
    <mergeCell ref="C48:D48"/>
    <mergeCell ref="B50:D50"/>
    <mergeCell ref="B51:D51"/>
    <mergeCell ref="B53:D53"/>
  </mergeCells>
  <hyperlinks>
    <hyperlink ref="B53" r:id="rId1" display="Built with Mastt  ·  capital project controls, cost management and reporting  ·  www.mastt.com"/>
  </hyperlinks>
  <printOptions headings="false" gridLines="false" gridLinesSet="true" horizontalCentered="false" verticalCentered="false"/>
  <pageMargins left="0.4" right="0.4" top="0.5" bottom="0.5"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&amp;L&amp;"Arial,Regular"&amp;8 Mastt  |  Progress Payment Certificate&amp;R&amp;"Arial,Regular"&amp;8 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D3245"/>
    <pageSetUpPr fitToPage="true"/>
  </sheetPr>
  <dimension ref="A1:N64"/>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2" ySplit="8" topLeftCell="C9" activePane="bottomRight" state="frozen"/>
      <selection pane="topLeft" activeCell="A1" activeCellId="0" sqref="A1"/>
      <selection pane="topRight" activeCell="C1" activeCellId="0" sqref="C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1"/>
    <col collapsed="false" customWidth="true" hidden="false" outlineLevel="0" max="3" min="3" style="0" width="16"/>
    <col collapsed="false" customWidth="true" hidden="false" outlineLevel="0" max="4" min="4" style="0" width="13"/>
    <col collapsed="false" customWidth="true" hidden="false" outlineLevel="0" max="5" min="5" style="0" width="15"/>
    <col collapsed="false" customWidth="true" hidden="false" outlineLevel="0" max="6" min="6" style="0" width="20"/>
    <col collapsed="false" customWidth="true" hidden="false" outlineLevel="0" max="7" min="7" style="0" width="18"/>
    <col collapsed="false" customWidth="true" hidden="false" outlineLevel="0" max="8" min="8" style="0" width="23"/>
    <col collapsed="false" customWidth="true" hidden="false" outlineLevel="0" max="9" min="9" style="0" width="16"/>
    <col collapsed="false" customWidth="true" hidden="false" outlineLevel="0" max="10" min="10" style="0" width="20"/>
    <col collapsed="false" customWidth="true" hidden="false" outlineLevel="0" max="11" min="11" style="0" width="14"/>
    <col collapsed="false" customWidth="true" hidden="false" outlineLevel="0" max="12" min="12" style="0" width="20"/>
    <col collapsed="false" customWidth="true" hidden="false" outlineLevel="0" max="13" min="13" style="0" width="18"/>
    <col collapsed="false" customWidth="true" hidden="false" outlineLevel="0" max="14" min="14" style="0" width="32"/>
  </cols>
  <sheetData>
    <row r="1" customFormat="false" ht="7.5" hidden="false" customHeight="true" outlineLevel="0" collapsed="false">
      <c r="A1" s="1"/>
      <c r="B1" s="1"/>
      <c r="C1" s="1"/>
      <c r="D1" s="1"/>
      <c r="E1" s="1"/>
      <c r="F1" s="1"/>
      <c r="G1" s="1"/>
      <c r="H1" s="1"/>
      <c r="I1" s="1"/>
      <c r="J1" s="1"/>
      <c r="K1" s="1"/>
      <c r="L1" s="1"/>
      <c r="M1" s="1"/>
      <c r="N1" s="1"/>
    </row>
    <row r="2" customFormat="false" ht="30" hidden="false" customHeight="true" outlineLevel="0" collapsed="false">
      <c r="A2" s="1"/>
      <c r="B2" s="2" t="s">
        <v>510</v>
      </c>
      <c r="C2" s="2"/>
      <c r="D2" s="2"/>
      <c r="E2" s="2"/>
      <c r="F2" s="2"/>
      <c r="G2" s="2"/>
      <c r="H2" s="2"/>
      <c r="I2" s="2"/>
      <c r="J2" s="2"/>
      <c r="K2" s="2"/>
      <c r="L2" s="2"/>
      <c r="M2" s="2"/>
      <c r="N2" s="2"/>
    </row>
    <row r="3" customFormat="false" ht="16.5" hidden="false" customHeight="true" outlineLevel="0" collapsed="false">
      <c r="A3" s="1"/>
      <c r="B3" s="3" t="s">
        <v>511</v>
      </c>
      <c r="C3" s="3"/>
      <c r="D3" s="3"/>
      <c r="E3" s="3"/>
      <c r="F3" s="3"/>
      <c r="G3" s="3"/>
      <c r="H3" s="3"/>
      <c r="I3" s="3"/>
      <c r="J3" s="3"/>
      <c r="K3" s="3"/>
      <c r="L3" s="3"/>
      <c r="M3" s="3"/>
      <c r="N3" s="3"/>
    </row>
    <row r="4" customFormat="false" ht="9.75" hidden="false" customHeight="true" outlineLevel="0" collapsed="false">
      <c r="A4" s="1"/>
      <c r="B4" s="4" t="s">
        <v>512</v>
      </c>
      <c r="C4" s="4"/>
      <c r="D4" s="4"/>
      <c r="E4" s="4"/>
      <c r="F4" s="4"/>
      <c r="G4" s="4"/>
      <c r="H4" s="4"/>
      <c r="I4" s="4"/>
      <c r="J4" s="4"/>
      <c r="K4" s="4"/>
      <c r="L4" s="4"/>
      <c r="M4" s="4"/>
      <c r="N4" s="4"/>
    </row>
    <row r="5" customFormat="false" ht="6" hidden="false" customHeight="true" outlineLevel="0" collapsed="false">
      <c r="A5" s="1"/>
      <c r="B5" s="5"/>
      <c r="C5" s="5"/>
      <c r="D5" s="5"/>
      <c r="E5" s="5"/>
      <c r="F5" s="5"/>
      <c r="G5" s="5"/>
      <c r="H5" s="5"/>
      <c r="I5" s="5"/>
      <c r="J5" s="5"/>
      <c r="K5" s="5"/>
      <c r="L5" s="5"/>
      <c r="M5" s="5"/>
      <c r="N5" s="5"/>
    </row>
    <row r="7" customFormat="false" ht="19.5" hidden="false" customHeight="true" outlineLevel="0" collapsed="false">
      <c r="B7" s="6" t="s">
        <v>513</v>
      </c>
      <c r="C7" s="6"/>
      <c r="D7" s="6"/>
      <c r="E7" s="6"/>
      <c r="F7" s="6"/>
      <c r="G7" s="6"/>
      <c r="H7" s="6"/>
      <c r="I7" s="6"/>
      <c r="J7" s="6"/>
      <c r="K7" s="6"/>
      <c r="L7" s="6"/>
      <c r="M7" s="6"/>
      <c r="N7" s="6"/>
    </row>
    <row r="8" customFormat="false" ht="33.75" hidden="false" customHeight="true" outlineLevel="0" collapsed="false">
      <c r="B8" s="8" t="s">
        <v>514</v>
      </c>
      <c r="C8" s="8" t="s">
        <v>515</v>
      </c>
      <c r="D8" s="8" t="s">
        <v>516</v>
      </c>
      <c r="E8" s="8" t="s">
        <v>517</v>
      </c>
      <c r="F8" s="8" t="s">
        <v>518</v>
      </c>
      <c r="G8" s="8" t="s">
        <v>519</v>
      </c>
      <c r="H8" s="8" t="s">
        <v>520</v>
      </c>
      <c r="I8" s="8" t="s">
        <v>521</v>
      </c>
      <c r="J8" s="8" t="s">
        <v>522</v>
      </c>
      <c r="K8" s="8" t="s">
        <v>523</v>
      </c>
      <c r="L8" s="8" t="s">
        <v>524</v>
      </c>
      <c r="M8" s="8" t="s">
        <v>525</v>
      </c>
      <c r="N8" s="8" t="s">
        <v>394</v>
      </c>
    </row>
    <row r="9" customFormat="false" ht="15" hidden="false" customHeight="true" outlineLevel="0" collapsed="false">
      <c r="B9" s="38" t="n">
        <v>1</v>
      </c>
      <c r="C9" s="40" t="n">
        <v>46034</v>
      </c>
      <c r="D9" s="38" t="n">
        <v>1</v>
      </c>
      <c r="E9" s="40" t="n">
        <v>46022</v>
      </c>
      <c r="F9" s="27"/>
      <c r="G9" s="27"/>
      <c r="H9" s="27" t="n">
        <v>609564.84</v>
      </c>
      <c r="I9" s="31" t="n">
        <f aca="false">IF($H9="",0,ROUND($H9*'Contract Particulars'!$C$32,2))</f>
        <v>60956.48</v>
      </c>
      <c r="J9" s="31" t="n">
        <f aca="false">$H9+$I9</f>
        <v>670521.32</v>
      </c>
      <c r="K9" s="40" t="n">
        <v>46049</v>
      </c>
      <c r="L9" s="27" t="n">
        <v>670521.32</v>
      </c>
      <c r="M9" s="45" t="n">
        <f aca="false">IF($K9="",0,$L9-$J9)</f>
        <v>0</v>
      </c>
      <c r="N9" s="22"/>
    </row>
    <row r="10" customFormat="false" ht="15" hidden="false" customHeight="true" outlineLevel="0" collapsed="false">
      <c r="B10" s="38" t="n">
        <v>2</v>
      </c>
      <c r="C10" s="40" t="n">
        <v>46065</v>
      </c>
      <c r="D10" s="38" t="n">
        <v>2</v>
      </c>
      <c r="E10" s="40" t="n">
        <v>46053</v>
      </c>
      <c r="F10" s="27"/>
      <c r="G10" s="27"/>
      <c r="H10" s="27" t="n">
        <v>1371520.89</v>
      </c>
      <c r="I10" s="65" t="n">
        <f aca="false">IF($H10="",0,ROUND($H10*'Contract Particulars'!$C$32,2))</f>
        <v>137152.09</v>
      </c>
      <c r="J10" s="65" t="n">
        <f aca="false">$H10+$I10</f>
        <v>1508672.98</v>
      </c>
      <c r="K10" s="40" t="n">
        <v>46080</v>
      </c>
      <c r="L10" s="27" t="n">
        <v>1508672.98</v>
      </c>
      <c r="M10" s="70" t="n">
        <f aca="false">IF($K10="",0,$L10-$J10)</f>
        <v>0</v>
      </c>
      <c r="N10" s="22"/>
    </row>
    <row r="11" customFormat="false" ht="15" hidden="false" customHeight="true" outlineLevel="0" collapsed="false">
      <c r="B11" s="38" t="n">
        <v>3</v>
      </c>
      <c r="C11" s="40" t="n">
        <v>46093</v>
      </c>
      <c r="D11" s="38" t="n">
        <v>3</v>
      </c>
      <c r="E11" s="40" t="n">
        <v>46081</v>
      </c>
      <c r="F11" s="27"/>
      <c r="G11" s="27"/>
      <c r="H11" s="27" t="n">
        <v>2133476.94</v>
      </c>
      <c r="I11" s="31" t="n">
        <f aca="false">IF($H11="",0,ROUND($H11*'Contract Particulars'!$C$32,2))</f>
        <v>213347.69</v>
      </c>
      <c r="J11" s="31" t="n">
        <f aca="false">$H11+$I11</f>
        <v>2346824.63</v>
      </c>
      <c r="K11" s="40" t="n">
        <v>46108</v>
      </c>
      <c r="L11" s="27" t="n">
        <v>2346824.63</v>
      </c>
      <c r="M11" s="45" t="n">
        <f aca="false">IF($K11="",0,$L11-$J11)</f>
        <v>0</v>
      </c>
      <c r="N11" s="22"/>
    </row>
    <row r="12" customFormat="false" ht="15" hidden="false" customHeight="true" outlineLevel="0" collapsed="false">
      <c r="B12" s="38" t="n">
        <v>4</v>
      </c>
      <c r="C12" s="40" t="n">
        <v>46124</v>
      </c>
      <c r="D12" s="38" t="n">
        <v>4</v>
      </c>
      <c r="E12" s="40" t="n">
        <v>46112</v>
      </c>
      <c r="F12" s="27"/>
      <c r="G12" s="27"/>
      <c r="H12" s="27" t="n">
        <v>2590650.57</v>
      </c>
      <c r="I12" s="65" t="n">
        <f aca="false">IF($H12="",0,ROUND($H12*'Contract Particulars'!$C$32,2))</f>
        <v>259065.06</v>
      </c>
      <c r="J12" s="65" t="n">
        <f aca="false">$H12+$I12</f>
        <v>2849715.63</v>
      </c>
      <c r="K12" s="40" t="n">
        <v>46139</v>
      </c>
      <c r="L12" s="27" t="n">
        <v>2849715.63</v>
      </c>
      <c r="M12" s="70" t="n">
        <f aca="false">IF($K12="",0,$L12-$J12)</f>
        <v>0</v>
      </c>
      <c r="N12" s="22"/>
    </row>
    <row r="13" customFormat="false" ht="15" hidden="false" customHeight="true" outlineLevel="0" collapsed="false">
      <c r="B13" s="38" t="n">
        <v>5</v>
      </c>
      <c r="C13" s="40" t="n">
        <v>46154</v>
      </c>
      <c r="D13" s="38" t="n">
        <v>5</v>
      </c>
      <c r="E13" s="40" t="n">
        <v>46142</v>
      </c>
      <c r="F13" s="27"/>
      <c r="G13" s="27"/>
      <c r="H13" s="27" t="n">
        <v>2743041.78</v>
      </c>
      <c r="I13" s="31" t="n">
        <f aca="false">IF($H13="",0,ROUND($H13*'Contract Particulars'!$C$32,2))</f>
        <v>274304.18</v>
      </c>
      <c r="J13" s="31" t="n">
        <f aca="false">$H13+$I13</f>
        <v>3017345.96</v>
      </c>
      <c r="K13" s="40" t="n">
        <v>46169</v>
      </c>
      <c r="L13" s="27" t="n">
        <v>3017345.96</v>
      </c>
      <c r="M13" s="45" t="n">
        <f aca="false">IF($K13="",0,$L13-$J13)</f>
        <v>0</v>
      </c>
      <c r="N13" s="22"/>
    </row>
    <row r="14" customFormat="false" ht="15" hidden="false" customHeight="true" outlineLevel="0" collapsed="false">
      <c r="B14" s="38" t="n">
        <v>6</v>
      </c>
      <c r="C14" s="40" t="n">
        <v>46185</v>
      </c>
      <c r="D14" s="38" t="n">
        <v>6</v>
      </c>
      <c r="E14" s="40" t="n">
        <v>46173</v>
      </c>
      <c r="F14" s="27"/>
      <c r="G14" s="27"/>
      <c r="H14" s="27" t="n">
        <v>3047824.2</v>
      </c>
      <c r="I14" s="65" t="n">
        <f aca="false">IF($H14="",0,ROUND($H14*'Contract Particulars'!$C$32,2))</f>
        <v>304782.42</v>
      </c>
      <c r="J14" s="65" t="n">
        <f aca="false">$H14+$I14</f>
        <v>3352606.62</v>
      </c>
      <c r="K14" s="40" t="n">
        <v>46200</v>
      </c>
      <c r="L14" s="27" t="n">
        <v>3352606.62</v>
      </c>
      <c r="M14" s="70" t="n">
        <f aca="false">IF($K14="",0,$L14-$J14)</f>
        <v>0</v>
      </c>
      <c r="N14" s="22"/>
    </row>
    <row r="15" customFormat="false" ht="15" hidden="false" customHeight="true" outlineLevel="0" collapsed="false">
      <c r="B15" s="38" t="n">
        <v>7</v>
      </c>
      <c r="C15" s="40" t="n">
        <v>46215</v>
      </c>
      <c r="D15" s="38" t="n">
        <v>7</v>
      </c>
      <c r="E15" s="40" t="n">
        <v>46203</v>
      </c>
      <c r="F15" s="27"/>
      <c r="G15" s="27"/>
      <c r="H15" s="27" t="n">
        <v>2743041.78</v>
      </c>
      <c r="I15" s="31" t="n">
        <f aca="false">IF($H15="",0,ROUND($H15*'Contract Particulars'!$C$32,2))</f>
        <v>274304.18</v>
      </c>
      <c r="J15" s="31" t="n">
        <f aca="false">$H15+$I15</f>
        <v>3017345.96</v>
      </c>
      <c r="K15" s="40" t="n">
        <v>46230</v>
      </c>
      <c r="L15" s="27" t="n">
        <v>3017345.96</v>
      </c>
      <c r="M15" s="45" t="n">
        <f aca="false">IF($K15="",0,$L15-$J15)</f>
        <v>0</v>
      </c>
      <c r="N15" s="22"/>
    </row>
    <row r="16" customFormat="false" ht="15" hidden="false" customHeight="true" outlineLevel="0" collapsed="false">
      <c r="B16" s="38"/>
      <c r="C16" s="40"/>
      <c r="D16" s="38"/>
      <c r="E16" s="40"/>
      <c r="F16" s="27"/>
      <c r="G16" s="27"/>
      <c r="H16" s="27"/>
      <c r="I16" s="65" t="n">
        <f aca="false">IF($H16="",0,ROUND($H16*'Contract Particulars'!$C$32,2))</f>
        <v>0</v>
      </c>
      <c r="J16" s="65" t="n">
        <f aca="false">$H16+$I16</f>
        <v>0</v>
      </c>
      <c r="K16" s="40"/>
      <c r="L16" s="27"/>
      <c r="M16" s="70" t="n">
        <f aca="false">IF($K16="",0,$L16-$J16)</f>
        <v>0</v>
      </c>
      <c r="N16" s="22"/>
    </row>
    <row r="17" customFormat="false" ht="15" hidden="false" customHeight="true" outlineLevel="0" collapsed="false">
      <c r="B17" s="38"/>
      <c r="C17" s="40"/>
      <c r="D17" s="38"/>
      <c r="E17" s="40"/>
      <c r="F17" s="27"/>
      <c r="G17" s="27"/>
      <c r="H17" s="27"/>
      <c r="I17" s="31" t="n">
        <f aca="false">IF($H17="",0,ROUND($H17*'Contract Particulars'!$C$32,2))</f>
        <v>0</v>
      </c>
      <c r="J17" s="31" t="n">
        <f aca="false">$H17+$I17</f>
        <v>0</v>
      </c>
      <c r="K17" s="40"/>
      <c r="L17" s="27"/>
      <c r="M17" s="45" t="n">
        <f aca="false">IF($K17="",0,$L17-$J17)</f>
        <v>0</v>
      </c>
      <c r="N17" s="22"/>
    </row>
    <row r="18" customFormat="false" ht="15" hidden="false" customHeight="true" outlineLevel="0" collapsed="false">
      <c r="B18" s="38"/>
      <c r="C18" s="40"/>
      <c r="D18" s="38"/>
      <c r="E18" s="40"/>
      <c r="F18" s="27"/>
      <c r="G18" s="27"/>
      <c r="H18" s="27"/>
      <c r="I18" s="65" t="n">
        <f aca="false">IF($H18="",0,ROUND($H18*'Contract Particulars'!$C$32,2))</f>
        <v>0</v>
      </c>
      <c r="J18" s="65" t="n">
        <f aca="false">$H18+$I18</f>
        <v>0</v>
      </c>
      <c r="K18" s="40"/>
      <c r="L18" s="27"/>
      <c r="M18" s="70" t="n">
        <f aca="false">IF($K18="",0,$L18-$J18)</f>
        <v>0</v>
      </c>
      <c r="N18" s="22"/>
    </row>
    <row r="19" customFormat="false" ht="15" hidden="false" customHeight="true" outlineLevel="0" collapsed="false">
      <c r="B19" s="38"/>
      <c r="C19" s="40"/>
      <c r="D19" s="38"/>
      <c r="E19" s="40"/>
      <c r="F19" s="27"/>
      <c r="G19" s="27"/>
      <c r="H19" s="27"/>
      <c r="I19" s="31" t="n">
        <f aca="false">IF($H19="",0,ROUND($H19*'Contract Particulars'!$C$32,2))</f>
        <v>0</v>
      </c>
      <c r="J19" s="31" t="n">
        <f aca="false">$H19+$I19</f>
        <v>0</v>
      </c>
      <c r="K19" s="40"/>
      <c r="L19" s="27"/>
      <c r="M19" s="45" t="n">
        <f aca="false">IF($K19="",0,$L19-$J19)</f>
        <v>0</v>
      </c>
      <c r="N19" s="22"/>
    </row>
    <row r="20" customFormat="false" ht="15" hidden="false" customHeight="true" outlineLevel="0" collapsed="false">
      <c r="B20" s="38"/>
      <c r="C20" s="40"/>
      <c r="D20" s="38"/>
      <c r="E20" s="40"/>
      <c r="F20" s="27"/>
      <c r="G20" s="27"/>
      <c r="H20" s="27"/>
      <c r="I20" s="65" t="n">
        <f aca="false">IF($H20="",0,ROUND($H20*'Contract Particulars'!$C$32,2))</f>
        <v>0</v>
      </c>
      <c r="J20" s="65" t="n">
        <f aca="false">$H20+$I20</f>
        <v>0</v>
      </c>
      <c r="K20" s="40"/>
      <c r="L20" s="27"/>
      <c r="M20" s="70" t="n">
        <f aca="false">IF($K20="",0,$L20-$J20)</f>
        <v>0</v>
      </c>
      <c r="N20" s="22"/>
    </row>
    <row r="21" customFormat="false" ht="15" hidden="false" customHeight="true" outlineLevel="0" collapsed="false">
      <c r="B21" s="38"/>
      <c r="C21" s="40"/>
      <c r="D21" s="38"/>
      <c r="E21" s="40"/>
      <c r="F21" s="27"/>
      <c r="G21" s="27"/>
      <c r="H21" s="27"/>
      <c r="I21" s="31" t="n">
        <f aca="false">IF($H21="",0,ROUND($H21*'Contract Particulars'!$C$32,2))</f>
        <v>0</v>
      </c>
      <c r="J21" s="31" t="n">
        <f aca="false">$H21+$I21</f>
        <v>0</v>
      </c>
      <c r="K21" s="40"/>
      <c r="L21" s="27"/>
      <c r="M21" s="45" t="n">
        <f aca="false">IF($K21="",0,$L21-$J21)</f>
        <v>0</v>
      </c>
      <c r="N21" s="22"/>
    </row>
    <row r="22" customFormat="false" ht="15" hidden="false" customHeight="true" outlineLevel="0" collapsed="false">
      <c r="B22" s="38"/>
      <c r="C22" s="40"/>
      <c r="D22" s="38"/>
      <c r="E22" s="40"/>
      <c r="F22" s="27"/>
      <c r="G22" s="27"/>
      <c r="H22" s="27"/>
      <c r="I22" s="65" t="n">
        <f aca="false">IF($H22="",0,ROUND($H22*'Contract Particulars'!$C$32,2))</f>
        <v>0</v>
      </c>
      <c r="J22" s="65" t="n">
        <f aca="false">$H22+$I22</f>
        <v>0</v>
      </c>
      <c r="K22" s="40"/>
      <c r="L22" s="27"/>
      <c r="M22" s="70" t="n">
        <f aca="false">IF($K22="",0,$L22-$J22)</f>
        <v>0</v>
      </c>
      <c r="N22" s="22"/>
    </row>
    <row r="23" customFormat="false" ht="15" hidden="false" customHeight="true" outlineLevel="0" collapsed="false">
      <c r="B23" s="38"/>
      <c r="C23" s="40"/>
      <c r="D23" s="38"/>
      <c r="E23" s="40"/>
      <c r="F23" s="27"/>
      <c r="G23" s="27"/>
      <c r="H23" s="27"/>
      <c r="I23" s="31" t="n">
        <f aca="false">IF($H23="",0,ROUND($H23*'Contract Particulars'!$C$32,2))</f>
        <v>0</v>
      </c>
      <c r="J23" s="31" t="n">
        <f aca="false">$H23+$I23</f>
        <v>0</v>
      </c>
      <c r="K23" s="40"/>
      <c r="L23" s="27"/>
      <c r="M23" s="45" t="n">
        <f aca="false">IF($K23="",0,$L23-$J23)</f>
        <v>0</v>
      </c>
      <c r="N23" s="22"/>
    </row>
    <row r="24" customFormat="false" ht="15" hidden="false" customHeight="true" outlineLevel="0" collapsed="false">
      <c r="B24" s="38"/>
      <c r="C24" s="40"/>
      <c r="D24" s="38"/>
      <c r="E24" s="40"/>
      <c r="F24" s="27"/>
      <c r="G24" s="27"/>
      <c r="H24" s="27"/>
      <c r="I24" s="65" t="n">
        <f aca="false">IF($H24="",0,ROUND($H24*'Contract Particulars'!$C$32,2))</f>
        <v>0</v>
      </c>
      <c r="J24" s="65" t="n">
        <f aca="false">$H24+$I24</f>
        <v>0</v>
      </c>
      <c r="K24" s="40"/>
      <c r="L24" s="27"/>
      <c r="M24" s="70" t="n">
        <f aca="false">IF($K24="",0,$L24-$J24)</f>
        <v>0</v>
      </c>
      <c r="N24" s="22"/>
    </row>
    <row r="25" customFormat="false" ht="15" hidden="false" customHeight="true" outlineLevel="0" collapsed="false">
      <c r="B25" s="38"/>
      <c r="C25" s="40"/>
      <c r="D25" s="38"/>
      <c r="E25" s="40"/>
      <c r="F25" s="27"/>
      <c r="G25" s="27"/>
      <c r="H25" s="27"/>
      <c r="I25" s="31" t="n">
        <f aca="false">IF($H25="",0,ROUND($H25*'Contract Particulars'!$C$32,2))</f>
        <v>0</v>
      </c>
      <c r="J25" s="31" t="n">
        <f aca="false">$H25+$I25</f>
        <v>0</v>
      </c>
      <c r="K25" s="40"/>
      <c r="L25" s="27"/>
      <c r="M25" s="45" t="n">
        <f aca="false">IF($K25="",0,$L25-$J25)</f>
        <v>0</v>
      </c>
      <c r="N25" s="22"/>
    </row>
    <row r="26" customFormat="false" ht="15" hidden="false" customHeight="true" outlineLevel="0" collapsed="false">
      <c r="B26" s="38"/>
      <c r="C26" s="40"/>
      <c r="D26" s="38"/>
      <c r="E26" s="40"/>
      <c r="F26" s="27"/>
      <c r="G26" s="27"/>
      <c r="H26" s="27"/>
      <c r="I26" s="65" t="n">
        <f aca="false">IF($H26="",0,ROUND($H26*'Contract Particulars'!$C$32,2))</f>
        <v>0</v>
      </c>
      <c r="J26" s="65" t="n">
        <f aca="false">$H26+$I26</f>
        <v>0</v>
      </c>
      <c r="K26" s="40"/>
      <c r="L26" s="27"/>
      <c r="M26" s="70" t="n">
        <f aca="false">IF($K26="",0,$L26-$J26)</f>
        <v>0</v>
      </c>
      <c r="N26" s="22"/>
    </row>
    <row r="27" customFormat="false" ht="15" hidden="false" customHeight="true" outlineLevel="0" collapsed="false">
      <c r="B27" s="38"/>
      <c r="C27" s="40"/>
      <c r="D27" s="38"/>
      <c r="E27" s="40"/>
      <c r="F27" s="27"/>
      <c r="G27" s="27"/>
      <c r="H27" s="27"/>
      <c r="I27" s="31" t="n">
        <f aca="false">IF($H27="",0,ROUND($H27*'Contract Particulars'!$C$32,2))</f>
        <v>0</v>
      </c>
      <c r="J27" s="31" t="n">
        <f aca="false">$H27+$I27</f>
        <v>0</v>
      </c>
      <c r="K27" s="40"/>
      <c r="L27" s="27"/>
      <c r="M27" s="45" t="n">
        <f aca="false">IF($K27="",0,$L27-$J27)</f>
        <v>0</v>
      </c>
      <c r="N27" s="22"/>
    </row>
    <row r="28" customFormat="false" ht="15" hidden="false" customHeight="true" outlineLevel="0" collapsed="false">
      <c r="B28" s="38"/>
      <c r="C28" s="40"/>
      <c r="D28" s="38"/>
      <c r="E28" s="40"/>
      <c r="F28" s="27"/>
      <c r="G28" s="27"/>
      <c r="H28" s="27"/>
      <c r="I28" s="65" t="n">
        <f aca="false">IF($H28="",0,ROUND($H28*'Contract Particulars'!$C$32,2))</f>
        <v>0</v>
      </c>
      <c r="J28" s="65" t="n">
        <f aca="false">$H28+$I28</f>
        <v>0</v>
      </c>
      <c r="K28" s="40"/>
      <c r="L28" s="27"/>
      <c r="M28" s="70" t="n">
        <f aca="false">IF($K28="",0,$L28-$J28)</f>
        <v>0</v>
      </c>
      <c r="N28" s="22"/>
    </row>
    <row r="29" customFormat="false" ht="15" hidden="false" customHeight="true" outlineLevel="0" collapsed="false">
      <c r="B29" s="38"/>
      <c r="C29" s="40"/>
      <c r="D29" s="38"/>
      <c r="E29" s="40"/>
      <c r="F29" s="27"/>
      <c r="G29" s="27"/>
      <c r="H29" s="27"/>
      <c r="I29" s="31" t="n">
        <f aca="false">IF($H29="",0,ROUND($H29*'Contract Particulars'!$C$32,2))</f>
        <v>0</v>
      </c>
      <c r="J29" s="31" t="n">
        <f aca="false">$H29+$I29</f>
        <v>0</v>
      </c>
      <c r="K29" s="40"/>
      <c r="L29" s="27"/>
      <c r="M29" s="45" t="n">
        <f aca="false">IF($K29="",0,$L29-$J29)</f>
        <v>0</v>
      </c>
      <c r="N29" s="22"/>
    </row>
    <row r="30" customFormat="false" ht="15" hidden="false" customHeight="true" outlineLevel="0" collapsed="false">
      <c r="B30" s="38"/>
      <c r="C30" s="40"/>
      <c r="D30" s="38"/>
      <c r="E30" s="40"/>
      <c r="F30" s="27"/>
      <c r="G30" s="27"/>
      <c r="H30" s="27"/>
      <c r="I30" s="65" t="n">
        <f aca="false">IF($H30="",0,ROUND($H30*'Contract Particulars'!$C$32,2))</f>
        <v>0</v>
      </c>
      <c r="J30" s="65" t="n">
        <f aca="false">$H30+$I30</f>
        <v>0</v>
      </c>
      <c r="K30" s="40"/>
      <c r="L30" s="27"/>
      <c r="M30" s="70" t="n">
        <f aca="false">IF($K30="",0,$L30-$J30)</f>
        <v>0</v>
      </c>
      <c r="N30" s="22"/>
    </row>
    <row r="31" customFormat="false" ht="15" hidden="false" customHeight="true" outlineLevel="0" collapsed="false">
      <c r="B31" s="38"/>
      <c r="C31" s="40"/>
      <c r="D31" s="38"/>
      <c r="E31" s="40"/>
      <c r="F31" s="27"/>
      <c r="G31" s="27"/>
      <c r="H31" s="27"/>
      <c r="I31" s="31" t="n">
        <f aca="false">IF($H31="",0,ROUND($H31*'Contract Particulars'!$C$32,2))</f>
        <v>0</v>
      </c>
      <c r="J31" s="31" t="n">
        <f aca="false">$H31+$I31</f>
        <v>0</v>
      </c>
      <c r="K31" s="40"/>
      <c r="L31" s="27"/>
      <c r="M31" s="45" t="n">
        <f aca="false">IF($K31="",0,$L31-$J31)</f>
        <v>0</v>
      </c>
      <c r="N31" s="22"/>
    </row>
    <row r="32" customFormat="false" ht="15" hidden="false" customHeight="true" outlineLevel="0" collapsed="false">
      <c r="B32" s="38"/>
      <c r="C32" s="40"/>
      <c r="D32" s="38"/>
      <c r="E32" s="40"/>
      <c r="F32" s="27"/>
      <c r="G32" s="27"/>
      <c r="H32" s="27"/>
      <c r="I32" s="65" t="n">
        <f aca="false">IF($H32="",0,ROUND($H32*'Contract Particulars'!$C$32,2))</f>
        <v>0</v>
      </c>
      <c r="J32" s="65" t="n">
        <f aca="false">$H32+$I32</f>
        <v>0</v>
      </c>
      <c r="K32" s="40"/>
      <c r="L32" s="27"/>
      <c r="M32" s="70" t="n">
        <f aca="false">IF($K32="",0,$L32-$J32)</f>
        <v>0</v>
      </c>
      <c r="N32" s="22"/>
    </row>
    <row r="33" customFormat="false" ht="15" hidden="false" customHeight="true" outlineLevel="0" collapsed="false">
      <c r="B33" s="38"/>
      <c r="C33" s="40"/>
      <c r="D33" s="38"/>
      <c r="E33" s="40"/>
      <c r="F33" s="27"/>
      <c r="G33" s="27"/>
      <c r="H33" s="27"/>
      <c r="I33" s="31" t="n">
        <f aca="false">IF($H33="",0,ROUND($H33*'Contract Particulars'!$C$32,2))</f>
        <v>0</v>
      </c>
      <c r="J33" s="31" t="n">
        <f aca="false">$H33+$I33</f>
        <v>0</v>
      </c>
      <c r="K33" s="40"/>
      <c r="L33" s="27"/>
      <c r="M33" s="45" t="n">
        <f aca="false">IF($K33="",0,$L33-$J33)</f>
        <v>0</v>
      </c>
      <c r="N33" s="22"/>
    </row>
    <row r="34" customFormat="false" ht="15" hidden="false" customHeight="true" outlineLevel="0" collapsed="false">
      <c r="B34" s="38"/>
      <c r="C34" s="40"/>
      <c r="D34" s="38"/>
      <c r="E34" s="40"/>
      <c r="F34" s="27"/>
      <c r="G34" s="27"/>
      <c r="H34" s="27"/>
      <c r="I34" s="65" t="n">
        <f aca="false">IF($H34="",0,ROUND($H34*'Contract Particulars'!$C$32,2))</f>
        <v>0</v>
      </c>
      <c r="J34" s="65" t="n">
        <f aca="false">$H34+$I34</f>
        <v>0</v>
      </c>
      <c r="K34" s="40"/>
      <c r="L34" s="27"/>
      <c r="M34" s="70" t="n">
        <f aca="false">IF($K34="",0,$L34-$J34)</f>
        <v>0</v>
      </c>
      <c r="N34" s="22"/>
    </row>
    <row r="35" customFormat="false" ht="15" hidden="false" customHeight="true" outlineLevel="0" collapsed="false">
      <c r="B35" s="38"/>
      <c r="C35" s="40"/>
      <c r="D35" s="38"/>
      <c r="E35" s="40"/>
      <c r="F35" s="27"/>
      <c r="G35" s="27"/>
      <c r="H35" s="27"/>
      <c r="I35" s="31" t="n">
        <f aca="false">IF($H35="",0,ROUND($H35*'Contract Particulars'!$C$32,2))</f>
        <v>0</v>
      </c>
      <c r="J35" s="31" t="n">
        <f aca="false">$H35+$I35</f>
        <v>0</v>
      </c>
      <c r="K35" s="40"/>
      <c r="L35" s="27"/>
      <c r="M35" s="45" t="n">
        <f aca="false">IF($K35="",0,$L35-$J35)</f>
        <v>0</v>
      </c>
      <c r="N35" s="22"/>
    </row>
    <row r="36" customFormat="false" ht="15" hidden="false" customHeight="true" outlineLevel="0" collapsed="false">
      <c r="B36" s="38"/>
      <c r="C36" s="40"/>
      <c r="D36" s="38"/>
      <c r="E36" s="40"/>
      <c r="F36" s="27"/>
      <c r="G36" s="27"/>
      <c r="H36" s="27"/>
      <c r="I36" s="65" t="n">
        <f aca="false">IF($H36="",0,ROUND($H36*'Contract Particulars'!$C$32,2))</f>
        <v>0</v>
      </c>
      <c r="J36" s="65" t="n">
        <f aca="false">$H36+$I36</f>
        <v>0</v>
      </c>
      <c r="K36" s="40"/>
      <c r="L36" s="27"/>
      <c r="M36" s="70" t="n">
        <f aca="false">IF($K36="",0,$L36-$J36)</f>
        <v>0</v>
      </c>
      <c r="N36" s="22"/>
    </row>
    <row r="37" customFormat="false" ht="15" hidden="false" customHeight="true" outlineLevel="0" collapsed="false">
      <c r="B37" s="38"/>
      <c r="C37" s="40"/>
      <c r="D37" s="38"/>
      <c r="E37" s="40"/>
      <c r="F37" s="27"/>
      <c r="G37" s="27"/>
      <c r="H37" s="27"/>
      <c r="I37" s="31" t="n">
        <f aca="false">IF($H37="",0,ROUND($H37*'Contract Particulars'!$C$32,2))</f>
        <v>0</v>
      </c>
      <c r="J37" s="31" t="n">
        <f aca="false">$H37+$I37</f>
        <v>0</v>
      </c>
      <c r="K37" s="40"/>
      <c r="L37" s="27"/>
      <c r="M37" s="45" t="n">
        <f aca="false">IF($K37="",0,$L37-$J37)</f>
        <v>0</v>
      </c>
      <c r="N37" s="22"/>
    </row>
    <row r="38" customFormat="false" ht="15" hidden="false" customHeight="true" outlineLevel="0" collapsed="false">
      <c r="B38" s="38"/>
      <c r="C38" s="40"/>
      <c r="D38" s="38"/>
      <c r="E38" s="40"/>
      <c r="F38" s="27"/>
      <c r="G38" s="27"/>
      <c r="H38" s="27"/>
      <c r="I38" s="65" t="n">
        <f aca="false">IF($H38="",0,ROUND($H38*'Contract Particulars'!$C$32,2))</f>
        <v>0</v>
      </c>
      <c r="J38" s="65" t="n">
        <f aca="false">$H38+$I38</f>
        <v>0</v>
      </c>
      <c r="K38" s="40"/>
      <c r="L38" s="27"/>
      <c r="M38" s="70" t="n">
        <f aca="false">IF($K38="",0,$L38-$J38)</f>
        <v>0</v>
      </c>
      <c r="N38" s="22"/>
    </row>
    <row r="39" customFormat="false" ht="15" hidden="false" customHeight="true" outlineLevel="0" collapsed="false">
      <c r="B39" s="38"/>
      <c r="C39" s="40"/>
      <c r="D39" s="38"/>
      <c r="E39" s="40"/>
      <c r="F39" s="27"/>
      <c r="G39" s="27"/>
      <c r="H39" s="27"/>
      <c r="I39" s="31" t="n">
        <f aca="false">IF($H39="",0,ROUND($H39*'Contract Particulars'!$C$32,2))</f>
        <v>0</v>
      </c>
      <c r="J39" s="31" t="n">
        <f aca="false">$H39+$I39</f>
        <v>0</v>
      </c>
      <c r="K39" s="40"/>
      <c r="L39" s="27"/>
      <c r="M39" s="45" t="n">
        <f aca="false">IF($K39="",0,$L39-$J39)</f>
        <v>0</v>
      </c>
      <c r="N39" s="22"/>
    </row>
    <row r="40" customFormat="false" ht="15" hidden="false" customHeight="true" outlineLevel="0" collapsed="false">
      <c r="B40" s="38"/>
      <c r="C40" s="40"/>
      <c r="D40" s="38"/>
      <c r="E40" s="40"/>
      <c r="F40" s="27"/>
      <c r="G40" s="27"/>
      <c r="H40" s="27"/>
      <c r="I40" s="65" t="n">
        <f aca="false">IF($H40="",0,ROUND($H40*'Contract Particulars'!$C$32,2))</f>
        <v>0</v>
      </c>
      <c r="J40" s="65" t="n">
        <f aca="false">$H40+$I40</f>
        <v>0</v>
      </c>
      <c r="K40" s="40"/>
      <c r="L40" s="27"/>
      <c r="M40" s="70" t="n">
        <f aca="false">IF($K40="",0,$L40-$J40)</f>
        <v>0</v>
      </c>
      <c r="N40" s="22"/>
    </row>
    <row r="41" customFormat="false" ht="15" hidden="false" customHeight="true" outlineLevel="0" collapsed="false">
      <c r="B41" s="38"/>
      <c r="C41" s="40"/>
      <c r="D41" s="38"/>
      <c r="E41" s="40"/>
      <c r="F41" s="27"/>
      <c r="G41" s="27"/>
      <c r="H41" s="27"/>
      <c r="I41" s="31" t="n">
        <f aca="false">IF($H41="",0,ROUND($H41*'Contract Particulars'!$C$32,2))</f>
        <v>0</v>
      </c>
      <c r="J41" s="31" t="n">
        <f aca="false">$H41+$I41</f>
        <v>0</v>
      </c>
      <c r="K41" s="40"/>
      <c r="L41" s="27"/>
      <c r="M41" s="45" t="n">
        <f aca="false">IF($K41="",0,$L41-$J41)</f>
        <v>0</v>
      </c>
      <c r="N41" s="22"/>
    </row>
    <row r="42" customFormat="false" ht="15" hidden="false" customHeight="true" outlineLevel="0" collapsed="false">
      <c r="B42" s="38"/>
      <c r="C42" s="40"/>
      <c r="D42" s="38"/>
      <c r="E42" s="40"/>
      <c r="F42" s="27"/>
      <c r="G42" s="27"/>
      <c r="H42" s="27"/>
      <c r="I42" s="65" t="n">
        <f aca="false">IF($H42="",0,ROUND($H42*'Contract Particulars'!$C$32,2))</f>
        <v>0</v>
      </c>
      <c r="J42" s="65" t="n">
        <f aca="false">$H42+$I42</f>
        <v>0</v>
      </c>
      <c r="K42" s="40"/>
      <c r="L42" s="27"/>
      <c r="M42" s="70" t="n">
        <f aca="false">IF($K42="",0,$L42-$J42)</f>
        <v>0</v>
      </c>
      <c r="N42" s="22"/>
    </row>
    <row r="43" customFormat="false" ht="15" hidden="false" customHeight="true" outlineLevel="0" collapsed="false">
      <c r="B43" s="38"/>
      <c r="C43" s="40"/>
      <c r="D43" s="38"/>
      <c r="E43" s="40"/>
      <c r="F43" s="27"/>
      <c r="G43" s="27"/>
      <c r="H43" s="27"/>
      <c r="I43" s="31" t="n">
        <f aca="false">IF($H43="",0,ROUND($H43*'Contract Particulars'!$C$32,2))</f>
        <v>0</v>
      </c>
      <c r="J43" s="31" t="n">
        <f aca="false">$H43+$I43</f>
        <v>0</v>
      </c>
      <c r="K43" s="40"/>
      <c r="L43" s="27"/>
      <c r="M43" s="45" t="n">
        <f aca="false">IF($K43="",0,$L43-$J43)</f>
        <v>0</v>
      </c>
      <c r="N43" s="22"/>
    </row>
    <row r="44" customFormat="false" ht="15" hidden="false" customHeight="true" outlineLevel="0" collapsed="false">
      <c r="B44" s="38"/>
      <c r="C44" s="40"/>
      <c r="D44" s="38"/>
      <c r="E44" s="40"/>
      <c r="F44" s="27"/>
      <c r="G44" s="27"/>
      <c r="H44" s="27"/>
      <c r="I44" s="65" t="n">
        <f aca="false">IF($H44="",0,ROUND($H44*'Contract Particulars'!$C$32,2))</f>
        <v>0</v>
      </c>
      <c r="J44" s="65" t="n">
        <f aca="false">$H44+$I44</f>
        <v>0</v>
      </c>
      <c r="K44" s="40"/>
      <c r="L44" s="27"/>
      <c r="M44" s="70" t="n">
        <f aca="false">IF($K44="",0,$L44-$J44)</f>
        <v>0</v>
      </c>
      <c r="N44" s="22"/>
    </row>
    <row r="45" customFormat="false" ht="15" hidden="false" customHeight="true" outlineLevel="0" collapsed="false">
      <c r="B45" s="38"/>
      <c r="C45" s="40"/>
      <c r="D45" s="38"/>
      <c r="E45" s="40"/>
      <c r="F45" s="27"/>
      <c r="G45" s="27"/>
      <c r="H45" s="27"/>
      <c r="I45" s="31" t="n">
        <f aca="false">IF($H45="",0,ROUND($H45*'Contract Particulars'!$C$32,2))</f>
        <v>0</v>
      </c>
      <c r="J45" s="31" t="n">
        <f aca="false">$H45+$I45</f>
        <v>0</v>
      </c>
      <c r="K45" s="40"/>
      <c r="L45" s="27"/>
      <c r="M45" s="45" t="n">
        <f aca="false">IF($K45="",0,$L45-$J45)</f>
        <v>0</v>
      </c>
      <c r="N45" s="22"/>
    </row>
    <row r="46" customFormat="false" ht="15" hidden="false" customHeight="true" outlineLevel="0" collapsed="false">
      <c r="B46" s="38"/>
      <c r="C46" s="40"/>
      <c r="D46" s="38"/>
      <c r="E46" s="40"/>
      <c r="F46" s="27"/>
      <c r="G46" s="27"/>
      <c r="H46" s="27"/>
      <c r="I46" s="65" t="n">
        <f aca="false">IF($H46="",0,ROUND($H46*'Contract Particulars'!$C$32,2))</f>
        <v>0</v>
      </c>
      <c r="J46" s="65" t="n">
        <f aca="false">$H46+$I46</f>
        <v>0</v>
      </c>
      <c r="K46" s="40"/>
      <c r="L46" s="27"/>
      <c r="M46" s="70" t="n">
        <f aca="false">IF($K46="",0,$L46-$J46)</f>
        <v>0</v>
      </c>
      <c r="N46" s="22"/>
    </row>
    <row r="47" customFormat="false" ht="15" hidden="false" customHeight="true" outlineLevel="0" collapsed="false">
      <c r="B47" s="38"/>
      <c r="C47" s="40"/>
      <c r="D47" s="38"/>
      <c r="E47" s="40"/>
      <c r="F47" s="27"/>
      <c r="G47" s="27"/>
      <c r="H47" s="27"/>
      <c r="I47" s="31" t="n">
        <f aca="false">IF($H47="",0,ROUND($H47*'Contract Particulars'!$C$32,2))</f>
        <v>0</v>
      </c>
      <c r="J47" s="31" t="n">
        <f aca="false">$H47+$I47</f>
        <v>0</v>
      </c>
      <c r="K47" s="40"/>
      <c r="L47" s="27"/>
      <c r="M47" s="45" t="n">
        <f aca="false">IF($K47="",0,$L47-$J47)</f>
        <v>0</v>
      </c>
      <c r="N47" s="22"/>
    </row>
    <row r="48" customFormat="false" ht="15" hidden="false" customHeight="true" outlineLevel="0" collapsed="false">
      <c r="B48" s="38"/>
      <c r="C48" s="40"/>
      <c r="D48" s="38"/>
      <c r="E48" s="40"/>
      <c r="F48" s="27"/>
      <c r="G48" s="27"/>
      <c r="H48" s="27"/>
      <c r="I48" s="65" t="n">
        <f aca="false">IF($H48="",0,ROUND($H48*'Contract Particulars'!$C$32,2))</f>
        <v>0</v>
      </c>
      <c r="J48" s="65" t="n">
        <f aca="false">$H48+$I48</f>
        <v>0</v>
      </c>
      <c r="K48" s="40"/>
      <c r="L48" s="27"/>
      <c r="M48" s="70" t="n">
        <f aca="false">IF($K48="",0,$L48-$J48)</f>
        <v>0</v>
      </c>
      <c r="N48" s="22"/>
    </row>
    <row r="49" customFormat="false" ht="15" hidden="false" customHeight="true" outlineLevel="0" collapsed="false">
      <c r="B49" s="38"/>
      <c r="C49" s="40"/>
      <c r="D49" s="38"/>
      <c r="E49" s="40"/>
      <c r="F49" s="27"/>
      <c r="G49" s="27"/>
      <c r="H49" s="27"/>
      <c r="I49" s="31" t="n">
        <f aca="false">IF($H49="",0,ROUND($H49*'Contract Particulars'!$C$32,2))</f>
        <v>0</v>
      </c>
      <c r="J49" s="31" t="n">
        <f aca="false">$H49+$I49</f>
        <v>0</v>
      </c>
      <c r="K49" s="40"/>
      <c r="L49" s="27"/>
      <c r="M49" s="45" t="n">
        <f aca="false">IF($K49="",0,$L49-$J49)</f>
        <v>0</v>
      </c>
      <c r="N49" s="22"/>
    </row>
    <row r="50" customFormat="false" ht="15" hidden="false" customHeight="true" outlineLevel="0" collapsed="false">
      <c r="B50" s="38"/>
      <c r="C50" s="40"/>
      <c r="D50" s="38"/>
      <c r="E50" s="40"/>
      <c r="F50" s="27"/>
      <c r="G50" s="27"/>
      <c r="H50" s="27"/>
      <c r="I50" s="65" t="n">
        <f aca="false">IF($H50="",0,ROUND($H50*'Contract Particulars'!$C$32,2))</f>
        <v>0</v>
      </c>
      <c r="J50" s="65" t="n">
        <f aca="false">$H50+$I50</f>
        <v>0</v>
      </c>
      <c r="K50" s="40"/>
      <c r="L50" s="27"/>
      <c r="M50" s="70" t="n">
        <f aca="false">IF($K50="",0,$L50-$J50)</f>
        <v>0</v>
      </c>
      <c r="N50" s="22"/>
    </row>
    <row r="51" customFormat="false" ht="15" hidden="false" customHeight="true" outlineLevel="0" collapsed="false">
      <c r="B51" s="38"/>
      <c r="C51" s="40"/>
      <c r="D51" s="38"/>
      <c r="E51" s="40"/>
      <c r="F51" s="27"/>
      <c r="G51" s="27"/>
      <c r="H51" s="27"/>
      <c r="I51" s="31" t="n">
        <f aca="false">IF($H51="",0,ROUND($H51*'Contract Particulars'!$C$32,2))</f>
        <v>0</v>
      </c>
      <c r="J51" s="31" t="n">
        <f aca="false">$H51+$I51</f>
        <v>0</v>
      </c>
      <c r="K51" s="40"/>
      <c r="L51" s="27"/>
      <c r="M51" s="45" t="n">
        <f aca="false">IF($K51="",0,$L51-$J51)</f>
        <v>0</v>
      </c>
      <c r="N51" s="22"/>
    </row>
    <row r="52" customFormat="false" ht="15" hidden="false" customHeight="true" outlineLevel="0" collapsed="false">
      <c r="B52" s="38"/>
      <c r="C52" s="40"/>
      <c r="D52" s="38"/>
      <c r="E52" s="40"/>
      <c r="F52" s="27"/>
      <c r="G52" s="27"/>
      <c r="H52" s="27"/>
      <c r="I52" s="65" t="n">
        <f aca="false">IF($H52="",0,ROUND($H52*'Contract Particulars'!$C$32,2))</f>
        <v>0</v>
      </c>
      <c r="J52" s="65" t="n">
        <f aca="false">$H52+$I52</f>
        <v>0</v>
      </c>
      <c r="K52" s="40"/>
      <c r="L52" s="27"/>
      <c r="M52" s="70" t="n">
        <f aca="false">IF($K52="",0,$L52-$J52)</f>
        <v>0</v>
      </c>
      <c r="N52" s="22"/>
    </row>
    <row r="53" customFormat="false" ht="15" hidden="false" customHeight="true" outlineLevel="0" collapsed="false">
      <c r="B53" s="38"/>
      <c r="C53" s="40"/>
      <c r="D53" s="38"/>
      <c r="E53" s="40"/>
      <c r="F53" s="27"/>
      <c r="G53" s="27"/>
      <c r="H53" s="27"/>
      <c r="I53" s="31" t="n">
        <f aca="false">IF($H53="",0,ROUND($H53*'Contract Particulars'!$C$32,2))</f>
        <v>0</v>
      </c>
      <c r="J53" s="31" t="n">
        <f aca="false">$H53+$I53</f>
        <v>0</v>
      </c>
      <c r="K53" s="40"/>
      <c r="L53" s="27"/>
      <c r="M53" s="45" t="n">
        <f aca="false">IF($K53="",0,$L53-$J53)</f>
        <v>0</v>
      </c>
      <c r="N53" s="22"/>
    </row>
    <row r="54" customFormat="false" ht="15" hidden="false" customHeight="true" outlineLevel="0" collapsed="false">
      <c r="B54" s="38"/>
      <c r="C54" s="40"/>
      <c r="D54" s="38"/>
      <c r="E54" s="40"/>
      <c r="F54" s="27"/>
      <c r="G54" s="27"/>
      <c r="H54" s="27"/>
      <c r="I54" s="65" t="n">
        <f aca="false">IF($H54="",0,ROUND($H54*'Contract Particulars'!$C$32,2))</f>
        <v>0</v>
      </c>
      <c r="J54" s="65" t="n">
        <f aca="false">$H54+$I54</f>
        <v>0</v>
      </c>
      <c r="K54" s="40"/>
      <c r="L54" s="27"/>
      <c r="M54" s="70" t="n">
        <f aca="false">IF($K54="",0,$L54-$J54)</f>
        <v>0</v>
      </c>
      <c r="N54" s="22"/>
    </row>
    <row r="55" customFormat="false" ht="15" hidden="false" customHeight="true" outlineLevel="0" collapsed="false">
      <c r="B55" s="38"/>
      <c r="C55" s="40"/>
      <c r="D55" s="38"/>
      <c r="E55" s="40"/>
      <c r="F55" s="27"/>
      <c r="G55" s="27"/>
      <c r="H55" s="27"/>
      <c r="I55" s="31" t="n">
        <f aca="false">IF($H55="",0,ROUND($H55*'Contract Particulars'!$C$32,2))</f>
        <v>0</v>
      </c>
      <c r="J55" s="31" t="n">
        <f aca="false">$H55+$I55</f>
        <v>0</v>
      </c>
      <c r="K55" s="40"/>
      <c r="L55" s="27"/>
      <c r="M55" s="45" t="n">
        <f aca="false">IF($K55="",0,$L55-$J55)</f>
        <v>0</v>
      </c>
      <c r="N55" s="22"/>
    </row>
    <row r="56" customFormat="false" ht="15" hidden="false" customHeight="true" outlineLevel="0" collapsed="false">
      <c r="B56" s="38"/>
      <c r="C56" s="40"/>
      <c r="D56" s="38"/>
      <c r="E56" s="40"/>
      <c r="F56" s="27"/>
      <c r="G56" s="27"/>
      <c r="H56" s="27"/>
      <c r="I56" s="65" t="n">
        <f aca="false">IF($H56="",0,ROUND($H56*'Contract Particulars'!$C$32,2))</f>
        <v>0</v>
      </c>
      <c r="J56" s="65" t="n">
        <f aca="false">$H56+$I56</f>
        <v>0</v>
      </c>
      <c r="K56" s="40"/>
      <c r="L56" s="27"/>
      <c r="M56" s="70" t="n">
        <f aca="false">IF($K56="",0,$L56-$J56)</f>
        <v>0</v>
      </c>
      <c r="N56" s="22"/>
    </row>
    <row r="57" customFormat="false" ht="15" hidden="false" customHeight="false" outlineLevel="0" collapsed="false">
      <c r="B57" s="60" t="s">
        <v>380</v>
      </c>
      <c r="C57" s="62"/>
      <c r="D57" s="62"/>
      <c r="E57" s="62"/>
      <c r="F57" s="62"/>
      <c r="G57" s="62"/>
      <c r="H57" s="66" t="n">
        <f aca="false">SUM(H9:H56)</f>
        <v>15239121</v>
      </c>
      <c r="I57" s="66" t="n">
        <f aca="false">SUM(I9:I56)</f>
        <v>1523912.1</v>
      </c>
      <c r="J57" s="66" t="n">
        <f aca="false">SUM(J9:J56)</f>
        <v>16763033.1</v>
      </c>
      <c r="K57" s="62"/>
      <c r="L57" s="66" t="n">
        <f aca="false">SUM(L9:L56)</f>
        <v>16763033.1</v>
      </c>
      <c r="M57" s="62"/>
      <c r="N57" s="62"/>
    </row>
    <row r="59" customFormat="false" ht="19.5" hidden="false" customHeight="true" outlineLevel="0" collapsed="false">
      <c r="B59" s="6" t="s">
        <v>526</v>
      </c>
      <c r="C59" s="6"/>
      <c r="D59" s="6"/>
      <c r="E59" s="6"/>
      <c r="F59" s="6"/>
      <c r="G59" s="6"/>
      <c r="H59" s="6"/>
      <c r="I59" s="6"/>
      <c r="J59" s="6"/>
      <c r="K59" s="6"/>
      <c r="L59" s="6"/>
      <c r="M59" s="6"/>
      <c r="N59" s="6"/>
    </row>
    <row r="60" customFormat="false" ht="15" hidden="false" customHeight="false" outlineLevel="0" collapsed="false">
      <c r="B60" s="71" t="n">
        <f aca="false">'Payment Certificate'!C8</f>
        <v>8</v>
      </c>
      <c r="C60" s="56" t="n">
        <f aca="false">'Payment Certificate'!C15</f>
        <v>46244</v>
      </c>
      <c r="D60" s="71" t="n">
        <f aca="false">'Payment Certificate'!C10</f>
        <v>8</v>
      </c>
      <c r="E60" s="56" t="n">
        <f aca="false">'Payment Certificate'!C14</f>
        <v>46234</v>
      </c>
      <c r="F60" s="28" t="n">
        <f aca="false">'Payment Certificate'!D41</f>
        <v>17503960</v>
      </c>
      <c r="G60" s="28" t="n">
        <f aca="false">'Payment Certificate'!D42</f>
        <v>854673</v>
      </c>
      <c r="H60" s="28" t="n">
        <f aca="false">'Payment Certificate'!D54</f>
        <v>1397666</v>
      </c>
      <c r="I60" s="28" t="n">
        <f aca="false">'Payment Certificate'!D55</f>
        <v>139766.6</v>
      </c>
      <c r="J60" s="28" t="n">
        <f aca="false">'Payment Certificate'!D56</f>
        <v>1537432.6</v>
      </c>
      <c r="K60" s="72"/>
      <c r="L60" s="72"/>
      <c r="M60" s="72"/>
      <c r="N60" s="73" t="s">
        <v>527</v>
      </c>
    </row>
    <row r="62" customFormat="false" ht="43.5" hidden="false" customHeight="true" outlineLevel="0" collapsed="false">
      <c r="B62" s="19" t="s">
        <v>528</v>
      </c>
      <c r="C62" s="19"/>
      <c r="D62" s="19"/>
      <c r="E62" s="19"/>
      <c r="F62" s="19"/>
      <c r="G62" s="19"/>
      <c r="H62" s="19"/>
      <c r="I62" s="19"/>
      <c r="J62" s="19"/>
      <c r="K62" s="19"/>
      <c r="L62" s="19"/>
      <c r="M62" s="19"/>
      <c r="N62" s="19"/>
    </row>
    <row r="64" customFormat="false" ht="15.75" hidden="false" customHeight="true" outlineLevel="0" collapsed="false">
      <c r="B64" s="37" t="s">
        <v>168</v>
      </c>
      <c r="C64" s="37"/>
      <c r="D64" s="37"/>
      <c r="E64" s="37"/>
      <c r="F64" s="37"/>
      <c r="G64" s="37"/>
      <c r="H64" s="37"/>
      <c r="I64" s="37"/>
      <c r="J64" s="37"/>
      <c r="K64" s="37"/>
      <c r="L64" s="37"/>
      <c r="M64" s="37"/>
      <c r="N64" s="37"/>
    </row>
  </sheetData>
  <mergeCells count="7">
    <mergeCell ref="B2:N2"/>
    <mergeCell ref="B3:N3"/>
    <mergeCell ref="B4:N4"/>
    <mergeCell ref="B7:N7"/>
    <mergeCell ref="B59:N59"/>
    <mergeCell ref="B62:N62"/>
    <mergeCell ref="B64:N64"/>
  </mergeCells>
  <hyperlinks>
    <hyperlink ref="B64" r:id="rId1" display="Mastt  ·  Capital project controls, cost management and reporting  ·  www.mastt.com"/>
  </hyperlinks>
  <printOptions headings="false" gridLines="false" gridLinesSet="true" horizontalCentered="fals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&amp;L&amp;"Arial,Regular"&amp;8 Mastt  |  Progress Payment Certificate&amp;R&amp;"Arial,Regular"&amp;8 Page &amp;P of &amp;N</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A1:F53"/>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20"/>
    <col collapsed="false" customWidth="true" hidden="false" outlineLevel="0" max="3" min="3" style="0" width="52"/>
    <col collapsed="false" customWidth="true" hidden="false" outlineLevel="0" max="5" min="4" style="0" width="17"/>
    <col collapsed="false" customWidth="true" hidden="false" outlineLevel="0" max="6" min="6" style="0" width="78"/>
  </cols>
  <sheetData>
    <row r="1" customFormat="false" ht="7.5" hidden="false" customHeight="true" outlineLevel="0" collapsed="false">
      <c r="A1" s="1"/>
      <c r="B1" s="1"/>
      <c r="C1" s="1"/>
      <c r="D1" s="1"/>
      <c r="E1" s="1"/>
      <c r="F1" s="1"/>
    </row>
    <row r="2" customFormat="false" ht="30" hidden="false" customHeight="true" outlineLevel="0" collapsed="false">
      <c r="A2" s="1"/>
      <c r="B2" s="2" t="s">
        <v>529</v>
      </c>
      <c r="C2" s="2"/>
      <c r="D2" s="2"/>
      <c r="E2" s="2"/>
      <c r="F2" s="2"/>
    </row>
    <row r="3" customFormat="false" ht="16.5" hidden="false" customHeight="true" outlineLevel="0" collapsed="false">
      <c r="A3" s="1"/>
      <c r="B3" s="3" t="s">
        <v>530</v>
      </c>
      <c r="C3" s="3"/>
      <c r="D3" s="3"/>
      <c r="E3" s="3"/>
      <c r="F3" s="3"/>
    </row>
    <row r="4" customFormat="false" ht="9.75" hidden="false" customHeight="true" outlineLevel="0" collapsed="false">
      <c r="A4" s="1"/>
      <c r="B4" s="4" t="s">
        <v>531</v>
      </c>
      <c r="C4" s="4"/>
      <c r="D4" s="4"/>
      <c r="E4" s="4"/>
      <c r="F4" s="4"/>
    </row>
    <row r="5" customFormat="false" ht="6" hidden="false" customHeight="true" outlineLevel="0" collapsed="false">
      <c r="A5" s="1"/>
      <c r="B5" s="5"/>
      <c r="C5" s="5"/>
      <c r="D5" s="5"/>
      <c r="E5" s="5"/>
      <c r="F5" s="5"/>
    </row>
    <row r="7" customFormat="false" ht="19.5" hidden="false" customHeight="true" outlineLevel="0" collapsed="false">
      <c r="B7" s="6" t="s">
        <v>532</v>
      </c>
      <c r="C7" s="6"/>
      <c r="D7" s="6"/>
      <c r="E7" s="6"/>
      <c r="F7" s="6"/>
    </row>
    <row r="8" customFormat="false" ht="33.75" hidden="false" customHeight="true" outlineLevel="0" collapsed="false">
      <c r="B8" s="8" t="s">
        <v>189</v>
      </c>
      <c r="C8" s="8" t="s">
        <v>156</v>
      </c>
      <c r="D8" s="8" t="s">
        <v>533</v>
      </c>
      <c r="E8" s="8" t="s">
        <v>534</v>
      </c>
      <c r="F8" s="8" t="s">
        <v>535</v>
      </c>
    </row>
    <row r="9" customFormat="false" ht="57.75" hidden="false" customHeight="true" outlineLevel="0" collapsed="false">
      <c r="B9" s="74" t="s">
        <v>94</v>
      </c>
      <c r="C9" s="10" t="s">
        <v>536</v>
      </c>
      <c r="D9" s="74" t="n">
        <v>10</v>
      </c>
      <c r="E9" s="74" t="n">
        <v>15</v>
      </c>
      <c r="F9" s="75" t="s">
        <v>537</v>
      </c>
    </row>
    <row r="10" customFormat="false" ht="57.75" hidden="false" customHeight="true" outlineLevel="0" collapsed="false">
      <c r="B10" s="76" t="s">
        <v>538</v>
      </c>
      <c r="C10" s="77" t="s">
        <v>539</v>
      </c>
      <c r="D10" s="76" t="n">
        <v>10</v>
      </c>
      <c r="E10" s="76" t="n">
        <v>20</v>
      </c>
      <c r="F10" s="78" t="s">
        <v>540</v>
      </c>
    </row>
    <row r="11" customFormat="false" ht="57.75" hidden="false" customHeight="true" outlineLevel="0" collapsed="false">
      <c r="B11" s="74" t="s">
        <v>541</v>
      </c>
      <c r="C11" s="10" t="s">
        <v>542</v>
      </c>
      <c r="D11" s="74" t="n">
        <v>15</v>
      </c>
      <c r="E11" s="74" t="n">
        <v>15</v>
      </c>
      <c r="F11" s="75" t="s">
        <v>543</v>
      </c>
    </row>
    <row r="12" customFormat="false" ht="57.75" hidden="false" customHeight="true" outlineLevel="0" collapsed="false">
      <c r="B12" s="76" t="s">
        <v>544</v>
      </c>
      <c r="C12" s="77" t="s">
        <v>545</v>
      </c>
      <c r="D12" s="76" t="n">
        <v>15</v>
      </c>
      <c r="E12" s="76" t="n">
        <v>20</v>
      </c>
      <c r="F12" s="78" t="s">
        <v>546</v>
      </c>
    </row>
    <row r="13" customFormat="false" ht="57.75" hidden="false" customHeight="true" outlineLevel="0" collapsed="false">
      <c r="B13" s="74" t="s">
        <v>547</v>
      </c>
      <c r="C13" s="10" t="s">
        <v>548</v>
      </c>
      <c r="D13" s="74" t="n">
        <v>15</v>
      </c>
      <c r="E13" s="74" t="n">
        <v>15</v>
      </c>
      <c r="F13" s="75" t="s">
        <v>549</v>
      </c>
    </row>
    <row r="14" customFormat="false" ht="57.75" hidden="false" customHeight="true" outlineLevel="0" collapsed="false">
      <c r="B14" s="76" t="s">
        <v>550</v>
      </c>
      <c r="C14" s="77" t="s">
        <v>551</v>
      </c>
      <c r="D14" s="76" t="n">
        <v>10</v>
      </c>
      <c r="E14" s="76" t="n">
        <v>10</v>
      </c>
      <c r="F14" s="78" t="s">
        <v>552</v>
      </c>
    </row>
    <row r="15" customFormat="false" ht="57.75" hidden="false" customHeight="true" outlineLevel="0" collapsed="false">
      <c r="B15" s="74" t="s">
        <v>553</v>
      </c>
      <c r="C15" s="10" t="s">
        <v>554</v>
      </c>
      <c r="D15" s="74" t="n">
        <v>10</v>
      </c>
      <c r="E15" s="74" t="n">
        <v>20</v>
      </c>
      <c r="F15" s="75" t="s">
        <v>555</v>
      </c>
    </row>
    <row r="16" customFormat="false" ht="57.75" hidden="false" customHeight="true" outlineLevel="0" collapsed="false">
      <c r="B16" s="76" t="s">
        <v>556</v>
      </c>
      <c r="C16" s="77" t="s">
        <v>557</v>
      </c>
      <c r="D16" s="76" t="n">
        <v>10</v>
      </c>
      <c r="E16" s="76" t="n">
        <v>15</v>
      </c>
      <c r="F16" s="78" t="s">
        <v>558</v>
      </c>
    </row>
    <row r="18" customFormat="false" ht="33.75" hidden="false" customHeight="true" outlineLevel="0" collapsed="false">
      <c r="B18" s="19" t="s">
        <v>559</v>
      </c>
      <c r="C18" s="19"/>
      <c r="D18" s="19"/>
      <c r="E18" s="19"/>
      <c r="F18" s="19"/>
    </row>
    <row r="19" customFormat="false" ht="19.5" hidden="false" customHeight="true" outlineLevel="0" collapsed="false">
      <c r="B19" s="6" t="s">
        <v>560</v>
      </c>
      <c r="C19" s="6"/>
      <c r="D19" s="6"/>
      <c r="E19" s="6"/>
      <c r="F19" s="6"/>
    </row>
    <row r="20" customFormat="false" ht="30" hidden="false" customHeight="true" outlineLevel="0" collapsed="false">
      <c r="B20" s="19" t="s">
        <v>561</v>
      </c>
      <c r="C20" s="19"/>
      <c r="D20" s="19"/>
      <c r="E20" s="19"/>
      <c r="F20" s="19"/>
    </row>
    <row r="21" customFormat="false" ht="19.5" hidden="false" customHeight="true" outlineLevel="0" collapsed="false">
      <c r="B21" s="8" t="s">
        <v>254</v>
      </c>
      <c r="C21" s="8" t="s">
        <v>562</v>
      </c>
      <c r="D21" s="8" t="s">
        <v>563</v>
      </c>
      <c r="E21" s="8"/>
      <c r="F21" s="8"/>
    </row>
    <row r="22" customFormat="false" ht="15" hidden="false" customHeight="false" outlineLevel="0" collapsed="false">
      <c r="B22" s="40" t="n">
        <v>46023</v>
      </c>
      <c r="C22" s="79" t="s">
        <v>564</v>
      </c>
      <c r="D22" s="22" t="s">
        <v>565</v>
      </c>
    </row>
    <row r="23" customFormat="false" ht="15" hidden="false" customHeight="false" outlineLevel="0" collapsed="false">
      <c r="B23" s="40" t="n">
        <v>46048</v>
      </c>
      <c r="C23" s="79" t="s">
        <v>566</v>
      </c>
      <c r="D23" s="22" t="s">
        <v>565</v>
      </c>
    </row>
    <row r="24" customFormat="false" ht="15" hidden="false" customHeight="false" outlineLevel="0" collapsed="false">
      <c r="B24" s="40" t="n">
        <v>46115</v>
      </c>
      <c r="C24" s="79" t="s">
        <v>567</v>
      </c>
      <c r="D24" s="22" t="s">
        <v>565</v>
      </c>
    </row>
    <row r="25" customFormat="false" ht="15" hidden="false" customHeight="false" outlineLevel="0" collapsed="false">
      <c r="B25" s="40" t="n">
        <v>46116</v>
      </c>
      <c r="C25" s="79" t="s">
        <v>568</v>
      </c>
      <c r="D25" s="22" t="s">
        <v>569</v>
      </c>
    </row>
    <row r="26" customFormat="false" ht="15" hidden="false" customHeight="false" outlineLevel="0" collapsed="false">
      <c r="B26" s="40" t="n">
        <v>46118</v>
      </c>
      <c r="C26" s="79" t="s">
        <v>570</v>
      </c>
      <c r="D26" s="22" t="s">
        <v>565</v>
      </c>
    </row>
    <row r="27" customFormat="false" ht="15" hidden="false" customHeight="false" outlineLevel="0" collapsed="false">
      <c r="B27" s="40" t="n">
        <v>46137</v>
      </c>
      <c r="C27" s="79" t="s">
        <v>571</v>
      </c>
      <c r="D27" s="22" t="s">
        <v>565</v>
      </c>
    </row>
    <row r="28" customFormat="false" ht="15" hidden="false" customHeight="false" outlineLevel="0" collapsed="false">
      <c r="B28" s="40" t="n">
        <v>46381</v>
      </c>
      <c r="C28" s="79" t="s">
        <v>572</v>
      </c>
      <c r="D28" s="22" t="s">
        <v>565</v>
      </c>
    </row>
    <row r="29" customFormat="false" ht="15" hidden="false" customHeight="false" outlineLevel="0" collapsed="false">
      <c r="B29" s="40" t="n">
        <v>46382</v>
      </c>
      <c r="C29" s="79" t="s">
        <v>573</v>
      </c>
      <c r="D29" s="22" t="s">
        <v>574</v>
      </c>
    </row>
    <row r="30" customFormat="false" ht="15" hidden="false" customHeight="false" outlineLevel="0" collapsed="false">
      <c r="B30" s="40" t="n">
        <v>46388</v>
      </c>
      <c r="C30" s="79" t="s">
        <v>564</v>
      </c>
      <c r="D30" s="22" t="s">
        <v>565</v>
      </c>
    </row>
    <row r="31" customFormat="false" ht="15" hidden="false" customHeight="false" outlineLevel="0" collapsed="false">
      <c r="B31" s="40" t="n">
        <v>46413</v>
      </c>
      <c r="C31" s="79" t="s">
        <v>566</v>
      </c>
      <c r="D31" s="22" t="s">
        <v>565</v>
      </c>
    </row>
    <row r="32" customFormat="false" ht="15" hidden="false" customHeight="false" outlineLevel="0" collapsed="false">
      <c r="B32" s="40" t="n">
        <v>46472</v>
      </c>
      <c r="C32" s="79" t="s">
        <v>567</v>
      </c>
      <c r="D32" s="22" t="s">
        <v>565</v>
      </c>
    </row>
    <row r="33" customFormat="false" ht="15" hidden="false" customHeight="false" outlineLevel="0" collapsed="false">
      <c r="B33" s="40" t="n">
        <v>46473</v>
      </c>
      <c r="C33" s="79" t="s">
        <v>568</v>
      </c>
      <c r="D33" s="22" t="s">
        <v>569</v>
      </c>
    </row>
    <row r="34" customFormat="false" ht="15" hidden="false" customHeight="false" outlineLevel="0" collapsed="false">
      <c r="B34" s="40" t="n">
        <v>46475</v>
      </c>
      <c r="C34" s="79" t="s">
        <v>570</v>
      </c>
      <c r="D34" s="22" t="s">
        <v>565</v>
      </c>
    </row>
    <row r="35" customFormat="false" ht="15" hidden="false" customHeight="false" outlineLevel="0" collapsed="false">
      <c r="B35" s="40" t="n">
        <v>46502</v>
      </c>
      <c r="C35" s="79" t="s">
        <v>571</v>
      </c>
      <c r="D35" s="22" t="s">
        <v>565</v>
      </c>
    </row>
    <row r="36" customFormat="false" ht="15" hidden="false" customHeight="false" outlineLevel="0" collapsed="false">
      <c r="B36" s="40" t="n">
        <v>46746</v>
      </c>
      <c r="C36" s="79" t="s">
        <v>572</v>
      </c>
      <c r="D36" s="22" t="s">
        <v>565</v>
      </c>
    </row>
    <row r="37" customFormat="false" ht="15" hidden="false" customHeight="false" outlineLevel="0" collapsed="false">
      <c r="B37" s="40" t="n">
        <v>46747</v>
      </c>
      <c r="C37" s="79" t="s">
        <v>573</v>
      </c>
      <c r="D37" s="22" t="s">
        <v>574</v>
      </c>
    </row>
    <row r="38" customFormat="false" ht="15" hidden="false" customHeight="false" outlineLevel="0" collapsed="false">
      <c r="B38" s="40"/>
      <c r="C38" s="79"/>
      <c r="D38" s="22"/>
    </row>
    <row r="39" customFormat="false" ht="15" hidden="false" customHeight="false" outlineLevel="0" collapsed="false">
      <c r="B39" s="40"/>
      <c r="C39" s="79"/>
      <c r="D39" s="22"/>
    </row>
    <row r="40" customFormat="false" ht="15" hidden="false" customHeight="false" outlineLevel="0" collapsed="false">
      <c r="B40" s="40"/>
      <c r="C40" s="79"/>
      <c r="D40" s="22"/>
    </row>
    <row r="41" customFormat="false" ht="15" hidden="false" customHeight="false" outlineLevel="0" collapsed="false">
      <c r="B41" s="40"/>
      <c r="C41" s="79"/>
      <c r="D41" s="22"/>
    </row>
    <row r="42" customFormat="false" ht="15" hidden="false" customHeight="false" outlineLevel="0" collapsed="false">
      <c r="B42" s="40"/>
      <c r="C42" s="79"/>
      <c r="D42" s="22"/>
    </row>
    <row r="43" customFormat="false" ht="15" hidden="false" customHeight="false" outlineLevel="0" collapsed="false">
      <c r="B43" s="40"/>
      <c r="C43" s="79"/>
      <c r="D43" s="22"/>
    </row>
    <row r="44" customFormat="false" ht="15" hidden="false" customHeight="false" outlineLevel="0" collapsed="false">
      <c r="B44" s="40"/>
      <c r="C44" s="79"/>
      <c r="D44" s="22"/>
    </row>
    <row r="45" customFormat="false" ht="15" hidden="false" customHeight="false" outlineLevel="0" collapsed="false">
      <c r="B45" s="40"/>
      <c r="C45" s="79"/>
      <c r="D45" s="22"/>
    </row>
    <row r="46" customFormat="false" ht="15" hidden="false" customHeight="false" outlineLevel="0" collapsed="false">
      <c r="B46" s="40"/>
      <c r="C46" s="79"/>
      <c r="D46" s="22"/>
    </row>
    <row r="47" customFormat="false" ht="15" hidden="false" customHeight="false" outlineLevel="0" collapsed="false">
      <c r="B47" s="40"/>
      <c r="C47" s="79"/>
      <c r="D47" s="22"/>
    </row>
    <row r="48" customFormat="false" ht="15" hidden="false" customHeight="false" outlineLevel="0" collapsed="false">
      <c r="B48" s="40"/>
      <c r="C48" s="79"/>
      <c r="D48" s="22"/>
    </row>
    <row r="49" customFormat="false" ht="15" hidden="false" customHeight="false" outlineLevel="0" collapsed="false">
      <c r="B49" s="40"/>
      <c r="C49" s="79"/>
      <c r="D49" s="22"/>
    </row>
    <row r="50" customFormat="false" ht="15" hidden="false" customHeight="false" outlineLevel="0" collapsed="false">
      <c r="B50" s="40"/>
      <c r="C50" s="79"/>
      <c r="D50" s="22"/>
    </row>
    <row r="51" customFormat="false" ht="15" hidden="false" customHeight="false" outlineLevel="0" collapsed="false">
      <c r="B51" s="40"/>
      <c r="C51" s="79"/>
      <c r="D51" s="22"/>
    </row>
    <row r="53" customFormat="false" ht="15.75" hidden="false" customHeight="true" outlineLevel="0" collapsed="false">
      <c r="B53" s="37" t="s">
        <v>168</v>
      </c>
      <c r="C53" s="37"/>
      <c r="D53" s="37"/>
      <c r="E53" s="37"/>
      <c r="F53" s="37"/>
    </row>
  </sheetData>
  <mergeCells count="8">
    <mergeCell ref="B2:F2"/>
    <mergeCell ref="B3:F3"/>
    <mergeCell ref="B4:F4"/>
    <mergeCell ref="B7:F7"/>
    <mergeCell ref="B18:F18"/>
    <mergeCell ref="B19:F19"/>
    <mergeCell ref="B20:F20"/>
    <mergeCell ref="B53:F53"/>
  </mergeCells>
  <hyperlinks>
    <hyperlink ref="B53" r:id="rId1" display="Mastt  ·  Capital project controls, cost management and reporting  ·  www.mastt.com"/>
  </hyperlinks>
  <printOptions headings="false" gridLines="false" gridLinesSet="true" horizontalCentered="fals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&amp;L&amp;"Arial,Regular"&amp;8 Mastt  |  Progress Payment Certificate&amp;R&amp;"Arial,Regular"&amp;8 Page &amp;P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F60"/>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44"/>
    <col collapsed="false" customWidth="true" hidden="false" outlineLevel="0" max="5" min="3" style="0" width="40"/>
    <col collapsed="false" customWidth="true" hidden="false" outlineLevel="0" max="6" min="6" style="0" width="34"/>
  </cols>
  <sheetData>
    <row r="1" customFormat="false" ht="7.5" hidden="false" customHeight="true" outlineLevel="0" collapsed="false">
      <c r="A1" s="1"/>
      <c r="B1" s="1"/>
      <c r="C1" s="1"/>
      <c r="D1" s="1"/>
      <c r="E1" s="1"/>
      <c r="F1" s="1"/>
    </row>
    <row r="2" customFormat="false" ht="30" hidden="false" customHeight="true" outlineLevel="0" collapsed="false">
      <c r="A2" s="1"/>
      <c r="B2" s="2" t="s">
        <v>83</v>
      </c>
      <c r="C2" s="2"/>
      <c r="D2" s="2"/>
      <c r="E2" s="2"/>
      <c r="F2" s="2"/>
    </row>
    <row r="3" customFormat="false" ht="16.5" hidden="false" customHeight="true" outlineLevel="0" collapsed="false">
      <c r="A3" s="1"/>
      <c r="B3" s="3" t="s">
        <v>84</v>
      </c>
      <c r="C3" s="3"/>
      <c r="D3" s="3"/>
      <c r="E3" s="3"/>
      <c r="F3" s="3"/>
    </row>
    <row r="4" customFormat="false" ht="9.75" hidden="false" customHeight="true" outlineLevel="0" collapsed="false">
      <c r="A4" s="1"/>
      <c r="B4" s="4" t="s">
        <v>85</v>
      </c>
      <c r="C4" s="4"/>
      <c r="D4" s="4"/>
      <c r="E4" s="4"/>
      <c r="F4" s="4"/>
    </row>
    <row r="5" customFormat="false" ht="6" hidden="false" customHeight="true" outlineLevel="0" collapsed="false">
      <c r="A5" s="1"/>
      <c r="B5" s="5"/>
      <c r="C5" s="5"/>
      <c r="D5" s="5"/>
      <c r="E5" s="5"/>
      <c r="F5" s="5"/>
    </row>
    <row r="7" customFormat="false" ht="19.5" hidden="false" customHeight="true" outlineLevel="0" collapsed="false">
      <c r="B7" s="6" t="s">
        <v>86</v>
      </c>
      <c r="C7" s="6"/>
      <c r="D7" s="6"/>
      <c r="E7" s="6"/>
      <c r="F7" s="6"/>
    </row>
    <row r="8" customFormat="false" ht="15" hidden="false" customHeight="false" outlineLevel="0" collapsed="false">
      <c r="B8" s="21" t="s">
        <v>87</v>
      </c>
      <c r="C8" s="22" t="s">
        <v>88</v>
      </c>
      <c r="D8" s="22"/>
      <c r="E8" s="22"/>
      <c r="F8" s="22"/>
    </row>
    <row r="9" customFormat="false" ht="15" hidden="false" customHeight="false" outlineLevel="0" collapsed="false">
      <c r="B9" s="21" t="s">
        <v>89</v>
      </c>
      <c r="C9" s="22" t="s">
        <v>90</v>
      </c>
      <c r="D9" s="22"/>
      <c r="E9" s="22"/>
      <c r="F9" s="22"/>
    </row>
    <row r="10" customFormat="false" ht="15" hidden="false" customHeight="false" outlineLevel="0" collapsed="false">
      <c r="B10" s="21" t="s">
        <v>91</v>
      </c>
      <c r="C10" s="22" t="s">
        <v>92</v>
      </c>
      <c r="D10" s="22"/>
      <c r="E10" s="22"/>
      <c r="F10" s="22"/>
    </row>
    <row r="11" customFormat="false" ht="15" hidden="false" customHeight="false" outlineLevel="0" collapsed="false">
      <c r="B11" s="21" t="s">
        <v>93</v>
      </c>
      <c r="C11" s="22" t="s">
        <v>94</v>
      </c>
      <c r="D11" s="22"/>
      <c r="E11" s="22"/>
      <c r="F11" s="22"/>
    </row>
    <row r="12" customFormat="false" ht="15" hidden="false" customHeight="false" outlineLevel="0" collapsed="false">
      <c r="B12" s="21" t="s">
        <v>95</v>
      </c>
      <c r="C12" s="22" t="s">
        <v>96</v>
      </c>
      <c r="D12" s="22"/>
      <c r="E12" s="22"/>
      <c r="F12" s="22"/>
    </row>
    <row r="13" customFormat="false" ht="15" hidden="false" customHeight="false" outlineLevel="0" collapsed="false">
      <c r="B13" s="21" t="s">
        <v>97</v>
      </c>
      <c r="C13" s="22" t="s">
        <v>98</v>
      </c>
      <c r="D13" s="22"/>
      <c r="E13" s="22"/>
      <c r="F13" s="22"/>
    </row>
    <row r="14" customFormat="false" ht="15" hidden="false" customHeight="false" outlineLevel="0" collapsed="false">
      <c r="B14" s="21" t="s">
        <v>99</v>
      </c>
      <c r="C14" s="23" t="n">
        <v>45971</v>
      </c>
      <c r="D14" s="23"/>
      <c r="E14" s="23"/>
      <c r="F14" s="23"/>
    </row>
    <row r="15" customFormat="false" ht="15" hidden="false" customHeight="false" outlineLevel="0" collapsed="false">
      <c r="B15" s="21" t="s">
        <v>100</v>
      </c>
      <c r="C15" s="23" t="n">
        <v>46444</v>
      </c>
      <c r="D15" s="23"/>
      <c r="E15" s="23"/>
      <c r="F15" s="23"/>
    </row>
    <row r="16" customFormat="false" ht="15" hidden="false" customHeight="false" outlineLevel="0" collapsed="false">
      <c r="B16" s="21" t="s">
        <v>101</v>
      </c>
      <c r="C16" s="24" t="n">
        <v>12</v>
      </c>
      <c r="D16" s="24"/>
      <c r="E16" s="24"/>
      <c r="F16" s="24"/>
    </row>
    <row r="18" customFormat="false" ht="19.5" hidden="false" customHeight="true" outlineLevel="0" collapsed="false">
      <c r="B18" s="6" t="s">
        <v>102</v>
      </c>
      <c r="C18" s="6"/>
      <c r="D18" s="6"/>
      <c r="E18" s="6"/>
      <c r="F18" s="6"/>
    </row>
    <row r="19" customFormat="false" ht="19.5" hidden="false" customHeight="true" outlineLevel="0" collapsed="false">
      <c r="B19" s="8"/>
      <c r="C19" s="8" t="s">
        <v>103</v>
      </c>
      <c r="D19" s="8" t="s">
        <v>104</v>
      </c>
      <c r="E19" s="8" t="s">
        <v>105</v>
      </c>
      <c r="F19" s="8"/>
    </row>
    <row r="20" customFormat="false" ht="15" hidden="false" customHeight="false" outlineLevel="0" collapsed="false">
      <c r="B20" s="21" t="s">
        <v>106</v>
      </c>
      <c r="C20" s="22" t="s">
        <v>107</v>
      </c>
      <c r="D20" s="22" t="s">
        <v>108</v>
      </c>
      <c r="E20" s="22" t="s">
        <v>109</v>
      </c>
      <c r="F20" s="25"/>
    </row>
    <row r="21" customFormat="false" ht="15" hidden="false" customHeight="false" outlineLevel="0" collapsed="false">
      <c r="B21" s="21" t="s">
        <v>110</v>
      </c>
      <c r="C21" s="22" t="s">
        <v>111</v>
      </c>
      <c r="D21" s="22" t="s">
        <v>112</v>
      </c>
      <c r="E21" s="22" t="s">
        <v>113</v>
      </c>
      <c r="F21" s="25"/>
    </row>
    <row r="22" customFormat="false" ht="15" hidden="false" customHeight="false" outlineLevel="0" collapsed="false">
      <c r="B22" s="21" t="s">
        <v>114</v>
      </c>
      <c r="C22" s="22" t="s">
        <v>115</v>
      </c>
      <c r="D22" s="22" t="s">
        <v>116</v>
      </c>
      <c r="E22" s="22" t="s">
        <v>117</v>
      </c>
      <c r="F22" s="25"/>
    </row>
    <row r="23" customFormat="false" ht="15" hidden="false" customHeight="false" outlineLevel="0" collapsed="false">
      <c r="B23" s="21" t="s">
        <v>118</v>
      </c>
      <c r="C23" s="22" t="s">
        <v>119</v>
      </c>
      <c r="D23" s="22" t="s">
        <v>120</v>
      </c>
      <c r="E23" s="22" t="s">
        <v>121</v>
      </c>
      <c r="F23" s="25"/>
    </row>
    <row r="24" customFormat="false" ht="15" hidden="false" customHeight="false" outlineLevel="0" collapsed="false">
      <c r="B24" s="21" t="s">
        <v>122</v>
      </c>
      <c r="C24" s="22" t="s">
        <v>123</v>
      </c>
      <c r="D24" s="22" t="s">
        <v>124</v>
      </c>
      <c r="E24" s="22" t="s">
        <v>125</v>
      </c>
      <c r="F24" s="25"/>
    </row>
    <row r="25" customFormat="false" ht="15" hidden="false" customHeight="false" outlineLevel="0" collapsed="false">
      <c r="B25" s="21" t="s">
        <v>126</v>
      </c>
      <c r="C25" s="22" t="s">
        <v>127</v>
      </c>
      <c r="D25" s="22" t="s">
        <v>128</v>
      </c>
      <c r="E25" s="22" t="s">
        <v>129</v>
      </c>
      <c r="F25" s="25"/>
    </row>
    <row r="27" customFormat="false" ht="19.5" hidden="false" customHeight="true" outlineLevel="0" collapsed="false">
      <c r="B27" s="6" t="s">
        <v>130</v>
      </c>
      <c r="C27" s="6"/>
      <c r="D27" s="6"/>
      <c r="E27" s="6"/>
      <c r="F27" s="6"/>
    </row>
    <row r="28" customFormat="false" ht="15" hidden="false" customHeight="false" outlineLevel="0" collapsed="false">
      <c r="B28" s="26" t="s">
        <v>131</v>
      </c>
      <c r="C28" s="27" t="n">
        <v>26700000</v>
      </c>
      <c r="D28" s="19"/>
      <c r="E28" s="19"/>
      <c r="F28" s="19"/>
    </row>
    <row r="29" customFormat="false" ht="15" hidden="false" customHeight="true" outlineLevel="0" collapsed="false">
      <c r="B29" s="21" t="s">
        <v>132</v>
      </c>
      <c r="C29" s="28" t="n">
        <f aca="false">'Variations Register'!H44</f>
        <v>372300</v>
      </c>
      <c r="D29" s="19" t="s">
        <v>133</v>
      </c>
      <c r="E29" s="19"/>
      <c r="F29" s="19"/>
    </row>
    <row r="30" customFormat="false" ht="15" hidden="false" customHeight="true" outlineLevel="0" collapsed="false">
      <c r="B30" s="21" t="s">
        <v>134</v>
      </c>
      <c r="C30" s="28" t="n">
        <f aca="false">'Provisional Sums'!G29</f>
        <v>21300</v>
      </c>
      <c r="D30" s="19" t="s">
        <v>135</v>
      </c>
      <c r="E30" s="19"/>
      <c r="F30" s="19"/>
    </row>
    <row r="31" customFormat="false" ht="15" hidden="false" customHeight="false" outlineLevel="0" collapsed="false">
      <c r="B31" s="26" t="s">
        <v>136</v>
      </c>
      <c r="C31" s="29" t="n">
        <f aca="false">SUM(C28:C30)</f>
        <v>27093600</v>
      </c>
    </row>
    <row r="32" customFormat="false" ht="15" hidden="false" customHeight="false" outlineLevel="0" collapsed="false">
      <c r="B32" s="21" t="s">
        <v>137</v>
      </c>
      <c r="C32" s="30" t="n">
        <v>0.1</v>
      </c>
    </row>
    <row r="33" customFormat="false" ht="15" hidden="false" customHeight="false" outlineLevel="0" collapsed="false">
      <c r="B33" s="21" t="s">
        <v>138</v>
      </c>
      <c r="C33" s="31" t="n">
        <f aca="false">C31*C32</f>
        <v>2709360</v>
      </c>
    </row>
    <row r="34" customFormat="false" ht="15" hidden="false" customHeight="false" outlineLevel="0" collapsed="false">
      <c r="B34" s="26" t="s">
        <v>139</v>
      </c>
      <c r="C34" s="32" t="n">
        <f aca="false">C31+C33</f>
        <v>29802960</v>
      </c>
    </row>
    <row r="36" customFormat="false" ht="19.5" hidden="false" customHeight="true" outlineLevel="0" collapsed="false">
      <c r="B36" s="6" t="s">
        <v>140</v>
      </c>
      <c r="C36" s="6"/>
      <c r="D36" s="6"/>
      <c r="E36" s="6"/>
      <c r="F36" s="6"/>
    </row>
    <row r="37" customFormat="false" ht="15" hidden="false" customHeight="false" outlineLevel="0" collapsed="false">
      <c r="B37" s="21" t="s">
        <v>141</v>
      </c>
      <c r="C37" s="30" t="n">
        <v>0.05</v>
      </c>
    </row>
    <row r="38" customFormat="false" ht="15" hidden="false" customHeight="false" outlineLevel="0" collapsed="false">
      <c r="B38" s="21" t="s">
        <v>142</v>
      </c>
      <c r="C38" s="30" t="n">
        <v>0.05</v>
      </c>
    </row>
    <row r="39" customFormat="false" ht="15" hidden="false" customHeight="true" outlineLevel="0" collapsed="false">
      <c r="B39" s="21" t="s">
        <v>143</v>
      </c>
      <c r="C39" s="22" t="s">
        <v>144</v>
      </c>
      <c r="D39" s="19" t="s">
        <v>145</v>
      </c>
      <c r="E39" s="19"/>
      <c r="F39" s="19"/>
    </row>
    <row r="40" customFormat="false" ht="15" hidden="false" customHeight="false" outlineLevel="0" collapsed="false">
      <c r="B40" s="21" t="s">
        <v>146</v>
      </c>
      <c r="C40" s="30" t="n">
        <v>0.05</v>
      </c>
    </row>
    <row r="41" customFormat="false" ht="15" hidden="false" customHeight="false" outlineLevel="0" collapsed="false">
      <c r="B41" s="26" t="s">
        <v>147</v>
      </c>
      <c r="C41" s="32" t="n">
        <f aca="false">C31*C40</f>
        <v>1354680</v>
      </c>
    </row>
    <row r="42" customFormat="false" ht="15" hidden="false" customHeight="false" outlineLevel="0" collapsed="false">
      <c r="B42" s="21" t="s">
        <v>148</v>
      </c>
      <c r="C42" s="30" t="n">
        <v>0.5</v>
      </c>
    </row>
    <row r="43" customFormat="false" ht="15" hidden="false" customHeight="false" outlineLevel="0" collapsed="false">
      <c r="B43" s="21" t="s">
        <v>149</v>
      </c>
      <c r="C43" s="22" t="s">
        <v>144</v>
      </c>
    </row>
    <row r="44" customFormat="false" ht="15" hidden="false" customHeight="true" outlineLevel="0" collapsed="false">
      <c r="B44" s="21" t="s">
        <v>150</v>
      </c>
      <c r="C44" s="23"/>
      <c r="D44" s="19" t="s">
        <v>151</v>
      </c>
      <c r="E44" s="19"/>
      <c r="F44" s="19"/>
    </row>
    <row r="45" customFormat="false" ht="15" hidden="false" customHeight="false" outlineLevel="0" collapsed="false">
      <c r="B45" s="26" t="s">
        <v>152</v>
      </c>
      <c r="C45" s="33" t="str">
        <f aca="false">IF(C44="","",EDATE(C44,C16))</f>
        <v/>
      </c>
    </row>
    <row r="46" customFormat="false" ht="15" hidden="false" customHeight="false" outlineLevel="0" collapsed="false">
      <c r="B46" s="21" t="s">
        <v>153</v>
      </c>
      <c r="C46" s="22" t="s">
        <v>154</v>
      </c>
    </row>
    <row r="48" customFormat="false" ht="19.5" hidden="false" customHeight="true" outlineLevel="0" collapsed="false">
      <c r="B48" s="6" t="s">
        <v>155</v>
      </c>
      <c r="C48" s="6"/>
      <c r="D48" s="6"/>
      <c r="E48" s="6"/>
      <c r="F48" s="6"/>
    </row>
    <row r="49" customFormat="false" ht="15" hidden="false" customHeight="false" outlineLevel="0" collapsed="false">
      <c r="B49" s="21" t="s">
        <v>156</v>
      </c>
      <c r="C49" s="34" t="str">
        <f aca="false">INDEX('SOP Reference'!$C$9:$C$16,MATCH($C$11,'SOP Reference'!$B$9:$B$16,0))</f>
        <v>Building and Construction Industry Security of Payment Act 1999 (NSW)</v>
      </c>
      <c r="D49" s="34"/>
      <c r="E49" s="34"/>
      <c r="F49" s="34"/>
    </row>
    <row r="50" customFormat="false" ht="15" hidden="false" customHeight="false" outlineLevel="0" collapsed="false">
      <c r="B50" s="21" t="s">
        <v>157</v>
      </c>
      <c r="C50" s="35" t="n">
        <f aca="false">INDEX('SOP Reference'!$D$9:$D$16,MATCH($C$11,'SOP Reference'!$B$9:$B$16,0))</f>
        <v>10</v>
      </c>
    </row>
    <row r="51" customFormat="false" ht="15" hidden="false" customHeight="false" outlineLevel="0" collapsed="false">
      <c r="B51" s="21" t="s">
        <v>158</v>
      </c>
      <c r="C51" s="35" t="n">
        <f aca="false">INDEX('SOP Reference'!$E$9:$E$16,MATCH($C$11,'SOP Reference'!$B$9:$B$16,0))</f>
        <v>15</v>
      </c>
    </row>
    <row r="52" customFormat="false" ht="61.5" hidden="false" customHeight="true" outlineLevel="0" collapsed="false">
      <c r="B52" s="21" t="s">
        <v>159</v>
      </c>
      <c r="C52" s="36" t="str">
        <f aca="false">INDEX('SOP Reference'!$F$9:$F$16,MATCH($C$11,'SOP Reference'!$B$9:$B$16,0))</f>
        <v>Payment schedule due the earlier of the contract period or 10 business days. Payment: head contractor 15 BD; subcontractor 20 BD; exempt residential 10 BD. Reference dates abolished for contracts from 21 Oct 2019. Head contractors must serve a supporting statement with each payment claim. Retention trust applies to head contracts of $20m or more.</v>
      </c>
      <c r="D52" s="36"/>
      <c r="E52" s="36"/>
      <c r="F52" s="36"/>
    </row>
    <row r="54" customFormat="false" ht="19.5" hidden="false" customHeight="true" outlineLevel="0" collapsed="false">
      <c r="B54" s="6" t="s">
        <v>160</v>
      </c>
      <c r="C54" s="6"/>
      <c r="D54" s="6"/>
      <c r="E54" s="6"/>
      <c r="F54" s="6"/>
    </row>
    <row r="55" customFormat="false" ht="15" hidden="false" customHeight="false" outlineLevel="0" collapsed="false">
      <c r="B55" s="21" t="s">
        <v>161</v>
      </c>
      <c r="C55" s="22" t="s">
        <v>162</v>
      </c>
      <c r="D55" s="22"/>
      <c r="E55" s="22"/>
      <c r="F55" s="22"/>
    </row>
    <row r="56" customFormat="false" ht="15" hidden="false" customHeight="false" outlineLevel="0" collapsed="false">
      <c r="B56" s="21" t="s">
        <v>163</v>
      </c>
      <c r="C56" s="22" t="s">
        <v>164</v>
      </c>
      <c r="D56" s="22"/>
      <c r="E56" s="22"/>
      <c r="F56" s="22"/>
    </row>
    <row r="57" customFormat="false" ht="15" hidden="false" customHeight="false" outlineLevel="0" collapsed="false">
      <c r="B57" s="21" t="s">
        <v>165</v>
      </c>
      <c r="C57" s="22" t="s">
        <v>109</v>
      </c>
      <c r="D57" s="22"/>
      <c r="E57" s="22"/>
      <c r="F57" s="22"/>
    </row>
    <row r="58" customFormat="false" ht="15" hidden="false" customHeight="false" outlineLevel="0" collapsed="false">
      <c r="B58" s="21" t="s">
        <v>166</v>
      </c>
      <c r="C58" s="22" t="s">
        <v>167</v>
      </c>
      <c r="D58" s="22"/>
      <c r="E58" s="22"/>
      <c r="F58" s="22"/>
    </row>
    <row r="60" customFormat="false" ht="15.75" hidden="false" customHeight="true" outlineLevel="0" collapsed="false">
      <c r="B60" s="37" t="s">
        <v>168</v>
      </c>
      <c r="C60" s="37"/>
      <c r="D60" s="37"/>
      <c r="E60" s="37"/>
      <c r="F60" s="37"/>
    </row>
  </sheetData>
  <mergeCells count="30">
    <mergeCell ref="B2:F2"/>
    <mergeCell ref="B3:F3"/>
    <mergeCell ref="B4:F4"/>
    <mergeCell ref="B7:F7"/>
    <mergeCell ref="C8:F8"/>
    <mergeCell ref="C9:F9"/>
    <mergeCell ref="C10:F10"/>
    <mergeCell ref="C11:F11"/>
    <mergeCell ref="C12:F12"/>
    <mergeCell ref="C13:F13"/>
    <mergeCell ref="C14:F14"/>
    <mergeCell ref="C15:F15"/>
    <mergeCell ref="C16:F16"/>
    <mergeCell ref="B18:F18"/>
    <mergeCell ref="B27:F27"/>
    <mergeCell ref="D28:F28"/>
    <mergeCell ref="D29:F29"/>
    <mergeCell ref="D30:F30"/>
    <mergeCell ref="B36:F36"/>
    <mergeCell ref="D39:F39"/>
    <mergeCell ref="D44:F44"/>
    <mergeCell ref="B48:F48"/>
    <mergeCell ref="C49:F49"/>
    <mergeCell ref="C52:F52"/>
    <mergeCell ref="B54:F54"/>
    <mergeCell ref="C55:F55"/>
    <mergeCell ref="C56:F56"/>
    <mergeCell ref="C57:F57"/>
    <mergeCell ref="C58:F58"/>
    <mergeCell ref="B60:F60"/>
  </mergeCells>
  <dataValidations count="5">
    <dataValidation allowBlank="true" errorStyle="stop" operator="between" showDropDown="false" showErrorMessage="false" showInputMessage="false" sqref="C11" type="list">
      <formula1>"NSW,VIC,QLD,WA,SA,TAS,NT,ACT"</formula1>
      <formula2>0</formula2>
    </dataValidation>
    <dataValidation allowBlank="true" errorStyle="stop" operator="between" showDropDown="false" showErrorMessage="false" showInputMessage="false" sqref="C13" type="list">
      <formula1>"AS 4000-1997,AS 2124-1992,AS 4902-2000 (D&amp;C),AS 4901-1998,GC21 (Edition 2),PC-1 1998,ABIC MW-2018,Bespoke"</formula1>
      <formula2>0</formula2>
    </dataValidation>
    <dataValidation allowBlank="true" errorStyle="stop" operator="between" showDropDown="false" showErrorMessage="false" showInputMessage="false" sqref="C39" type="list">
      <formula1>"Yes,No"</formula1>
      <formula2>0</formula2>
    </dataValidation>
    <dataValidation allowBlank="true" errorStyle="stop" operator="between" showDropDown="false" showErrorMessage="false" showInputMessage="false" sqref="C43" type="list">
      <formula1>"Yes,No"</formula1>
      <formula2>0</formula2>
    </dataValidation>
    <dataValidation allowBlank="true" errorStyle="stop" operator="between" showDropDown="false" showErrorMessage="false" showInputMessage="false" sqref="C46" type="list">
      <formula1>"Cash retention,Unconditional undertaking (bank guarantee),Insurance bond,Cash retention and undertaking,None"</formula1>
      <formula2>0</formula2>
    </dataValidation>
  </dataValidations>
  <hyperlinks>
    <hyperlink ref="B60" r:id="rId1" display="Mastt  ·  Capital project controls, cost management and reporting  ·  www.mastt.com"/>
  </hyperlinks>
  <printOptions headings="false" gridLines="false" gridLinesSet="true" horizontalCentered="false" verticalCentered="false"/>
  <pageMargins left="0.4" right="0.4" top="0.5" bottom="0.5"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&amp;L&amp;"Arial,Regular"&amp;8 Mastt  |  Progress Payment Certificate&amp;R&amp;"Arial,Regular"&amp;8 Page &amp;P of &amp;N</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C1628"/>
    <pageSetUpPr fitToPage="true"/>
  </sheetPr>
  <dimension ref="A1:F90"/>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52"/>
    <col collapsed="false" customWidth="true" hidden="false" outlineLevel="0" max="4" min="3" style="0" width="21"/>
    <col collapsed="false" customWidth="true" hidden="false" outlineLevel="0" max="5" min="5" style="0" width="18"/>
    <col collapsed="false" customWidth="true" hidden="false" outlineLevel="0" max="6" min="6" style="0" width="40"/>
  </cols>
  <sheetData>
    <row r="1" customFormat="false" ht="7.5" hidden="false" customHeight="true" outlineLevel="0" collapsed="false">
      <c r="A1" s="1"/>
      <c r="B1" s="1"/>
      <c r="C1" s="1"/>
      <c r="D1" s="1"/>
      <c r="E1" s="1"/>
      <c r="F1" s="1"/>
    </row>
    <row r="2" customFormat="false" ht="30" hidden="false" customHeight="true" outlineLevel="0" collapsed="false">
      <c r="A2" s="1"/>
      <c r="B2" s="2" t="s">
        <v>0</v>
      </c>
      <c r="C2" s="2"/>
      <c r="D2" s="2"/>
      <c r="E2" s="2"/>
      <c r="F2" s="2"/>
    </row>
    <row r="3" customFormat="false" ht="16.5" hidden="false" customHeight="true" outlineLevel="0" collapsed="false">
      <c r="A3" s="1"/>
      <c r="B3" s="3" t="s">
        <v>169</v>
      </c>
      <c r="C3" s="3"/>
      <c r="D3" s="3"/>
      <c r="E3" s="3"/>
      <c r="F3" s="3"/>
    </row>
    <row r="4" customFormat="false" ht="9.75" hidden="false" customHeight="true" outlineLevel="0" collapsed="false">
      <c r="A4" s="1"/>
      <c r="B4" s="4" t="s">
        <v>170</v>
      </c>
      <c r="C4" s="4"/>
      <c r="D4" s="4"/>
      <c r="E4" s="4"/>
      <c r="F4" s="4"/>
    </row>
    <row r="5" customFormat="false" ht="6" hidden="false" customHeight="true" outlineLevel="0" collapsed="false">
      <c r="A5" s="1"/>
      <c r="B5" s="5"/>
      <c r="C5" s="5"/>
      <c r="D5" s="5"/>
      <c r="E5" s="5"/>
      <c r="F5" s="5"/>
    </row>
    <row r="7" customFormat="false" ht="19.5" hidden="false" customHeight="true" outlineLevel="0" collapsed="false">
      <c r="B7" s="6" t="s">
        <v>171</v>
      </c>
      <c r="C7" s="6"/>
      <c r="D7" s="6"/>
      <c r="E7" s="6"/>
      <c r="F7" s="6"/>
    </row>
    <row r="8" customFormat="false" ht="15" hidden="false" customHeight="false" outlineLevel="0" collapsed="false">
      <c r="B8" s="21" t="s">
        <v>172</v>
      </c>
      <c r="C8" s="38" t="n">
        <v>8</v>
      </c>
      <c r="F8" s="39" t="s">
        <v>173</v>
      </c>
    </row>
    <row r="9" customFormat="false" ht="15" hidden="false" customHeight="false" outlineLevel="0" collapsed="false">
      <c r="B9" s="21" t="s">
        <v>174</v>
      </c>
      <c r="C9" s="22" t="s">
        <v>175</v>
      </c>
    </row>
    <row r="10" customFormat="false" ht="15" hidden="false" customHeight="false" outlineLevel="0" collapsed="false">
      <c r="B10" s="21" t="s">
        <v>176</v>
      </c>
      <c r="C10" s="38" t="n">
        <v>8</v>
      </c>
    </row>
    <row r="11" customFormat="false" ht="15" hidden="false" customHeight="false" outlineLevel="0" collapsed="false">
      <c r="B11" s="21" t="s">
        <v>177</v>
      </c>
      <c r="C11" s="22" t="s">
        <v>178</v>
      </c>
    </row>
    <row r="12" customFormat="false" ht="15" hidden="false" customHeight="false" outlineLevel="0" collapsed="false">
      <c r="B12" s="21" t="s">
        <v>179</v>
      </c>
      <c r="C12" s="40" t="n">
        <v>46234</v>
      </c>
      <c r="F12" s="39" t="s">
        <v>180</v>
      </c>
    </row>
    <row r="13" customFormat="false" ht="15" hidden="false" customHeight="false" outlineLevel="0" collapsed="false">
      <c r="B13" s="21" t="s">
        <v>181</v>
      </c>
      <c r="C13" s="40" t="n">
        <v>46204</v>
      </c>
    </row>
    <row r="14" customFormat="false" ht="15" hidden="false" customHeight="false" outlineLevel="0" collapsed="false">
      <c r="B14" s="21" t="s">
        <v>182</v>
      </c>
      <c r="C14" s="40" t="n">
        <v>46234</v>
      </c>
    </row>
    <row r="15" customFormat="false" ht="15" hidden="false" customHeight="false" outlineLevel="0" collapsed="false">
      <c r="B15" s="21" t="s">
        <v>183</v>
      </c>
      <c r="C15" s="40" t="n">
        <v>46244</v>
      </c>
    </row>
    <row r="16" customFormat="false" ht="15" hidden="false" customHeight="false" outlineLevel="0" collapsed="false">
      <c r="B16" s="21" t="s">
        <v>184</v>
      </c>
      <c r="C16" s="41" t="s">
        <v>185</v>
      </c>
    </row>
    <row r="18" customFormat="false" ht="19.5" hidden="false" customHeight="true" outlineLevel="0" collapsed="false">
      <c r="B18" s="6" t="s">
        <v>186</v>
      </c>
      <c r="C18" s="6"/>
      <c r="D18" s="6"/>
      <c r="E18" s="6"/>
      <c r="F18" s="6"/>
    </row>
    <row r="19" customFormat="false" ht="15" hidden="false" customHeight="false" outlineLevel="0" collapsed="false">
      <c r="B19" s="21" t="s">
        <v>187</v>
      </c>
      <c r="C19" s="42" t="str">
        <f aca="false">'Contract Particulars'!C8</f>
        <v>Central Precinct Redevelopment — Building C</v>
      </c>
      <c r="D19" s="42"/>
      <c r="E19" s="42"/>
      <c r="F19" s="42"/>
    </row>
    <row r="20" customFormat="false" ht="15" hidden="false" customHeight="false" outlineLevel="0" collapsed="false">
      <c r="B20" s="21" t="s">
        <v>89</v>
      </c>
      <c r="C20" s="42" t="str">
        <f aca="false">'Contract Particulars'!C9</f>
        <v>MST-2026-0412</v>
      </c>
      <c r="D20" s="42"/>
      <c r="E20" s="42"/>
      <c r="F20" s="42"/>
    </row>
    <row r="21" customFormat="false" ht="15" hidden="false" customHeight="false" outlineLevel="0" collapsed="false">
      <c r="B21" s="21" t="s">
        <v>188</v>
      </c>
      <c r="C21" s="42" t="str">
        <f aca="false">'Contract Particulars'!C12&amp;"  ·  "&amp;'Contract Particulars'!C13</f>
        <v>Head Contract HC-2025-118  ·  AS 4000-1997</v>
      </c>
      <c r="D21" s="42"/>
      <c r="E21" s="42"/>
      <c r="F21" s="42"/>
    </row>
    <row r="22" customFormat="false" ht="15" hidden="false" customHeight="false" outlineLevel="0" collapsed="false">
      <c r="B22" s="21" t="s">
        <v>103</v>
      </c>
      <c r="C22" s="42" t="str">
        <f aca="false">'Contract Particulars'!C20&amp;"   ABN "&amp;'Contract Particulars'!C21</f>
        <v>Harbour Precinct Holdings Pty Ltd   ABN 24 118 902 447</v>
      </c>
      <c r="D22" s="42"/>
      <c r="E22" s="42"/>
      <c r="F22" s="42"/>
    </row>
    <row r="23" customFormat="false" ht="15" hidden="false" customHeight="false" outlineLevel="0" collapsed="false">
      <c r="B23" s="21" t="s">
        <v>104</v>
      </c>
      <c r="C23" s="42" t="str">
        <f aca="false">'Contract Particulars'!D20&amp;"   ABN "&amp;'Contract Particulars'!D21</f>
        <v>Meridian Constructions Pty Ltd   ABN 61 004 552 118</v>
      </c>
      <c r="D23" s="42"/>
      <c r="E23" s="42"/>
      <c r="F23" s="42"/>
    </row>
    <row r="24" customFormat="false" ht="15" hidden="false" customHeight="false" outlineLevel="0" collapsed="false">
      <c r="B24" s="21" t="s">
        <v>105</v>
      </c>
      <c r="C24" s="42" t="str">
        <f aca="false">'Contract Particulars'!E20</f>
        <v>Mastt Advisory Pty Ltd</v>
      </c>
      <c r="D24" s="42"/>
      <c r="E24" s="42"/>
      <c r="F24" s="42"/>
    </row>
    <row r="25" customFormat="false" ht="15" hidden="false" customHeight="false" outlineLevel="0" collapsed="false">
      <c r="B25" s="21" t="s">
        <v>189</v>
      </c>
      <c r="C25" s="42" t="str">
        <f aca="false">'Contract Particulars'!C11</f>
        <v>NSW</v>
      </c>
      <c r="D25" s="42"/>
      <c r="E25" s="42"/>
      <c r="F25" s="42"/>
    </row>
    <row r="26" customFormat="false" ht="15" hidden="false" customHeight="false" outlineLevel="0" collapsed="false">
      <c r="B26" s="21" t="s">
        <v>156</v>
      </c>
      <c r="C26" s="42" t="str">
        <f aca="false">'Contract Particulars'!C49</f>
        <v>Building and Construction Industry Security of Payment Act 1999 (NSW)</v>
      </c>
      <c r="D26" s="42"/>
      <c r="E26" s="42"/>
      <c r="F26" s="42"/>
    </row>
    <row r="28" customFormat="false" ht="19.5" hidden="false" customHeight="true" outlineLevel="0" collapsed="false">
      <c r="B28" s="6" t="s">
        <v>190</v>
      </c>
      <c r="C28" s="6"/>
      <c r="D28" s="6"/>
      <c r="E28" s="6"/>
      <c r="F28" s="6"/>
    </row>
    <row r="29" customFormat="false" ht="19.5" hidden="false" customHeight="true" outlineLevel="0" collapsed="false">
      <c r="B29" s="8"/>
      <c r="C29" s="8" t="s">
        <v>191</v>
      </c>
      <c r="D29" s="8"/>
      <c r="E29" s="8"/>
      <c r="F29" s="8"/>
    </row>
    <row r="30" customFormat="false" ht="18" hidden="false" customHeight="true" outlineLevel="0" collapsed="false">
      <c r="B30" s="43" t="s">
        <v>192</v>
      </c>
      <c r="C30" s="28" t="n">
        <f aca="false">'Contract Particulars'!C28</f>
        <v>26700000</v>
      </c>
    </row>
    <row r="31" customFormat="false" ht="18" hidden="false" customHeight="true" outlineLevel="0" collapsed="false">
      <c r="B31" s="43" t="s">
        <v>193</v>
      </c>
      <c r="C31" s="28" t="n">
        <f aca="false">'Contract Particulars'!C29</f>
        <v>372300</v>
      </c>
    </row>
    <row r="32" customFormat="false" ht="18" hidden="false" customHeight="true" outlineLevel="0" collapsed="false">
      <c r="B32" s="43" t="s">
        <v>194</v>
      </c>
      <c r="C32" s="28" t="n">
        <f aca="false">'Contract Particulars'!C30</f>
        <v>21300</v>
      </c>
    </row>
    <row r="33" customFormat="false" ht="18" hidden="false" customHeight="true" outlineLevel="0" collapsed="false">
      <c r="B33" s="44" t="s">
        <v>195</v>
      </c>
      <c r="C33" s="29" t="n">
        <f aca="false">SUM(C30:C32)</f>
        <v>27093600</v>
      </c>
    </row>
    <row r="35" customFormat="false" ht="19.5" hidden="false" customHeight="true" outlineLevel="0" collapsed="false">
      <c r="B35" s="6" t="s">
        <v>196</v>
      </c>
      <c r="C35" s="6"/>
      <c r="D35" s="6"/>
      <c r="E35" s="6"/>
      <c r="F35" s="6"/>
    </row>
    <row r="36" customFormat="false" ht="31.5" hidden="false" customHeight="true" outlineLevel="0" collapsed="false">
      <c r="B36" s="8"/>
      <c r="C36" s="8" t="s">
        <v>197</v>
      </c>
      <c r="D36" s="8" t="s">
        <v>198</v>
      </c>
      <c r="E36" s="8" t="s">
        <v>199</v>
      </c>
      <c r="F36" s="8" t="s">
        <v>200</v>
      </c>
    </row>
    <row r="37" customFormat="false" ht="25.5" hidden="false" customHeight="true" outlineLevel="0" collapsed="false">
      <c r="B37" s="43" t="s">
        <v>201</v>
      </c>
      <c r="C37" s="28" t="n">
        <f aca="false">'Works Breakdown'!G54</f>
        <v>17556900</v>
      </c>
      <c r="D37" s="28" t="n">
        <f aca="false">'Works Breakdown'!I54</f>
        <v>16788300</v>
      </c>
      <c r="E37" s="45" t="n">
        <f aca="false">D37-C37</f>
        <v>-768600</v>
      </c>
      <c r="F37" s="39" t="s">
        <v>202</v>
      </c>
    </row>
    <row r="38" customFormat="false" ht="25.5" hidden="false" customHeight="true" outlineLevel="0" collapsed="false">
      <c r="B38" s="43" t="s">
        <v>203</v>
      </c>
      <c r="C38" s="28" t="n">
        <f aca="false">'Variations Register'!K44</f>
        <v>501340</v>
      </c>
      <c r="D38" s="28" t="n">
        <f aca="false">'Variations Register'!L44</f>
        <v>295470</v>
      </c>
      <c r="E38" s="45" t="n">
        <f aca="false">D38-C38</f>
        <v>-205870</v>
      </c>
      <c r="F38" s="39" t="s">
        <v>204</v>
      </c>
    </row>
    <row r="39" customFormat="false" ht="25.5" hidden="false" customHeight="true" outlineLevel="0" collapsed="false">
      <c r="B39" s="43" t="s">
        <v>205</v>
      </c>
      <c r="C39" s="28" t="n">
        <f aca="false">'Provisional Sums'!J29</f>
        <v>10755</v>
      </c>
      <c r="D39" s="28" t="n">
        <f aca="false">'Provisional Sums'!K29</f>
        <v>9690</v>
      </c>
      <c r="E39" s="45" t="n">
        <f aca="false">D39-C39</f>
        <v>-1065</v>
      </c>
      <c r="F39" s="39" t="s">
        <v>206</v>
      </c>
    </row>
    <row r="40" customFormat="false" ht="25.5" hidden="false" customHeight="true" outlineLevel="0" collapsed="false">
      <c r="B40" s="43" t="s">
        <v>207</v>
      </c>
      <c r="C40" s="28" t="n">
        <f aca="false">'Materials On Site'!K29</f>
        <v>473900</v>
      </c>
      <c r="D40" s="28" t="n">
        <f aca="false">'Materials On Site'!L29</f>
        <v>410500</v>
      </c>
      <c r="E40" s="45" t="n">
        <f aca="false">D40-C40</f>
        <v>-63400</v>
      </c>
      <c r="F40" s="39" t="s">
        <v>208</v>
      </c>
    </row>
    <row r="41" customFormat="false" ht="25.5" hidden="false" customHeight="true" outlineLevel="0" collapsed="false">
      <c r="B41" s="44" t="s">
        <v>209</v>
      </c>
      <c r="C41" s="29" t="n">
        <f aca="false">SUM(C37:C40)</f>
        <v>18542895</v>
      </c>
      <c r="D41" s="29" t="n">
        <f aca="false">SUM(D37:D40)</f>
        <v>17503960</v>
      </c>
      <c r="E41" s="46" t="n">
        <f aca="false">D41-C41</f>
        <v>-1038935</v>
      </c>
    </row>
    <row r="42" customFormat="false" ht="25.5" hidden="false" customHeight="true" outlineLevel="0" collapsed="false">
      <c r="B42" s="43" t="s">
        <v>210</v>
      </c>
      <c r="C42" s="31" t="n">
        <f aca="false">MAX(0,MIN('Contract Particulars'!$C$41,C37*'Contract Particulars'!$C$37+C38*'Contract Particulars'!$C$38+C39*'Contract Particulars'!$C$37+C40*IF('Contract Particulars'!$C$39="Yes",'Contract Particulars'!$C$37,0))-'Retention and Security'!$E$23)</f>
        <v>903449.75</v>
      </c>
      <c r="D42" s="28" t="n">
        <f aca="false">'Retention and Security'!E24</f>
        <v>854673</v>
      </c>
      <c r="E42" s="45" t="n">
        <f aca="false">D42-C42</f>
        <v>-48776.75</v>
      </c>
      <c r="F42" s="39" t="s">
        <v>211</v>
      </c>
    </row>
    <row r="43" customFormat="false" ht="25.5" hidden="false" customHeight="true" outlineLevel="0" collapsed="false">
      <c r="B43" s="44" t="s">
        <v>212</v>
      </c>
      <c r="C43" s="32" t="n">
        <f aca="false">C41-C42</f>
        <v>17639445.25</v>
      </c>
      <c r="D43" s="32" t="n">
        <f aca="false">D41-D42</f>
        <v>16649287</v>
      </c>
      <c r="E43" s="47" t="n">
        <f aca="false">D43-C43</f>
        <v>-990158.25</v>
      </c>
    </row>
    <row r="45" customFormat="false" ht="19.5" hidden="false" customHeight="true" outlineLevel="0" collapsed="false">
      <c r="B45" s="6" t="s">
        <v>213</v>
      </c>
      <c r="C45" s="6"/>
      <c r="D45" s="6"/>
      <c r="E45" s="6"/>
      <c r="F45" s="6"/>
    </row>
    <row r="46" customFormat="false" ht="25.5" hidden="false" customHeight="true" outlineLevel="0" collapsed="false">
      <c r="B46" s="43" t="s">
        <v>214</v>
      </c>
      <c r="C46" s="27" t="n">
        <v>0</v>
      </c>
      <c r="D46" s="27" t="n">
        <v>0</v>
      </c>
      <c r="E46" s="45" t="n">
        <f aca="false">D46-C46</f>
        <v>0</v>
      </c>
      <c r="F46" s="39" t="s">
        <v>215</v>
      </c>
    </row>
    <row r="47" customFormat="false" ht="25.5" hidden="false" customHeight="true" outlineLevel="0" collapsed="false">
      <c r="B47" s="43" t="s">
        <v>216</v>
      </c>
      <c r="C47" s="27" t="n">
        <v>0</v>
      </c>
      <c r="D47" s="27" t="n">
        <v>12500</v>
      </c>
      <c r="E47" s="45" t="n">
        <f aca="false">D47-C47</f>
        <v>12500</v>
      </c>
      <c r="F47" s="39" t="s">
        <v>217</v>
      </c>
    </row>
    <row r="48" customFormat="false" ht="25.5" hidden="false" customHeight="true" outlineLevel="0" collapsed="false">
      <c r="B48" s="43" t="s">
        <v>218</v>
      </c>
      <c r="C48" s="27" t="n">
        <v>0</v>
      </c>
      <c r="D48" s="27" t="n">
        <v>0</v>
      </c>
      <c r="E48" s="45" t="n">
        <f aca="false">D48-C48</f>
        <v>0</v>
      </c>
      <c r="F48" s="22"/>
    </row>
    <row r="49" customFormat="false" ht="25.5" hidden="false" customHeight="true" outlineLevel="0" collapsed="false">
      <c r="B49" s="43" t="s">
        <v>219</v>
      </c>
      <c r="C49" s="27" t="n">
        <v>0</v>
      </c>
      <c r="D49" s="27" t="n">
        <v>0</v>
      </c>
      <c r="E49" s="45" t="n">
        <f aca="false">D49-C49</f>
        <v>0</v>
      </c>
      <c r="F49" s="39" t="s">
        <v>220</v>
      </c>
    </row>
    <row r="50" customFormat="false" ht="18" hidden="false" customHeight="true" outlineLevel="0" collapsed="false">
      <c r="B50" s="44" t="s">
        <v>221</v>
      </c>
      <c r="C50" s="29" t="n">
        <f aca="false">C43-C46-C47-C48+C49</f>
        <v>17639445.25</v>
      </c>
      <c r="D50" s="29" t="n">
        <f aca="false">D43-D46-D47-D48+D49</f>
        <v>16636787</v>
      </c>
      <c r="E50" s="46" t="n">
        <f aca="false">D50-C50</f>
        <v>-1002658.25</v>
      </c>
    </row>
    <row r="52" customFormat="false" ht="19.5" hidden="false" customHeight="true" outlineLevel="0" collapsed="false">
      <c r="B52" s="6" t="s">
        <v>222</v>
      </c>
      <c r="C52" s="6"/>
      <c r="D52" s="6"/>
      <c r="E52" s="6"/>
      <c r="F52" s="6"/>
    </row>
    <row r="53" customFormat="false" ht="25.5" hidden="false" customHeight="true" outlineLevel="0" collapsed="false">
      <c r="B53" s="43" t="s">
        <v>223</v>
      </c>
      <c r="C53" s="28" t="n">
        <f aca="false">SUMIFS('Certificate Register'!$H$9:$H$56,'Certificate Register'!$B$9:$B$56,"&lt;"&amp;$C$8)</f>
        <v>15239121</v>
      </c>
      <c r="D53" s="28" t="n">
        <f aca="false">SUMIFS('Certificate Register'!$H$9:$H$56,'Certificate Register'!$B$9:$B$56,"&lt;"&amp;$C$8)</f>
        <v>15239121</v>
      </c>
      <c r="E53" s="45" t="n">
        <f aca="false">D53-C53</f>
        <v>0</v>
      </c>
      <c r="F53" s="39" t="s">
        <v>224</v>
      </c>
    </row>
    <row r="54" customFormat="false" ht="18" hidden="false" customHeight="true" outlineLevel="0" collapsed="false">
      <c r="B54" s="44" t="s">
        <v>225</v>
      </c>
      <c r="C54" s="32" t="n">
        <f aca="false">C50-C53</f>
        <v>2400324.25</v>
      </c>
      <c r="D54" s="32" t="n">
        <f aca="false">D50-D53</f>
        <v>1397666</v>
      </c>
      <c r="E54" s="47" t="n">
        <f aca="false">D54-C54</f>
        <v>-1002658.25</v>
      </c>
    </row>
    <row r="55" customFormat="false" ht="25.5" hidden="false" customHeight="true" outlineLevel="0" collapsed="false">
      <c r="B55" s="43" t="s">
        <v>226</v>
      </c>
      <c r="C55" s="31" t="n">
        <f aca="false">ROUND(C54*'Contract Particulars'!$C$32,2)</f>
        <v>240032.43</v>
      </c>
      <c r="D55" s="31" t="n">
        <f aca="false">ROUND(D54*'Contract Particulars'!$C$32,2)</f>
        <v>139766.6</v>
      </c>
      <c r="E55" s="45" t="n">
        <f aca="false">D55-C55</f>
        <v>-100265.83</v>
      </c>
      <c r="F55" s="39" t="s">
        <v>227</v>
      </c>
    </row>
    <row r="56" customFormat="false" ht="25.5" hidden="false" customHeight="true" outlineLevel="0" collapsed="false">
      <c r="B56" s="44" t="s">
        <v>228</v>
      </c>
      <c r="C56" s="48" t="n">
        <f aca="false">C54+C55</f>
        <v>2640356.68</v>
      </c>
      <c r="D56" s="48" t="n">
        <f aca="false">D54+D55</f>
        <v>1537432.6</v>
      </c>
      <c r="E56" s="49" t="n">
        <f aca="false">D56-C56</f>
        <v>-1102924.08</v>
      </c>
      <c r="F56" s="39" t="s">
        <v>229</v>
      </c>
    </row>
    <row r="58" customFormat="false" ht="19.5" hidden="false" customHeight="true" outlineLevel="0" collapsed="false">
      <c r="B58" s="6" t="s">
        <v>230</v>
      </c>
      <c r="C58" s="6"/>
      <c r="D58" s="6"/>
      <c r="E58" s="6"/>
      <c r="F58" s="6"/>
    </row>
    <row r="59" customFormat="false" ht="15" hidden="false" customHeight="false" outlineLevel="0" collapsed="false">
      <c r="B59" s="21" t="s">
        <v>156</v>
      </c>
      <c r="C59" s="34" t="str">
        <f aca="false">'Contract Particulars'!C49</f>
        <v>Building and Construction Industry Security of Payment Act 1999 (NSW)</v>
      </c>
      <c r="D59" s="34"/>
      <c r="E59" s="34"/>
      <c r="F59" s="34"/>
    </row>
    <row r="60" customFormat="false" ht="15" hidden="false" customHeight="false" outlineLevel="0" collapsed="false">
      <c r="B60" s="26" t="s">
        <v>231</v>
      </c>
      <c r="C60" s="50" t="n">
        <f aca="false">IF($C$12="","",WORKDAY($C$12,'Contract Particulars'!$C$50,'SOP Reference'!$B$22:$B$51))</f>
        <v>46248</v>
      </c>
      <c r="D60" s="51" t="str">
        <f aca="false">IF($C$12="","",'Contract Particulars'!$C$50&amp;" business days")</f>
        <v>10 business days</v>
      </c>
    </row>
    <row r="61" customFormat="false" ht="15" hidden="false" customHeight="false" outlineLevel="0" collapsed="false">
      <c r="B61" s="26" t="s">
        <v>232</v>
      </c>
      <c r="C61" s="50" t="n">
        <f aca="false">IF($C$12="","",WORKDAY($C$12,'Contract Particulars'!$C$51,'SOP Reference'!$B$22:$B$51))</f>
        <v>46255</v>
      </c>
      <c r="D61" s="51" t="str">
        <f aca="false">IF($C$12="","",'Contract Particulars'!$C$51&amp;" business days")</f>
        <v>15 business days</v>
      </c>
    </row>
    <row r="62" customFormat="false" ht="39.75" hidden="false" customHeight="true" outlineLevel="0" collapsed="false">
      <c r="B62" s="19" t="s">
        <v>233</v>
      </c>
      <c r="C62" s="19"/>
      <c r="D62" s="19"/>
      <c r="E62" s="19"/>
      <c r="F62" s="19"/>
    </row>
    <row r="64" customFormat="false" ht="19.5" hidden="false" customHeight="true" outlineLevel="0" collapsed="false">
      <c r="B64" s="6" t="s">
        <v>234</v>
      </c>
      <c r="C64" s="6"/>
      <c r="D64" s="6"/>
      <c r="E64" s="6"/>
      <c r="F64" s="6"/>
    </row>
    <row r="65" customFormat="false" ht="18" hidden="false" customHeight="true" outlineLevel="0" collapsed="false">
      <c r="B65" s="43" t="s">
        <v>136</v>
      </c>
      <c r="C65" s="31" t="n">
        <f aca="false">C33</f>
        <v>27093600</v>
      </c>
    </row>
    <row r="66" customFormat="false" ht="18" hidden="false" customHeight="true" outlineLevel="0" collapsed="false">
      <c r="B66" s="43" t="s">
        <v>235</v>
      </c>
      <c r="C66" s="31" t="n">
        <f aca="false">D41</f>
        <v>17503960</v>
      </c>
    </row>
    <row r="67" customFormat="false" ht="18" hidden="false" customHeight="true" outlineLevel="0" collapsed="false">
      <c r="B67" s="43" t="s">
        <v>236</v>
      </c>
      <c r="C67" s="52" t="n">
        <f aca="false">IF(C33=0,0,(D37+D38+D39)/C33)</f>
        <v>0.630903977323058</v>
      </c>
    </row>
    <row r="68" customFormat="false" ht="18" hidden="false" customHeight="true" outlineLevel="0" collapsed="false">
      <c r="B68" s="43" t="s">
        <v>237</v>
      </c>
      <c r="C68" s="31" t="n">
        <f aca="false">C33-(D37+D38+D39)</f>
        <v>10000140</v>
      </c>
    </row>
    <row r="69" customFormat="false" ht="18" hidden="false" customHeight="true" outlineLevel="0" collapsed="false">
      <c r="B69" s="43" t="s">
        <v>238</v>
      </c>
      <c r="C69" s="28" t="n">
        <f aca="false">'Retention and Security'!E24</f>
        <v>854673</v>
      </c>
    </row>
    <row r="70" customFormat="false" ht="18" hidden="false" customHeight="true" outlineLevel="0" collapsed="false">
      <c r="B70" s="43" t="s">
        <v>239</v>
      </c>
      <c r="C70" s="28" t="n">
        <f aca="false">'Contract Particulars'!C41</f>
        <v>1354680</v>
      </c>
    </row>
    <row r="71" customFormat="false" ht="18" hidden="false" customHeight="true" outlineLevel="0" collapsed="false">
      <c r="B71" s="43" t="s">
        <v>240</v>
      </c>
      <c r="C71" s="28" t="n">
        <f aca="false">'Retention and Security'!E41</f>
        <v>1335000</v>
      </c>
    </row>
    <row r="72" customFormat="false" ht="18" hidden="false" customHeight="true" outlineLevel="0" collapsed="false">
      <c r="B72" s="43" t="s">
        <v>241</v>
      </c>
      <c r="C72" s="31" t="n">
        <f aca="false">ROUND(D50*(1+'Contract Particulars'!$C$32),2)</f>
        <v>18300465.7</v>
      </c>
    </row>
    <row r="74" customFormat="false" ht="19.5" hidden="false" customHeight="true" outlineLevel="0" collapsed="false">
      <c r="B74" s="6" t="s">
        <v>242</v>
      </c>
      <c r="C74" s="6"/>
      <c r="D74" s="6"/>
      <c r="E74" s="6"/>
      <c r="F74" s="6"/>
    </row>
    <row r="75" customFormat="false" ht="30" hidden="false" customHeight="true" outlineLevel="0" collapsed="false">
      <c r="B75" s="53" t="s">
        <v>243</v>
      </c>
      <c r="C75" s="53"/>
      <c r="D75" s="53"/>
      <c r="E75" s="53"/>
      <c r="F75" s="53"/>
    </row>
    <row r="76" customFormat="false" ht="30" hidden="false" customHeight="true" outlineLevel="0" collapsed="false">
      <c r="B76" s="53" t="s">
        <v>244</v>
      </c>
      <c r="C76" s="53"/>
      <c r="D76" s="53"/>
      <c r="E76" s="53"/>
      <c r="F76" s="53"/>
    </row>
    <row r="77" customFormat="false" ht="30" hidden="false" customHeight="true" outlineLevel="0" collapsed="false">
      <c r="B77" s="53" t="s">
        <v>245</v>
      </c>
      <c r="C77" s="53"/>
      <c r="D77" s="53"/>
      <c r="E77" s="53"/>
      <c r="F77" s="53"/>
    </row>
    <row r="78" customFormat="false" ht="30" hidden="false" customHeight="true" outlineLevel="0" collapsed="false">
      <c r="B78" s="53" t="s">
        <v>246</v>
      </c>
      <c r="C78" s="53"/>
      <c r="D78" s="53"/>
      <c r="E78" s="53"/>
      <c r="F78" s="53"/>
    </row>
    <row r="80" customFormat="false" ht="31.5" hidden="false" customHeight="true" outlineLevel="0" collapsed="false">
      <c r="B80" s="8"/>
      <c r="C80" s="8" t="s">
        <v>247</v>
      </c>
      <c r="D80" s="8" t="s">
        <v>248</v>
      </c>
      <c r="E80" s="8"/>
      <c r="F80" s="8" t="s">
        <v>249</v>
      </c>
    </row>
    <row r="81" customFormat="false" ht="21.75" hidden="false" customHeight="true" outlineLevel="0" collapsed="false">
      <c r="B81" s="21" t="s">
        <v>250</v>
      </c>
      <c r="C81" s="42" t="str">
        <f aca="false">'Contract Particulars'!C55</f>
        <v>Douglas Vincent</v>
      </c>
      <c r="D81" s="22"/>
      <c r="E81" s="25"/>
      <c r="F81" s="22"/>
    </row>
    <row r="82" customFormat="false" ht="21.75" hidden="false" customHeight="true" outlineLevel="0" collapsed="false">
      <c r="B82" s="21" t="s">
        <v>251</v>
      </c>
      <c r="C82" s="42" t="str">
        <f aca="false">'Contract Particulars'!C56</f>
        <v>Superintendent's Representative</v>
      </c>
      <c r="D82" s="22"/>
      <c r="E82" s="25"/>
      <c r="F82" s="22"/>
    </row>
    <row r="83" customFormat="false" ht="21.75" hidden="false" customHeight="true" outlineLevel="0" collapsed="false">
      <c r="B83" s="21" t="s">
        <v>252</v>
      </c>
      <c r="C83" s="42" t="str">
        <f aca="false">'Contract Particulars'!C57</f>
        <v>Mastt Advisory Pty Ltd</v>
      </c>
      <c r="D83" s="42" t="str">
        <f aca="false">'Contract Particulars'!D20</f>
        <v>Meridian Constructions Pty Ltd</v>
      </c>
      <c r="E83" s="25"/>
      <c r="F83" s="42" t="str">
        <f aca="false">'Contract Particulars'!C20</f>
        <v>Harbour Precinct Holdings Pty Ltd</v>
      </c>
    </row>
    <row r="84" customFormat="false" ht="21.75" hidden="false" customHeight="true" outlineLevel="0" collapsed="false">
      <c r="B84" s="21" t="s">
        <v>253</v>
      </c>
      <c r="C84" s="22"/>
      <c r="D84" s="22"/>
      <c r="E84" s="25"/>
      <c r="F84" s="22"/>
    </row>
    <row r="85" customFormat="false" ht="21.75" hidden="false" customHeight="true" outlineLevel="0" collapsed="false">
      <c r="B85" s="21" t="s">
        <v>254</v>
      </c>
      <c r="C85" s="23"/>
      <c r="D85" s="23"/>
      <c r="E85" s="25"/>
      <c r="F85" s="23"/>
    </row>
    <row r="86" customFormat="false" ht="21.75" hidden="false" customHeight="true" outlineLevel="0" collapsed="false">
      <c r="B86" s="21" t="s">
        <v>255</v>
      </c>
      <c r="C86" s="42" t="str">
        <f aca="false">'Contract Particulars'!C58</f>
        <v>NSW BDC 1140228</v>
      </c>
      <c r="D86" s="22"/>
      <c r="E86" s="25"/>
      <c r="F86" s="22"/>
    </row>
    <row r="88" customFormat="false" ht="30" hidden="false" customHeight="true" outlineLevel="0" collapsed="false">
      <c r="B88" s="19" t="s">
        <v>256</v>
      </c>
      <c r="C88" s="19"/>
      <c r="D88" s="19"/>
      <c r="E88" s="19"/>
      <c r="F88" s="19"/>
    </row>
    <row r="90" customFormat="false" ht="15.75" hidden="false" customHeight="true" outlineLevel="0" collapsed="false">
      <c r="B90" s="37" t="s">
        <v>168</v>
      </c>
      <c r="C90" s="37"/>
      <c r="D90" s="37"/>
      <c r="E90" s="37"/>
      <c r="F90" s="37"/>
    </row>
  </sheetData>
  <mergeCells count="28">
    <mergeCell ref="B2:F2"/>
    <mergeCell ref="B3:F3"/>
    <mergeCell ref="B4:F4"/>
    <mergeCell ref="B7:F7"/>
    <mergeCell ref="B18:F18"/>
    <mergeCell ref="C19:F19"/>
    <mergeCell ref="C20:F20"/>
    <mergeCell ref="C21:F21"/>
    <mergeCell ref="C22:F22"/>
    <mergeCell ref="C23:F23"/>
    <mergeCell ref="C24:F24"/>
    <mergeCell ref="C25:F25"/>
    <mergeCell ref="C26:F26"/>
    <mergeCell ref="B28:F28"/>
    <mergeCell ref="B35:F35"/>
    <mergeCell ref="B45:F45"/>
    <mergeCell ref="B52:F52"/>
    <mergeCell ref="B58:F58"/>
    <mergeCell ref="C59:F59"/>
    <mergeCell ref="B62:F62"/>
    <mergeCell ref="B64:F64"/>
    <mergeCell ref="B74:F74"/>
    <mergeCell ref="B75:F75"/>
    <mergeCell ref="B76:F76"/>
    <mergeCell ref="B77:F77"/>
    <mergeCell ref="B78:F78"/>
    <mergeCell ref="B88:F88"/>
    <mergeCell ref="B90:F90"/>
  </mergeCells>
  <conditionalFormatting sqref="C67">
    <cfRule type="cellIs" priority="2" operator="greaterThan" aboveAverage="0" equalAverage="0" bottom="0" percent="0" rank="0" text="" dxfId="0">
      <formula>1</formula>
    </cfRule>
  </conditionalFormatting>
  <dataValidations count="1">
    <dataValidation allowBlank="true" errorStyle="stop" operator="between" showDropDown="false" showErrorMessage="false" showInputMessage="false" sqref="C16" type="list">
      <formula1>"Progress,Final,Practical Completion,Nil"</formula1>
      <formula2>0</formula2>
    </dataValidation>
  </dataValidations>
  <hyperlinks>
    <hyperlink ref="B90" r:id="rId1" display="Mastt  ·  Capital project controls, cost management and reporting  ·  www.mastt.com"/>
  </hyperlinks>
  <printOptions headings="false" gridLines="false" gridLinesSet="true" horizontalCentered="fals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&amp;L&amp;"Arial,Regular"&amp;8 Mastt  |  Progress Payment Certificate&amp;R&amp;"Arial,Regular"&amp;8 Page &amp;P of &amp;N</oddFooter>
  </headerFooter>
  <rowBreaks count="2" manualBreakCount="2">
    <brk id="34" man="true" max="16383" min="0"/>
    <brk id="57" man="true" max="16383" min="0"/>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C2029"/>
    <pageSetUpPr fitToPage="true"/>
  </sheetPr>
  <dimension ref="A1:E63"/>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48"/>
    <col collapsed="false" customWidth="true" hidden="false" outlineLevel="0" max="3" min="3" style="0" width="24"/>
    <col collapsed="false" customWidth="true" hidden="false" outlineLevel="0" max="4" min="4" style="0" width="26"/>
    <col collapsed="false" customWidth="true" hidden="false" outlineLevel="0" max="5" min="5" style="0" width="62"/>
  </cols>
  <sheetData>
    <row r="1" customFormat="false" ht="7.5" hidden="false" customHeight="true" outlineLevel="0" collapsed="false">
      <c r="A1" s="1"/>
      <c r="B1" s="1"/>
      <c r="C1" s="1"/>
      <c r="D1" s="1"/>
      <c r="E1" s="1"/>
    </row>
    <row r="2" customFormat="false" ht="30" hidden="false" customHeight="true" outlineLevel="0" collapsed="false">
      <c r="A2" s="1"/>
      <c r="B2" s="2" t="s">
        <v>257</v>
      </c>
      <c r="C2" s="2"/>
      <c r="D2" s="2"/>
      <c r="E2" s="2"/>
    </row>
    <row r="3" customFormat="false" ht="16.5" hidden="false" customHeight="true" outlineLevel="0" collapsed="false">
      <c r="A3" s="1"/>
      <c r="B3" s="3" t="s">
        <v>258</v>
      </c>
      <c r="C3" s="3"/>
      <c r="D3" s="3"/>
      <c r="E3" s="3"/>
    </row>
    <row r="4" customFormat="false" ht="9.75" hidden="false" customHeight="true" outlineLevel="0" collapsed="false">
      <c r="A4" s="1"/>
      <c r="B4" s="4" t="s">
        <v>259</v>
      </c>
      <c r="C4" s="4"/>
      <c r="D4" s="4"/>
      <c r="E4" s="4"/>
    </row>
    <row r="5" customFormat="false" ht="6" hidden="false" customHeight="true" outlineLevel="0" collapsed="false">
      <c r="A5" s="1"/>
      <c r="B5" s="5"/>
      <c r="C5" s="5"/>
      <c r="D5" s="5"/>
      <c r="E5" s="5"/>
    </row>
    <row r="7" customFormat="false" ht="19.5" hidden="false" customHeight="true" outlineLevel="0" collapsed="false">
      <c r="B7" s="6" t="s">
        <v>260</v>
      </c>
      <c r="C7" s="6"/>
      <c r="D7" s="6"/>
      <c r="E7" s="6"/>
    </row>
    <row r="8" customFormat="false" ht="30" hidden="false" customHeight="true" outlineLevel="0" collapsed="false">
      <c r="B8" s="54" t="str">
        <f aca="false">" This is a payment schedule under the "&amp;'Contract Particulars'!C49&amp;", given in response to the payment claim identified in section B."</f>
        <v> This is a payment schedule under the Building and Construction Industry Security of Payment Act 1999 (NSW), given in response to the payment claim identified in section B.</v>
      </c>
      <c r="C8" s="54"/>
      <c r="D8" s="54"/>
      <c r="E8" s="54"/>
    </row>
    <row r="10" customFormat="false" ht="15" hidden="false" customHeight="false" outlineLevel="0" collapsed="false">
      <c r="B10" s="21" t="s">
        <v>261</v>
      </c>
      <c r="C10" s="42" t="str">
        <f aca="false">'Contract Particulars'!D20</f>
        <v>Meridian Constructions Pty Ltd</v>
      </c>
      <c r="D10" s="42"/>
      <c r="E10" s="42"/>
    </row>
    <row r="11" customFormat="false" ht="15" hidden="false" customHeight="false" outlineLevel="0" collapsed="false">
      <c r="B11" s="21" t="s">
        <v>110</v>
      </c>
      <c r="C11" s="42" t="str">
        <f aca="false">'Contract Particulars'!D21</f>
        <v>61 004 552 118</v>
      </c>
      <c r="D11" s="42"/>
      <c r="E11" s="42"/>
    </row>
    <row r="12" customFormat="false" ht="15" hidden="false" customHeight="false" outlineLevel="0" collapsed="false">
      <c r="B12" s="21" t="s">
        <v>262</v>
      </c>
      <c r="C12" s="42" t="str">
        <f aca="false">'Contract Particulars'!C20</f>
        <v>Harbour Precinct Holdings Pty Ltd</v>
      </c>
      <c r="D12" s="42"/>
      <c r="E12" s="42"/>
    </row>
    <row r="13" customFormat="false" ht="15" hidden="false" customHeight="false" outlineLevel="0" collapsed="false">
      <c r="B13" s="21" t="s">
        <v>110</v>
      </c>
      <c r="C13" s="42" t="str">
        <f aca="false">'Contract Particulars'!C21</f>
        <v>24 118 902 447</v>
      </c>
      <c r="D13" s="42"/>
      <c r="E13" s="42"/>
    </row>
    <row r="14" customFormat="false" ht="15" hidden="false" customHeight="false" outlineLevel="0" collapsed="false">
      <c r="B14" s="21" t="s">
        <v>187</v>
      </c>
      <c r="C14" s="42" t="str">
        <f aca="false">'Contract Particulars'!C8&amp;"  ·  "&amp;'Contract Particulars'!C10</f>
        <v>Central Precinct Redevelopment — Building C  ·  14-22 Harbour Street, Sydney NSW 2000</v>
      </c>
      <c r="D14" s="42"/>
      <c r="E14" s="42"/>
    </row>
    <row r="15" customFormat="false" ht="15" hidden="false" customHeight="false" outlineLevel="0" collapsed="false">
      <c r="B15" s="21" t="s">
        <v>188</v>
      </c>
      <c r="C15" s="42" t="str">
        <f aca="false">'Contract Particulars'!C12</f>
        <v>Head Contract HC-2025-118</v>
      </c>
      <c r="D15" s="42"/>
      <c r="E15" s="42"/>
    </row>
    <row r="17" customFormat="false" ht="19.5" hidden="false" customHeight="true" outlineLevel="0" collapsed="false">
      <c r="B17" s="6" t="s">
        <v>263</v>
      </c>
      <c r="C17" s="6"/>
      <c r="D17" s="6"/>
      <c r="E17" s="6"/>
    </row>
    <row r="18" customFormat="false" ht="15" hidden="false" customHeight="false" outlineLevel="0" collapsed="false">
      <c r="B18" s="21" t="s">
        <v>177</v>
      </c>
      <c r="C18" s="55" t="str">
        <f aca="false">'Payment Certificate'!C11</f>
        <v>MC-PC008-JUL26</v>
      </c>
    </row>
    <row r="19" customFormat="false" ht="15" hidden="false" customHeight="false" outlineLevel="0" collapsed="false">
      <c r="B19" s="21" t="s">
        <v>264</v>
      </c>
      <c r="C19" s="56" t="n">
        <f aca="false">'Payment Certificate'!C12</f>
        <v>46234</v>
      </c>
    </row>
    <row r="20" customFormat="false" ht="15" hidden="false" customHeight="false" outlineLevel="0" collapsed="false">
      <c r="B20" s="21" t="s">
        <v>265</v>
      </c>
      <c r="C20" s="57" t="str">
        <f aca="false">TEXT('Payment Certificate'!C13,"dd/mm/yyyy")&amp;"  to  "&amp;TEXT('Payment Certificate'!C14,"dd/mm/yyyy")</f>
        <v>01/07/2026  to  31/07/2026</v>
      </c>
    </row>
    <row r="21" customFormat="false" ht="15" hidden="false" customHeight="false" outlineLevel="0" collapsed="false">
      <c r="B21" s="21" t="s">
        <v>266</v>
      </c>
      <c r="C21" s="28" t="n">
        <f aca="false">'Payment Certificate'!C54</f>
        <v>2400324.25</v>
      </c>
    </row>
    <row r="22" customFormat="false" ht="15" hidden="false" customHeight="false" outlineLevel="0" collapsed="false">
      <c r="B22" s="21" t="s">
        <v>267</v>
      </c>
      <c r="C22" s="28" t="n">
        <f aca="false">'Payment Certificate'!C55</f>
        <v>240032.43</v>
      </c>
    </row>
    <row r="23" customFormat="false" ht="15" hidden="false" customHeight="false" outlineLevel="0" collapsed="false">
      <c r="B23" s="26" t="s">
        <v>268</v>
      </c>
      <c r="C23" s="29" t="n">
        <f aca="false">'Payment Certificate'!C56</f>
        <v>2640356.68</v>
      </c>
    </row>
    <row r="25" customFormat="false" ht="19.5" hidden="false" customHeight="true" outlineLevel="0" collapsed="false">
      <c r="B25" s="6" t="s">
        <v>269</v>
      </c>
      <c r="C25" s="6"/>
      <c r="D25" s="6"/>
      <c r="E25" s="6"/>
    </row>
    <row r="26" customFormat="false" ht="15" hidden="false" customHeight="false" outlineLevel="0" collapsed="false">
      <c r="B26" s="21" t="s">
        <v>270</v>
      </c>
      <c r="C26" s="28" t="n">
        <f aca="false">'Payment Certificate'!D54</f>
        <v>1397666</v>
      </c>
    </row>
    <row r="27" customFormat="false" ht="15" hidden="false" customHeight="false" outlineLevel="0" collapsed="false">
      <c r="B27" s="21" t="s">
        <v>271</v>
      </c>
      <c r="C27" s="28" t="n">
        <f aca="false">'Payment Certificate'!D55</f>
        <v>139766.6</v>
      </c>
    </row>
    <row r="28" customFormat="false" ht="24" hidden="false" customHeight="true" outlineLevel="0" collapsed="false">
      <c r="B28" s="26" t="s">
        <v>272</v>
      </c>
      <c r="C28" s="48" t="n">
        <f aca="false">'Payment Certificate'!D56</f>
        <v>1537432.6</v>
      </c>
      <c r="E28" s="39" t="s">
        <v>273</v>
      </c>
    </row>
    <row r="29" customFormat="false" ht="15" hidden="false" customHeight="false" outlineLevel="0" collapsed="false">
      <c r="B29" s="26" t="s">
        <v>274</v>
      </c>
      <c r="C29" s="47" t="n">
        <f aca="false">C28-C23</f>
        <v>-1102924.08</v>
      </c>
      <c r="E29" s="39" t="s">
        <v>275</v>
      </c>
    </row>
    <row r="31" customFormat="false" ht="19.5" hidden="false" customHeight="true" outlineLevel="0" collapsed="false">
      <c r="B31" s="6" t="s">
        <v>276</v>
      </c>
      <c r="C31" s="6"/>
      <c r="D31" s="6"/>
      <c r="E31" s="6"/>
    </row>
    <row r="32" customFormat="false" ht="31.5" hidden="false" customHeight="true" outlineLevel="0" collapsed="false">
      <c r="B32" s="8" t="s">
        <v>277</v>
      </c>
      <c r="C32" s="8" t="s">
        <v>278</v>
      </c>
      <c r="D32" s="8" t="s">
        <v>279</v>
      </c>
      <c r="E32" s="8" t="s">
        <v>280</v>
      </c>
    </row>
    <row r="33" customFormat="false" ht="45.75" hidden="false" customHeight="true" outlineLevel="0" collapsed="false">
      <c r="B33" s="10" t="s">
        <v>281</v>
      </c>
      <c r="C33" s="31" t="n">
        <f aca="false">-'Payment Certificate'!E37</f>
        <v>768600</v>
      </c>
      <c r="D33" s="41" t="s">
        <v>282</v>
      </c>
      <c r="E33" s="58" t="s">
        <v>283</v>
      </c>
    </row>
    <row r="34" customFormat="false" ht="45.75" hidden="false" customHeight="true" outlineLevel="0" collapsed="false">
      <c r="B34" s="10" t="s">
        <v>284</v>
      </c>
      <c r="C34" s="31" t="n">
        <f aca="false">-'Payment Certificate'!E38</f>
        <v>205870</v>
      </c>
      <c r="D34" s="41" t="s">
        <v>285</v>
      </c>
      <c r="E34" s="58" t="s">
        <v>286</v>
      </c>
    </row>
    <row r="35" customFormat="false" ht="45.75" hidden="false" customHeight="true" outlineLevel="0" collapsed="false">
      <c r="B35" s="10" t="s">
        <v>287</v>
      </c>
      <c r="C35" s="31" t="n">
        <f aca="false">-'Payment Certificate'!E39</f>
        <v>1065</v>
      </c>
      <c r="D35" s="41" t="s">
        <v>288</v>
      </c>
      <c r="E35" s="58" t="s">
        <v>289</v>
      </c>
    </row>
    <row r="36" customFormat="false" ht="45.75" hidden="false" customHeight="true" outlineLevel="0" collapsed="false">
      <c r="B36" s="10" t="s">
        <v>290</v>
      </c>
      <c r="C36" s="31" t="n">
        <f aca="false">-'Payment Certificate'!E40</f>
        <v>63400</v>
      </c>
      <c r="D36" s="41" t="s">
        <v>291</v>
      </c>
      <c r="E36" s="58" t="s">
        <v>292</v>
      </c>
    </row>
    <row r="37" customFormat="false" ht="45.75" hidden="false" customHeight="true" outlineLevel="0" collapsed="false">
      <c r="B37" s="10" t="s">
        <v>293</v>
      </c>
      <c r="C37" s="31" t="n">
        <f aca="false">'Payment Certificate'!E42</f>
        <v>-48776.75</v>
      </c>
      <c r="D37" s="41" t="s">
        <v>294</v>
      </c>
      <c r="E37" s="58" t="s">
        <v>295</v>
      </c>
    </row>
    <row r="38" customFormat="false" ht="45.75" hidden="false" customHeight="true" outlineLevel="0" collapsed="false">
      <c r="B38" s="10" t="s">
        <v>296</v>
      </c>
      <c r="C38" s="31" t="n">
        <f aca="false">'Payment Certificate'!E46</f>
        <v>0</v>
      </c>
      <c r="D38" s="41" t="s">
        <v>297</v>
      </c>
      <c r="E38" s="58" t="s">
        <v>298</v>
      </c>
    </row>
    <row r="39" customFormat="false" ht="45.75" hidden="false" customHeight="true" outlineLevel="0" collapsed="false">
      <c r="B39" s="10" t="s">
        <v>299</v>
      </c>
      <c r="C39" s="31" t="n">
        <f aca="false">'Payment Certificate'!E47</f>
        <v>12500</v>
      </c>
      <c r="D39" s="41" t="s">
        <v>300</v>
      </c>
      <c r="E39" s="58" t="s">
        <v>301</v>
      </c>
    </row>
    <row r="40" customFormat="false" ht="45.75" hidden="false" customHeight="true" outlineLevel="0" collapsed="false">
      <c r="B40" s="10" t="s">
        <v>302</v>
      </c>
      <c r="C40" s="31" t="n">
        <f aca="false">'Payment Certificate'!E48</f>
        <v>0</v>
      </c>
      <c r="D40" s="41"/>
      <c r="E40" s="58" t="s">
        <v>303</v>
      </c>
    </row>
    <row r="41" customFormat="false" ht="45.75" hidden="false" customHeight="true" outlineLevel="0" collapsed="false">
      <c r="B41" s="10" t="s">
        <v>304</v>
      </c>
      <c r="C41" s="31" t="n">
        <f aca="false">-'Payment Certificate'!E49</f>
        <v>-0</v>
      </c>
      <c r="D41" s="41"/>
      <c r="E41" s="58" t="s">
        <v>305</v>
      </c>
    </row>
    <row r="42" customFormat="false" ht="21.75" hidden="false" customHeight="true" outlineLevel="0" collapsed="false">
      <c r="B42" s="59"/>
      <c r="C42" s="27"/>
      <c r="D42" s="41"/>
      <c r="E42" s="59"/>
    </row>
    <row r="43" customFormat="false" ht="21.75" hidden="false" customHeight="true" outlineLevel="0" collapsed="false">
      <c r="B43" s="59"/>
      <c r="C43" s="27"/>
      <c r="D43" s="41"/>
      <c r="E43" s="59"/>
    </row>
    <row r="44" customFormat="false" ht="21.75" hidden="false" customHeight="true" outlineLevel="0" collapsed="false">
      <c r="B44" s="59"/>
      <c r="C44" s="27"/>
      <c r="D44" s="41"/>
      <c r="E44" s="59"/>
    </row>
    <row r="45" customFormat="false" ht="15" hidden="false" customHeight="false" outlineLevel="0" collapsed="false">
      <c r="B45" s="60" t="s">
        <v>306</v>
      </c>
      <c r="C45" s="61" t="n">
        <f aca="false">SUM(C33:C44)</f>
        <v>1002658.25</v>
      </c>
      <c r="D45" s="62"/>
      <c r="E45" s="62"/>
    </row>
    <row r="46" customFormat="false" ht="15" hidden="false" customHeight="false" outlineLevel="0" collapsed="false">
      <c r="B46" s="21" t="s">
        <v>307</v>
      </c>
      <c r="C46" s="31" t="n">
        <f aca="false">ROUND(C45*'Contract Particulars'!$C$32,2)</f>
        <v>100265.83</v>
      </c>
    </row>
    <row r="47" customFormat="false" ht="15" hidden="false" customHeight="false" outlineLevel="0" collapsed="false">
      <c r="B47" s="26" t="s">
        <v>308</v>
      </c>
      <c r="C47" s="29" t="n">
        <f aca="false">C45+C46</f>
        <v>1102924.08</v>
      </c>
    </row>
    <row r="48" customFormat="false" ht="31.5" hidden="false" customHeight="true" outlineLevel="0" collapsed="false">
      <c r="B48" s="63" t="str">
        <f aca="false">IF(ROUND(C45-('Payment Certificate'!C54-'Payment Certificate'!D54),2)=0,"CHECK PASSED — the reasons stated above account in full for the difference between the claimed amount and the scheduled amount.","CHECK FAILED — the reasons stated do not account for the full difference. A payment schedule must state every reason for withholding; reasons not stated here generally cannot be relied on later in adjudication.")</f>
        <v>CHECK PASSED — the reasons stated above account in full for the difference between the claimed amount and the scheduled amount.</v>
      </c>
      <c r="C48" s="63"/>
      <c r="D48" s="63"/>
      <c r="E48" s="63"/>
    </row>
    <row r="50" customFormat="false" ht="19.5" hidden="false" customHeight="true" outlineLevel="0" collapsed="false">
      <c r="B50" s="6" t="s">
        <v>309</v>
      </c>
      <c r="C50" s="6"/>
      <c r="D50" s="6"/>
      <c r="E50" s="6"/>
    </row>
    <row r="51" customFormat="false" ht="15" hidden="false" customHeight="false" outlineLevel="0" collapsed="false">
      <c r="B51" s="26" t="s">
        <v>310</v>
      </c>
      <c r="C51" s="50" t="n">
        <f aca="false">'Payment Certificate'!C60</f>
        <v>46248</v>
      </c>
      <c r="D51" s="51" t="str">
        <f aca="false">'Contract Particulars'!$C$50&amp;" business days after service of the claim"</f>
        <v>10 business days after service of the claim</v>
      </c>
    </row>
    <row r="53" customFormat="false" ht="39.75" hidden="false" customHeight="true" outlineLevel="0" collapsed="false">
      <c r="B53" s="19" t="s">
        <v>311</v>
      </c>
      <c r="C53" s="19"/>
      <c r="D53" s="19"/>
      <c r="E53" s="19"/>
    </row>
    <row r="55" customFormat="false" ht="19.5" hidden="false" customHeight="true" outlineLevel="0" collapsed="false">
      <c r="B55" s="8"/>
      <c r="C55" s="8" t="s">
        <v>312</v>
      </c>
      <c r="D55" s="8"/>
      <c r="E55" s="8"/>
    </row>
    <row r="56" customFormat="false" ht="21.75" hidden="false" customHeight="true" outlineLevel="0" collapsed="false">
      <c r="B56" s="21" t="s">
        <v>250</v>
      </c>
      <c r="C56" s="22"/>
    </row>
    <row r="57" customFormat="false" ht="21.75" hidden="false" customHeight="true" outlineLevel="0" collapsed="false">
      <c r="B57" s="21" t="s">
        <v>251</v>
      </c>
      <c r="C57" s="22"/>
    </row>
    <row r="58" customFormat="false" ht="21.75" hidden="false" customHeight="true" outlineLevel="0" collapsed="false">
      <c r="B58" s="21" t="s">
        <v>253</v>
      </c>
      <c r="C58" s="22"/>
    </row>
    <row r="59" customFormat="false" ht="21.75" hidden="false" customHeight="true" outlineLevel="0" collapsed="false">
      <c r="B59" s="21" t="s">
        <v>254</v>
      </c>
      <c r="C59" s="23"/>
    </row>
    <row r="63" customFormat="false" ht="15.75" hidden="false" customHeight="true" outlineLevel="0" collapsed="false">
      <c r="B63" s="37" t="s">
        <v>168</v>
      </c>
      <c r="C63" s="37"/>
      <c r="D63" s="37"/>
      <c r="E63" s="37"/>
    </row>
  </sheetData>
  <mergeCells count="18">
    <mergeCell ref="B2:E2"/>
    <mergeCell ref="B3:E3"/>
    <mergeCell ref="B4:E4"/>
    <mergeCell ref="B7:E7"/>
    <mergeCell ref="B8:E8"/>
    <mergeCell ref="C10:E10"/>
    <mergeCell ref="C11:E11"/>
    <mergeCell ref="C12:E12"/>
    <mergeCell ref="C13:E13"/>
    <mergeCell ref="C14:E14"/>
    <mergeCell ref="C15:E15"/>
    <mergeCell ref="B17:E17"/>
    <mergeCell ref="B25:E25"/>
    <mergeCell ref="B31:E31"/>
    <mergeCell ref="B48:E48"/>
    <mergeCell ref="B50:E50"/>
    <mergeCell ref="B53:E53"/>
    <mergeCell ref="B63:E63"/>
  </mergeCells>
  <conditionalFormatting sqref="B33:E33">
    <cfRule type="expression" priority="2" aboveAverage="0" equalAverage="0" bottom="0" percent="0" rank="0" text="" dxfId="1">
      <formula>AND($C33&lt;&gt;"",ROUND($C33,2)=0)</formula>
    </cfRule>
  </conditionalFormatting>
  <conditionalFormatting sqref="B34:E34">
    <cfRule type="expression" priority="3" aboveAverage="0" equalAverage="0" bottom="0" percent="0" rank="0" text="" dxfId="1">
      <formula>AND($C34&lt;&gt;"",ROUND($C34,2)=0)</formula>
    </cfRule>
  </conditionalFormatting>
  <conditionalFormatting sqref="B35:E35">
    <cfRule type="expression" priority="4" aboveAverage="0" equalAverage="0" bottom="0" percent="0" rank="0" text="" dxfId="1">
      <formula>AND($C35&lt;&gt;"",ROUND($C35,2)=0)</formula>
    </cfRule>
  </conditionalFormatting>
  <conditionalFormatting sqref="B36:E36">
    <cfRule type="expression" priority="5" aboveAverage="0" equalAverage="0" bottom="0" percent="0" rank="0" text="" dxfId="1">
      <formula>AND($C36&lt;&gt;"",ROUND($C36,2)=0)</formula>
    </cfRule>
  </conditionalFormatting>
  <conditionalFormatting sqref="B37:E37">
    <cfRule type="expression" priority="6" aboveAverage="0" equalAverage="0" bottom="0" percent="0" rank="0" text="" dxfId="1">
      <formula>AND($C37&lt;&gt;"",ROUND($C37,2)=0)</formula>
    </cfRule>
  </conditionalFormatting>
  <conditionalFormatting sqref="B38:E38">
    <cfRule type="expression" priority="7" aboveAverage="0" equalAverage="0" bottom="0" percent="0" rank="0" text="" dxfId="1">
      <formula>AND($C38&lt;&gt;"",ROUND($C38,2)=0)</formula>
    </cfRule>
  </conditionalFormatting>
  <conditionalFormatting sqref="B39:E39">
    <cfRule type="expression" priority="8" aboveAverage="0" equalAverage="0" bottom="0" percent="0" rank="0" text="" dxfId="1">
      <formula>AND($C39&lt;&gt;"",ROUND($C39,2)=0)</formula>
    </cfRule>
  </conditionalFormatting>
  <conditionalFormatting sqref="B40:E40">
    <cfRule type="expression" priority="9" aboveAverage="0" equalAverage="0" bottom="0" percent="0" rank="0" text="" dxfId="1">
      <formula>AND($C40&lt;&gt;"",ROUND($C40,2)=0)</formula>
    </cfRule>
  </conditionalFormatting>
  <conditionalFormatting sqref="B41:E41">
    <cfRule type="expression" priority="10" aboveAverage="0" equalAverage="0" bottom="0" percent="0" rank="0" text="" dxfId="1">
      <formula>AND($C41&lt;&gt;"",ROUND($C41,2)=0)</formula>
    </cfRule>
  </conditionalFormatting>
  <conditionalFormatting sqref="B42:E42">
    <cfRule type="expression" priority="11" aboveAverage="0" equalAverage="0" bottom="0" percent="0" rank="0" text="" dxfId="1">
      <formula>AND($C42&lt;&gt;"",ROUND($C42,2)=0)</formula>
    </cfRule>
  </conditionalFormatting>
  <conditionalFormatting sqref="B43:E43">
    <cfRule type="expression" priority="12" aboveAverage="0" equalAverage="0" bottom="0" percent="0" rank="0" text="" dxfId="1">
      <formula>AND($C43&lt;&gt;"",ROUND($C43,2)=0)</formula>
    </cfRule>
  </conditionalFormatting>
  <conditionalFormatting sqref="B44:E44">
    <cfRule type="expression" priority="13" aboveAverage="0" equalAverage="0" bottom="0" percent="0" rank="0" text="" dxfId="1">
      <formula>AND($C44&lt;&gt;"",ROUND($C44,2)=0)</formula>
    </cfRule>
  </conditionalFormatting>
  <conditionalFormatting sqref="B48">
    <cfRule type="expression" priority="14" aboveAverage="0" equalAverage="0" bottom="0" percent="0" rank="0" text="" dxfId="2">
      <formula>ROUND($C$45-('Payment Certificate'!$C$54-'Payment Certificate'!$D$54),2)&lt;&gt;0</formula>
    </cfRule>
  </conditionalFormatting>
  <hyperlinks>
    <hyperlink ref="B63" r:id="rId1" display="Mastt  ·  Capital project controls, cost management and reporting  ·  www.mastt.com"/>
  </hyperlinks>
  <printOptions headings="false" gridLines="false" gridLinesSet="true" horizontalCentered="false" verticalCentered="false"/>
  <pageMargins left="0.4" right="0.4" top="0.5" bottom="0.5"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&amp;L&amp;"Arial,Regular"&amp;8 Mastt  |  Progress Payment Certificate&amp;R&amp;"Arial,Regular"&amp;8 Page &amp;P of &amp;N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M5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2" ySplit="8" topLeftCell="C9" activePane="bottomRight" state="frozen"/>
      <selection pane="topLeft" activeCell="A1" activeCellId="0" sqref="A1"/>
      <selection pane="topRight" activeCell="C1" activeCellId="0" sqref="C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9"/>
    <col collapsed="false" customWidth="true" hidden="false" outlineLevel="0" max="3" min="3" style="0" width="46"/>
    <col collapsed="false" customWidth="true" hidden="false" outlineLevel="0" max="4" min="4" style="0" width="11"/>
    <col collapsed="false" customWidth="true" hidden="false" outlineLevel="0" max="5" min="5" style="0" width="17"/>
    <col collapsed="false" customWidth="true" hidden="false" outlineLevel="0" max="6" min="6" style="0" width="11"/>
    <col collapsed="false" customWidth="true" hidden="false" outlineLevel="0" max="7" min="7" style="0" width="17"/>
    <col collapsed="false" customWidth="true" hidden="false" outlineLevel="0" max="8" min="8" style="0" width="11"/>
    <col collapsed="false" customWidth="true" hidden="false" outlineLevel="0" max="12" min="9" style="0" width="17"/>
    <col collapsed="false" customWidth="true" hidden="false" outlineLevel="0" max="13" min="13" style="0" width="34"/>
  </cols>
  <sheetData>
    <row r="1" customFormat="false" ht="7.5" hidden="false" customHeight="true" outlineLevel="0" collapsed="false">
      <c r="A1" s="1"/>
      <c r="B1" s="1"/>
      <c r="C1" s="1"/>
      <c r="D1" s="1"/>
      <c r="E1" s="1"/>
      <c r="F1" s="1"/>
      <c r="G1" s="1"/>
      <c r="H1" s="1"/>
      <c r="I1" s="1"/>
      <c r="J1" s="1"/>
      <c r="K1" s="1"/>
      <c r="L1" s="1"/>
      <c r="M1" s="1"/>
    </row>
    <row r="2" customFormat="false" ht="30" hidden="false" customHeight="true" outlineLevel="0" collapsed="false">
      <c r="A2" s="1"/>
      <c r="B2" s="2" t="s">
        <v>313</v>
      </c>
      <c r="C2" s="2"/>
      <c r="D2" s="2"/>
      <c r="E2" s="2"/>
      <c r="F2" s="2"/>
      <c r="G2" s="2"/>
      <c r="H2" s="2"/>
      <c r="I2" s="2"/>
      <c r="J2" s="2"/>
      <c r="K2" s="2"/>
      <c r="L2" s="2"/>
      <c r="M2" s="2"/>
    </row>
    <row r="3" customFormat="false" ht="16.5" hidden="false" customHeight="true" outlineLevel="0" collapsed="false">
      <c r="A3" s="1"/>
      <c r="B3" s="3" t="s">
        <v>314</v>
      </c>
      <c r="C3" s="3"/>
      <c r="D3" s="3"/>
      <c r="E3" s="3"/>
      <c r="F3" s="3"/>
      <c r="G3" s="3"/>
      <c r="H3" s="3"/>
      <c r="I3" s="3"/>
      <c r="J3" s="3"/>
      <c r="K3" s="3"/>
      <c r="L3" s="3"/>
      <c r="M3" s="3"/>
    </row>
    <row r="4" customFormat="false" ht="9.75" hidden="false" customHeight="true" outlineLevel="0" collapsed="false">
      <c r="A4" s="1"/>
      <c r="B4" s="4" t="s">
        <v>315</v>
      </c>
      <c r="C4" s="4"/>
      <c r="D4" s="4"/>
      <c r="E4" s="4"/>
      <c r="F4" s="4"/>
      <c r="G4" s="4"/>
      <c r="H4" s="4"/>
      <c r="I4" s="4"/>
      <c r="J4" s="4"/>
      <c r="K4" s="4"/>
      <c r="L4" s="4"/>
      <c r="M4" s="4"/>
    </row>
    <row r="5" customFormat="false" ht="6" hidden="false" customHeight="true" outlineLevel="0" collapsed="false">
      <c r="A5" s="1"/>
      <c r="B5" s="5"/>
      <c r="C5" s="5"/>
      <c r="D5" s="5"/>
      <c r="E5" s="5"/>
      <c r="F5" s="5"/>
      <c r="G5" s="5"/>
      <c r="H5" s="5"/>
      <c r="I5" s="5"/>
      <c r="J5" s="5"/>
      <c r="K5" s="5"/>
      <c r="L5" s="5"/>
      <c r="M5" s="5"/>
    </row>
    <row r="7" customFormat="false" ht="19.5" hidden="false" customHeight="true" outlineLevel="0" collapsed="false">
      <c r="B7" s="6" t="s">
        <v>316</v>
      </c>
      <c r="C7" s="6"/>
      <c r="D7" s="6"/>
      <c r="E7" s="6"/>
      <c r="F7" s="6"/>
      <c r="G7" s="6"/>
      <c r="H7" s="6"/>
      <c r="I7" s="6"/>
      <c r="J7" s="6"/>
      <c r="K7" s="6"/>
      <c r="L7" s="6"/>
      <c r="M7" s="6"/>
    </row>
    <row r="8" customFormat="false" ht="33.75" hidden="false" customHeight="true" outlineLevel="0" collapsed="false">
      <c r="B8" s="8" t="s">
        <v>317</v>
      </c>
      <c r="C8" s="8" t="s">
        <v>318</v>
      </c>
      <c r="D8" s="8" t="s">
        <v>319</v>
      </c>
      <c r="E8" s="8" t="s">
        <v>320</v>
      </c>
      <c r="F8" s="8" t="s">
        <v>321</v>
      </c>
      <c r="G8" s="8" t="s">
        <v>322</v>
      </c>
      <c r="H8" s="8" t="s">
        <v>323</v>
      </c>
      <c r="I8" s="8" t="s">
        <v>324</v>
      </c>
      <c r="J8" s="8" t="s">
        <v>325</v>
      </c>
      <c r="K8" s="8" t="s">
        <v>326</v>
      </c>
      <c r="L8" s="8" t="s">
        <v>327</v>
      </c>
      <c r="M8" s="8" t="s">
        <v>200</v>
      </c>
    </row>
    <row r="9" customFormat="false" ht="15" hidden="false" customHeight="true" outlineLevel="0" collapsed="false">
      <c r="B9" s="41" t="s">
        <v>328</v>
      </c>
      <c r="C9" s="22" t="s">
        <v>329</v>
      </c>
      <c r="D9" s="41" t="s">
        <v>330</v>
      </c>
      <c r="E9" s="27" t="n">
        <v>1850000</v>
      </c>
      <c r="F9" s="64" t="n">
        <v>0.78</v>
      </c>
      <c r="G9" s="31" t="n">
        <f aca="false">E9*F9</f>
        <v>1443000</v>
      </c>
      <c r="H9" s="64" t="n">
        <v>0.76</v>
      </c>
      <c r="I9" s="31" t="n">
        <f aca="false">E9*H9</f>
        <v>1406000</v>
      </c>
      <c r="J9" s="27" t="n">
        <v>1322750</v>
      </c>
      <c r="K9" s="31" t="n">
        <f aca="false">I9-J9</f>
        <v>83250</v>
      </c>
      <c r="L9" s="31" t="n">
        <f aca="false">E9-I9</f>
        <v>444000</v>
      </c>
      <c r="M9" s="22"/>
    </row>
    <row r="10" customFormat="false" ht="15" hidden="false" customHeight="true" outlineLevel="0" collapsed="false">
      <c r="B10" s="41" t="s">
        <v>331</v>
      </c>
      <c r="C10" s="22" t="s">
        <v>332</v>
      </c>
      <c r="D10" s="41" t="s">
        <v>333</v>
      </c>
      <c r="E10" s="27" t="n">
        <v>420000</v>
      </c>
      <c r="F10" s="64" t="n">
        <v>1</v>
      </c>
      <c r="G10" s="65" t="n">
        <f aca="false">E10*F10</f>
        <v>420000</v>
      </c>
      <c r="H10" s="64" t="n">
        <v>1</v>
      </c>
      <c r="I10" s="65" t="n">
        <f aca="false">E10*H10</f>
        <v>420000</v>
      </c>
      <c r="J10" s="27" t="n">
        <v>401100</v>
      </c>
      <c r="K10" s="65" t="n">
        <f aca="false">I10-J10</f>
        <v>18900</v>
      </c>
      <c r="L10" s="65" t="n">
        <f aca="false">E10-I10</f>
        <v>0</v>
      </c>
      <c r="M10" s="22"/>
    </row>
    <row r="11" customFormat="false" ht="15" hidden="false" customHeight="true" outlineLevel="0" collapsed="false">
      <c r="B11" s="41" t="s">
        <v>334</v>
      </c>
      <c r="C11" s="22" t="s">
        <v>335</v>
      </c>
      <c r="D11" s="41" t="s">
        <v>336</v>
      </c>
      <c r="E11" s="27" t="n">
        <v>640000</v>
      </c>
      <c r="F11" s="64" t="n">
        <v>1</v>
      </c>
      <c r="G11" s="31" t="n">
        <f aca="false">E11*F11</f>
        <v>640000</v>
      </c>
      <c r="H11" s="64" t="n">
        <v>1</v>
      </c>
      <c r="I11" s="31" t="n">
        <f aca="false">E11*H11</f>
        <v>640000</v>
      </c>
      <c r="J11" s="27" t="n">
        <v>611200</v>
      </c>
      <c r="K11" s="31" t="n">
        <f aca="false">I11-J11</f>
        <v>28800</v>
      </c>
      <c r="L11" s="31" t="n">
        <f aca="false">E11-I11</f>
        <v>0</v>
      </c>
      <c r="M11" s="22"/>
    </row>
    <row r="12" customFormat="false" ht="15" hidden="false" customHeight="true" outlineLevel="0" collapsed="false">
      <c r="B12" s="41" t="s">
        <v>337</v>
      </c>
      <c r="C12" s="22" t="s">
        <v>338</v>
      </c>
      <c r="D12" s="41" t="s">
        <v>339</v>
      </c>
      <c r="E12" s="27" t="n">
        <v>1980000</v>
      </c>
      <c r="F12" s="64" t="n">
        <v>1</v>
      </c>
      <c r="G12" s="65" t="n">
        <f aca="false">E12*F12</f>
        <v>1980000</v>
      </c>
      <c r="H12" s="64" t="n">
        <v>1</v>
      </c>
      <c r="I12" s="65" t="n">
        <f aca="false">E12*H12</f>
        <v>1980000</v>
      </c>
      <c r="J12" s="27" t="n">
        <v>1890900</v>
      </c>
      <c r="K12" s="65" t="n">
        <f aca="false">I12-J12</f>
        <v>89100</v>
      </c>
      <c r="L12" s="65" t="n">
        <f aca="false">E12-I12</f>
        <v>0</v>
      </c>
      <c r="M12" s="22"/>
    </row>
    <row r="13" customFormat="false" ht="15" hidden="false" customHeight="true" outlineLevel="0" collapsed="false">
      <c r="B13" s="41" t="s">
        <v>340</v>
      </c>
      <c r="C13" s="22" t="s">
        <v>341</v>
      </c>
      <c r="D13" s="41" t="s">
        <v>342</v>
      </c>
      <c r="E13" s="27" t="n">
        <v>4250000</v>
      </c>
      <c r="F13" s="64" t="n">
        <v>0.95</v>
      </c>
      <c r="G13" s="31" t="n">
        <f aca="false">E13*F13</f>
        <v>4037500</v>
      </c>
      <c r="H13" s="64" t="n">
        <v>0.92</v>
      </c>
      <c r="I13" s="31" t="n">
        <f aca="false">E13*H13</f>
        <v>3910000</v>
      </c>
      <c r="J13" s="27" t="n">
        <v>3718750</v>
      </c>
      <c r="K13" s="31" t="n">
        <f aca="false">I13-J13</f>
        <v>191250</v>
      </c>
      <c r="L13" s="31" t="n">
        <f aca="false">E13-I13</f>
        <v>340000</v>
      </c>
      <c r="M13" s="22"/>
    </row>
    <row r="14" customFormat="false" ht="15" hidden="false" customHeight="true" outlineLevel="0" collapsed="false">
      <c r="B14" s="41" t="s">
        <v>343</v>
      </c>
      <c r="C14" s="22" t="s">
        <v>344</v>
      </c>
      <c r="D14" s="41" t="s">
        <v>342</v>
      </c>
      <c r="E14" s="27" t="n">
        <v>1470000</v>
      </c>
      <c r="F14" s="64" t="n">
        <v>0.88</v>
      </c>
      <c r="G14" s="65" t="n">
        <f aca="false">E14*F14</f>
        <v>1293600</v>
      </c>
      <c r="H14" s="64" t="n">
        <v>0.85</v>
      </c>
      <c r="I14" s="65" t="n">
        <f aca="false">E14*H14</f>
        <v>1249500</v>
      </c>
      <c r="J14" s="27" t="n">
        <v>1183350</v>
      </c>
      <c r="K14" s="65" t="n">
        <f aca="false">I14-J14</f>
        <v>66150</v>
      </c>
      <c r="L14" s="65" t="n">
        <f aca="false">E14-I14</f>
        <v>220500</v>
      </c>
      <c r="M14" s="22"/>
    </row>
    <row r="15" customFormat="false" ht="15" hidden="false" customHeight="true" outlineLevel="0" collapsed="false">
      <c r="B15" s="41" t="s">
        <v>345</v>
      </c>
      <c r="C15" s="22" t="s">
        <v>346</v>
      </c>
      <c r="D15" s="41" t="s">
        <v>347</v>
      </c>
      <c r="E15" s="27" t="n">
        <v>890000</v>
      </c>
      <c r="F15" s="64" t="n">
        <v>0.72</v>
      </c>
      <c r="G15" s="31" t="n">
        <f aca="false">E15*F15</f>
        <v>640800</v>
      </c>
      <c r="H15" s="64" t="n">
        <v>0.68</v>
      </c>
      <c r="I15" s="31" t="n">
        <f aca="false">E15*H15</f>
        <v>605200</v>
      </c>
      <c r="J15" s="27" t="n">
        <v>565150</v>
      </c>
      <c r="K15" s="31" t="n">
        <f aca="false">I15-J15</f>
        <v>40050</v>
      </c>
      <c r="L15" s="31" t="n">
        <f aca="false">E15-I15</f>
        <v>284800</v>
      </c>
      <c r="M15" s="22"/>
    </row>
    <row r="16" customFormat="false" ht="15" hidden="false" customHeight="true" outlineLevel="0" collapsed="false">
      <c r="B16" s="41" t="s">
        <v>348</v>
      </c>
      <c r="C16" s="22" t="s">
        <v>349</v>
      </c>
      <c r="D16" s="41" t="s">
        <v>347</v>
      </c>
      <c r="E16" s="27" t="n">
        <v>3120000</v>
      </c>
      <c r="F16" s="64" t="n">
        <v>0.64</v>
      </c>
      <c r="G16" s="65" t="n">
        <f aca="false">E16*F16</f>
        <v>1996800</v>
      </c>
      <c r="H16" s="64" t="n">
        <v>0.58</v>
      </c>
      <c r="I16" s="65" t="n">
        <f aca="false">E16*H16</f>
        <v>1809600</v>
      </c>
      <c r="J16" s="27" t="n">
        <v>1669200</v>
      </c>
      <c r="K16" s="65" t="n">
        <f aca="false">I16-J16</f>
        <v>140400</v>
      </c>
      <c r="L16" s="65" t="n">
        <f aca="false">E16-I16</f>
        <v>1310400</v>
      </c>
      <c r="M16" s="22"/>
    </row>
    <row r="17" customFormat="false" ht="15" hidden="false" customHeight="true" outlineLevel="0" collapsed="false">
      <c r="B17" s="41" t="s">
        <v>350</v>
      </c>
      <c r="C17" s="22" t="s">
        <v>351</v>
      </c>
      <c r="D17" s="41" t="s">
        <v>352</v>
      </c>
      <c r="E17" s="27" t="n">
        <v>1240000</v>
      </c>
      <c r="F17" s="64" t="n">
        <v>0.41</v>
      </c>
      <c r="G17" s="31" t="n">
        <f aca="false">E17*F17</f>
        <v>508400</v>
      </c>
      <c r="H17" s="64" t="n">
        <v>0.38</v>
      </c>
      <c r="I17" s="31" t="n">
        <f aca="false">E17*H17</f>
        <v>471200</v>
      </c>
      <c r="J17" s="27" t="n">
        <v>415400</v>
      </c>
      <c r="K17" s="31" t="n">
        <f aca="false">I17-J17</f>
        <v>55800</v>
      </c>
      <c r="L17" s="31" t="n">
        <f aca="false">E17-I17</f>
        <v>768800</v>
      </c>
      <c r="M17" s="22"/>
    </row>
    <row r="18" customFormat="false" ht="15" hidden="false" customHeight="true" outlineLevel="0" collapsed="false">
      <c r="B18" s="41" t="s">
        <v>353</v>
      </c>
      <c r="C18" s="22" t="s">
        <v>354</v>
      </c>
      <c r="D18" s="41" t="s">
        <v>352</v>
      </c>
      <c r="E18" s="27" t="n">
        <v>560000</v>
      </c>
      <c r="F18" s="64" t="n">
        <v>0.22</v>
      </c>
      <c r="G18" s="65" t="n">
        <f aca="false">E18*F18</f>
        <v>123200</v>
      </c>
      <c r="H18" s="64" t="n">
        <v>0.2</v>
      </c>
      <c r="I18" s="65" t="n">
        <f aca="false">E18*H18</f>
        <v>112000</v>
      </c>
      <c r="J18" s="27" t="n">
        <v>86800</v>
      </c>
      <c r="K18" s="65" t="n">
        <f aca="false">I18-J18</f>
        <v>25200</v>
      </c>
      <c r="L18" s="65" t="n">
        <f aca="false">E18-I18</f>
        <v>448000</v>
      </c>
      <c r="M18" s="22"/>
    </row>
    <row r="19" customFormat="false" ht="15" hidden="false" customHeight="true" outlineLevel="0" collapsed="false">
      <c r="B19" s="41" t="s">
        <v>355</v>
      </c>
      <c r="C19" s="22" t="s">
        <v>356</v>
      </c>
      <c r="D19" s="41" t="s">
        <v>352</v>
      </c>
      <c r="E19" s="27" t="n">
        <v>780000</v>
      </c>
      <c r="F19" s="64" t="n">
        <v>0.15</v>
      </c>
      <c r="G19" s="31" t="n">
        <f aca="false">E19*F19</f>
        <v>117000</v>
      </c>
      <c r="H19" s="64" t="n">
        <v>0.12</v>
      </c>
      <c r="I19" s="31" t="n">
        <f aca="false">E19*H19</f>
        <v>93600</v>
      </c>
      <c r="J19" s="27" t="n">
        <v>58500</v>
      </c>
      <c r="K19" s="31" t="n">
        <f aca="false">I19-J19</f>
        <v>35100</v>
      </c>
      <c r="L19" s="31" t="n">
        <f aca="false">E19-I19</f>
        <v>686400</v>
      </c>
      <c r="M19" s="22"/>
    </row>
    <row r="20" customFormat="false" ht="15" hidden="false" customHeight="true" outlineLevel="0" collapsed="false">
      <c r="B20" s="41" t="s">
        <v>357</v>
      </c>
      <c r="C20" s="22" t="s">
        <v>358</v>
      </c>
      <c r="D20" s="41" t="s">
        <v>352</v>
      </c>
      <c r="E20" s="27" t="n">
        <v>430000</v>
      </c>
      <c r="F20" s="64" t="n">
        <v>0.08</v>
      </c>
      <c r="G20" s="65" t="n">
        <f aca="false">E20*F20</f>
        <v>34400</v>
      </c>
      <c r="H20" s="64" t="n">
        <v>0.05</v>
      </c>
      <c r="I20" s="65" t="n">
        <f aca="false">E20*H20</f>
        <v>21500</v>
      </c>
      <c r="J20" s="27" t="n">
        <v>2150</v>
      </c>
      <c r="K20" s="65" t="n">
        <f aca="false">I20-J20</f>
        <v>19350</v>
      </c>
      <c r="L20" s="65" t="n">
        <f aca="false">E20-I20</f>
        <v>408500</v>
      </c>
      <c r="M20" s="22"/>
    </row>
    <row r="21" customFormat="false" ht="15" hidden="false" customHeight="true" outlineLevel="0" collapsed="false">
      <c r="B21" s="41" t="s">
        <v>359</v>
      </c>
      <c r="C21" s="22" t="s">
        <v>360</v>
      </c>
      <c r="D21" s="41" t="s">
        <v>352</v>
      </c>
      <c r="E21" s="27" t="n">
        <v>1150000</v>
      </c>
      <c r="F21" s="64" t="n">
        <v>0.18</v>
      </c>
      <c r="G21" s="31" t="n">
        <f aca="false">E21*F21</f>
        <v>207000</v>
      </c>
      <c r="H21" s="64" t="n">
        <v>0.15</v>
      </c>
      <c r="I21" s="31" t="n">
        <f aca="false">E21*H21</f>
        <v>172500</v>
      </c>
      <c r="J21" s="27" t="n">
        <v>120750</v>
      </c>
      <c r="K21" s="31" t="n">
        <f aca="false">I21-J21</f>
        <v>51750</v>
      </c>
      <c r="L21" s="31" t="n">
        <f aca="false">E21-I21</f>
        <v>977500</v>
      </c>
      <c r="M21" s="22"/>
    </row>
    <row r="22" customFormat="false" ht="15" hidden="false" customHeight="true" outlineLevel="0" collapsed="false">
      <c r="B22" s="41" t="s">
        <v>361</v>
      </c>
      <c r="C22" s="22" t="s">
        <v>362</v>
      </c>
      <c r="D22" s="41" t="s">
        <v>363</v>
      </c>
      <c r="E22" s="27" t="n">
        <v>1090000</v>
      </c>
      <c r="F22" s="64" t="n">
        <v>0.66</v>
      </c>
      <c r="G22" s="65" t="n">
        <f aca="false">E22*F22</f>
        <v>719400</v>
      </c>
      <c r="H22" s="64" t="n">
        <v>0.62</v>
      </c>
      <c r="I22" s="65" t="n">
        <f aca="false">E22*H22</f>
        <v>675800</v>
      </c>
      <c r="J22" s="27" t="n">
        <v>626750</v>
      </c>
      <c r="K22" s="65" t="n">
        <f aca="false">I22-J22</f>
        <v>49050</v>
      </c>
      <c r="L22" s="65" t="n">
        <f aca="false">E22-I22</f>
        <v>414200</v>
      </c>
      <c r="M22" s="22"/>
    </row>
    <row r="23" customFormat="false" ht="15" hidden="false" customHeight="true" outlineLevel="0" collapsed="false">
      <c r="B23" s="41" t="s">
        <v>364</v>
      </c>
      <c r="C23" s="22" t="s">
        <v>365</v>
      </c>
      <c r="D23" s="41" t="s">
        <v>363</v>
      </c>
      <c r="E23" s="27" t="n">
        <v>2340000</v>
      </c>
      <c r="F23" s="64" t="n">
        <v>0.58</v>
      </c>
      <c r="G23" s="31" t="n">
        <f aca="false">E23*F23</f>
        <v>1357200</v>
      </c>
      <c r="H23" s="64" t="n">
        <v>0.55</v>
      </c>
      <c r="I23" s="31" t="n">
        <f aca="false">E23*H23</f>
        <v>1287000</v>
      </c>
      <c r="J23" s="27" t="n">
        <v>1181700</v>
      </c>
      <c r="K23" s="31" t="n">
        <f aca="false">I23-J23</f>
        <v>105300</v>
      </c>
      <c r="L23" s="31" t="n">
        <f aca="false">E23-I23</f>
        <v>1053000</v>
      </c>
      <c r="M23" s="22"/>
    </row>
    <row r="24" customFormat="false" ht="15" hidden="false" customHeight="true" outlineLevel="0" collapsed="false">
      <c r="B24" s="41" t="s">
        <v>366</v>
      </c>
      <c r="C24" s="22" t="s">
        <v>367</v>
      </c>
      <c r="D24" s="41" t="s">
        <v>363</v>
      </c>
      <c r="E24" s="27" t="n">
        <v>1760000</v>
      </c>
      <c r="F24" s="64" t="n">
        <v>0.61</v>
      </c>
      <c r="G24" s="65" t="n">
        <f aca="false">E24*F24</f>
        <v>1073600</v>
      </c>
      <c r="H24" s="64" t="n">
        <v>0.57</v>
      </c>
      <c r="I24" s="65" t="n">
        <f aca="false">E24*H24</f>
        <v>1003200</v>
      </c>
      <c r="J24" s="27" t="n">
        <v>924000</v>
      </c>
      <c r="K24" s="65" t="n">
        <f aca="false">I24-J24</f>
        <v>79199.9999999999</v>
      </c>
      <c r="L24" s="65" t="n">
        <f aca="false">E24-I24</f>
        <v>756800</v>
      </c>
      <c r="M24" s="22"/>
    </row>
    <row r="25" customFormat="false" ht="15" hidden="false" customHeight="true" outlineLevel="0" collapsed="false">
      <c r="B25" s="41" t="s">
        <v>368</v>
      </c>
      <c r="C25" s="22" t="s">
        <v>369</v>
      </c>
      <c r="D25" s="41" t="s">
        <v>363</v>
      </c>
      <c r="E25" s="27" t="n">
        <v>720000</v>
      </c>
      <c r="F25" s="64" t="n">
        <v>0.49</v>
      </c>
      <c r="G25" s="31" t="n">
        <f aca="false">E25*F25</f>
        <v>352800</v>
      </c>
      <c r="H25" s="64" t="n">
        <v>0.46</v>
      </c>
      <c r="I25" s="31" t="n">
        <f aca="false">E25*H25</f>
        <v>331200</v>
      </c>
      <c r="J25" s="27" t="n">
        <v>298800</v>
      </c>
      <c r="K25" s="31" t="n">
        <f aca="false">I25-J25</f>
        <v>32400</v>
      </c>
      <c r="L25" s="31" t="n">
        <f aca="false">E25-I25</f>
        <v>388800</v>
      </c>
      <c r="M25" s="22"/>
    </row>
    <row r="26" customFormat="false" ht="15" hidden="false" customHeight="true" outlineLevel="0" collapsed="false">
      <c r="B26" s="41" t="s">
        <v>370</v>
      </c>
      <c r="C26" s="22" t="s">
        <v>371</v>
      </c>
      <c r="D26" s="41" t="s">
        <v>363</v>
      </c>
      <c r="E26" s="27" t="n">
        <v>980000</v>
      </c>
      <c r="F26" s="64" t="n">
        <v>0.55</v>
      </c>
      <c r="G26" s="65" t="n">
        <f aca="false">E26*F26</f>
        <v>539000</v>
      </c>
      <c r="H26" s="64" t="n">
        <v>0.55</v>
      </c>
      <c r="I26" s="65" t="n">
        <f aca="false">E26*H26</f>
        <v>539000</v>
      </c>
      <c r="J26" s="27" t="n">
        <v>494900</v>
      </c>
      <c r="K26" s="65" t="n">
        <f aca="false">I26-J26</f>
        <v>44100</v>
      </c>
      <c r="L26" s="65" t="n">
        <f aca="false">E26-I26</f>
        <v>441000</v>
      </c>
      <c r="M26" s="22"/>
    </row>
    <row r="27" customFormat="false" ht="15" hidden="false" customHeight="true" outlineLevel="0" collapsed="false">
      <c r="B27" s="41" t="s">
        <v>372</v>
      </c>
      <c r="C27" s="22" t="s">
        <v>373</v>
      </c>
      <c r="D27" s="41" t="s">
        <v>374</v>
      </c>
      <c r="E27" s="27" t="n">
        <v>610000</v>
      </c>
      <c r="F27" s="64" t="n">
        <v>0.12</v>
      </c>
      <c r="G27" s="31" t="n">
        <f aca="false">E27*F27</f>
        <v>73200</v>
      </c>
      <c r="H27" s="64" t="n">
        <v>0.1</v>
      </c>
      <c r="I27" s="31" t="n">
        <f aca="false">E27*H27</f>
        <v>61000</v>
      </c>
      <c r="J27" s="27" t="n">
        <v>33550</v>
      </c>
      <c r="K27" s="31" t="n">
        <f aca="false">I27-J27</f>
        <v>27450</v>
      </c>
      <c r="L27" s="31" t="n">
        <f aca="false">E27-I27</f>
        <v>549000</v>
      </c>
      <c r="M27" s="22"/>
    </row>
    <row r="28" customFormat="false" ht="15" hidden="false" customHeight="true" outlineLevel="0" collapsed="false">
      <c r="B28" s="41" t="s">
        <v>375</v>
      </c>
      <c r="C28" s="22" t="s">
        <v>376</v>
      </c>
      <c r="D28" s="41" t="s">
        <v>377</v>
      </c>
      <c r="E28" s="27" t="n">
        <v>180000</v>
      </c>
      <c r="F28" s="64" t="n">
        <v>0</v>
      </c>
      <c r="G28" s="65" t="n">
        <f aca="false">E28*F28</f>
        <v>0</v>
      </c>
      <c r="H28" s="64" t="n">
        <v>0</v>
      </c>
      <c r="I28" s="65" t="n">
        <f aca="false">E28*H28</f>
        <v>0</v>
      </c>
      <c r="J28" s="27" t="n">
        <v>0</v>
      </c>
      <c r="K28" s="65" t="n">
        <f aca="false">I28-J28</f>
        <v>0</v>
      </c>
      <c r="L28" s="65" t="n">
        <f aca="false">E28-I28</f>
        <v>180000</v>
      </c>
      <c r="M28" s="22"/>
    </row>
    <row r="29" customFormat="false" ht="15" hidden="false" customHeight="true" outlineLevel="0" collapsed="false">
      <c r="B29" s="41" t="s">
        <v>378</v>
      </c>
      <c r="C29" s="22" t="s">
        <v>379</v>
      </c>
      <c r="D29" s="41" t="s">
        <v>377</v>
      </c>
      <c r="E29" s="27" t="n">
        <v>240000</v>
      </c>
      <c r="F29" s="64" t="n">
        <v>0</v>
      </c>
      <c r="G29" s="31" t="n">
        <f aca="false">E29*F29</f>
        <v>0</v>
      </c>
      <c r="H29" s="64" t="n">
        <v>0</v>
      </c>
      <c r="I29" s="31" t="n">
        <f aca="false">E29*H29</f>
        <v>0</v>
      </c>
      <c r="J29" s="27" t="n">
        <v>0</v>
      </c>
      <c r="K29" s="31" t="n">
        <f aca="false">I29-J29</f>
        <v>0</v>
      </c>
      <c r="L29" s="31" t="n">
        <f aca="false">E29-I29</f>
        <v>240000</v>
      </c>
      <c r="M29" s="22"/>
    </row>
    <row r="30" customFormat="false" ht="15" hidden="false" customHeight="true" outlineLevel="0" collapsed="false">
      <c r="B30" s="41"/>
      <c r="C30" s="22"/>
      <c r="D30" s="41"/>
      <c r="E30" s="27"/>
      <c r="F30" s="64"/>
      <c r="G30" s="65" t="n">
        <f aca="false">E30*F30</f>
        <v>0</v>
      </c>
      <c r="H30" s="64"/>
      <c r="I30" s="65" t="n">
        <f aca="false">E30*H30</f>
        <v>0</v>
      </c>
      <c r="J30" s="27"/>
      <c r="K30" s="65" t="n">
        <f aca="false">I30-J30</f>
        <v>0</v>
      </c>
      <c r="L30" s="65" t="n">
        <f aca="false">E30-I30</f>
        <v>0</v>
      </c>
      <c r="M30" s="22"/>
    </row>
    <row r="31" customFormat="false" ht="15" hidden="false" customHeight="true" outlineLevel="0" collapsed="false">
      <c r="B31" s="41"/>
      <c r="C31" s="22"/>
      <c r="D31" s="41"/>
      <c r="E31" s="27"/>
      <c r="F31" s="64"/>
      <c r="G31" s="31" t="n">
        <f aca="false">E31*F31</f>
        <v>0</v>
      </c>
      <c r="H31" s="64"/>
      <c r="I31" s="31" t="n">
        <f aca="false">E31*H31</f>
        <v>0</v>
      </c>
      <c r="J31" s="27"/>
      <c r="K31" s="31" t="n">
        <f aca="false">I31-J31</f>
        <v>0</v>
      </c>
      <c r="L31" s="31" t="n">
        <f aca="false">E31-I31</f>
        <v>0</v>
      </c>
      <c r="M31" s="22"/>
    </row>
    <row r="32" customFormat="false" ht="15" hidden="false" customHeight="true" outlineLevel="0" collapsed="false">
      <c r="B32" s="41"/>
      <c r="C32" s="22"/>
      <c r="D32" s="41"/>
      <c r="E32" s="27"/>
      <c r="F32" s="64"/>
      <c r="G32" s="65" t="n">
        <f aca="false">E32*F32</f>
        <v>0</v>
      </c>
      <c r="H32" s="64"/>
      <c r="I32" s="65" t="n">
        <f aca="false">E32*H32</f>
        <v>0</v>
      </c>
      <c r="J32" s="27"/>
      <c r="K32" s="65" t="n">
        <f aca="false">I32-J32</f>
        <v>0</v>
      </c>
      <c r="L32" s="65" t="n">
        <f aca="false">E32-I32</f>
        <v>0</v>
      </c>
      <c r="M32" s="22"/>
    </row>
    <row r="33" customFormat="false" ht="15" hidden="false" customHeight="true" outlineLevel="0" collapsed="false">
      <c r="B33" s="41"/>
      <c r="C33" s="22"/>
      <c r="D33" s="41"/>
      <c r="E33" s="27"/>
      <c r="F33" s="64"/>
      <c r="G33" s="31" t="n">
        <f aca="false">E33*F33</f>
        <v>0</v>
      </c>
      <c r="H33" s="64"/>
      <c r="I33" s="31" t="n">
        <f aca="false">E33*H33</f>
        <v>0</v>
      </c>
      <c r="J33" s="27"/>
      <c r="K33" s="31" t="n">
        <f aca="false">I33-J33</f>
        <v>0</v>
      </c>
      <c r="L33" s="31" t="n">
        <f aca="false">E33-I33</f>
        <v>0</v>
      </c>
      <c r="M33" s="22"/>
    </row>
    <row r="34" customFormat="false" ht="15" hidden="false" customHeight="true" outlineLevel="0" collapsed="false">
      <c r="B34" s="41"/>
      <c r="C34" s="22"/>
      <c r="D34" s="41"/>
      <c r="E34" s="27"/>
      <c r="F34" s="64"/>
      <c r="G34" s="65" t="n">
        <f aca="false">E34*F34</f>
        <v>0</v>
      </c>
      <c r="H34" s="64"/>
      <c r="I34" s="65" t="n">
        <f aca="false">E34*H34</f>
        <v>0</v>
      </c>
      <c r="J34" s="27"/>
      <c r="K34" s="65" t="n">
        <f aca="false">I34-J34</f>
        <v>0</v>
      </c>
      <c r="L34" s="65" t="n">
        <f aca="false">E34-I34</f>
        <v>0</v>
      </c>
      <c r="M34" s="22"/>
    </row>
    <row r="35" customFormat="false" ht="15" hidden="false" customHeight="true" outlineLevel="0" collapsed="false">
      <c r="B35" s="41"/>
      <c r="C35" s="22"/>
      <c r="D35" s="41"/>
      <c r="E35" s="27"/>
      <c r="F35" s="64"/>
      <c r="G35" s="31" t="n">
        <f aca="false">E35*F35</f>
        <v>0</v>
      </c>
      <c r="H35" s="64"/>
      <c r="I35" s="31" t="n">
        <f aca="false">E35*H35</f>
        <v>0</v>
      </c>
      <c r="J35" s="27"/>
      <c r="K35" s="31" t="n">
        <f aca="false">I35-J35</f>
        <v>0</v>
      </c>
      <c r="L35" s="31" t="n">
        <f aca="false">E35-I35</f>
        <v>0</v>
      </c>
      <c r="M35" s="22"/>
    </row>
    <row r="36" customFormat="false" ht="15" hidden="false" customHeight="true" outlineLevel="0" collapsed="false">
      <c r="B36" s="41"/>
      <c r="C36" s="22"/>
      <c r="D36" s="41"/>
      <c r="E36" s="27"/>
      <c r="F36" s="64"/>
      <c r="G36" s="65" t="n">
        <f aca="false">E36*F36</f>
        <v>0</v>
      </c>
      <c r="H36" s="64"/>
      <c r="I36" s="65" t="n">
        <f aca="false">E36*H36</f>
        <v>0</v>
      </c>
      <c r="J36" s="27"/>
      <c r="K36" s="65" t="n">
        <f aca="false">I36-J36</f>
        <v>0</v>
      </c>
      <c r="L36" s="65" t="n">
        <f aca="false">E36-I36</f>
        <v>0</v>
      </c>
      <c r="M36" s="22"/>
    </row>
    <row r="37" customFormat="false" ht="15" hidden="false" customHeight="true" outlineLevel="0" collapsed="false">
      <c r="B37" s="41"/>
      <c r="C37" s="22"/>
      <c r="D37" s="41"/>
      <c r="E37" s="27"/>
      <c r="F37" s="64"/>
      <c r="G37" s="31" t="n">
        <f aca="false">E37*F37</f>
        <v>0</v>
      </c>
      <c r="H37" s="64"/>
      <c r="I37" s="31" t="n">
        <f aca="false">E37*H37</f>
        <v>0</v>
      </c>
      <c r="J37" s="27"/>
      <c r="K37" s="31" t="n">
        <f aca="false">I37-J37</f>
        <v>0</v>
      </c>
      <c r="L37" s="31" t="n">
        <f aca="false">E37-I37</f>
        <v>0</v>
      </c>
      <c r="M37" s="22"/>
    </row>
    <row r="38" customFormat="false" ht="15" hidden="false" customHeight="true" outlineLevel="0" collapsed="false">
      <c r="B38" s="41"/>
      <c r="C38" s="22"/>
      <c r="D38" s="41"/>
      <c r="E38" s="27"/>
      <c r="F38" s="64"/>
      <c r="G38" s="65" t="n">
        <f aca="false">E38*F38</f>
        <v>0</v>
      </c>
      <c r="H38" s="64"/>
      <c r="I38" s="65" t="n">
        <f aca="false">E38*H38</f>
        <v>0</v>
      </c>
      <c r="J38" s="27"/>
      <c r="K38" s="65" t="n">
        <f aca="false">I38-J38</f>
        <v>0</v>
      </c>
      <c r="L38" s="65" t="n">
        <f aca="false">E38-I38</f>
        <v>0</v>
      </c>
      <c r="M38" s="22"/>
    </row>
    <row r="39" customFormat="false" ht="15" hidden="false" customHeight="true" outlineLevel="0" collapsed="false">
      <c r="B39" s="41"/>
      <c r="C39" s="22"/>
      <c r="D39" s="41"/>
      <c r="E39" s="27"/>
      <c r="F39" s="64"/>
      <c r="G39" s="31" t="n">
        <f aca="false">E39*F39</f>
        <v>0</v>
      </c>
      <c r="H39" s="64"/>
      <c r="I39" s="31" t="n">
        <f aca="false">E39*H39</f>
        <v>0</v>
      </c>
      <c r="J39" s="27"/>
      <c r="K39" s="31" t="n">
        <f aca="false">I39-J39</f>
        <v>0</v>
      </c>
      <c r="L39" s="31" t="n">
        <f aca="false">E39-I39</f>
        <v>0</v>
      </c>
      <c r="M39" s="22"/>
    </row>
    <row r="40" customFormat="false" ht="15" hidden="false" customHeight="true" outlineLevel="0" collapsed="false">
      <c r="B40" s="41"/>
      <c r="C40" s="22"/>
      <c r="D40" s="41"/>
      <c r="E40" s="27"/>
      <c r="F40" s="64"/>
      <c r="G40" s="65" t="n">
        <f aca="false">E40*F40</f>
        <v>0</v>
      </c>
      <c r="H40" s="64"/>
      <c r="I40" s="65" t="n">
        <f aca="false">E40*H40</f>
        <v>0</v>
      </c>
      <c r="J40" s="27"/>
      <c r="K40" s="65" t="n">
        <f aca="false">I40-J40</f>
        <v>0</v>
      </c>
      <c r="L40" s="65" t="n">
        <f aca="false">E40-I40</f>
        <v>0</v>
      </c>
      <c r="M40" s="22"/>
    </row>
    <row r="41" customFormat="false" ht="15" hidden="false" customHeight="true" outlineLevel="0" collapsed="false">
      <c r="B41" s="41"/>
      <c r="C41" s="22"/>
      <c r="D41" s="41"/>
      <c r="E41" s="27"/>
      <c r="F41" s="64"/>
      <c r="G41" s="31" t="n">
        <f aca="false">E41*F41</f>
        <v>0</v>
      </c>
      <c r="H41" s="64"/>
      <c r="I41" s="31" t="n">
        <f aca="false">E41*H41</f>
        <v>0</v>
      </c>
      <c r="J41" s="27"/>
      <c r="K41" s="31" t="n">
        <f aca="false">I41-J41</f>
        <v>0</v>
      </c>
      <c r="L41" s="31" t="n">
        <f aca="false">E41-I41</f>
        <v>0</v>
      </c>
      <c r="M41" s="22"/>
    </row>
    <row r="42" customFormat="false" ht="15" hidden="false" customHeight="true" outlineLevel="0" collapsed="false">
      <c r="B42" s="41"/>
      <c r="C42" s="22"/>
      <c r="D42" s="41"/>
      <c r="E42" s="27"/>
      <c r="F42" s="64"/>
      <c r="G42" s="65" t="n">
        <f aca="false">E42*F42</f>
        <v>0</v>
      </c>
      <c r="H42" s="64"/>
      <c r="I42" s="65" t="n">
        <f aca="false">E42*H42</f>
        <v>0</v>
      </c>
      <c r="J42" s="27"/>
      <c r="K42" s="65" t="n">
        <f aca="false">I42-J42</f>
        <v>0</v>
      </c>
      <c r="L42" s="65" t="n">
        <f aca="false">E42-I42</f>
        <v>0</v>
      </c>
      <c r="M42" s="22"/>
    </row>
    <row r="43" customFormat="false" ht="15" hidden="false" customHeight="true" outlineLevel="0" collapsed="false">
      <c r="B43" s="41"/>
      <c r="C43" s="22"/>
      <c r="D43" s="41"/>
      <c r="E43" s="27"/>
      <c r="F43" s="64"/>
      <c r="G43" s="31" t="n">
        <f aca="false">E43*F43</f>
        <v>0</v>
      </c>
      <c r="H43" s="64"/>
      <c r="I43" s="31" t="n">
        <f aca="false">E43*H43</f>
        <v>0</v>
      </c>
      <c r="J43" s="27"/>
      <c r="K43" s="31" t="n">
        <f aca="false">I43-J43</f>
        <v>0</v>
      </c>
      <c r="L43" s="31" t="n">
        <f aca="false">E43-I43</f>
        <v>0</v>
      </c>
      <c r="M43" s="22"/>
    </row>
    <row r="44" customFormat="false" ht="15" hidden="false" customHeight="true" outlineLevel="0" collapsed="false">
      <c r="B44" s="41"/>
      <c r="C44" s="22"/>
      <c r="D44" s="41"/>
      <c r="E44" s="27"/>
      <c r="F44" s="64"/>
      <c r="G44" s="65" t="n">
        <f aca="false">E44*F44</f>
        <v>0</v>
      </c>
      <c r="H44" s="64"/>
      <c r="I44" s="65" t="n">
        <f aca="false">E44*H44</f>
        <v>0</v>
      </c>
      <c r="J44" s="27"/>
      <c r="K44" s="65" t="n">
        <f aca="false">I44-J44</f>
        <v>0</v>
      </c>
      <c r="L44" s="65" t="n">
        <f aca="false">E44-I44</f>
        <v>0</v>
      </c>
      <c r="M44" s="22"/>
    </row>
    <row r="45" customFormat="false" ht="15" hidden="false" customHeight="true" outlineLevel="0" collapsed="false">
      <c r="B45" s="41"/>
      <c r="C45" s="22"/>
      <c r="D45" s="41"/>
      <c r="E45" s="27"/>
      <c r="F45" s="64"/>
      <c r="G45" s="31" t="n">
        <f aca="false">E45*F45</f>
        <v>0</v>
      </c>
      <c r="H45" s="64"/>
      <c r="I45" s="31" t="n">
        <f aca="false">E45*H45</f>
        <v>0</v>
      </c>
      <c r="J45" s="27"/>
      <c r="K45" s="31" t="n">
        <f aca="false">I45-J45</f>
        <v>0</v>
      </c>
      <c r="L45" s="31" t="n">
        <f aca="false">E45-I45</f>
        <v>0</v>
      </c>
      <c r="M45" s="22"/>
    </row>
    <row r="46" customFormat="false" ht="15" hidden="false" customHeight="true" outlineLevel="0" collapsed="false">
      <c r="B46" s="41"/>
      <c r="C46" s="22"/>
      <c r="D46" s="41"/>
      <c r="E46" s="27"/>
      <c r="F46" s="64"/>
      <c r="G46" s="65" t="n">
        <f aca="false">E46*F46</f>
        <v>0</v>
      </c>
      <c r="H46" s="64"/>
      <c r="I46" s="65" t="n">
        <f aca="false">E46*H46</f>
        <v>0</v>
      </c>
      <c r="J46" s="27"/>
      <c r="K46" s="65" t="n">
        <f aca="false">I46-J46</f>
        <v>0</v>
      </c>
      <c r="L46" s="65" t="n">
        <f aca="false">E46-I46</f>
        <v>0</v>
      </c>
      <c r="M46" s="22"/>
    </row>
    <row r="47" customFormat="false" ht="15" hidden="false" customHeight="true" outlineLevel="0" collapsed="false">
      <c r="B47" s="41"/>
      <c r="C47" s="22"/>
      <c r="D47" s="41"/>
      <c r="E47" s="27"/>
      <c r="F47" s="64"/>
      <c r="G47" s="31" t="n">
        <f aca="false">E47*F47</f>
        <v>0</v>
      </c>
      <c r="H47" s="64"/>
      <c r="I47" s="31" t="n">
        <f aca="false">E47*H47</f>
        <v>0</v>
      </c>
      <c r="J47" s="27"/>
      <c r="K47" s="31" t="n">
        <f aca="false">I47-J47</f>
        <v>0</v>
      </c>
      <c r="L47" s="31" t="n">
        <f aca="false">E47-I47</f>
        <v>0</v>
      </c>
      <c r="M47" s="22"/>
    </row>
    <row r="48" customFormat="false" ht="15" hidden="false" customHeight="true" outlineLevel="0" collapsed="false">
      <c r="B48" s="41"/>
      <c r="C48" s="22"/>
      <c r="D48" s="41"/>
      <c r="E48" s="27"/>
      <c r="F48" s="64"/>
      <c r="G48" s="65" t="n">
        <f aca="false">E48*F48</f>
        <v>0</v>
      </c>
      <c r="H48" s="64"/>
      <c r="I48" s="65" t="n">
        <f aca="false">E48*H48</f>
        <v>0</v>
      </c>
      <c r="J48" s="27"/>
      <c r="K48" s="65" t="n">
        <f aca="false">I48-J48</f>
        <v>0</v>
      </c>
      <c r="L48" s="65" t="n">
        <f aca="false">E48-I48</f>
        <v>0</v>
      </c>
      <c r="M48" s="22"/>
    </row>
    <row r="49" customFormat="false" ht="15" hidden="false" customHeight="true" outlineLevel="0" collapsed="false">
      <c r="B49" s="41"/>
      <c r="C49" s="22"/>
      <c r="D49" s="41"/>
      <c r="E49" s="27"/>
      <c r="F49" s="64"/>
      <c r="G49" s="31" t="n">
        <f aca="false">E49*F49</f>
        <v>0</v>
      </c>
      <c r="H49" s="64"/>
      <c r="I49" s="31" t="n">
        <f aca="false">E49*H49</f>
        <v>0</v>
      </c>
      <c r="J49" s="27"/>
      <c r="K49" s="31" t="n">
        <f aca="false">I49-J49</f>
        <v>0</v>
      </c>
      <c r="L49" s="31" t="n">
        <f aca="false">E49-I49</f>
        <v>0</v>
      </c>
      <c r="M49" s="22"/>
    </row>
    <row r="50" customFormat="false" ht="15" hidden="false" customHeight="true" outlineLevel="0" collapsed="false">
      <c r="B50" s="41"/>
      <c r="C50" s="22"/>
      <c r="D50" s="41"/>
      <c r="E50" s="27"/>
      <c r="F50" s="64"/>
      <c r="G50" s="65" t="n">
        <f aca="false">E50*F50</f>
        <v>0</v>
      </c>
      <c r="H50" s="64"/>
      <c r="I50" s="65" t="n">
        <f aca="false">E50*H50</f>
        <v>0</v>
      </c>
      <c r="J50" s="27"/>
      <c r="K50" s="65" t="n">
        <f aca="false">I50-J50</f>
        <v>0</v>
      </c>
      <c r="L50" s="65" t="n">
        <f aca="false">E50-I50</f>
        <v>0</v>
      </c>
      <c r="M50" s="22"/>
    </row>
    <row r="51" customFormat="false" ht="15" hidden="false" customHeight="true" outlineLevel="0" collapsed="false">
      <c r="B51" s="41"/>
      <c r="C51" s="22"/>
      <c r="D51" s="41"/>
      <c r="E51" s="27"/>
      <c r="F51" s="64"/>
      <c r="G51" s="31" t="n">
        <f aca="false">E51*F51</f>
        <v>0</v>
      </c>
      <c r="H51" s="64"/>
      <c r="I51" s="31" t="n">
        <f aca="false">E51*H51</f>
        <v>0</v>
      </c>
      <c r="J51" s="27"/>
      <c r="K51" s="31" t="n">
        <f aca="false">I51-J51</f>
        <v>0</v>
      </c>
      <c r="L51" s="31" t="n">
        <f aca="false">E51-I51</f>
        <v>0</v>
      </c>
      <c r="M51" s="22"/>
    </row>
    <row r="52" customFormat="false" ht="15" hidden="false" customHeight="true" outlineLevel="0" collapsed="false">
      <c r="B52" s="41"/>
      <c r="C52" s="22"/>
      <c r="D52" s="41"/>
      <c r="E52" s="27"/>
      <c r="F52" s="64"/>
      <c r="G52" s="65" t="n">
        <f aca="false">E52*F52</f>
        <v>0</v>
      </c>
      <c r="H52" s="64"/>
      <c r="I52" s="65" t="n">
        <f aca="false">E52*H52</f>
        <v>0</v>
      </c>
      <c r="J52" s="27"/>
      <c r="K52" s="65" t="n">
        <f aca="false">I52-J52</f>
        <v>0</v>
      </c>
      <c r="L52" s="65" t="n">
        <f aca="false">E52-I52</f>
        <v>0</v>
      </c>
      <c r="M52" s="22"/>
    </row>
    <row r="53" customFormat="false" ht="15" hidden="false" customHeight="true" outlineLevel="0" collapsed="false">
      <c r="B53" s="41"/>
      <c r="C53" s="22"/>
      <c r="D53" s="41"/>
      <c r="E53" s="27"/>
      <c r="F53" s="64"/>
      <c r="G53" s="31" t="n">
        <f aca="false">E53*F53</f>
        <v>0</v>
      </c>
      <c r="H53" s="64"/>
      <c r="I53" s="31" t="n">
        <f aca="false">E53*H53</f>
        <v>0</v>
      </c>
      <c r="J53" s="27"/>
      <c r="K53" s="31" t="n">
        <f aca="false">I53-J53</f>
        <v>0</v>
      </c>
      <c r="L53" s="31" t="n">
        <f aca="false">E53-I53</f>
        <v>0</v>
      </c>
      <c r="M53" s="22"/>
    </row>
    <row r="54" customFormat="false" ht="15" hidden="false" customHeight="false" outlineLevel="0" collapsed="false">
      <c r="B54" s="60" t="s">
        <v>380</v>
      </c>
      <c r="C54" s="62"/>
      <c r="D54" s="62"/>
      <c r="E54" s="66" t="n">
        <f aca="false">SUM(E9:E53)</f>
        <v>26700000</v>
      </c>
      <c r="F54" s="62"/>
      <c r="G54" s="66" t="n">
        <f aca="false">SUM(G9:G53)</f>
        <v>17556900</v>
      </c>
      <c r="H54" s="62"/>
      <c r="I54" s="66" t="n">
        <f aca="false">SUM(I9:I53)</f>
        <v>16788300</v>
      </c>
      <c r="J54" s="66" t="n">
        <f aca="false">SUM(J9:J53)</f>
        <v>15605700</v>
      </c>
      <c r="K54" s="66" t="n">
        <f aca="false">SUM(K9:K53)</f>
        <v>1182600</v>
      </c>
      <c r="L54" s="66" t="n">
        <f aca="false">SUM(L9:L53)</f>
        <v>9911700</v>
      </c>
      <c r="M54" s="62"/>
    </row>
    <row r="55" customFormat="false" ht="15" hidden="false" customHeight="false" outlineLevel="0" collapsed="false">
      <c r="B55" s="67" t="s">
        <v>381</v>
      </c>
      <c r="C55" s="67"/>
      <c r="D55" s="67"/>
      <c r="E55" s="47" t="n">
        <f aca="false">E54-'Contract Particulars'!C28</f>
        <v>0</v>
      </c>
      <c r="F55" s="68" t="str">
        <f aca="false">IF(ROUND(E55,2)=0,"Reconciled to the Original Contract Sum.","DOES NOT RECONCILE — check the Original Contract Sum on Contract Particulars or the values in column E.")</f>
        <v>Reconciled to the Original Contract Sum.</v>
      </c>
      <c r="G55" s="68"/>
      <c r="H55" s="68"/>
      <c r="I55" s="68"/>
      <c r="J55" s="68"/>
      <c r="K55" s="68"/>
      <c r="L55" s="68"/>
      <c r="M55" s="68"/>
    </row>
    <row r="56" customFormat="false" ht="39.75" hidden="false" customHeight="true" outlineLevel="0" collapsed="false">
      <c r="B56" s="19" t="s">
        <v>382</v>
      </c>
      <c r="C56" s="19"/>
      <c r="D56" s="19"/>
      <c r="E56" s="19"/>
      <c r="F56" s="19"/>
      <c r="G56" s="19"/>
      <c r="H56" s="19"/>
      <c r="I56" s="19"/>
      <c r="J56" s="19"/>
      <c r="K56" s="19"/>
      <c r="L56" s="19"/>
      <c r="M56" s="19"/>
    </row>
    <row r="58" customFormat="false" ht="15.75" hidden="false" customHeight="true" outlineLevel="0" collapsed="false">
      <c r="B58" s="37" t="s">
        <v>168</v>
      </c>
      <c r="C58" s="37"/>
      <c r="D58" s="37"/>
      <c r="E58" s="37"/>
      <c r="F58" s="37"/>
      <c r="G58" s="37"/>
      <c r="H58" s="37"/>
      <c r="I58" s="37"/>
      <c r="J58" s="37"/>
      <c r="K58" s="37"/>
      <c r="L58" s="37"/>
      <c r="M58" s="37"/>
    </row>
  </sheetData>
  <mergeCells count="8">
    <mergeCell ref="B2:M2"/>
    <mergeCell ref="B3:M3"/>
    <mergeCell ref="B4:M4"/>
    <mergeCell ref="B7:M7"/>
    <mergeCell ref="B55:D55"/>
    <mergeCell ref="F55:M55"/>
    <mergeCell ref="B56:M56"/>
    <mergeCell ref="B58:M58"/>
  </mergeCells>
  <conditionalFormatting sqref="F55">
    <cfRule type="expression" priority="2" aboveAverage="0" equalAverage="0" bottom="0" percent="0" rank="0" text="" dxfId="0">
      <formula>ROUND($E$55,2)&lt;&gt;0</formula>
    </cfRule>
    <cfRule type="expression" priority="3" aboveAverage="0" equalAverage="0" bottom="0" percent="0" rank="0" text="" dxfId="3">
      <formula>ROUND($E$55,2)=0</formula>
    </cfRule>
  </conditionalFormatting>
  <conditionalFormatting sqref="H9:H53">
    <cfRule type="cellIs" priority="4" operator="greaterThan" aboveAverage="0" equalAverage="0" bottom="0" percent="0" rank="0" text="" dxfId="0">
      <formula>1</formula>
    </cfRule>
  </conditionalFormatting>
  <conditionalFormatting sqref="K9:K53">
    <cfRule type="cellIs" priority="5" operator="lessThan" aboveAverage="0" equalAverage="0" bottom="0" percent="0" rank="0" text="" dxfId="4">
      <formula>0</formula>
    </cfRule>
  </conditionalFormatting>
  <hyperlinks>
    <hyperlink ref="B58" r:id="rId1" display="Mastt  ·  Capital project controls, cost management and reporting  ·  www.mastt.com"/>
  </hyperlinks>
  <printOptions headings="false" gridLines="false" gridLinesSet="true" horizontalCentered="fals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&amp;L&amp;"Arial,Regular"&amp;8 Mastt  |  Progress Payment Certificate&amp;R&amp;"Arial,Regular"&amp;8 Page &amp;P of &amp;N</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O4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2" ySplit="8" topLeftCell="C9" activePane="bottomRight" state="frozen"/>
      <selection pane="topLeft" activeCell="A1" activeCellId="0" sqref="A1"/>
      <selection pane="topRight" activeCell="C1" activeCellId="0" sqref="C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0"/>
    <col collapsed="false" customWidth="true" hidden="false" outlineLevel="0" max="3" min="3" style="0" width="44"/>
    <col collapsed="false" customWidth="true" hidden="false" outlineLevel="0" max="6" min="4" style="0" width="13"/>
    <col collapsed="false" customWidth="true" hidden="false" outlineLevel="0" max="8" min="7" style="0" width="17"/>
    <col collapsed="false" customWidth="true" hidden="false" outlineLevel="0" max="10" min="9" style="0" width="11"/>
    <col collapsed="false" customWidth="true" hidden="false" outlineLevel="0" max="14" min="11" style="0" width="17"/>
    <col collapsed="false" customWidth="true" hidden="false" outlineLevel="0" max="15" min="15" style="0" width="30"/>
  </cols>
  <sheetData>
    <row r="1" customFormat="false" ht="7.5" hidden="false" customHeight="true" outlineLevel="0" collapsed="false">
      <c r="A1" s="1"/>
      <c r="B1" s="1"/>
      <c r="C1" s="1"/>
      <c r="D1" s="1"/>
      <c r="E1" s="1"/>
      <c r="F1" s="1"/>
      <c r="G1" s="1"/>
      <c r="H1" s="1"/>
      <c r="I1" s="1"/>
      <c r="J1" s="1"/>
      <c r="K1" s="1"/>
      <c r="L1" s="1"/>
      <c r="M1" s="1"/>
      <c r="N1" s="1"/>
      <c r="O1" s="1"/>
    </row>
    <row r="2" customFormat="false" ht="30" hidden="false" customHeight="true" outlineLevel="0" collapsed="false">
      <c r="A2" s="1"/>
      <c r="B2" s="2" t="s">
        <v>383</v>
      </c>
      <c r="C2" s="2"/>
      <c r="D2" s="2"/>
      <c r="E2" s="2"/>
      <c r="F2" s="2"/>
      <c r="G2" s="2"/>
      <c r="H2" s="2"/>
      <c r="I2" s="2"/>
      <c r="J2" s="2"/>
      <c r="K2" s="2"/>
      <c r="L2" s="2"/>
      <c r="M2" s="2"/>
      <c r="N2" s="2"/>
      <c r="O2" s="2"/>
    </row>
    <row r="3" customFormat="false" ht="16.5" hidden="false" customHeight="true" outlineLevel="0" collapsed="false">
      <c r="A3" s="1"/>
      <c r="B3" s="3" t="s">
        <v>384</v>
      </c>
      <c r="C3" s="3"/>
      <c r="D3" s="3"/>
      <c r="E3" s="3"/>
      <c r="F3" s="3"/>
      <c r="G3" s="3"/>
      <c r="H3" s="3"/>
      <c r="I3" s="3"/>
      <c r="J3" s="3"/>
      <c r="K3" s="3"/>
      <c r="L3" s="3"/>
      <c r="M3" s="3"/>
      <c r="N3" s="3"/>
      <c r="O3" s="3"/>
    </row>
    <row r="4" customFormat="false" ht="9.75" hidden="false" customHeight="true" outlineLevel="0" collapsed="false">
      <c r="A4" s="1"/>
      <c r="B4" s="4" t="s">
        <v>385</v>
      </c>
      <c r="C4" s="4"/>
      <c r="D4" s="4"/>
      <c r="E4" s="4"/>
      <c r="F4" s="4"/>
      <c r="G4" s="4"/>
      <c r="H4" s="4"/>
      <c r="I4" s="4"/>
      <c r="J4" s="4"/>
      <c r="K4" s="4"/>
      <c r="L4" s="4"/>
      <c r="M4" s="4"/>
      <c r="N4" s="4"/>
      <c r="O4" s="4"/>
    </row>
    <row r="5" customFormat="false" ht="6" hidden="false" customHeight="true" outlineLevel="0" collapsed="false">
      <c r="A5" s="1"/>
      <c r="B5" s="5"/>
      <c r="C5" s="5"/>
      <c r="D5" s="5"/>
      <c r="E5" s="5"/>
      <c r="F5" s="5"/>
      <c r="G5" s="5"/>
      <c r="H5" s="5"/>
      <c r="I5" s="5"/>
      <c r="J5" s="5"/>
      <c r="K5" s="5"/>
      <c r="L5" s="5"/>
      <c r="M5" s="5"/>
      <c r="N5" s="5"/>
      <c r="O5" s="5"/>
    </row>
    <row r="7" customFormat="false" ht="19.5" hidden="false" customHeight="true" outlineLevel="0" collapsed="false">
      <c r="B7" s="6" t="s">
        <v>386</v>
      </c>
      <c r="C7" s="6"/>
      <c r="D7" s="6"/>
      <c r="E7" s="6"/>
      <c r="F7" s="6"/>
      <c r="G7" s="6"/>
      <c r="H7" s="6"/>
      <c r="I7" s="6"/>
      <c r="J7" s="6"/>
      <c r="K7" s="6"/>
      <c r="L7" s="6"/>
      <c r="M7" s="6"/>
      <c r="N7" s="6"/>
      <c r="O7" s="6"/>
    </row>
    <row r="8" customFormat="false" ht="33.75" hidden="false" customHeight="true" outlineLevel="0" collapsed="false">
      <c r="B8" s="8" t="s">
        <v>387</v>
      </c>
      <c r="C8" s="8" t="s">
        <v>388</v>
      </c>
      <c r="D8" s="8" t="s">
        <v>389</v>
      </c>
      <c r="E8" s="8" t="s">
        <v>390</v>
      </c>
      <c r="F8" s="8" t="s">
        <v>391</v>
      </c>
      <c r="G8" s="8" t="s">
        <v>392</v>
      </c>
      <c r="H8" s="8" t="s">
        <v>393</v>
      </c>
      <c r="I8" s="8" t="s">
        <v>321</v>
      </c>
      <c r="J8" s="8" t="s">
        <v>323</v>
      </c>
      <c r="K8" s="8" t="s">
        <v>322</v>
      </c>
      <c r="L8" s="8" t="s">
        <v>324</v>
      </c>
      <c r="M8" s="8" t="s">
        <v>325</v>
      </c>
      <c r="N8" s="8" t="s">
        <v>326</v>
      </c>
      <c r="O8" s="8" t="s">
        <v>394</v>
      </c>
    </row>
    <row r="9" customFormat="false" ht="15" hidden="false" customHeight="true" outlineLevel="0" collapsed="false">
      <c r="B9" s="41" t="s">
        <v>395</v>
      </c>
      <c r="C9" s="22" t="s">
        <v>396</v>
      </c>
      <c r="D9" s="40" t="n">
        <v>46062</v>
      </c>
      <c r="E9" s="40" t="n">
        <v>46077</v>
      </c>
      <c r="F9" s="41" t="s">
        <v>397</v>
      </c>
      <c r="G9" s="27" t="n">
        <v>186400</v>
      </c>
      <c r="H9" s="31" t="n">
        <f aca="false">IF($F9="Approved",$G9,0)</f>
        <v>186400</v>
      </c>
      <c r="I9" s="64" t="n">
        <v>1</v>
      </c>
      <c r="J9" s="64" t="n">
        <v>1</v>
      </c>
      <c r="K9" s="31" t="n">
        <f aca="false">G9*I9</f>
        <v>186400</v>
      </c>
      <c r="L9" s="31" t="n">
        <f aca="false">H9*J9</f>
        <v>186400</v>
      </c>
      <c r="M9" s="27" t="n">
        <v>177080</v>
      </c>
      <c r="N9" s="31" t="n">
        <f aca="false">L9-M9</f>
        <v>9320</v>
      </c>
      <c r="O9" s="22"/>
    </row>
    <row r="10" customFormat="false" ht="15" hidden="false" customHeight="true" outlineLevel="0" collapsed="false">
      <c r="B10" s="41" t="s">
        <v>398</v>
      </c>
      <c r="C10" s="22" t="s">
        <v>399</v>
      </c>
      <c r="D10" s="40" t="n">
        <v>46084</v>
      </c>
      <c r="E10" s="40" t="n">
        <v>46098</v>
      </c>
      <c r="F10" s="41" t="s">
        <v>397</v>
      </c>
      <c r="G10" s="27" t="n">
        <v>94800</v>
      </c>
      <c r="H10" s="65" t="n">
        <f aca="false">IF($F10="Approved",$G10,0)</f>
        <v>94800</v>
      </c>
      <c r="I10" s="64" t="n">
        <v>0.85</v>
      </c>
      <c r="J10" s="64" t="n">
        <v>0.8</v>
      </c>
      <c r="K10" s="65" t="n">
        <f aca="false">G10*I10</f>
        <v>80580</v>
      </c>
      <c r="L10" s="65" t="n">
        <f aca="false">H10*J10</f>
        <v>75840</v>
      </c>
      <c r="M10" s="27" t="n">
        <v>71100</v>
      </c>
      <c r="N10" s="65" t="n">
        <f aca="false">L10-M10</f>
        <v>4740</v>
      </c>
      <c r="O10" s="22"/>
    </row>
    <row r="11" customFormat="false" ht="15" hidden="false" customHeight="true" outlineLevel="0" collapsed="false">
      <c r="B11" s="41" t="s">
        <v>400</v>
      </c>
      <c r="C11" s="22" t="s">
        <v>401</v>
      </c>
      <c r="D11" s="40" t="n">
        <v>46101</v>
      </c>
      <c r="E11" s="40" t="n">
        <v>46114</v>
      </c>
      <c r="F11" s="41" t="s">
        <v>397</v>
      </c>
      <c r="G11" s="27" t="n">
        <v>128600</v>
      </c>
      <c r="H11" s="31" t="n">
        <f aca="false">IF($F11="Approved",$G11,0)</f>
        <v>128600</v>
      </c>
      <c r="I11" s="64" t="n">
        <v>0.6</v>
      </c>
      <c r="J11" s="64" t="n">
        <v>0.55</v>
      </c>
      <c r="K11" s="31" t="n">
        <f aca="false">G11*I11</f>
        <v>77160</v>
      </c>
      <c r="L11" s="31" t="n">
        <f aca="false">H11*J11</f>
        <v>70730</v>
      </c>
      <c r="M11" s="27" t="n">
        <v>64300</v>
      </c>
      <c r="N11" s="31" t="n">
        <f aca="false">L11-M11</f>
        <v>6430</v>
      </c>
      <c r="O11" s="22"/>
    </row>
    <row r="12" customFormat="false" ht="15" hidden="false" customHeight="true" outlineLevel="0" collapsed="false">
      <c r="B12" s="41" t="s">
        <v>402</v>
      </c>
      <c r="C12" s="22" t="s">
        <v>403</v>
      </c>
      <c r="D12" s="40" t="n">
        <v>46126</v>
      </c>
      <c r="E12" s="40" t="n">
        <v>46140</v>
      </c>
      <c r="F12" s="41" t="s">
        <v>397</v>
      </c>
      <c r="G12" s="27" t="n">
        <v>-37500</v>
      </c>
      <c r="H12" s="65" t="n">
        <f aca="false">IF($F12="Approved",$G12,0)</f>
        <v>-37500</v>
      </c>
      <c r="I12" s="64" t="n">
        <v>1</v>
      </c>
      <c r="J12" s="64" t="n">
        <v>1</v>
      </c>
      <c r="K12" s="65" t="n">
        <f aca="false">G12*I12</f>
        <v>-37500</v>
      </c>
      <c r="L12" s="65" t="n">
        <f aca="false">H12*J12</f>
        <v>-37500</v>
      </c>
      <c r="M12" s="27" t="n">
        <v>-35625</v>
      </c>
      <c r="N12" s="65" t="n">
        <f aca="false">L12-M12</f>
        <v>-1875</v>
      </c>
      <c r="O12" s="22"/>
    </row>
    <row r="13" customFormat="false" ht="15" hidden="false" customHeight="true" outlineLevel="0" collapsed="false">
      <c r="B13" s="41" t="s">
        <v>404</v>
      </c>
      <c r="C13" s="22" t="s">
        <v>405</v>
      </c>
      <c r="D13" s="40" t="n">
        <v>46153</v>
      </c>
      <c r="E13" s="40"/>
      <c r="F13" s="41" t="s">
        <v>406</v>
      </c>
      <c r="G13" s="27" t="n">
        <v>212000</v>
      </c>
      <c r="H13" s="31" t="n">
        <f aca="false">IF($F13="Approved",$G13,0)</f>
        <v>0</v>
      </c>
      <c r="I13" s="64" t="n">
        <v>0.7</v>
      </c>
      <c r="J13" s="64" t="n">
        <v>0</v>
      </c>
      <c r="K13" s="31" t="n">
        <f aca="false">G13*I13</f>
        <v>148400</v>
      </c>
      <c r="L13" s="31" t="n">
        <f aca="false">H13*J13</f>
        <v>0</v>
      </c>
      <c r="M13" s="27" t="n">
        <v>0</v>
      </c>
      <c r="N13" s="31" t="n">
        <f aca="false">L13-M13</f>
        <v>0</v>
      </c>
      <c r="O13" s="22"/>
    </row>
    <row r="14" customFormat="false" ht="15" hidden="false" customHeight="true" outlineLevel="0" collapsed="false">
      <c r="B14" s="41" t="s">
        <v>407</v>
      </c>
      <c r="C14" s="22" t="s">
        <v>408</v>
      </c>
      <c r="D14" s="40" t="n">
        <v>46175</v>
      </c>
      <c r="E14" s="40"/>
      <c r="F14" s="41" t="s">
        <v>409</v>
      </c>
      <c r="G14" s="27" t="n">
        <v>46300</v>
      </c>
      <c r="H14" s="65" t="n">
        <f aca="false">IF($F14="Approved",$G14,0)</f>
        <v>0</v>
      </c>
      <c r="I14" s="64" t="n">
        <v>1</v>
      </c>
      <c r="J14" s="64" t="n">
        <v>0</v>
      </c>
      <c r="K14" s="65" t="n">
        <f aca="false">G14*I14</f>
        <v>46300</v>
      </c>
      <c r="L14" s="65" t="n">
        <f aca="false">H14*J14</f>
        <v>0</v>
      </c>
      <c r="M14" s="27" t="n">
        <v>0</v>
      </c>
      <c r="N14" s="65" t="n">
        <f aca="false">L14-M14</f>
        <v>0</v>
      </c>
      <c r="O14" s="22"/>
    </row>
    <row r="15" customFormat="false" ht="15" hidden="false" customHeight="true" outlineLevel="0" collapsed="false">
      <c r="B15" s="41"/>
      <c r="C15" s="22"/>
      <c r="D15" s="40"/>
      <c r="E15" s="40"/>
      <c r="F15" s="41"/>
      <c r="G15" s="27"/>
      <c r="H15" s="31" t="n">
        <f aca="false">IF($F15="Approved",$G15,0)</f>
        <v>0</v>
      </c>
      <c r="I15" s="64"/>
      <c r="J15" s="64"/>
      <c r="K15" s="31" t="n">
        <f aca="false">G15*I15</f>
        <v>0</v>
      </c>
      <c r="L15" s="31" t="n">
        <f aca="false">H15*J15</f>
        <v>0</v>
      </c>
      <c r="M15" s="27"/>
      <c r="N15" s="31" t="n">
        <f aca="false">L15-M15</f>
        <v>0</v>
      </c>
      <c r="O15" s="22"/>
    </row>
    <row r="16" customFormat="false" ht="15" hidden="false" customHeight="true" outlineLevel="0" collapsed="false">
      <c r="B16" s="41"/>
      <c r="C16" s="22"/>
      <c r="D16" s="40"/>
      <c r="E16" s="40"/>
      <c r="F16" s="41"/>
      <c r="G16" s="27"/>
      <c r="H16" s="65" t="n">
        <f aca="false">IF($F16="Approved",$G16,0)</f>
        <v>0</v>
      </c>
      <c r="I16" s="64"/>
      <c r="J16" s="64"/>
      <c r="K16" s="65" t="n">
        <f aca="false">G16*I16</f>
        <v>0</v>
      </c>
      <c r="L16" s="65" t="n">
        <f aca="false">H16*J16</f>
        <v>0</v>
      </c>
      <c r="M16" s="27"/>
      <c r="N16" s="65" t="n">
        <f aca="false">L16-M16</f>
        <v>0</v>
      </c>
      <c r="O16" s="22"/>
    </row>
    <row r="17" customFormat="false" ht="15" hidden="false" customHeight="true" outlineLevel="0" collapsed="false">
      <c r="B17" s="41"/>
      <c r="C17" s="22"/>
      <c r="D17" s="40"/>
      <c r="E17" s="40"/>
      <c r="F17" s="41"/>
      <c r="G17" s="27"/>
      <c r="H17" s="31" t="n">
        <f aca="false">IF($F17="Approved",$G17,0)</f>
        <v>0</v>
      </c>
      <c r="I17" s="64"/>
      <c r="J17" s="64"/>
      <c r="K17" s="31" t="n">
        <f aca="false">G17*I17</f>
        <v>0</v>
      </c>
      <c r="L17" s="31" t="n">
        <f aca="false">H17*J17</f>
        <v>0</v>
      </c>
      <c r="M17" s="27"/>
      <c r="N17" s="31" t="n">
        <f aca="false">L17-M17</f>
        <v>0</v>
      </c>
      <c r="O17" s="22"/>
    </row>
    <row r="18" customFormat="false" ht="15" hidden="false" customHeight="true" outlineLevel="0" collapsed="false">
      <c r="B18" s="41"/>
      <c r="C18" s="22"/>
      <c r="D18" s="40"/>
      <c r="E18" s="40"/>
      <c r="F18" s="41"/>
      <c r="G18" s="27"/>
      <c r="H18" s="65" t="n">
        <f aca="false">IF($F18="Approved",$G18,0)</f>
        <v>0</v>
      </c>
      <c r="I18" s="64"/>
      <c r="J18" s="64"/>
      <c r="K18" s="65" t="n">
        <f aca="false">G18*I18</f>
        <v>0</v>
      </c>
      <c r="L18" s="65" t="n">
        <f aca="false">H18*J18</f>
        <v>0</v>
      </c>
      <c r="M18" s="27"/>
      <c r="N18" s="65" t="n">
        <f aca="false">L18-M18</f>
        <v>0</v>
      </c>
      <c r="O18" s="22"/>
    </row>
    <row r="19" customFormat="false" ht="15" hidden="false" customHeight="true" outlineLevel="0" collapsed="false">
      <c r="B19" s="41"/>
      <c r="C19" s="22"/>
      <c r="D19" s="40"/>
      <c r="E19" s="40"/>
      <c r="F19" s="41"/>
      <c r="G19" s="27"/>
      <c r="H19" s="31" t="n">
        <f aca="false">IF($F19="Approved",$G19,0)</f>
        <v>0</v>
      </c>
      <c r="I19" s="64"/>
      <c r="J19" s="64"/>
      <c r="K19" s="31" t="n">
        <f aca="false">G19*I19</f>
        <v>0</v>
      </c>
      <c r="L19" s="31" t="n">
        <f aca="false">H19*J19</f>
        <v>0</v>
      </c>
      <c r="M19" s="27"/>
      <c r="N19" s="31" t="n">
        <f aca="false">L19-M19</f>
        <v>0</v>
      </c>
      <c r="O19" s="22"/>
    </row>
    <row r="20" customFormat="false" ht="15" hidden="false" customHeight="true" outlineLevel="0" collapsed="false">
      <c r="B20" s="41"/>
      <c r="C20" s="22"/>
      <c r="D20" s="40"/>
      <c r="E20" s="40"/>
      <c r="F20" s="41"/>
      <c r="G20" s="27"/>
      <c r="H20" s="65" t="n">
        <f aca="false">IF($F20="Approved",$G20,0)</f>
        <v>0</v>
      </c>
      <c r="I20" s="64"/>
      <c r="J20" s="64"/>
      <c r="K20" s="65" t="n">
        <f aca="false">G20*I20</f>
        <v>0</v>
      </c>
      <c r="L20" s="65" t="n">
        <f aca="false">H20*J20</f>
        <v>0</v>
      </c>
      <c r="M20" s="27"/>
      <c r="N20" s="65" t="n">
        <f aca="false">L20-M20</f>
        <v>0</v>
      </c>
      <c r="O20" s="22"/>
    </row>
    <row r="21" customFormat="false" ht="15" hidden="false" customHeight="true" outlineLevel="0" collapsed="false">
      <c r="B21" s="41"/>
      <c r="C21" s="22"/>
      <c r="D21" s="40"/>
      <c r="E21" s="40"/>
      <c r="F21" s="41"/>
      <c r="G21" s="27"/>
      <c r="H21" s="31" t="n">
        <f aca="false">IF($F21="Approved",$G21,0)</f>
        <v>0</v>
      </c>
      <c r="I21" s="64"/>
      <c r="J21" s="64"/>
      <c r="K21" s="31" t="n">
        <f aca="false">G21*I21</f>
        <v>0</v>
      </c>
      <c r="L21" s="31" t="n">
        <f aca="false">H21*J21</f>
        <v>0</v>
      </c>
      <c r="M21" s="27"/>
      <c r="N21" s="31" t="n">
        <f aca="false">L21-M21</f>
        <v>0</v>
      </c>
      <c r="O21" s="22"/>
    </row>
    <row r="22" customFormat="false" ht="15" hidden="false" customHeight="true" outlineLevel="0" collapsed="false">
      <c r="B22" s="41"/>
      <c r="C22" s="22"/>
      <c r="D22" s="40"/>
      <c r="E22" s="40"/>
      <c r="F22" s="41"/>
      <c r="G22" s="27"/>
      <c r="H22" s="65" t="n">
        <f aca="false">IF($F22="Approved",$G22,0)</f>
        <v>0</v>
      </c>
      <c r="I22" s="64"/>
      <c r="J22" s="64"/>
      <c r="K22" s="65" t="n">
        <f aca="false">G22*I22</f>
        <v>0</v>
      </c>
      <c r="L22" s="65" t="n">
        <f aca="false">H22*J22</f>
        <v>0</v>
      </c>
      <c r="M22" s="27"/>
      <c r="N22" s="65" t="n">
        <f aca="false">L22-M22</f>
        <v>0</v>
      </c>
      <c r="O22" s="22"/>
    </row>
    <row r="23" customFormat="false" ht="15" hidden="false" customHeight="true" outlineLevel="0" collapsed="false">
      <c r="B23" s="41"/>
      <c r="C23" s="22"/>
      <c r="D23" s="40"/>
      <c r="E23" s="40"/>
      <c r="F23" s="41"/>
      <c r="G23" s="27"/>
      <c r="H23" s="31" t="n">
        <f aca="false">IF($F23="Approved",$G23,0)</f>
        <v>0</v>
      </c>
      <c r="I23" s="64"/>
      <c r="J23" s="64"/>
      <c r="K23" s="31" t="n">
        <f aca="false">G23*I23</f>
        <v>0</v>
      </c>
      <c r="L23" s="31" t="n">
        <f aca="false">H23*J23</f>
        <v>0</v>
      </c>
      <c r="M23" s="27"/>
      <c r="N23" s="31" t="n">
        <f aca="false">L23-M23</f>
        <v>0</v>
      </c>
      <c r="O23" s="22"/>
    </row>
    <row r="24" customFormat="false" ht="15" hidden="false" customHeight="true" outlineLevel="0" collapsed="false">
      <c r="B24" s="41"/>
      <c r="C24" s="22"/>
      <c r="D24" s="40"/>
      <c r="E24" s="40"/>
      <c r="F24" s="41"/>
      <c r="G24" s="27"/>
      <c r="H24" s="65" t="n">
        <f aca="false">IF($F24="Approved",$G24,0)</f>
        <v>0</v>
      </c>
      <c r="I24" s="64"/>
      <c r="J24" s="64"/>
      <c r="K24" s="65" t="n">
        <f aca="false">G24*I24</f>
        <v>0</v>
      </c>
      <c r="L24" s="65" t="n">
        <f aca="false">H24*J24</f>
        <v>0</v>
      </c>
      <c r="M24" s="27"/>
      <c r="N24" s="65" t="n">
        <f aca="false">L24-M24</f>
        <v>0</v>
      </c>
      <c r="O24" s="22"/>
    </row>
    <row r="25" customFormat="false" ht="15" hidden="false" customHeight="true" outlineLevel="0" collapsed="false">
      <c r="B25" s="41"/>
      <c r="C25" s="22"/>
      <c r="D25" s="40"/>
      <c r="E25" s="40"/>
      <c r="F25" s="41"/>
      <c r="G25" s="27"/>
      <c r="H25" s="31" t="n">
        <f aca="false">IF($F25="Approved",$G25,0)</f>
        <v>0</v>
      </c>
      <c r="I25" s="64"/>
      <c r="J25" s="64"/>
      <c r="K25" s="31" t="n">
        <f aca="false">G25*I25</f>
        <v>0</v>
      </c>
      <c r="L25" s="31" t="n">
        <f aca="false">H25*J25</f>
        <v>0</v>
      </c>
      <c r="M25" s="27"/>
      <c r="N25" s="31" t="n">
        <f aca="false">L25-M25</f>
        <v>0</v>
      </c>
      <c r="O25" s="22"/>
    </row>
    <row r="26" customFormat="false" ht="15" hidden="false" customHeight="true" outlineLevel="0" collapsed="false">
      <c r="B26" s="41"/>
      <c r="C26" s="22"/>
      <c r="D26" s="40"/>
      <c r="E26" s="40"/>
      <c r="F26" s="41"/>
      <c r="G26" s="27"/>
      <c r="H26" s="65" t="n">
        <f aca="false">IF($F26="Approved",$G26,0)</f>
        <v>0</v>
      </c>
      <c r="I26" s="64"/>
      <c r="J26" s="64"/>
      <c r="K26" s="65" t="n">
        <f aca="false">G26*I26</f>
        <v>0</v>
      </c>
      <c r="L26" s="65" t="n">
        <f aca="false">H26*J26</f>
        <v>0</v>
      </c>
      <c r="M26" s="27"/>
      <c r="N26" s="65" t="n">
        <f aca="false">L26-M26</f>
        <v>0</v>
      </c>
      <c r="O26" s="22"/>
    </row>
    <row r="27" customFormat="false" ht="15" hidden="false" customHeight="true" outlineLevel="0" collapsed="false">
      <c r="B27" s="41"/>
      <c r="C27" s="22"/>
      <c r="D27" s="40"/>
      <c r="E27" s="40"/>
      <c r="F27" s="41"/>
      <c r="G27" s="27"/>
      <c r="H27" s="31" t="n">
        <f aca="false">IF($F27="Approved",$G27,0)</f>
        <v>0</v>
      </c>
      <c r="I27" s="64"/>
      <c r="J27" s="64"/>
      <c r="K27" s="31" t="n">
        <f aca="false">G27*I27</f>
        <v>0</v>
      </c>
      <c r="L27" s="31" t="n">
        <f aca="false">H27*J27</f>
        <v>0</v>
      </c>
      <c r="M27" s="27"/>
      <c r="N27" s="31" t="n">
        <f aca="false">L27-M27</f>
        <v>0</v>
      </c>
      <c r="O27" s="22"/>
    </row>
    <row r="28" customFormat="false" ht="15" hidden="false" customHeight="true" outlineLevel="0" collapsed="false">
      <c r="B28" s="41"/>
      <c r="C28" s="22"/>
      <c r="D28" s="40"/>
      <c r="E28" s="40"/>
      <c r="F28" s="41"/>
      <c r="G28" s="27"/>
      <c r="H28" s="65" t="n">
        <f aca="false">IF($F28="Approved",$G28,0)</f>
        <v>0</v>
      </c>
      <c r="I28" s="64"/>
      <c r="J28" s="64"/>
      <c r="K28" s="65" t="n">
        <f aca="false">G28*I28</f>
        <v>0</v>
      </c>
      <c r="L28" s="65" t="n">
        <f aca="false">H28*J28</f>
        <v>0</v>
      </c>
      <c r="M28" s="27"/>
      <c r="N28" s="65" t="n">
        <f aca="false">L28-M28</f>
        <v>0</v>
      </c>
      <c r="O28" s="22"/>
    </row>
    <row r="29" customFormat="false" ht="15" hidden="false" customHeight="true" outlineLevel="0" collapsed="false">
      <c r="B29" s="41"/>
      <c r="C29" s="22"/>
      <c r="D29" s="40"/>
      <c r="E29" s="40"/>
      <c r="F29" s="41"/>
      <c r="G29" s="27"/>
      <c r="H29" s="31" t="n">
        <f aca="false">IF($F29="Approved",$G29,0)</f>
        <v>0</v>
      </c>
      <c r="I29" s="64"/>
      <c r="J29" s="64"/>
      <c r="K29" s="31" t="n">
        <f aca="false">G29*I29</f>
        <v>0</v>
      </c>
      <c r="L29" s="31" t="n">
        <f aca="false">H29*J29</f>
        <v>0</v>
      </c>
      <c r="M29" s="27"/>
      <c r="N29" s="31" t="n">
        <f aca="false">L29-M29</f>
        <v>0</v>
      </c>
      <c r="O29" s="22"/>
    </row>
    <row r="30" customFormat="false" ht="15" hidden="false" customHeight="true" outlineLevel="0" collapsed="false">
      <c r="B30" s="41"/>
      <c r="C30" s="22"/>
      <c r="D30" s="40"/>
      <c r="E30" s="40"/>
      <c r="F30" s="41"/>
      <c r="G30" s="27"/>
      <c r="H30" s="65" t="n">
        <f aca="false">IF($F30="Approved",$G30,0)</f>
        <v>0</v>
      </c>
      <c r="I30" s="64"/>
      <c r="J30" s="64"/>
      <c r="K30" s="65" t="n">
        <f aca="false">G30*I30</f>
        <v>0</v>
      </c>
      <c r="L30" s="65" t="n">
        <f aca="false">H30*J30</f>
        <v>0</v>
      </c>
      <c r="M30" s="27"/>
      <c r="N30" s="65" t="n">
        <f aca="false">L30-M30</f>
        <v>0</v>
      </c>
      <c r="O30" s="22"/>
    </row>
    <row r="31" customFormat="false" ht="15" hidden="false" customHeight="true" outlineLevel="0" collapsed="false">
      <c r="B31" s="41"/>
      <c r="C31" s="22"/>
      <c r="D31" s="40"/>
      <c r="E31" s="40"/>
      <c r="F31" s="41"/>
      <c r="G31" s="27"/>
      <c r="H31" s="31" t="n">
        <f aca="false">IF($F31="Approved",$G31,0)</f>
        <v>0</v>
      </c>
      <c r="I31" s="64"/>
      <c r="J31" s="64"/>
      <c r="K31" s="31" t="n">
        <f aca="false">G31*I31</f>
        <v>0</v>
      </c>
      <c r="L31" s="31" t="n">
        <f aca="false">H31*J31</f>
        <v>0</v>
      </c>
      <c r="M31" s="27"/>
      <c r="N31" s="31" t="n">
        <f aca="false">L31-M31</f>
        <v>0</v>
      </c>
      <c r="O31" s="22"/>
    </row>
    <row r="32" customFormat="false" ht="15" hidden="false" customHeight="true" outlineLevel="0" collapsed="false">
      <c r="B32" s="41"/>
      <c r="C32" s="22"/>
      <c r="D32" s="40"/>
      <c r="E32" s="40"/>
      <c r="F32" s="41"/>
      <c r="G32" s="27"/>
      <c r="H32" s="65" t="n">
        <f aca="false">IF($F32="Approved",$G32,0)</f>
        <v>0</v>
      </c>
      <c r="I32" s="64"/>
      <c r="J32" s="64"/>
      <c r="K32" s="65" t="n">
        <f aca="false">G32*I32</f>
        <v>0</v>
      </c>
      <c r="L32" s="65" t="n">
        <f aca="false">H32*J32</f>
        <v>0</v>
      </c>
      <c r="M32" s="27"/>
      <c r="N32" s="65" t="n">
        <f aca="false">L32-M32</f>
        <v>0</v>
      </c>
      <c r="O32" s="22"/>
    </row>
    <row r="33" customFormat="false" ht="15" hidden="false" customHeight="true" outlineLevel="0" collapsed="false">
      <c r="B33" s="41"/>
      <c r="C33" s="22"/>
      <c r="D33" s="40"/>
      <c r="E33" s="40"/>
      <c r="F33" s="41"/>
      <c r="G33" s="27"/>
      <c r="H33" s="31" t="n">
        <f aca="false">IF($F33="Approved",$G33,0)</f>
        <v>0</v>
      </c>
      <c r="I33" s="64"/>
      <c r="J33" s="64"/>
      <c r="K33" s="31" t="n">
        <f aca="false">G33*I33</f>
        <v>0</v>
      </c>
      <c r="L33" s="31" t="n">
        <f aca="false">H33*J33</f>
        <v>0</v>
      </c>
      <c r="M33" s="27"/>
      <c r="N33" s="31" t="n">
        <f aca="false">L33-M33</f>
        <v>0</v>
      </c>
      <c r="O33" s="22"/>
    </row>
    <row r="34" customFormat="false" ht="15" hidden="false" customHeight="true" outlineLevel="0" collapsed="false">
      <c r="B34" s="41"/>
      <c r="C34" s="22"/>
      <c r="D34" s="40"/>
      <c r="E34" s="40"/>
      <c r="F34" s="41"/>
      <c r="G34" s="27"/>
      <c r="H34" s="65" t="n">
        <f aca="false">IF($F34="Approved",$G34,0)</f>
        <v>0</v>
      </c>
      <c r="I34" s="64"/>
      <c r="J34" s="64"/>
      <c r="K34" s="65" t="n">
        <f aca="false">G34*I34</f>
        <v>0</v>
      </c>
      <c r="L34" s="65" t="n">
        <f aca="false">H34*J34</f>
        <v>0</v>
      </c>
      <c r="M34" s="27"/>
      <c r="N34" s="65" t="n">
        <f aca="false">L34-M34</f>
        <v>0</v>
      </c>
      <c r="O34" s="22"/>
    </row>
    <row r="35" customFormat="false" ht="15" hidden="false" customHeight="true" outlineLevel="0" collapsed="false">
      <c r="B35" s="41"/>
      <c r="C35" s="22"/>
      <c r="D35" s="40"/>
      <c r="E35" s="40"/>
      <c r="F35" s="41"/>
      <c r="G35" s="27"/>
      <c r="H35" s="31" t="n">
        <f aca="false">IF($F35="Approved",$G35,0)</f>
        <v>0</v>
      </c>
      <c r="I35" s="64"/>
      <c r="J35" s="64"/>
      <c r="K35" s="31" t="n">
        <f aca="false">G35*I35</f>
        <v>0</v>
      </c>
      <c r="L35" s="31" t="n">
        <f aca="false">H35*J35</f>
        <v>0</v>
      </c>
      <c r="M35" s="27"/>
      <c r="N35" s="31" t="n">
        <f aca="false">L35-M35</f>
        <v>0</v>
      </c>
      <c r="O35" s="22"/>
    </row>
    <row r="36" customFormat="false" ht="15" hidden="false" customHeight="true" outlineLevel="0" collapsed="false">
      <c r="B36" s="41"/>
      <c r="C36" s="22"/>
      <c r="D36" s="40"/>
      <c r="E36" s="40"/>
      <c r="F36" s="41"/>
      <c r="G36" s="27"/>
      <c r="H36" s="65" t="n">
        <f aca="false">IF($F36="Approved",$G36,0)</f>
        <v>0</v>
      </c>
      <c r="I36" s="64"/>
      <c r="J36" s="64"/>
      <c r="K36" s="65" t="n">
        <f aca="false">G36*I36</f>
        <v>0</v>
      </c>
      <c r="L36" s="65" t="n">
        <f aca="false">H36*J36</f>
        <v>0</v>
      </c>
      <c r="M36" s="27"/>
      <c r="N36" s="65" t="n">
        <f aca="false">L36-M36</f>
        <v>0</v>
      </c>
      <c r="O36" s="22"/>
    </row>
    <row r="37" customFormat="false" ht="15" hidden="false" customHeight="true" outlineLevel="0" collapsed="false">
      <c r="B37" s="41"/>
      <c r="C37" s="22"/>
      <c r="D37" s="40"/>
      <c r="E37" s="40"/>
      <c r="F37" s="41"/>
      <c r="G37" s="27"/>
      <c r="H37" s="31" t="n">
        <f aca="false">IF($F37="Approved",$G37,0)</f>
        <v>0</v>
      </c>
      <c r="I37" s="64"/>
      <c r="J37" s="64"/>
      <c r="K37" s="31" t="n">
        <f aca="false">G37*I37</f>
        <v>0</v>
      </c>
      <c r="L37" s="31" t="n">
        <f aca="false">H37*J37</f>
        <v>0</v>
      </c>
      <c r="M37" s="27"/>
      <c r="N37" s="31" t="n">
        <f aca="false">L37-M37</f>
        <v>0</v>
      </c>
      <c r="O37" s="22"/>
    </row>
    <row r="38" customFormat="false" ht="15" hidden="false" customHeight="true" outlineLevel="0" collapsed="false">
      <c r="B38" s="41"/>
      <c r="C38" s="22"/>
      <c r="D38" s="40"/>
      <c r="E38" s="40"/>
      <c r="F38" s="41"/>
      <c r="G38" s="27"/>
      <c r="H38" s="65" t="n">
        <f aca="false">IF($F38="Approved",$G38,0)</f>
        <v>0</v>
      </c>
      <c r="I38" s="64"/>
      <c r="J38" s="64"/>
      <c r="K38" s="65" t="n">
        <f aca="false">G38*I38</f>
        <v>0</v>
      </c>
      <c r="L38" s="65" t="n">
        <f aca="false">H38*J38</f>
        <v>0</v>
      </c>
      <c r="M38" s="27"/>
      <c r="N38" s="65" t="n">
        <f aca="false">L38-M38</f>
        <v>0</v>
      </c>
      <c r="O38" s="22"/>
    </row>
    <row r="39" customFormat="false" ht="15" hidden="false" customHeight="true" outlineLevel="0" collapsed="false">
      <c r="B39" s="41"/>
      <c r="C39" s="22"/>
      <c r="D39" s="40"/>
      <c r="E39" s="40"/>
      <c r="F39" s="41"/>
      <c r="G39" s="27"/>
      <c r="H39" s="31" t="n">
        <f aca="false">IF($F39="Approved",$G39,0)</f>
        <v>0</v>
      </c>
      <c r="I39" s="64"/>
      <c r="J39" s="64"/>
      <c r="K39" s="31" t="n">
        <f aca="false">G39*I39</f>
        <v>0</v>
      </c>
      <c r="L39" s="31" t="n">
        <f aca="false">H39*J39</f>
        <v>0</v>
      </c>
      <c r="M39" s="27"/>
      <c r="N39" s="31" t="n">
        <f aca="false">L39-M39</f>
        <v>0</v>
      </c>
      <c r="O39" s="22"/>
    </row>
    <row r="40" customFormat="false" ht="15" hidden="false" customHeight="true" outlineLevel="0" collapsed="false">
      <c r="B40" s="41"/>
      <c r="C40" s="22"/>
      <c r="D40" s="40"/>
      <c r="E40" s="40"/>
      <c r="F40" s="41"/>
      <c r="G40" s="27"/>
      <c r="H40" s="65" t="n">
        <f aca="false">IF($F40="Approved",$G40,0)</f>
        <v>0</v>
      </c>
      <c r="I40" s="64"/>
      <c r="J40" s="64"/>
      <c r="K40" s="65" t="n">
        <f aca="false">G40*I40</f>
        <v>0</v>
      </c>
      <c r="L40" s="65" t="n">
        <f aca="false">H40*J40</f>
        <v>0</v>
      </c>
      <c r="M40" s="27"/>
      <c r="N40" s="65" t="n">
        <f aca="false">L40-M40</f>
        <v>0</v>
      </c>
      <c r="O40" s="22"/>
    </row>
    <row r="41" customFormat="false" ht="15" hidden="false" customHeight="true" outlineLevel="0" collapsed="false">
      <c r="B41" s="41"/>
      <c r="C41" s="22"/>
      <c r="D41" s="40"/>
      <c r="E41" s="40"/>
      <c r="F41" s="41"/>
      <c r="G41" s="27"/>
      <c r="H41" s="31" t="n">
        <f aca="false">IF($F41="Approved",$G41,0)</f>
        <v>0</v>
      </c>
      <c r="I41" s="64"/>
      <c r="J41" s="64"/>
      <c r="K41" s="31" t="n">
        <f aca="false">G41*I41</f>
        <v>0</v>
      </c>
      <c r="L41" s="31" t="n">
        <f aca="false">H41*J41</f>
        <v>0</v>
      </c>
      <c r="M41" s="27"/>
      <c r="N41" s="31" t="n">
        <f aca="false">L41-M41</f>
        <v>0</v>
      </c>
      <c r="O41" s="22"/>
    </row>
    <row r="42" customFormat="false" ht="15" hidden="false" customHeight="true" outlineLevel="0" collapsed="false">
      <c r="B42" s="41"/>
      <c r="C42" s="22"/>
      <c r="D42" s="40"/>
      <c r="E42" s="40"/>
      <c r="F42" s="41"/>
      <c r="G42" s="27"/>
      <c r="H42" s="65" t="n">
        <f aca="false">IF($F42="Approved",$G42,0)</f>
        <v>0</v>
      </c>
      <c r="I42" s="64"/>
      <c r="J42" s="64"/>
      <c r="K42" s="65" t="n">
        <f aca="false">G42*I42</f>
        <v>0</v>
      </c>
      <c r="L42" s="65" t="n">
        <f aca="false">H42*J42</f>
        <v>0</v>
      </c>
      <c r="M42" s="27"/>
      <c r="N42" s="65" t="n">
        <f aca="false">L42-M42</f>
        <v>0</v>
      </c>
      <c r="O42" s="22"/>
    </row>
    <row r="43" customFormat="false" ht="15" hidden="false" customHeight="true" outlineLevel="0" collapsed="false">
      <c r="B43" s="41"/>
      <c r="C43" s="22"/>
      <c r="D43" s="40"/>
      <c r="E43" s="40"/>
      <c r="F43" s="41"/>
      <c r="G43" s="27"/>
      <c r="H43" s="31" t="n">
        <f aca="false">IF($F43="Approved",$G43,0)</f>
        <v>0</v>
      </c>
      <c r="I43" s="64"/>
      <c r="J43" s="64"/>
      <c r="K43" s="31" t="n">
        <f aca="false">G43*I43</f>
        <v>0</v>
      </c>
      <c r="L43" s="31" t="n">
        <f aca="false">H43*J43</f>
        <v>0</v>
      </c>
      <c r="M43" s="27"/>
      <c r="N43" s="31" t="n">
        <f aca="false">L43-M43</f>
        <v>0</v>
      </c>
      <c r="O43" s="22"/>
    </row>
    <row r="44" customFormat="false" ht="15" hidden="false" customHeight="false" outlineLevel="0" collapsed="false">
      <c r="B44" s="60" t="s">
        <v>380</v>
      </c>
      <c r="C44" s="62"/>
      <c r="D44" s="62"/>
      <c r="E44" s="62"/>
      <c r="F44" s="62"/>
      <c r="G44" s="66" t="n">
        <f aca="false">SUM(G9:G43)</f>
        <v>630600</v>
      </c>
      <c r="H44" s="66" t="n">
        <f aca="false">SUM(H9:H43)</f>
        <v>372300</v>
      </c>
      <c r="I44" s="62"/>
      <c r="J44" s="62"/>
      <c r="K44" s="66" t="n">
        <f aca="false">SUM(K9:K43)</f>
        <v>501340</v>
      </c>
      <c r="L44" s="66" t="n">
        <f aca="false">SUM(L9:L43)</f>
        <v>295470</v>
      </c>
      <c r="M44" s="66" t="n">
        <f aca="false">SUM(M9:M43)</f>
        <v>276855</v>
      </c>
      <c r="N44" s="66" t="n">
        <f aca="false">SUM(N9:N43)</f>
        <v>18615</v>
      </c>
      <c r="O44" s="62"/>
    </row>
    <row r="46" customFormat="false" ht="39.75" hidden="false" customHeight="true" outlineLevel="0" collapsed="false">
      <c r="B46" s="19" t="s">
        <v>410</v>
      </c>
      <c r="C46" s="19"/>
      <c r="D46" s="19"/>
      <c r="E46" s="19"/>
      <c r="F46" s="19"/>
      <c r="G46" s="19"/>
      <c r="H46" s="19"/>
      <c r="I46" s="19"/>
      <c r="J46" s="19"/>
      <c r="K46" s="19"/>
      <c r="L46" s="19"/>
      <c r="M46" s="19"/>
      <c r="N46" s="19"/>
      <c r="O46" s="19"/>
    </row>
    <row r="48" customFormat="false" ht="15.75" hidden="false" customHeight="true" outlineLevel="0" collapsed="false">
      <c r="B48" s="37" t="s">
        <v>168</v>
      </c>
      <c r="C48" s="37"/>
      <c r="D48" s="37"/>
      <c r="E48" s="37"/>
      <c r="F48" s="37"/>
      <c r="G48" s="37"/>
      <c r="H48" s="37"/>
      <c r="I48" s="37"/>
      <c r="J48" s="37"/>
      <c r="K48" s="37"/>
      <c r="L48" s="37"/>
      <c r="M48" s="37"/>
      <c r="N48" s="37"/>
      <c r="O48" s="37"/>
    </row>
  </sheetData>
  <mergeCells count="6">
    <mergeCell ref="B2:O2"/>
    <mergeCell ref="B3:O3"/>
    <mergeCell ref="B4:O4"/>
    <mergeCell ref="B7:O7"/>
    <mergeCell ref="B46:O46"/>
    <mergeCell ref="B48:O48"/>
  </mergeCells>
  <conditionalFormatting sqref="F9:F43">
    <cfRule type="cellIs" priority="2" operator="equal" aboveAverage="0" equalAverage="0" bottom="0" percent="0" rank="0" text="" dxfId="3">
      <formula>"Approved"</formula>
    </cfRule>
    <cfRule type="cellIs" priority="3" operator="equal" aboveAverage="0" equalAverage="0" bottom="0" percent="0" rank="0" text="" dxfId="0">
      <formula>"Rejected"</formula>
    </cfRule>
  </conditionalFormatting>
  <dataValidations count="1">
    <dataValidation allowBlank="true" errorStyle="stop" operator="between" showDropDown="false" showErrorMessage="false" showInputMessage="false" sqref="F9:F43" type="list">
      <formula1>"Approved,Submitted,Under assessment,Rejected,Withdrawn"</formula1>
      <formula2>0</formula2>
    </dataValidation>
  </dataValidations>
  <hyperlinks>
    <hyperlink ref="B48" r:id="rId1" display="Mastt  ·  Capital project controls, cost management and reporting  ·  www.mastt.com"/>
  </hyperlinks>
  <printOptions headings="false" gridLines="false" gridLinesSet="true" horizontalCentered="fals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&amp;L&amp;"Arial,Regular"&amp;8 Mastt  |  Progress Payment Certificate&amp;R&amp;"Arial,Regular"&amp;8 Page &amp;P of &amp;N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N33"/>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2" ySplit="8" topLeftCell="C9" activePane="bottomRight" state="frozen"/>
      <selection pane="topLeft" activeCell="A1" activeCellId="0" sqref="A1"/>
      <selection pane="topRight" activeCell="C1" activeCellId="0" sqref="C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0"/>
    <col collapsed="false" customWidth="true" hidden="false" outlineLevel="0" max="3" min="3" style="0" width="46"/>
    <col collapsed="false" customWidth="true" hidden="false" outlineLevel="0" max="5" min="4" style="0" width="18"/>
    <col collapsed="false" customWidth="true" hidden="false" outlineLevel="0" max="6" min="6" style="0" width="14"/>
    <col collapsed="false" customWidth="true" hidden="false" outlineLevel="0" max="7" min="7" style="0" width="17"/>
    <col collapsed="false" customWidth="true" hidden="false" outlineLevel="0" max="9" min="8" style="0" width="13"/>
    <col collapsed="false" customWidth="true" hidden="false" outlineLevel="0" max="11" min="10" style="0" width="18"/>
    <col collapsed="false" customWidth="true" hidden="false" outlineLevel="0" max="13" min="12" style="0" width="17"/>
    <col collapsed="false" customWidth="true" hidden="false" outlineLevel="0" max="14" min="14" style="0" width="32"/>
  </cols>
  <sheetData>
    <row r="1" customFormat="false" ht="7.5" hidden="false" customHeight="true" outlineLevel="0" collapsed="false">
      <c r="A1" s="1"/>
      <c r="B1" s="1"/>
      <c r="C1" s="1"/>
      <c r="D1" s="1"/>
      <c r="E1" s="1"/>
      <c r="F1" s="1"/>
      <c r="G1" s="1"/>
      <c r="H1" s="1"/>
      <c r="I1" s="1"/>
      <c r="J1" s="1"/>
      <c r="K1" s="1"/>
      <c r="L1" s="1"/>
      <c r="M1" s="1"/>
      <c r="N1" s="1"/>
    </row>
    <row r="2" customFormat="false" ht="30" hidden="false" customHeight="true" outlineLevel="0" collapsed="false">
      <c r="A2" s="1"/>
      <c r="B2" s="2" t="s">
        <v>411</v>
      </c>
      <c r="C2" s="2"/>
      <c r="D2" s="2"/>
      <c r="E2" s="2"/>
      <c r="F2" s="2"/>
      <c r="G2" s="2"/>
      <c r="H2" s="2"/>
      <c r="I2" s="2"/>
      <c r="J2" s="2"/>
      <c r="K2" s="2"/>
      <c r="L2" s="2"/>
      <c r="M2" s="2"/>
      <c r="N2" s="2"/>
    </row>
    <row r="3" customFormat="false" ht="16.5" hidden="false" customHeight="true" outlineLevel="0" collapsed="false">
      <c r="A3" s="1"/>
      <c r="B3" s="3" t="s">
        <v>412</v>
      </c>
      <c r="C3" s="3"/>
      <c r="D3" s="3"/>
      <c r="E3" s="3"/>
      <c r="F3" s="3"/>
      <c r="G3" s="3"/>
      <c r="H3" s="3"/>
      <c r="I3" s="3"/>
      <c r="J3" s="3"/>
      <c r="K3" s="3"/>
      <c r="L3" s="3"/>
      <c r="M3" s="3"/>
      <c r="N3" s="3"/>
    </row>
    <row r="4" customFormat="false" ht="9.75" hidden="false" customHeight="true" outlineLevel="0" collapsed="false">
      <c r="A4" s="1"/>
      <c r="B4" s="4" t="s">
        <v>413</v>
      </c>
      <c r="C4" s="4"/>
      <c r="D4" s="4"/>
      <c r="E4" s="4"/>
      <c r="F4" s="4"/>
      <c r="G4" s="4"/>
      <c r="H4" s="4"/>
      <c r="I4" s="4"/>
      <c r="J4" s="4"/>
      <c r="K4" s="4"/>
      <c r="L4" s="4"/>
      <c r="M4" s="4"/>
      <c r="N4" s="4"/>
    </row>
    <row r="5" customFormat="false" ht="6" hidden="false" customHeight="true" outlineLevel="0" collapsed="false">
      <c r="A5" s="1"/>
      <c r="B5" s="5"/>
      <c r="C5" s="5"/>
      <c r="D5" s="5"/>
      <c r="E5" s="5"/>
      <c r="F5" s="5"/>
      <c r="G5" s="5"/>
      <c r="H5" s="5"/>
      <c r="I5" s="5"/>
      <c r="J5" s="5"/>
      <c r="K5" s="5"/>
      <c r="L5" s="5"/>
      <c r="M5" s="5"/>
      <c r="N5" s="5"/>
    </row>
    <row r="7" customFormat="false" ht="19.5" hidden="false" customHeight="true" outlineLevel="0" collapsed="false">
      <c r="B7" s="6" t="s">
        <v>414</v>
      </c>
      <c r="C7" s="6"/>
      <c r="D7" s="6"/>
      <c r="E7" s="6"/>
      <c r="F7" s="6"/>
      <c r="G7" s="6"/>
      <c r="H7" s="6"/>
      <c r="I7" s="6"/>
      <c r="J7" s="6"/>
      <c r="K7" s="6"/>
      <c r="L7" s="6"/>
      <c r="M7" s="6"/>
      <c r="N7" s="6"/>
    </row>
    <row r="8" customFormat="false" ht="33.75" hidden="false" customHeight="true" outlineLevel="0" collapsed="false">
      <c r="B8" s="8" t="s">
        <v>415</v>
      </c>
      <c r="C8" s="8" t="s">
        <v>416</v>
      </c>
      <c r="D8" s="8" t="s">
        <v>417</v>
      </c>
      <c r="E8" s="8" t="s">
        <v>418</v>
      </c>
      <c r="F8" s="8" t="s">
        <v>391</v>
      </c>
      <c r="G8" s="8" t="s">
        <v>419</v>
      </c>
      <c r="H8" s="8" t="s">
        <v>420</v>
      </c>
      <c r="I8" s="8" t="s">
        <v>421</v>
      </c>
      <c r="J8" s="8" t="s">
        <v>422</v>
      </c>
      <c r="K8" s="8" t="s">
        <v>423</v>
      </c>
      <c r="L8" s="8" t="s">
        <v>325</v>
      </c>
      <c r="M8" s="8" t="s">
        <v>326</v>
      </c>
      <c r="N8" s="8" t="s">
        <v>394</v>
      </c>
    </row>
    <row r="9" customFormat="false" ht="15" hidden="false" customHeight="true" outlineLevel="0" collapsed="false">
      <c r="B9" s="41" t="s">
        <v>424</v>
      </c>
      <c r="C9" s="22" t="s">
        <v>425</v>
      </c>
      <c r="D9" s="27" t="n">
        <v>180000</v>
      </c>
      <c r="E9" s="27" t="n">
        <v>214500</v>
      </c>
      <c r="F9" s="41" t="s">
        <v>426</v>
      </c>
      <c r="G9" s="31" t="n">
        <f aca="false">IF($E9="",0,$E9-$D9)</f>
        <v>34500</v>
      </c>
      <c r="H9" s="64" t="n">
        <v>0.35</v>
      </c>
      <c r="I9" s="64" t="n">
        <v>0.3</v>
      </c>
      <c r="J9" s="31" t="n">
        <f aca="false">G9*H9</f>
        <v>12075</v>
      </c>
      <c r="K9" s="31" t="n">
        <f aca="false">G9*I9</f>
        <v>10350</v>
      </c>
      <c r="L9" s="27" t="n">
        <v>8625</v>
      </c>
      <c r="M9" s="31" t="n">
        <f aca="false">K9-L9</f>
        <v>1725</v>
      </c>
      <c r="N9" s="22"/>
    </row>
    <row r="10" customFormat="false" ht="15" hidden="false" customHeight="true" outlineLevel="0" collapsed="false">
      <c r="B10" s="41" t="s">
        <v>427</v>
      </c>
      <c r="C10" s="22" t="s">
        <v>428</v>
      </c>
      <c r="D10" s="27" t="n">
        <v>240000</v>
      </c>
      <c r="E10" s="27" t="n">
        <v>226800</v>
      </c>
      <c r="F10" s="41" t="s">
        <v>426</v>
      </c>
      <c r="G10" s="65" t="n">
        <f aca="false">IF($E10="",0,$E10-$D10)</f>
        <v>-13200</v>
      </c>
      <c r="H10" s="64" t="n">
        <v>0.1</v>
      </c>
      <c r="I10" s="64" t="n">
        <v>0.05</v>
      </c>
      <c r="J10" s="65" t="n">
        <f aca="false">G10*H10</f>
        <v>-1320</v>
      </c>
      <c r="K10" s="65" t="n">
        <f aca="false">G10*I10</f>
        <v>-660</v>
      </c>
      <c r="L10" s="27" t="n">
        <v>0</v>
      </c>
      <c r="M10" s="65" t="n">
        <f aca="false">K10-L10</f>
        <v>-660</v>
      </c>
      <c r="N10" s="22"/>
    </row>
    <row r="11" customFormat="false" ht="15" hidden="false" customHeight="true" outlineLevel="0" collapsed="false">
      <c r="B11" s="41"/>
      <c r="C11" s="22"/>
      <c r="D11" s="27"/>
      <c r="E11" s="27"/>
      <c r="F11" s="41"/>
      <c r="G11" s="31" t="n">
        <f aca="false">IF($E11="",0,$E11-$D11)</f>
        <v>0</v>
      </c>
      <c r="H11" s="64"/>
      <c r="I11" s="64"/>
      <c r="J11" s="31" t="n">
        <f aca="false">G11*H11</f>
        <v>0</v>
      </c>
      <c r="K11" s="31" t="n">
        <f aca="false">G11*I11</f>
        <v>0</v>
      </c>
      <c r="L11" s="27"/>
      <c r="M11" s="31" t="n">
        <f aca="false">K11-L11</f>
        <v>0</v>
      </c>
      <c r="N11" s="22"/>
    </row>
    <row r="12" customFormat="false" ht="15" hidden="false" customHeight="true" outlineLevel="0" collapsed="false">
      <c r="B12" s="41"/>
      <c r="C12" s="22"/>
      <c r="D12" s="27"/>
      <c r="E12" s="27"/>
      <c r="F12" s="41"/>
      <c r="G12" s="65" t="n">
        <f aca="false">IF($E12="",0,$E12-$D12)</f>
        <v>0</v>
      </c>
      <c r="H12" s="64"/>
      <c r="I12" s="64"/>
      <c r="J12" s="65" t="n">
        <f aca="false">G12*H12</f>
        <v>0</v>
      </c>
      <c r="K12" s="65" t="n">
        <f aca="false">G12*I12</f>
        <v>0</v>
      </c>
      <c r="L12" s="27"/>
      <c r="M12" s="65" t="n">
        <f aca="false">K12-L12</f>
        <v>0</v>
      </c>
      <c r="N12" s="22"/>
    </row>
    <row r="13" customFormat="false" ht="15" hidden="false" customHeight="true" outlineLevel="0" collapsed="false">
      <c r="B13" s="41"/>
      <c r="C13" s="22"/>
      <c r="D13" s="27"/>
      <c r="E13" s="27"/>
      <c r="F13" s="41"/>
      <c r="G13" s="31" t="n">
        <f aca="false">IF($E13="",0,$E13-$D13)</f>
        <v>0</v>
      </c>
      <c r="H13" s="64"/>
      <c r="I13" s="64"/>
      <c r="J13" s="31" t="n">
        <f aca="false">G13*H13</f>
        <v>0</v>
      </c>
      <c r="K13" s="31" t="n">
        <f aca="false">G13*I13</f>
        <v>0</v>
      </c>
      <c r="L13" s="27"/>
      <c r="M13" s="31" t="n">
        <f aca="false">K13-L13</f>
        <v>0</v>
      </c>
      <c r="N13" s="22"/>
    </row>
    <row r="14" customFormat="false" ht="15" hidden="false" customHeight="true" outlineLevel="0" collapsed="false">
      <c r="B14" s="41"/>
      <c r="C14" s="22"/>
      <c r="D14" s="27"/>
      <c r="E14" s="27"/>
      <c r="F14" s="41"/>
      <c r="G14" s="65" t="n">
        <f aca="false">IF($E14="",0,$E14-$D14)</f>
        <v>0</v>
      </c>
      <c r="H14" s="64"/>
      <c r="I14" s="64"/>
      <c r="J14" s="65" t="n">
        <f aca="false">G14*H14</f>
        <v>0</v>
      </c>
      <c r="K14" s="65" t="n">
        <f aca="false">G14*I14</f>
        <v>0</v>
      </c>
      <c r="L14" s="27"/>
      <c r="M14" s="65" t="n">
        <f aca="false">K14-L14</f>
        <v>0</v>
      </c>
      <c r="N14" s="22"/>
    </row>
    <row r="15" customFormat="false" ht="15" hidden="false" customHeight="true" outlineLevel="0" collapsed="false">
      <c r="B15" s="41"/>
      <c r="C15" s="22"/>
      <c r="D15" s="27"/>
      <c r="E15" s="27"/>
      <c r="F15" s="41"/>
      <c r="G15" s="31" t="n">
        <f aca="false">IF($E15="",0,$E15-$D15)</f>
        <v>0</v>
      </c>
      <c r="H15" s="64"/>
      <c r="I15" s="64"/>
      <c r="J15" s="31" t="n">
        <f aca="false">G15*H15</f>
        <v>0</v>
      </c>
      <c r="K15" s="31" t="n">
        <f aca="false">G15*I15</f>
        <v>0</v>
      </c>
      <c r="L15" s="27"/>
      <c r="M15" s="31" t="n">
        <f aca="false">K15-L15</f>
        <v>0</v>
      </c>
      <c r="N15" s="22"/>
    </row>
    <row r="16" customFormat="false" ht="15" hidden="false" customHeight="true" outlineLevel="0" collapsed="false">
      <c r="B16" s="41"/>
      <c r="C16" s="22"/>
      <c r="D16" s="27"/>
      <c r="E16" s="27"/>
      <c r="F16" s="41"/>
      <c r="G16" s="65" t="n">
        <f aca="false">IF($E16="",0,$E16-$D16)</f>
        <v>0</v>
      </c>
      <c r="H16" s="64"/>
      <c r="I16" s="64"/>
      <c r="J16" s="65" t="n">
        <f aca="false">G16*H16</f>
        <v>0</v>
      </c>
      <c r="K16" s="65" t="n">
        <f aca="false">G16*I16</f>
        <v>0</v>
      </c>
      <c r="L16" s="27"/>
      <c r="M16" s="65" t="n">
        <f aca="false">K16-L16</f>
        <v>0</v>
      </c>
      <c r="N16" s="22"/>
    </row>
    <row r="17" customFormat="false" ht="15" hidden="false" customHeight="true" outlineLevel="0" collapsed="false">
      <c r="B17" s="41"/>
      <c r="C17" s="22"/>
      <c r="D17" s="27"/>
      <c r="E17" s="27"/>
      <c r="F17" s="41"/>
      <c r="G17" s="31" t="n">
        <f aca="false">IF($E17="",0,$E17-$D17)</f>
        <v>0</v>
      </c>
      <c r="H17" s="64"/>
      <c r="I17" s="64"/>
      <c r="J17" s="31" t="n">
        <f aca="false">G17*H17</f>
        <v>0</v>
      </c>
      <c r="K17" s="31" t="n">
        <f aca="false">G17*I17</f>
        <v>0</v>
      </c>
      <c r="L17" s="27"/>
      <c r="M17" s="31" t="n">
        <f aca="false">K17-L17</f>
        <v>0</v>
      </c>
      <c r="N17" s="22"/>
    </row>
    <row r="18" customFormat="false" ht="15" hidden="false" customHeight="true" outlineLevel="0" collapsed="false">
      <c r="B18" s="41"/>
      <c r="C18" s="22"/>
      <c r="D18" s="27"/>
      <c r="E18" s="27"/>
      <c r="F18" s="41"/>
      <c r="G18" s="65" t="n">
        <f aca="false">IF($E18="",0,$E18-$D18)</f>
        <v>0</v>
      </c>
      <c r="H18" s="64"/>
      <c r="I18" s="64"/>
      <c r="J18" s="65" t="n">
        <f aca="false">G18*H18</f>
        <v>0</v>
      </c>
      <c r="K18" s="65" t="n">
        <f aca="false">G18*I18</f>
        <v>0</v>
      </c>
      <c r="L18" s="27"/>
      <c r="M18" s="65" t="n">
        <f aca="false">K18-L18</f>
        <v>0</v>
      </c>
      <c r="N18" s="22"/>
    </row>
    <row r="19" customFormat="false" ht="15" hidden="false" customHeight="true" outlineLevel="0" collapsed="false">
      <c r="B19" s="41"/>
      <c r="C19" s="22"/>
      <c r="D19" s="27"/>
      <c r="E19" s="27"/>
      <c r="F19" s="41"/>
      <c r="G19" s="31" t="n">
        <f aca="false">IF($E19="",0,$E19-$D19)</f>
        <v>0</v>
      </c>
      <c r="H19" s="64"/>
      <c r="I19" s="64"/>
      <c r="J19" s="31" t="n">
        <f aca="false">G19*H19</f>
        <v>0</v>
      </c>
      <c r="K19" s="31" t="n">
        <f aca="false">G19*I19</f>
        <v>0</v>
      </c>
      <c r="L19" s="27"/>
      <c r="M19" s="31" t="n">
        <f aca="false">K19-L19</f>
        <v>0</v>
      </c>
      <c r="N19" s="22"/>
    </row>
    <row r="20" customFormat="false" ht="15" hidden="false" customHeight="true" outlineLevel="0" collapsed="false">
      <c r="B20" s="41"/>
      <c r="C20" s="22"/>
      <c r="D20" s="27"/>
      <c r="E20" s="27"/>
      <c r="F20" s="41"/>
      <c r="G20" s="65" t="n">
        <f aca="false">IF($E20="",0,$E20-$D20)</f>
        <v>0</v>
      </c>
      <c r="H20" s="64"/>
      <c r="I20" s="64"/>
      <c r="J20" s="65" t="n">
        <f aca="false">G20*H20</f>
        <v>0</v>
      </c>
      <c r="K20" s="65" t="n">
        <f aca="false">G20*I20</f>
        <v>0</v>
      </c>
      <c r="L20" s="27"/>
      <c r="M20" s="65" t="n">
        <f aca="false">K20-L20</f>
        <v>0</v>
      </c>
      <c r="N20" s="22"/>
    </row>
    <row r="21" customFormat="false" ht="15" hidden="false" customHeight="true" outlineLevel="0" collapsed="false">
      <c r="B21" s="41"/>
      <c r="C21" s="22"/>
      <c r="D21" s="27"/>
      <c r="E21" s="27"/>
      <c r="F21" s="41"/>
      <c r="G21" s="31" t="n">
        <f aca="false">IF($E21="",0,$E21-$D21)</f>
        <v>0</v>
      </c>
      <c r="H21" s="64"/>
      <c r="I21" s="64"/>
      <c r="J21" s="31" t="n">
        <f aca="false">G21*H21</f>
        <v>0</v>
      </c>
      <c r="K21" s="31" t="n">
        <f aca="false">G21*I21</f>
        <v>0</v>
      </c>
      <c r="L21" s="27"/>
      <c r="M21" s="31" t="n">
        <f aca="false">K21-L21</f>
        <v>0</v>
      </c>
      <c r="N21" s="22"/>
    </row>
    <row r="22" customFormat="false" ht="15" hidden="false" customHeight="true" outlineLevel="0" collapsed="false">
      <c r="B22" s="41"/>
      <c r="C22" s="22"/>
      <c r="D22" s="27"/>
      <c r="E22" s="27"/>
      <c r="F22" s="41"/>
      <c r="G22" s="65" t="n">
        <f aca="false">IF($E22="",0,$E22-$D22)</f>
        <v>0</v>
      </c>
      <c r="H22" s="64"/>
      <c r="I22" s="64"/>
      <c r="J22" s="65" t="n">
        <f aca="false">G22*H22</f>
        <v>0</v>
      </c>
      <c r="K22" s="65" t="n">
        <f aca="false">G22*I22</f>
        <v>0</v>
      </c>
      <c r="L22" s="27"/>
      <c r="M22" s="65" t="n">
        <f aca="false">K22-L22</f>
        <v>0</v>
      </c>
      <c r="N22" s="22"/>
    </row>
    <row r="23" customFormat="false" ht="15" hidden="false" customHeight="true" outlineLevel="0" collapsed="false">
      <c r="B23" s="41"/>
      <c r="C23" s="22"/>
      <c r="D23" s="27"/>
      <c r="E23" s="27"/>
      <c r="F23" s="41"/>
      <c r="G23" s="31" t="n">
        <f aca="false">IF($E23="",0,$E23-$D23)</f>
        <v>0</v>
      </c>
      <c r="H23" s="64"/>
      <c r="I23" s="64"/>
      <c r="J23" s="31" t="n">
        <f aca="false">G23*H23</f>
        <v>0</v>
      </c>
      <c r="K23" s="31" t="n">
        <f aca="false">G23*I23</f>
        <v>0</v>
      </c>
      <c r="L23" s="27"/>
      <c r="M23" s="31" t="n">
        <f aca="false">K23-L23</f>
        <v>0</v>
      </c>
      <c r="N23" s="22"/>
    </row>
    <row r="24" customFormat="false" ht="15" hidden="false" customHeight="true" outlineLevel="0" collapsed="false">
      <c r="B24" s="41"/>
      <c r="C24" s="22"/>
      <c r="D24" s="27"/>
      <c r="E24" s="27"/>
      <c r="F24" s="41"/>
      <c r="G24" s="65" t="n">
        <f aca="false">IF($E24="",0,$E24-$D24)</f>
        <v>0</v>
      </c>
      <c r="H24" s="64"/>
      <c r="I24" s="64"/>
      <c r="J24" s="65" t="n">
        <f aca="false">G24*H24</f>
        <v>0</v>
      </c>
      <c r="K24" s="65" t="n">
        <f aca="false">G24*I24</f>
        <v>0</v>
      </c>
      <c r="L24" s="27"/>
      <c r="M24" s="65" t="n">
        <f aca="false">K24-L24</f>
        <v>0</v>
      </c>
      <c r="N24" s="22"/>
    </row>
    <row r="25" customFormat="false" ht="15" hidden="false" customHeight="true" outlineLevel="0" collapsed="false">
      <c r="B25" s="41"/>
      <c r="C25" s="22"/>
      <c r="D25" s="27"/>
      <c r="E25" s="27"/>
      <c r="F25" s="41"/>
      <c r="G25" s="31" t="n">
        <f aca="false">IF($E25="",0,$E25-$D25)</f>
        <v>0</v>
      </c>
      <c r="H25" s="64"/>
      <c r="I25" s="64"/>
      <c r="J25" s="31" t="n">
        <f aca="false">G25*H25</f>
        <v>0</v>
      </c>
      <c r="K25" s="31" t="n">
        <f aca="false">G25*I25</f>
        <v>0</v>
      </c>
      <c r="L25" s="27"/>
      <c r="M25" s="31" t="n">
        <f aca="false">K25-L25</f>
        <v>0</v>
      </c>
      <c r="N25" s="22"/>
    </row>
    <row r="26" customFormat="false" ht="15" hidden="false" customHeight="true" outlineLevel="0" collapsed="false">
      <c r="B26" s="41"/>
      <c r="C26" s="22"/>
      <c r="D26" s="27"/>
      <c r="E26" s="27"/>
      <c r="F26" s="41"/>
      <c r="G26" s="65" t="n">
        <f aca="false">IF($E26="",0,$E26-$D26)</f>
        <v>0</v>
      </c>
      <c r="H26" s="64"/>
      <c r="I26" s="64"/>
      <c r="J26" s="65" t="n">
        <f aca="false">G26*H26</f>
        <v>0</v>
      </c>
      <c r="K26" s="65" t="n">
        <f aca="false">G26*I26</f>
        <v>0</v>
      </c>
      <c r="L26" s="27"/>
      <c r="M26" s="65" t="n">
        <f aca="false">K26-L26</f>
        <v>0</v>
      </c>
      <c r="N26" s="22"/>
    </row>
    <row r="27" customFormat="false" ht="15" hidden="false" customHeight="true" outlineLevel="0" collapsed="false">
      <c r="B27" s="41"/>
      <c r="C27" s="22"/>
      <c r="D27" s="27"/>
      <c r="E27" s="27"/>
      <c r="F27" s="41"/>
      <c r="G27" s="31" t="n">
        <f aca="false">IF($E27="",0,$E27-$D27)</f>
        <v>0</v>
      </c>
      <c r="H27" s="64"/>
      <c r="I27" s="64"/>
      <c r="J27" s="31" t="n">
        <f aca="false">G27*H27</f>
        <v>0</v>
      </c>
      <c r="K27" s="31" t="n">
        <f aca="false">G27*I27</f>
        <v>0</v>
      </c>
      <c r="L27" s="27"/>
      <c r="M27" s="31" t="n">
        <f aca="false">K27-L27</f>
        <v>0</v>
      </c>
      <c r="N27" s="22"/>
    </row>
    <row r="28" customFormat="false" ht="15" hidden="false" customHeight="true" outlineLevel="0" collapsed="false">
      <c r="B28" s="41"/>
      <c r="C28" s="22"/>
      <c r="D28" s="27"/>
      <c r="E28" s="27"/>
      <c r="F28" s="41"/>
      <c r="G28" s="65" t="n">
        <f aca="false">IF($E28="",0,$E28-$D28)</f>
        <v>0</v>
      </c>
      <c r="H28" s="64"/>
      <c r="I28" s="64"/>
      <c r="J28" s="65" t="n">
        <f aca="false">G28*H28</f>
        <v>0</v>
      </c>
      <c r="K28" s="65" t="n">
        <f aca="false">G28*I28</f>
        <v>0</v>
      </c>
      <c r="L28" s="27"/>
      <c r="M28" s="65" t="n">
        <f aca="false">K28-L28</f>
        <v>0</v>
      </c>
      <c r="N28" s="22"/>
    </row>
    <row r="29" customFormat="false" ht="15" hidden="false" customHeight="false" outlineLevel="0" collapsed="false">
      <c r="B29" s="60" t="s">
        <v>380</v>
      </c>
      <c r="C29" s="62"/>
      <c r="D29" s="66" t="n">
        <f aca="false">SUM(D9:D28)</f>
        <v>420000</v>
      </c>
      <c r="E29" s="66" t="n">
        <f aca="false">SUM(E9:E28)</f>
        <v>441300</v>
      </c>
      <c r="F29" s="62"/>
      <c r="G29" s="66" t="n">
        <f aca="false">SUM(G9:G28)</f>
        <v>21300</v>
      </c>
      <c r="H29" s="62"/>
      <c r="I29" s="62"/>
      <c r="J29" s="66" t="n">
        <f aca="false">SUM(J9:J28)</f>
        <v>10755</v>
      </c>
      <c r="K29" s="66" t="n">
        <f aca="false">SUM(K9:K28)</f>
        <v>9690</v>
      </c>
      <c r="L29" s="66" t="n">
        <f aca="false">SUM(L9:L28)</f>
        <v>8625</v>
      </c>
      <c r="M29" s="66" t="n">
        <f aca="false">SUM(M9:M28)</f>
        <v>1065</v>
      </c>
      <c r="N29" s="62"/>
    </row>
    <row r="31" customFormat="false" ht="39.75" hidden="false" customHeight="true" outlineLevel="0" collapsed="false">
      <c r="B31" s="19" t="s">
        <v>429</v>
      </c>
      <c r="C31" s="19"/>
      <c r="D31" s="19"/>
      <c r="E31" s="19"/>
      <c r="F31" s="19"/>
      <c r="G31" s="19"/>
      <c r="H31" s="19"/>
      <c r="I31" s="19"/>
      <c r="J31" s="19"/>
      <c r="K31" s="19"/>
      <c r="L31" s="19"/>
      <c r="M31" s="19"/>
      <c r="N31" s="19"/>
    </row>
    <row r="33" customFormat="false" ht="15.75" hidden="false" customHeight="true" outlineLevel="0" collapsed="false">
      <c r="B33" s="37" t="s">
        <v>168</v>
      </c>
      <c r="C33" s="37"/>
      <c r="D33" s="37"/>
      <c r="E33" s="37"/>
      <c r="F33" s="37"/>
      <c r="G33" s="37"/>
      <c r="H33" s="37"/>
      <c r="I33" s="37"/>
      <c r="J33" s="37"/>
      <c r="K33" s="37"/>
      <c r="L33" s="37"/>
      <c r="M33" s="37"/>
      <c r="N33" s="37"/>
    </row>
  </sheetData>
  <mergeCells count="6">
    <mergeCell ref="B2:N2"/>
    <mergeCell ref="B3:N3"/>
    <mergeCell ref="B4:N4"/>
    <mergeCell ref="B7:N7"/>
    <mergeCell ref="B31:N31"/>
    <mergeCell ref="B33:N33"/>
  </mergeCells>
  <dataValidations count="1">
    <dataValidation allowBlank="true" errorStyle="stop" operator="between" showDropDown="false" showErrorMessage="false" showInputMessage="false" sqref="F9:F28" type="list">
      <formula1>"Not yet expended,Quotations received,Adjusted,Final"</formula1>
      <formula2>0</formula2>
    </dataValidation>
  </dataValidations>
  <hyperlinks>
    <hyperlink ref="B33" r:id="rId1" display="Mastt  ·  Capital project controls, cost management and reporting  ·  www.mastt.com"/>
  </hyperlinks>
  <printOptions headings="false" gridLines="false" gridLinesSet="true" horizontalCentered="fals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&amp;L&amp;"Arial,Regular"&amp;8 Mastt  |  Progress Payment Certificate&amp;R&amp;"Arial,Regular"&amp;8 Page &amp;P of &amp;N</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O33"/>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2" ySplit="8" topLeftCell="C9" activePane="bottomRight" state="frozen"/>
      <selection pane="topLeft" activeCell="A1" activeCellId="0" sqref="A1"/>
      <selection pane="topRight" activeCell="C1" activeCellId="0" sqref="C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8"/>
    <col collapsed="false" customWidth="true" hidden="false" outlineLevel="0" max="3" min="3" style="0" width="42"/>
    <col collapsed="false" customWidth="true" hidden="false" outlineLevel="0" max="5" min="4" style="0" width="24"/>
    <col collapsed="false" customWidth="true" hidden="false" outlineLevel="0" max="6" min="6" style="0" width="16"/>
    <col collapsed="false" customWidth="true" hidden="false" outlineLevel="0" max="7" min="7" style="0" width="17"/>
    <col collapsed="false" customWidth="true" hidden="false" outlineLevel="0" max="8" min="8" style="0" width="11"/>
    <col collapsed="false" customWidth="true" hidden="false" outlineLevel="0" max="9" min="9" style="0" width="13"/>
    <col collapsed="false" customWidth="true" hidden="false" outlineLevel="0" max="10" min="10" style="0" width="11"/>
    <col collapsed="false" customWidth="true" hidden="false" outlineLevel="0" max="14" min="11" style="0" width="17"/>
    <col collapsed="false" customWidth="true" hidden="false" outlineLevel="0" max="15" min="15" style="0" width="28"/>
  </cols>
  <sheetData>
    <row r="1" customFormat="false" ht="7.5" hidden="false" customHeight="true" outlineLevel="0" collapsed="false">
      <c r="A1" s="1"/>
      <c r="B1" s="1"/>
      <c r="C1" s="1"/>
      <c r="D1" s="1"/>
      <c r="E1" s="1"/>
      <c r="F1" s="1"/>
      <c r="G1" s="1"/>
      <c r="H1" s="1"/>
      <c r="I1" s="1"/>
      <c r="J1" s="1"/>
      <c r="K1" s="1"/>
      <c r="L1" s="1"/>
      <c r="M1" s="1"/>
      <c r="N1" s="1"/>
      <c r="O1" s="1"/>
    </row>
    <row r="2" customFormat="false" ht="30" hidden="false" customHeight="true" outlineLevel="0" collapsed="false">
      <c r="A2" s="1"/>
      <c r="B2" s="2" t="s">
        <v>430</v>
      </c>
      <c r="C2" s="2"/>
      <c r="D2" s="2"/>
      <c r="E2" s="2"/>
      <c r="F2" s="2"/>
      <c r="G2" s="2"/>
      <c r="H2" s="2"/>
      <c r="I2" s="2"/>
      <c r="J2" s="2"/>
      <c r="K2" s="2"/>
      <c r="L2" s="2"/>
      <c r="M2" s="2"/>
      <c r="N2" s="2"/>
      <c r="O2" s="2"/>
    </row>
    <row r="3" customFormat="false" ht="16.5" hidden="false" customHeight="true" outlineLevel="0" collapsed="false">
      <c r="A3" s="1"/>
      <c r="B3" s="3" t="s">
        <v>431</v>
      </c>
      <c r="C3" s="3"/>
      <c r="D3" s="3"/>
      <c r="E3" s="3"/>
      <c r="F3" s="3"/>
      <c r="G3" s="3"/>
      <c r="H3" s="3"/>
      <c r="I3" s="3"/>
      <c r="J3" s="3"/>
      <c r="K3" s="3"/>
      <c r="L3" s="3"/>
      <c r="M3" s="3"/>
      <c r="N3" s="3"/>
      <c r="O3" s="3"/>
    </row>
    <row r="4" customFormat="false" ht="9.75" hidden="false" customHeight="true" outlineLevel="0" collapsed="false">
      <c r="A4" s="1"/>
      <c r="B4" s="4" t="s">
        <v>432</v>
      </c>
      <c r="C4" s="4"/>
      <c r="D4" s="4"/>
      <c r="E4" s="4"/>
      <c r="F4" s="4"/>
      <c r="G4" s="4"/>
      <c r="H4" s="4"/>
      <c r="I4" s="4"/>
      <c r="J4" s="4"/>
      <c r="K4" s="4"/>
      <c r="L4" s="4"/>
      <c r="M4" s="4"/>
      <c r="N4" s="4"/>
      <c r="O4" s="4"/>
    </row>
    <row r="5" customFormat="false" ht="6" hidden="false" customHeight="true" outlineLevel="0" collapsed="false">
      <c r="A5" s="1"/>
      <c r="B5" s="5"/>
      <c r="C5" s="5"/>
      <c r="D5" s="5"/>
      <c r="E5" s="5"/>
      <c r="F5" s="5"/>
      <c r="G5" s="5"/>
      <c r="H5" s="5"/>
      <c r="I5" s="5"/>
      <c r="J5" s="5"/>
      <c r="K5" s="5"/>
      <c r="L5" s="5"/>
      <c r="M5" s="5"/>
      <c r="N5" s="5"/>
      <c r="O5" s="5"/>
    </row>
    <row r="7" customFormat="false" ht="19.5" hidden="false" customHeight="true" outlineLevel="0" collapsed="false">
      <c r="B7" s="6" t="s">
        <v>433</v>
      </c>
      <c r="C7" s="6"/>
      <c r="D7" s="6"/>
      <c r="E7" s="6"/>
      <c r="F7" s="6"/>
      <c r="G7" s="6"/>
      <c r="H7" s="6"/>
      <c r="I7" s="6"/>
      <c r="J7" s="6"/>
      <c r="K7" s="6"/>
      <c r="L7" s="6"/>
      <c r="M7" s="6"/>
      <c r="N7" s="6"/>
      <c r="O7" s="6"/>
    </row>
    <row r="8" customFormat="false" ht="33.75" hidden="false" customHeight="true" outlineLevel="0" collapsed="false">
      <c r="B8" s="8" t="s">
        <v>434</v>
      </c>
      <c r="C8" s="8" t="s">
        <v>435</v>
      </c>
      <c r="D8" s="8" t="s">
        <v>436</v>
      </c>
      <c r="E8" s="8" t="s">
        <v>437</v>
      </c>
      <c r="F8" s="8" t="s">
        <v>438</v>
      </c>
      <c r="G8" s="8" t="s">
        <v>439</v>
      </c>
      <c r="H8" s="8" t="s">
        <v>440</v>
      </c>
      <c r="I8" s="8" t="s">
        <v>441</v>
      </c>
      <c r="J8" s="8" t="s">
        <v>442</v>
      </c>
      <c r="K8" s="8" t="s">
        <v>443</v>
      </c>
      <c r="L8" s="8" t="s">
        <v>444</v>
      </c>
      <c r="M8" s="8" t="s">
        <v>445</v>
      </c>
      <c r="N8" s="8" t="s">
        <v>446</v>
      </c>
      <c r="O8" s="8" t="s">
        <v>394</v>
      </c>
    </row>
    <row r="9" customFormat="false" ht="15" hidden="false" customHeight="true" outlineLevel="0" collapsed="false">
      <c r="B9" s="41" t="s">
        <v>447</v>
      </c>
      <c r="C9" s="22" t="s">
        <v>448</v>
      </c>
      <c r="D9" s="22" t="s">
        <v>449</v>
      </c>
      <c r="E9" s="22" t="s">
        <v>450</v>
      </c>
      <c r="F9" s="22" t="s">
        <v>451</v>
      </c>
      <c r="G9" s="27" t="n">
        <v>268000</v>
      </c>
      <c r="H9" s="64" t="n">
        <v>1</v>
      </c>
      <c r="I9" s="41" t="s">
        <v>452</v>
      </c>
      <c r="J9" s="41" t="s">
        <v>452</v>
      </c>
      <c r="K9" s="31" t="n">
        <f aca="false">G9*H9</f>
        <v>268000</v>
      </c>
      <c r="L9" s="31" t="n">
        <f aca="false">IF(AND($I9="Yes",$J9="Yes"),$G9*$H9,0)</f>
        <v>268000</v>
      </c>
      <c r="M9" s="27" t="n">
        <v>0</v>
      </c>
      <c r="N9" s="31" t="n">
        <f aca="false">L9-M9</f>
        <v>268000</v>
      </c>
      <c r="O9" s="22"/>
    </row>
    <row r="10" customFormat="false" ht="15" hidden="false" customHeight="true" outlineLevel="0" collapsed="false">
      <c r="B10" s="41" t="s">
        <v>453</v>
      </c>
      <c r="C10" s="22" t="s">
        <v>454</v>
      </c>
      <c r="D10" s="22" t="s">
        <v>455</v>
      </c>
      <c r="E10" s="22" t="s">
        <v>456</v>
      </c>
      <c r="F10" s="22" t="s">
        <v>457</v>
      </c>
      <c r="G10" s="27" t="n">
        <v>142500</v>
      </c>
      <c r="H10" s="64" t="n">
        <v>1</v>
      </c>
      <c r="I10" s="41" t="s">
        <v>452</v>
      </c>
      <c r="J10" s="41" t="s">
        <v>452</v>
      </c>
      <c r="K10" s="65" t="n">
        <f aca="false">G10*H10</f>
        <v>142500</v>
      </c>
      <c r="L10" s="65" t="n">
        <f aca="false">IF(AND($I10="Yes",$J10="Yes"),$G10*$H10,0)</f>
        <v>142500</v>
      </c>
      <c r="M10" s="27" t="n">
        <v>142500</v>
      </c>
      <c r="N10" s="65" t="n">
        <f aca="false">L10-M10</f>
        <v>0</v>
      </c>
      <c r="O10" s="22"/>
    </row>
    <row r="11" customFormat="false" ht="15" hidden="false" customHeight="true" outlineLevel="0" collapsed="false">
      <c r="B11" s="41" t="s">
        <v>458</v>
      </c>
      <c r="C11" s="22" t="s">
        <v>459</v>
      </c>
      <c r="D11" s="22" t="s">
        <v>460</v>
      </c>
      <c r="E11" s="22" t="s">
        <v>461</v>
      </c>
      <c r="F11" s="22" t="s">
        <v>462</v>
      </c>
      <c r="G11" s="27" t="n">
        <v>63400</v>
      </c>
      <c r="H11" s="64" t="n">
        <v>1</v>
      </c>
      <c r="I11" s="41" t="s">
        <v>144</v>
      </c>
      <c r="J11" s="41" t="s">
        <v>452</v>
      </c>
      <c r="K11" s="31" t="n">
        <f aca="false">G11*H11</f>
        <v>63400</v>
      </c>
      <c r="L11" s="31" t="n">
        <f aca="false">IF(AND($I11="Yes",$J11="Yes"),$G11*$H11,0)</f>
        <v>0</v>
      </c>
      <c r="M11" s="27" t="n">
        <v>0</v>
      </c>
      <c r="N11" s="31" t="n">
        <f aca="false">L11-M11</f>
        <v>0</v>
      </c>
      <c r="O11" s="22"/>
    </row>
    <row r="12" customFormat="false" ht="15" hidden="false" customHeight="true" outlineLevel="0" collapsed="false">
      <c r="B12" s="41"/>
      <c r="C12" s="22"/>
      <c r="D12" s="22"/>
      <c r="E12" s="22"/>
      <c r="F12" s="22"/>
      <c r="G12" s="27"/>
      <c r="H12" s="64"/>
      <c r="I12" s="41"/>
      <c r="J12" s="41"/>
      <c r="K12" s="65" t="n">
        <f aca="false">G12*H12</f>
        <v>0</v>
      </c>
      <c r="L12" s="65" t="n">
        <f aca="false">IF(AND($I12="Yes",$J12="Yes"),$G12*$H12,0)</f>
        <v>0</v>
      </c>
      <c r="M12" s="27"/>
      <c r="N12" s="65" t="n">
        <f aca="false">L12-M12</f>
        <v>0</v>
      </c>
      <c r="O12" s="22"/>
    </row>
    <row r="13" customFormat="false" ht="15" hidden="false" customHeight="true" outlineLevel="0" collapsed="false">
      <c r="B13" s="41"/>
      <c r="C13" s="22"/>
      <c r="D13" s="22"/>
      <c r="E13" s="22"/>
      <c r="F13" s="22"/>
      <c r="G13" s="27"/>
      <c r="H13" s="64"/>
      <c r="I13" s="41"/>
      <c r="J13" s="41"/>
      <c r="K13" s="31" t="n">
        <f aca="false">G13*H13</f>
        <v>0</v>
      </c>
      <c r="L13" s="31" t="n">
        <f aca="false">IF(AND($I13="Yes",$J13="Yes"),$G13*$H13,0)</f>
        <v>0</v>
      </c>
      <c r="M13" s="27"/>
      <c r="N13" s="31" t="n">
        <f aca="false">L13-M13</f>
        <v>0</v>
      </c>
      <c r="O13" s="22"/>
    </row>
    <row r="14" customFormat="false" ht="15" hidden="false" customHeight="true" outlineLevel="0" collapsed="false">
      <c r="B14" s="41"/>
      <c r="C14" s="22"/>
      <c r="D14" s="22"/>
      <c r="E14" s="22"/>
      <c r="F14" s="22"/>
      <c r="G14" s="27"/>
      <c r="H14" s="64"/>
      <c r="I14" s="41"/>
      <c r="J14" s="41"/>
      <c r="K14" s="65" t="n">
        <f aca="false">G14*H14</f>
        <v>0</v>
      </c>
      <c r="L14" s="65" t="n">
        <f aca="false">IF(AND($I14="Yes",$J14="Yes"),$G14*$H14,0)</f>
        <v>0</v>
      </c>
      <c r="M14" s="27"/>
      <c r="N14" s="65" t="n">
        <f aca="false">L14-M14</f>
        <v>0</v>
      </c>
      <c r="O14" s="22"/>
    </row>
    <row r="15" customFormat="false" ht="15" hidden="false" customHeight="true" outlineLevel="0" collapsed="false">
      <c r="B15" s="41"/>
      <c r="C15" s="22"/>
      <c r="D15" s="22"/>
      <c r="E15" s="22"/>
      <c r="F15" s="22"/>
      <c r="G15" s="27"/>
      <c r="H15" s="64"/>
      <c r="I15" s="41"/>
      <c r="J15" s="41"/>
      <c r="K15" s="31" t="n">
        <f aca="false">G15*H15</f>
        <v>0</v>
      </c>
      <c r="L15" s="31" t="n">
        <f aca="false">IF(AND($I15="Yes",$J15="Yes"),$G15*$H15,0)</f>
        <v>0</v>
      </c>
      <c r="M15" s="27"/>
      <c r="N15" s="31" t="n">
        <f aca="false">L15-M15</f>
        <v>0</v>
      </c>
      <c r="O15" s="22"/>
    </row>
    <row r="16" customFormat="false" ht="15" hidden="false" customHeight="true" outlineLevel="0" collapsed="false">
      <c r="B16" s="41"/>
      <c r="C16" s="22"/>
      <c r="D16" s="22"/>
      <c r="E16" s="22"/>
      <c r="F16" s="22"/>
      <c r="G16" s="27"/>
      <c r="H16" s="64"/>
      <c r="I16" s="41"/>
      <c r="J16" s="41"/>
      <c r="K16" s="65" t="n">
        <f aca="false">G16*H16</f>
        <v>0</v>
      </c>
      <c r="L16" s="65" t="n">
        <f aca="false">IF(AND($I16="Yes",$J16="Yes"),$G16*$H16,0)</f>
        <v>0</v>
      </c>
      <c r="M16" s="27"/>
      <c r="N16" s="65" t="n">
        <f aca="false">L16-M16</f>
        <v>0</v>
      </c>
      <c r="O16" s="22"/>
    </row>
    <row r="17" customFormat="false" ht="15" hidden="false" customHeight="true" outlineLevel="0" collapsed="false">
      <c r="B17" s="41"/>
      <c r="C17" s="22"/>
      <c r="D17" s="22"/>
      <c r="E17" s="22"/>
      <c r="F17" s="22"/>
      <c r="G17" s="27"/>
      <c r="H17" s="64"/>
      <c r="I17" s="41"/>
      <c r="J17" s="41"/>
      <c r="K17" s="31" t="n">
        <f aca="false">G17*H17</f>
        <v>0</v>
      </c>
      <c r="L17" s="31" t="n">
        <f aca="false">IF(AND($I17="Yes",$J17="Yes"),$G17*$H17,0)</f>
        <v>0</v>
      </c>
      <c r="M17" s="27"/>
      <c r="N17" s="31" t="n">
        <f aca="false">L17-M17</f>
        <v>0</v>
      </c>
      <c r="O17" s="22"/>
    </row>
    <row r="18" customFormat="false" ht="15" hidden="false" customHeight="true" outlineLevel="0" collapsed="false">
      <c r="B18" s="41"/>
      <c r="C18" s="22"/>
      <c r="D18" s="22"/>
      <c r="E18" s="22"/>
      <c r="F18" s="22"/>
      <c r="G18" s="27"/>
      <c r="H18" s="64"/>
      <c r="I18" s="41"/>
      <c r="J18" s="41"/>
      <c r="K18" s="65" t="n">
        <f aca="false">G18*H18</f>
        <v>0</v>
      </c>
      <c r="L18" s="65" t="n">
        <f aca="false">IF(AND($I18="Yes",$J18="Yes"),$G18*$H18,0)</f>
        <v>0</v>
      </c>
      <c r="M18" s="27"/>
      <c r="N18" s="65" t="n">
        <f aca="false">L18-M18</f>
        <v>0</v>
      </c>
      <c r="O18" s="22"/>
    </row>
    <row r="19" customFormat="false" ht="15" hidden="false" customHeight="true" outlineLevel="0" collapsed="false">
      <c r="B19" s="41"/>
      <c r="C19" s="22"/>
      <c r="D19" s="22"/>
      <c r="E19" s="22"/>
      <c r="F19" s="22"/>
      <c r="G19" s="27"/>
      <c r="H19" s="64"/>
      <c r="I19" s="41"/>
      <c r="J19" s="41"/>
      <c r="K19" s="31" t="n">
        <f aca="false">G19*H19</f>
        <v>0</v>
      </c>
      <c r="L19" s="31" t="n">
        <f aca="false">IF(AND($I19="Yes",$J19="Yes"),$G19*$H19,0)</f>
        <v>0</v>
      </c>
      <c r="M19" s="27"/>
      <c r="N19" s="31" t="n">
        <f aca="false">L19-M19</f>
        <v>0</v>
      </c>
      <c r="O19" s="22"/>
    </row>
    <row r="20" customFormat="false" ht="15" hidden="false" customHeight="true" outlineLevel="0" collapsed="false">
      <c r="B20" s="41"/>
      <c r="C20" s="22"/>
      <c r="D20" s="22"/>
      <c r="E20" s="22"/>
      <c r="F20" s="22"/>
      <c r="G20" s="27"/>
      <c r="H20" s="64"/>
      <c r="I20" s="41"/>
      <c r="J20" s="41"/>
      <c r="K20" s="65" t="n">
        <f aca="false">G20*H20</f>
        <v>0</v>
      </c>
      <c r="L20" s="65" t="n">
        <f aca="false">IF(AND($I20="Yes",$J20="Yes"),$G20*$H20,0)</f>
        <v>0</v>
      </c>
      <c r="M20" s="27"/>
      <c r="N20" s="65" t="n">
        <f aca="false">L20-M20</f>
        <v>0</v>
      </c>
      <c r="O20" s="22"/>
    </row>
    <row r="21" customFormat="false" ht="15" hidden="false" customHeight="true" outlineLevel="0" collapsed="false">
      <c r="B21" s="41"/>
      <c r="C21" s="22"/>
      <c r="D21" s="22"/>
      <c r="E21" s="22"/>
      <c r="F21" s="22"/>
      <c r="G21" s="27"/>
      <c r="H21" s="64"/>
      <c r="I21" s="41"/>
      <c r="J21" s="41"/>
      <c r="K21" s="31" t="n">
        <f aca="false">G21*H21</f>
        <v>0</v>
      </c>
      <c r="L21" s="31" t="n">
        <f aca="false">IF(AND($I21="Yes",$J21="Yes"),$G21*$H21,0)</f>
        <v>0</v>
      </c>
      <c r="M21" s="27"/>
      <c r="N21" s="31" t="n">
        <f aca="false">L21-M21</f>
        <v>0</v>
      </c>
      <c r="O21" s="22"/>
    </row>
    <row r="22" customFormat="false" ht="15" hidden="false" customHeight="true" outlineLevel="0" collapsed="false">
      <c r="B22" s="41"/>
      <c r="C22" s="22"/>
      <c r="D22" s="22"/>
      <c r="E22" s="22"/>
      <c r="F22" s="22"/>
      <c r="G22" s="27"/>
      <c r="H22" s="64"/>
      <c r="I22" s="41"/>
      <c r="J22" s="41"/>
      <c r="K22" s="65" t="n">
        <f aca="false">G22*H22</f>
        <v>0</v>
      </c>
      <c r="L22" s="65" t="n">
        <f aca="false">IF(AND($I22="Yes",$J22="Yes"),$G22*$H22,0)</f>
        <v>0</v>
      </c>
      <c r="M22" s="27"/>
      <c r="N22" s="65" t="n">
        <f aca="false">L22-M22</f>
        <v>0</v>
      </c>
      <c r="O22" s="22"/>
    </row>
    <row r="23" customFormat="false" ht="15" hidden="false" customHeight="true" outlineLevel="0" collapsed="false">
      <c r="B23" s="41"/>
      <c r="C23" s="22"/>
      <c r="D23" s="22"/>
      <c r="E23" s="22"/>
      <c r="F23" s="22"/>
      <c r="G23" s="27"/>
      <c r="H23" s="64"/>
      <c r="I23" s="41"/>
      <c r="J23" s="41"/>
      <c r="K23" s="31" t="n">
        <f aca="false">G23*H23</f>
        <v>0</v>
      </c>
      <c r="L23" s="31" t="n">
        <f aca="false">IF(AND($I23="Yes",$J23="Yes"),$G23*$H23,0)</f>
        <v>0</v>
      </c>
      <c r="M23" s="27"/>
      <c r="N23" s="31" t="n">
        <f aca="false">L23-M23</f>
        <v>0</v>
      </c>
      <c r="O23" s="22"/>
    </row>
    <row r="24" customFormat="false" ht="15" hidden="false" customHeight="true" outlineLevel="0" collapsed="false">
      <c r="B24" s="41"/>
      <c r="C24" s="22"/>
      <c r="D24" s="22"/>
      <c r="E24" s="22"/>
      <c r="F24" s="22"/>
      <c r="G24" s="27"/>
      <c r="H24" s="64"/>
      <c r="I24" s="41"/>
      <c r="J24" s="41"/>
      <c r="K24" s="65" t="n">
        <f aca="false">G24*H24</f>
        <v>0</v>
      </c>
      <c r="L24" s="65" t="n">
        <f aca="false">IF(AND($I24="Yes",$J24="Yes"),$G24*$H24,0)</f>
        <v>0</v>
      </c>
      <c r="M24" s="27"/>
      <c r="N24" s="65" t="n">
        <f aca="false">L24-M24</f>
        <v>0</v>
      </c>
      <c r="O24" s="22"/>
    </row>
    <row r="25" customFormat="false" ht="15" hidden="false" customHeight="true" outlineLevel="0" collapsed="false">
      <c r="B25" s="41"/>
      <c r="C25" s="22"/>
      <c r="D25" s="22"/>
      <c r="E25" s="22"/>
      <c r="F25" s="22"/>
      <c r="G25" s="27"/>
      <c r="H25" s="64"/>
      <c r="I25" s="41"/>
      <c r="J25" s="41"/>
      <c r="K25" s="31" t="n">
        <f aca="false">G25*H25</f>
        <v>0</v>
      </c>
      <c r="L25" s="31" t="n">
        <f aca="false">IF(AND($I25="Yes",$J25="Yes"),$G25*$H25,0)</f>
        <v>0</v>
      </c>
      <c r="M25" s="27"/>
      <c r="N25" s="31" t="n">
        <f aca="false">L25-M25</f>
        <v>0</v>
      </c>
      <c r="O25" s="22"/>
    </row>
    <row r="26" customFormat="false" ht="15" hidden="false" customHeight="true" outlineLevel="0" collapsed="false">
      <c r="B26" s="41"/>
      <c r="C26" s="22"/>
      <c r="D26" s="22"/>
      <c r="E26" s="22"/>
      <c r="F26" s="22"/>
      <c r="G26" s="27"/>
      <c r="H26" s="64"/>
      <c r="I26" s="41"/>
      <c r="J26" s="41"/>
      <c r="K26" s="65" t="n">
        <f aca="false">G26*H26</f>
        <v>0</v>
      </c>
      <c r="L26" s="65" t="n">
        <f aca="false">IF(AND($I26="Yes",$J26="Yes"),$G26*$H26,0)</f>
        <v>0</v>
      </c>
      <c r="M26" s="27"/>
      <c r="N26" s="65" t="n">
        <f aca="false">L26-M26</f>
        <v>0</v>
      </c>
      <c r="O26" s="22"/>
    </row>
    <row r="27" customFormat="false" ht="15" hidden="false" customHeight="true" outlineLevel="0" collapsed="false">
      <c r="B27" s="41"/>
      <c r="C27" s="22"/>
      <c r="D27" s="22"/>
      <c r="E27" s="22"/>
      <c r="F27" s="22"/>
      <c r="G27" s="27"/>
      <c r="H27" s="64"/>
      <c r="I27" s="41"/>
      <c r="J27" s="41"/>
      <c r="K27" s="31" t="n">
        <f aca="false">G27*H27</f>
        <v>0</v>
      </c>
      <c r="L27" s="31" t="n">
        <f aca="false">IF(AND($I27="Yes",$J27="Yes"),$G27*$H27,0)</f>
        <v>0</v>
      </c>
      <c r="M27" s="27"/>
      <c r="N27" s="31" t="n">
        <f aca="false">L27-M27</f>
        <v>0</v>
      </c>
      <c r="O27" s="22"/>
    </row>
    <row r="28" customFormat="false" ht="15" hidden="false" customHeight="true" outlineLevel="0" collapsed="false">
      <c r="B28" s="41"/>
      <c r="C28" s="22"/>
      <c r="D28" s="22"/>
      <c r="E28" s="22"/>
      <c r="F28" s="22"/>
      <c r="G28" s="27"/>
      <c r="H28" s="64"/>
      <c r="I28" s="41"/>
      <c r="J28" s="41"/>
      <c r="K28" s="65" t="n">
        <f aca="false">G28*H28</f>
        <v>0</v>
      </c>
      <c r="L28" s="65" t="n">
        <f aca="false">IF(AND($I28="Yes",$J28="Yes"),$G28*$H28,0)</f>
        <v>0</v>
      </c>
      <c r="M28" s="27"/>
      <c r="N28" s="65" t="n">
        <f aca="false">L28-M28</f>
        <v>0</v>
      </c>
      <c r="O28" s="22"/>
    </row>
    <row r="29" customFormat="false" ht="15" hidden="false" customHeight="false" outlineLevel="0" collapsed="false">
      <c r="B29" s="60" t="s">
        <v>380</v>
      </c>
      <c r="C29" s="62"/>
      <c r="D29" s="62"/>
      <c r="E29" s="62"/>
      <c r="F29" s="62"/>
      <c r="G29" s="66" t="n">
        <f aca="false">SUM(G9:G28)</f>
        <v>473900</v>
      </c>
      <c r="H29" s="62"/>
      <c r="I29" s="62"/>
      <c r="J29" s="62"/>
      <c r="K29" s="66" t="n">
        <f aca="false">SUM(K9:K28)</f>
        <v>473900</v>
      </c>
      <c r="L29" s="66" t="n">
        <f aca="false">SUM(L9:L28)</f>
        <v>410500</v>
      </c>
      <c r="M29" s="66" t="n">
        <f aca="false">SUM(M9:M28)</f>
        <v>142500</v>
      </c>
      <c r="N29" s="66" t="n">
        <f aca="false">SUM(N9:N28)</f>
        <v>268000</v>
      </c>
      <c r="O29" s="62"/>
    </row>
    <row r="31" customFormat="false" ht="39.75" hidden="false" customHeight="true" outlineLevel="0" collapsed="false">
      <c r="B31" s="19" t="s">
        <v>463</v>
      </c>
      <c r="C31" s="19"/>
      <c r="D31" s="19"/>
      <c r="E31" s="19"/>
      <c r="F31" s="19"/>
      <c r="G31" s="19"/>
      <c r="H31" s="19"/>
      <c r="I31" s="19"/>
      <c r="J31" s="19"/>
      <c r="K31" s="19"/>
      <c r="L31" s="19"/>
      <c r="M31" s="19"/>
      <c r="N31" s="19"/>
      <c r="O31" s="19"/>
    </row>
    <row r="33" customFormat="false" ht="15.75" hidden="false" customHeight="true" outlineLevel="0" collapsed="false">
      <c r="B33" s="37" t="s">
        <v>168</v>
      </c>
      <c r="C33" s="37"/>
      <c r="D33" s="37"/>
      <c r="E33" s="37"/>
      <c r="F33" s="37"/>
      <c r="G33" s="37"/>
      <c r="H33" s="37"/>
      <c r="I33" s="37"/>
      <c r="J33" s="37"/>
      <c r="K33" s="37"/>
      <c r="L33" s="37"/>
      <c r="M33" s="37"/>
      <c r="N33" s="37"/>
      <c r="O33" s="37"/>
    </row>
  </sheetData>
  <mergeCells count="6">
    <mergeCell ref="B2:O2"/>
    <mergeCell ref="B3:O3"/>
    <mergeCell ref="B4:O4"/>
    <mergeCell ref="B7:O7"/>
    <mergeCell ref="B31:O31"/>
    <mergeCell ref="B33:O33"/>
  </mergeCells>
  <conditionalFormatting sqref="I9:I28">
    <cfRule type="cellIs" priority="2" operator="equal" aboveAverage="0" equalAverage="0" bottom="0" percent="0" rank="0" text="" dxfId="0">
      <formula>"No"</formula>
    </cfRule>
  </conditionalFormatting>
  <conditionalFormatting sqref="J9:J28">
    <cfRule type="cellIs" priority="3" operator="equal" aboveAverage="0" equalAverage="0" bottom="0" percent="0" rank="0" text="" dxfId="0">
      <formula>"No"</formula>
    </cfRule>
  </conditionalFormatting>
  <dataValidations count="2">
    <dataValidation allowBlank="true" errorStyle="stop" operator="between" showDropDown="false" showErrorMessage="false" showInputMessage="false" sqref="I9:I28" type="list">
      <formula1>"Yes,No"</formula1>
      <formula2>0</formula2>
    </dataValidation>
    <dataValidation allowBlank="true" errorStyle="stop" operator="between" showDropDown="false" showErrorMessage="false" showInputMessage="false" sqref="J9:J28" type="list">
      <formula1>"Yes,No"</formula1>
      <formula2>0</formula2>
    </dataValidation>
  </dataValidations>
  <hyperlinks>
    <hyperlink ref="B33" r:id="rId1" display="Mastt  ·  Capital project controls, cost management and reporting  ·  www.mastt.com"/>
  </hyperlinks>
  <printOptions headings="false" gridLines="false" gridLinesSet="true" horizontalCentered="fals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&amp;L&amp;"Arial,Regular"&amp;8 Mastt  |  Progress Payment Certificate&amp;R&amp;"Arial,Regular"&amp;8 Page &amp;P of &amp;N</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A1:I45"/>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52"/>
    <col collapsed="false" customWidth="true" hidden="false" outlineLevel="0" max="3" min="3" style="0" width="20"/>
    <col collapsed="false" customWidth="true" hidden="false" outlineLevel="0" max="4" min="4" style="0" width="16"/>
    <col collapsed="false" customWidth="true" hidden="false" outlineLevel="0" max="5" min="5" style="0" width="20"/>
    <col collapsed="false" customWidth="true" hidden="false" outlineLevel="0" max="6" min="6" style="0" width="18"/>
    <col collapsed="false" customWidth="true" hidden="false" outlineLevel="0" max="8" min="7" style="0" width="16"/>
    <col collapsed="false" customWidth="true" hidden="false" outlineLevel="0" max="9" min="9" style="0" width="34"/>
  </cols>
  <sheetData>
    <row r="1" customFormat="false" ht="7.5" hidden="false" customHeight="true" outlineLevel="0" collapsed="false">
      <c r="A1" s="1"/>
      <c r="B1" s="1"/>
      <c r="C1" s="1"/>
      <c r="D1" s="1"/>
      <c r="E1" s="1"/>
      <c r="F1" s="1"/>
      <c r="G1" s="1"/>
      <c r="H1" s="1"/>
      <c r="I1" s="1"/>
    </row>
    <row r="2" customFormat="false" ht="30" hidden="false" customHeight="true" outlineLevel="0" collapsed="false">
      <c r="A2" s="1"/>
      <c r="B2" s="2" t="s">
        <v>464</v>
      </c>
      <c r="C2" s="2"/>
      <c r="D2" s="2"/>
      <c r="E2" s="2"/>
      <c r="F2" s="2"/>
      <c r="G2" s="2"/>
      <c r="H2" s="2"/>
      <c r="I2" s="2"/>
    </row>
    <row r="3" customFormat="false" ht="16.5" hidden="false" customHeight="true" outlineLevel="0" collapsed="false">
      <c r="A3" s="1"/>
      <c r="B3" s="3" t="s">
        <v>465</v>
      </c>
      <c r="C3" s="3"/>
      <c r="D3" s="3"/>
      <c r="E3" s="3"/>
      <c r="F3" s="3"/>
      <c r="G3" s="3"/>
      <c r="H3" s="3"/>
      <c r="I3" s="3"/>
    </row>
    <row r="4" customFormat="false" ht="9.75" hidden="false" customHeight="true" outlineLevel="0" collapsed="false">
      <c r="A4" s="1"/>
      <c r="B4" s="4" t="s">
        <v>466</v>
      </c>
      <c r="C4" s="4"/>
      <c r="D4" s="4"/>
      <c r="E4" s="4"/>
      <c r="F4" s="4"/>
      <c r="G4" s="4"/>
      <c r="H4" s="4"/>
      <c r="I4" s="4"/>
    </row>
    <row r="5" customFormat="false" ht="6" hidden="false" customHeight="true" outlineLevel="0" collapsed="false">
      <c r="A5" s="1"/>
      <c r="B5" s="5"/>
      <c r="C5" s="5"/>
      <c r="D5" s="5"/>
      <c r="E5" s="5"/>
      <c r="F5" s="5"/>
      <c r="G5" s="5"/>
      <c r="H5" s="5"/>
      <c r="I5" s="5"/>
    </row>
    <row r="7" customFormat="false" ht="19.5" hidden="false" customHeight="true" outlineLevel="0" collapsed="false">
      <c r="B7" s="6" t="s">
        <v>467</v>
      </c>
      <c r="C7" s="6"/>
      <c r="D7" s="6"/>
      <c r="E7" s="6"/>
      <c r="F7" s="6"/>
      <c r="G7" s="6"/>
      <c r="H7" s="6"/>
      <c r="I7" s="6"/>
    </row>
    <row r="8" customFormat="false" ht="30" hidden="false" customHeight="true" outlineLevel="0" collapsed="false">
      <c r="B8" s="8" t="s">
        <v>468</v>
      </c>
      <c r="C8" s="8" t="s">
        <v>469</v>
      </c>
      <c r="D8" s="8" t="s">
        <v>470</v>
      </c>
      <c r="E8" s="8" t="s">
        <v>471</v>
      </c>
      <c r="F8" s="8"/>
      <c r="G8" s="8"/>
      <c r="H8" s="8"/>
      <c r="I8" s="8" t="s">
        <v>472</v>
      </c>
    </row>
    <row r="9" customFormat="false" ht="15" hidden="false" customHeight="false" outlineLevel="0" collapsed="false">
      <c r="B9" s="21" t="s">
        <v>473</v>
      </c>
      <c r="C9" s="28" t="n">
        <f aca="false">'Works Breakdown'!I54</f>
        <v>16788300</v>
      </c>
      <c r="D9" s="69" t="n">
        <f aca="false">'Contract Particulars'!C37</f>
        <v>0.05</v>
      </c>
      <c r="E9" s="31" t="n">
        <f aca="false">C9*D9</f>
        <v>839415</v>
      </c>
      <c r="I9" s="39" t="s">
        <v>474</v>
      </c>
    </row>
    <row r="10" customFormat="false" ht="15" hidden="false" customHeight="false" outlineLevel="0" collapsed="false">
      <c r="B10" s="21" t="s">
        <v>475</v>
      </c>
      <c r="C10" s="28" t="n">
        <f aca="false">'Variations Register'!L44</f>
        <v>295470</v>
      </c>
      <c r="D10" s="69" t="n">
        <f aca="false">'Contract Particulars'!C38</f>
        <v>0.05</v>
      </c>
      <c r="E10" s="31" t="n">
        <f aca="false">C10*D10</f>
        <v>14773.5</v>
      </c>
      <c r="I10" s="39" t="s">
        <v>476</v>
      </c>
    </row>
    <row r="11" customFormat="false" ht="15" hidden="false" customHeight="false" outlineLevel="0" collapsed="false">
      <c r="B11" s="21" t="s">
        <v>477</v>
      </c>
      <c r="C11" s="28" t="n">
        <f aca="false">'Provisional Sums'!K29</f>
        <v>9690</v>
      </c>
      <c r="D11" s="69" t="n">
        <f aca="false">'Contract Particulars'!C37</f>
        <v>0.05</v>
      </c>
      <c r="E11" s="31" t="n">
        <f aca="false">C11*D11</f>
        <v>484.5</v>
      </c>
      <c r="I11" s="39" t="s">
        <v>478</v>
      </c>
    </row>
    <row r="12" customFormat="false" ht="15" hidden="false" customHeight="false" outlineLevel="0" collapsed="false">
      <c r="B12" s="21" t="s">
        <v>479</v>
      </c>
      <c r="C12" s="28" t="n">
        <f aca="false">'Materials On Site'!L29</f>
        <v>410500</v>
      </c>
      <c r="D12" s="69" t="n">
        <f aca="false">IF('Contract Particulars'!C39="Yes",'Contract Particulars'!C37,0)</f>
        <v>0</v>
      </c>
      <c r="E12" s="31" t="n">
        <f aca="false">C12*D12</f>
        <v>0</v>
      </c>
      <c r="I12" s="39" t="s">
        <v>480</v>
      </c>
    </row>
    <row r="13" customFormat="false" ht="15" hidden="false" customHeight="false" outlineLevel="0" collapsed="false">
      <c r="B13" s="26" t="s">
        <v>481</v>
      </c>
      <c r="E13" s="32" t="n">
        <f aca="false">SUM(E9:E12)</f>
        <v>854673</v>
      </c>
    </row>
    <row r="14" customFormat="false" ht="15" hidden="false" customHeight="false" outlineLevel="0" collapsed="false">
      <c r="B14" s="21" t="s">
        <v>482</v>
      </c>
      <c r="E14" s="28" t="n">
        <f aca="false">'Contract Particulars'!C41</f>
        <v>1354680</v>
      </c>
    </row>
    <row r="15" customFormat="false" ht="15" hidden="false" customHeight="false" outlineLevel="0" collapsed="false">
      <c r="B15" s="26" t="s">
        <v>483</v>
      </c>
      <c r="E15" s="29" t="n">
        <f aca="false">MIN(E13,E14)</f>
        <v>854673</v>
      </c>
    </row>
    <row r="17" customFormat="false" ht="19.5" hidden="false" customHeight="true" outlineLevel="0" collapsed="false">
      <c r="B17" s="6" t="s">
        <v>484</v>
      </c>
      <c r="C17" s="6"/>
      <c r="D17" s="6"/>
      <c r="E17" s="6"/>
      <c r="F17" s="6"/>
      <c r="G17" s="6"/>
      <c r="H17" s="6"/>
      <c r="I17" s="6"/>
    </row>
    <row r="18" customFormat="false" ht="15" hidden="false" customHeight="false" outlineLevel="0" collapsed="false">
      <c r="B18" s="21" t="s">
        <v>149</v>
      </c>
      <c r="C18" s="57" t="str">
        <f aca="false">'Contract Particulars'!C43</f>
        <v>No</v>
      </c>
    </row>
    <row r="19" customFormat="false" ht="15" hidden="false" customHeight="false" outlineLevel="0" collapsed="false">
      <c r="B19" s="21" t="s">
        <v>150</v>
      </c>
      <c r="C19" s="56" t="str">
        <f aca="false">IF('Contract Particulars'!C44="","",'Contract Particulars'!C44)</f>
        <v/>
      </c>
    </row>
    <row r="20" customFormat="false" ht="15" hidden="false" customHeight="false" outlineLevel="0" collapsed="false">
      <c r="B20" s="21" t="s">
        <v>485</v>
      </c>
      <c r="D20" s="69" t="n">
        <f aca="false">'Contract Particulars'!C42</f>
        <v>0.5</v>
      </c>
      <c r="E20" s="31" t="n">
        <f aca="false">IF('Contract Particulars'!C43="Yes",ROUND(E15*'Contract Particulars'!C42,2),0)</f>
        <v>0</v>
      </c>
    </row>
    <row r="21" customFormat="false" ht="15" hidden="false" customHeight="false" outlineLevel="0" collapsed="false">
      <c r="B21" s="21" t="s">
        <v>152</v>
      </c>
      <c r="C21" s="56" t="str">
        <f aca="false">IF('Contract Particulars'!C45="","",'Contract Particulars'!C45)</f>
        <v/>
      </c>
    </row>
    <row r="22" customFormat="false" ht="19.4" hidden="false" customHeight="false" outlineLevel="0" collapsed="false">
      <c r="B22" s="21" t="s">
        <v>486</v>
      </c>
      <c r="E22" s="31" t="n">
        <f aca="false">IF(AND('Contract Particulars'!C43="Yes",'Contract Particulars'!C45&lt;&gt;"",'Payment Certificate'!C15&lt;&gt;"",'Payment Certificate'!C15&gt;='Contract Particulars'!C45),E15-E20,0)</f>
        <v>0</v>
      </c>
      <c r="I22" s="39" t="s">
        <v>487</v>
      </c>
    </row>
    <row r="23" customFormat="false" ht="15" hidden="false" customHeight="false" outlineLevel="0" collapsed="false">
      <c r="B23" s="26" t="s">
        <v>488</v>
      </c>
      <c r="E23" s="32" t="n">
        <f aca="false">E20+E22</f>
        <v>0</v>
      </c>
    </row>
    <row r="24" customFormat="false" ht="15" hidden="false" customHeight="false" outlineLevel="0" collapsed="false">
      <c r="B24" s="26" t="s">
        <v>489</v>
      </c>
      <c r="E24" s="66" t="n">
        <f aca="false">E15-E23</f>
        <v>854673</v>
      </c>
    </row>
    <row r="26" customFormat="false" ht="15" hidden="false" customHeight="false" outlineLevel="0" collapsed="false">
      <c r="B26" s="21" t="s">
        <v>490</v>
      </c>
      <c r="E26" s="27" t="n">
        <v>794559</v>
      </c>
      <c r="I26" s="39" t="s">
        <v>491</v>
      </c>
    </row>
    <row r="27" customFormat="false" ht="15" hidden="false" customHeight="false" outlineLevel="0" collapsed="false">
      <c r="B27" s="26" t="s">
        <v>492</v>
      </c>
      <c r="E27" s="47" t="n">
        <f aca="false">E24-E26</f>
        <v>60114</v>
      </c>
    </row>
    <row r="29" customFormat="false" ht="19.5" hidden="false" customHeight="true" outlineLevel="0" collapsed="false">
      <c r="B29" s="6" t="s">
        <v>493</v>
      </c>
      <c r="C29" s="6"/>
      <c r="D29" s="6"/>
      <c r="E29" s="6"/>
      <c r="F29" s="6"/>
      <c r="G29" s="6"/>
      <c r="H29" s="6"/>
      <c r="I29" s="6"/>
    </row>
    <row r="30" customFormat="false" ht="25.5" hidden="false" customHeight="true" outlineLevel="0" collapsed="false">
      <c r="B30" s="8" t="s">
        <v>494</v>
      </c>
      <c r="C30" s="8" t="s">
        <v>495</v>
      </c>
      <c r="D30" s="8" t="s">
        <v>496</v>
      </c>
      <c r="E30" s="8" t="s">
        <v>497</v>
      </c>
      <c r="F30" s="8" t="s">
        <v>498</v>
      </c>
      <c r="G30" s="8" t="s">
        <v>499</v>
      </c>
      <c r="H30" s="8" t="s">
        <v>391</v>
      </c>
      <c r="I30" s="8" t="s">
        <v>394</v>
      </c>
    </row>
    <row r="31" customFormat="false" ht="15" hidden="false" customHeight="false" outlineLevel="0" collapsed="false">
      <c r="B31" s="22" t="s">
        <v>500</v>
      </c>
      <c r="C31" s="22" t="s">
        <v>501</v>
      </c>
      <c r="D31" s="22" t="s">
        <v>502</v>
      </c>
      <c r="E31" s="27" t="n">
        <v>667500</v>
      </c>
      <c r="F31" s="40" t="n">
        <v>45979</v>
      </c>
      <c r="G31" s="40"/>
      <c r="H31" s="41" t="s">
        <v>503</v>
      </c>
      <c r="I31" s="22" t="s">
        <v>504</v>
      </c>
    </row>
    <row r="32" customFormat="false" ht="15" hidden="false" customHeight="false" outlineLevel="0" collapsed="false">
      <c r="B32" s="22" t="s">
        <v>505</v>
      </c>
      <c r="C32" s="22" t="s">
        <v>501</v>
      </c>
      <c r="D32" s="22" t="s">
        <v>506</v>
      </c>
      <c r="E32" s="27" t="n">
        <v>667500</v>
      </c>
      <c r="F32" s="40" t="n">
        <v>45979</v>
      </c>
      <c r="G32" s="40"/>
      <c r="H32" s="41" t="s">
        <v>503</v>
      </c>
      <c r="I32" s="22" t="s">
        <v>507</v>
      </c>
    </row>
    <row r="33" customFormat="false" ht="15" hidden="false" customHeight="false" outlineLevel="0" collapsed="false">
      <c r="B33" s="22"/>
      <c r="C33" s="22"/>
      <c r="D33" s="22"/>
      <c r="E33" s="27"/>
      <c r="F33" s="40"/>
      <c r="G33" s="40"/>
      <c r="H33" s="41"/>
      <c r="I33" s="22"/>
    </row>
    <row r="34" customFormat="false" ht="15" hidden="false" customHeight="false" outlineLevel="0" collapsed="false">
      <c r="B34" s="22"/>
      <c r="C34" s="22"/>
      <c r="D34" s="22"/>
      <c r="E34" s="27"/>
      <c r="F34" s="40"/>
      <c r="G34" s="40"/>
      <c r="H34" s="41"/>
      <c r="I34" s="22"/>
    </row>
    <row r="35" customFormat="false" ht="15" hidden="false" customHeight="false" outlineLevel="0" collapsed="false">
      <c r="B35" s="22"/>
      <c r="C35" s="22"/>
      <c r="D35" s="22"/>
      <c r="E35" s="27"/>
      <c r="F35" s="40"/>
      <c r="G35" s="40"/>
      <c r="H35" s="41"/>
      <c r="I35" s="22"/>
    </row>
    <row r="36" customFormat="false" ht="15" hidden="false" customHeight="false" outlineLevel="0" collapsed="false">
      <c r="B36" s="22"/>
      <c r="C36" s="22"/>
      <c r="D36" s="22"/>
      <c r="E36" s="27"/>
      <c r="F36" s="40"/>
      <c r="G36" s="40"/>
      <c r="H36" s="41"/>
      <c r="I36" s="22"/>
    </row>
    <row r="37" customFormat="false" ht="15" hidden="false" customHeight="false" outlineLevel="0" collapsed="false">
      <c r="B37" s="22"/>
      <c r="C37" s="22"/>
      <c r="D37" s="22"/>
      <c r="E37" s="27"/>
      <c r="F37" s="40"/>
      <c r="G37" s="40"/>
      <c r="H37" s="41"/>
      <c r="I37" s="22"/>
    </row>
    <row r="38" customFormat="false" ht="15" hidden="false" customHeight="false" outlineLevel="0" collapsed="false">
      <c r="B38" s="22"/>
      <c r="C38" s="22"/>
      <c r="D38" s="22"/>
      <c r="E38" s="27"/>
      <c r="F38" s="40"/>
      <c r="G38" s="40"/>
      <c r="H38" s="41"/>
      <c r="I38" s="22"/>
    </row>
    <row r="39" customFormat="false" ht="15" hidden="false" customHeight="false" outlineLevel="0" collapsed="false">
      <c r="B39" s="22"/>
      <c r="C39" s="22"/>
      <c r="D39" s="22"/>
      <c r="E39" s="27"/>
      <c r="F39" s="40"/>
      <c r="G39" s="40"/>
      <c r="H39" s="41"/>
      <c r="I39" s="22"/>
    </row>
    <row r="40" customFormat="false" ht="15" hidden="false" customHeight="false" outlineLevel="0" collapsed="false">
      <c r="B40" s="22"/>
      <c r="C40" s="22"/>
      <c r="D40" s="22"/>
      <c r="E40" s="27"/>
      <c r="F40" s="40"/>
      <c r="G40" s="40"/>
      <c r="H40" s="41"/>
      <c r="I40" s="22"/>
    </row>
    <row r="41" customFormat="false" ht="15" hidden="false" customHeight="false" outlineLevel="0" collapsed="false">
      <c r="B41" s="60" t="s">
        <v>508</v>
      </c>
      <c r="C41" s="62"/>
      <c r="D41" s="62"/>
      <c r="E41" s="61" t="n">
        <f aca="false">SUMIFS(E31:E40,H31:H40,"Held")</f>
        <v>1335000</v>
      </c>
      <c r="F41" s="62"/>
      <c r="G41" s="62"/>
      <c r="H41" s="62"/>
      <c r="I41" s="62"/>
    </row>
    <row r="43" customFormat="false" ht="45.75" hidden="false" customHeight="true" outlineLevel="0" collapsed="false">
      <c r="B43" s="19" t="s">
        <v>509</v>
      </c>
      <c r="C43" s="19"/>
      <c r="D43" s="19"/>
      <c r="E43" s="19"/>
      <c r="F43" s="19"/>
      <c r="G43" s="19"/>
      <c r="H43" s="19"/>
      <c r="I43" s="19"/>
    </row>
    <row r="45" customFormat="false" ht="15.75" hidden="false" customHeight="true" outlineLevel="0" collapsed="false">
      <c r="B45" s="37" t="s">
        <v>168</v>
      </c>
      <c r="C45" s="37"/>
      <c r="D45" s="37"/>
      <c r="E45" s="37"/>
      <c r="F45" s="37"/>
      <c r="G45" s="37"/>
      <c r="H45" s="37"/>
      <c r="I45" s="37"/>
    </row>
  </sheetData>
  <mergeCells count="8">
    <mergeCell ref="B2:I2"/>
    <mergeCell ref="B3:I3"/>
    <mergeCell ref="B4:I4"/>
    <mergeCell ref="B7:I7"/>
    <mergeCell ref="B17:I17"/>
    <mergeCell ref="B29:I29"/>
    <mergeCell ref="B43:I43"/>
    <mergeCell ref="B45:I45"/>
  </mergeCells>
  <dataValidations count="1">
    <dataValidation allowBlank="true" errorStyle="stop" operator="between" showDropDown="false" showErrorMessage="false" showInputMessage="false" sqref="H31:H40" type="list">
      <formula1>"Held,Released,Called upon,Expired"</formula1>
      <formula2>0</formula2>
    </dataValidation>
  </dataValidations>
  <hyperlinks>
    <hyperlink ref="B45" r:id="rId1" display="Mastt  ·  Capital project controls, cost management and reporting  ·  www.mastt.com"/>
  </hyperlinks>
  <printOptions headings="false" gridLines="false" gridLinesSet="true" horizontalCentered="fals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&amp;L&amp;"Arial,Regular"&amp;8 Mastt  |  Progress Payment Certificate&amp;R&amp;"Arial,Regular"&amp;8 Page &amp;P of &amp;N</oddFooter>
  </headerFooter>
  <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2026-08-10T07:14:02Z</dcterms:created>
  <dc:creator>Mastt</dc:creator>
  <dc:description>Progress payment certificate and Security of Payment payment schedule template for Australian construction contracts.</dc:description>
  <dc:language>en-US</dc:language>
  <cp:lastModifiedBy/>
  <dcterms:modified xsi:type="dcterms:W3CDTF">2026-08-10T07:14:02Z</dcterms:modified>
  <cp:revision>0</cp:revision>
  <dc:subject/>
  <dc:title>Mastt Progress Payment Certificate (Australia)</dc:title>
</cp:coreProperties>
</file>

<file path=docProps/custom.xml><?xml version="1.0" encoding="utf-8"?>
<Properties xmlns="http://schemas.openxmlformats.org/officeDocument/2006/custom-properties" xmlns:vt="http://schemas.openxmlformats.org/officeDocument/2006/docPropsVTypes"/>
</file>