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Punch List" sheetId="3" state="visible" r:id="rId5"/>
    <sheet name="Summary" sheetId="4" state="visible" r:id="rId6"/>
    <sheet name="Inspection Sign-off" sheetId="5" state="visible" r:id="rId7"/>
    <sheet name="Photo Log" sheetId="6" state="visible" r:id="rId8"/>
    <sheet name="Reference" sheetId="7" state="visible" r:id="rId9"/>
  </sheets>
  <definedNames>
    <definedName function="false" hidden="false" localSheetId="0" name="_xlnm.Print_Area" vbProcedure="false">Cover!$A$1:$G$55</definedName>
    <definedName function="false" hidden="false" localSheetId="4" name="_xlnm.Print_Area" vbProcedure="false">'Inspection Sign-off'!$A$1:$F$51</definedName>
    <definedName function="false" hidden="false" localSheetId="5" name="_xlnm.Print_Area" vbProcedure="false">'Photo Log'!$A$1:$H$112</definedName>
    <definedName function="false" hidden="false" localSheetId="5" name="_xlnm.Print_Titles" vbProcedure="false">'Photo Log'!$7:$7</definedName>
    <definedName function="false" hidden="true" localSheetId="5" name="_xlnm._FilterDatabase" vbProcedure="false">'Photo Log'!$B$7:$H$107</definedName>
    <definedName function="false" hidden="false" localSheetId="2" name="_xlnm.Print_Area" vbProcedure="false">'Punch List'!$A$1:$W$213</definedName>
    <definedName function="false" hidden="false" localSheetId="2" name="_xlnm.Print_Titles" vbProcedure="false">'Punch List'!$8:$8</definedName>
    <definedName function="false" hidden="true" localSheetId="2" name="_xlnm._FilterDatabase" vbProcedure="false">'Punch List'!$B$8:$W$208</definedName>
    <definedName function="false" hidden="false" localSheetId="6" name="_xlnm.Print_Area" vbProcedure="false">Reference!$A$1:$K$57</definedName>
    <definedName function="false" hidden="false" localSheetId="1" name="_xlnm.Print_Area" vbProcedure="false">Setup!$A$1:$F$41</definedName>
    <definedName function="false" hidden="false" localSheetId="3" name="_xlnm.Print_Area" vbProcedure="false">Summary!$A$1:$J$60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<sst xmlns="http://schemas.openxmlformats.org/spreadsheetml/2006/main" count="536" uniqueCount="323">
  <si>
    <t xml:space="preserve">PUNCH LIST</t>
  </si>
  <si>
    <t xml:space="preserve">A defects register for Australian construction projects, run from the client side. It carries Pre-Practical Completion items and Defects Liability Period defects in one list, tracks who each item sits with, and ages every item from the day it was raised - including the ones that fail re-inspection.</t>
  </si>
  <si>
    <t xml:space="preserve">HOW TO USE IT</t>
  </si>
  <si>
    <t xml:space="preserve">1</t>
  </si>
  <si>
    <t xml:space="preserve">Set up the project once</t>
  </si>
  <si>
    <t xml:space="preserve">Fill in the Setup sheet: project, contract, parties, the Date for Practical Completion and the Defects Liability Period. The register and the sign-off sheet both read from it.</t>
  </si>
  <si>
    <t xml:space="preserve">2</t>
  </si>
  <si>
    <t xml:space="preserve">Set your areas and trades</t>
  </si>
  <si>
    <t xml:space="preserve">The Area and Trade columns are dropdowns driven by the Reference sheet. Edit those lists to match your project before the first inspection - it is what makes the Summary sheet useful.</t>
  </si>
  <si>
    <t xml:space="preserve">3</t>
  </si>
  <si>
    <t xml:space="preserve">Raise items during the inspection</t>
  </si>
  <si>
    <t xml:space="preserve">One row per item. Write what is wrong AND what will fix it in the same cell - an item that only says 'paint poor' will be argued about.</t>
  </si>
  <si>
    <t xml:space="preserve">4</t>
  </si>
  <si>
    <t xml:space="preserve">Set severity and PC impact</t>
  </si>
  <si>
    <t xml:space="preserve">These two columns are the ones the Superintendent will be asked about. Only mark an item as stopping PC if you would genuinely withhold the certificate for it.</t>
  </si>
  <si>
    <t xml:space="preserve">5</t>
  </si>
  <si>
    <t xml:space="preserve">Set a target date and an owner</t>
  </si>
  <si>
    <t xml:space="preserve">The Contractor allocates the subcontractor; the Superintendent sets the target. Items with no target date show as 'no target' and never appear as overdue - they just quietly rot.</t>
  </si>
  <si>
    <t xml:space="preserve">6</t>
  </si>
  <si>
    <t xml:space="preserve">Only the Superintendent closes</t>
  </si>
  <si>
    <t xml:space="preserve">The Contractor moves items to Ready for inspection. The Superintendent then sets Closed or Not accepted. Not accepted keeps the item ageing from the original raised date, which is the point.</t>
  </si>
  <si>
    <t xml:space="preserve">7</t>
  </si>
  <si>
    <t xml:space="preserve">Work from the Summary sheet</t>
  </si>
  <si>
    <t xml:space="preserve">It shows who owes what, by trade and by area, with ageing buckets and the count of open items that stop Practical Completion. That is the list you take to the site meeting.</t>
  </si>
  <si>
    <t xml:space="preserve">THE COLOUR CODE</t>
  </si>
  <si>
    <t xml:space="preserve">Status</t>
  </si>
  <si>
    <t xml:space="preserve">Severity and impact</t>
  </si>
  <si>
    <t xml:space="preserve">Open</t>
  </si>
  <si>
    <t xml:space="preserve">Critical</t>
  </si>
  <si>
    <t xml:space="preserve">Life safety, compliance, or the asset cannot be used.</t>
  </si>
  <si>
    <t xml:space="preserve">In progress</t>
  </si>
  <si>
    <t xml:space="preserve">Major</t>
  </si>
  <si>
    <t xml:space="preserve">Function, durability or appearance materially affected.</t>
  </si>
  <si>
    <t xml:space="preserve">Ready for inspection</t>
  </si>
  <si>
    <t xml:space="preserve">Minor</t>
  </si>
  <si>
    <t xml:space="preserve">Cosmetic or minor finish item.</t>
  </si>
  <si>
    <t xml:space="preserve">Not accepted</t>
  </si>
  <si>
    <t xml:space="preserve">Stops PC</t>
  </si>
  <si>
    <t xml:space="preserve">Must be closed before Practical Completion is certified.</t>
  </si>
  <si>
    <t xml:space="preserve">Closed</t>
  </si>
  <si>
    <t xml:space="preserve">OVERDUE</t>
  </si>
  <si>
    <t xml:space="preserve">Past its target date and still open.</t>
  </si>
  <si>
    <t xml:space="preserve">Not a defect</t>
  </si>
  <si>
    <t xml:space="preserve">On hold</t>
  </si>
  <si>
    <t xml:space="preserve">WHAT IS IN THE WORKBOOK</t>
  </si>
  <si>
    <t xml:space="preserve">Sheet</t>
  </si>
  <si>
    <t xml:space="preserve">Purpose</t>
  </si>
  <si>
    <t xml:space="preserve">Setup</t>
  </si>
  <si>
    <t xml:space="preserve">Project, contract, parties, key dates and the basis on which an item is accepted as closed.</t>
  </si>
  <si>
    <t xml:space="preserve">Punch List</t>
  </si>
  <si>
    <t xml:space="preserve">The register. Pre-Practical Completion and Defects Liability Period items in one list, colour-coded by status and severity.</t>
  </si>
  <si>
    <t xml:space="preserve">Summary</t>
  </si>
  <si>
    <t xml:space="preserve">Live counts by status, severity, stage, trade and area, with ageing buckets.</t>
  </si>
  <si>
    <t xml:space="preserve">Inspection Sign-off</t>
  </si>
  <si>
    <t xml:space="preserve">Printable record of an inspection: attendees, the register position, the outcome and signatures.</t>
  </si>
  <si>
    <t xml:space="preserve">Photo Log</t>
  </si>
  <si>
    <t xml:space="preserve">Before and after photo references against each item ID.</t>
  </si>
  <si>
    <t xml:space="preserve">Reference</t>
  </si>
  <si>
    <t xml:space="preserve">Dropdown lists, status and severity definitions, and the cell conventions.</t>
  </si>
  <si>
    <t xml:space="preserve">IMPORTANT</t>
  </si>
  <si>
    <t xml:space="preserve">This register is a working tool, not legal advice. What amounts to a defect, who bears the cost of rectification, and whether an item prevents Practical Completion are all governed by the contract. Record the basis of acceptance on the Setup sheet before the first inspection, and check the contract before withholding Practical Completion over any item.</t>
  </si>
  <si>
    <t xml:space="preserve">Built for capital project teams by Mastt.  Project controls, cost management and reporting  ·  mastt.com</t>
  </si>
  <si>
    <t xml:space="preserve">PROJECT SETUP</t>
  </si>
  <si>
    <t xml:space="preserve">Complete once. The register, the summary and the sign-off sheet all read from here.</t>
  </si>
  <si>
    <t xml:space="preserve">Blue cells are yours. Off-white cells calculate themselves.</t>
  </si>
  <si>
    <t xml:space="preserve">1  ·  PROJECT &amp; CONTRACT</t>
  </si>
  <si>
    <t xml:space="preserve">Project name</t>
  </si>
  <si>
    <t xml:space="preserve">Project number</t>
  </si>
  <si>
    <t xml:space="preserve">Site address</t>
  </si>
  <si>
    <t xml:space="preserve">Contract title</t>
  </si>
  <si>
    <t xml:space="preserve">Contract number</t>
  </si>
  <si>
    <t xml:space="preserve">Contract form</t>
  </si>
  <si>
    <t xml:space="preserve">2  ·  PARTIES</t>
  </si>
  <si>
    <t xml:space="preserve">Principal / Client</t>
  </si>
  <si>
    <t xml:space="preserve">Contractor</t>
  </si>
  <si>
    <t xml:space="preserve">Contractor site contact</t>
  </si>
  <si>
    <t xml:space="preserve">Superintendent / Certifier</t>
  </si>
  <si>
    <t xml:space="preserve">Certifier organisation</t>
  </si>
  <si>
    <t xml:space="preserve">Register owner</t>
  </si>
  <si>
    <t xml:space="preserve">3  ·  KEY DATES</t>
  </si>
  <si>
    <t xml:space="preserve">Date for Practical Completion (adjusted)</t>
  </si>
  <si>
    <t xml:space="preserve">Actual Date of Practical Completion</t>
  </si>
  <si>
    <t xml:space="preserve">Leave blank until PC is certified.</t>
  </si>
  <si>
    <t xml:space="preserve">Defects Liability Period (months)</t>
  </si>
  <si>
    <t xml:space="preserve">End of the Defects Liability Period</t>
  </si>
  <si>
    <t xml:space="preserve">Standard rectification period (days)</t>
  </si>
  <si>
    <t xml:space="preserve">Used as the default gap between the date raised and the target date.</t>
  </si>
  <si>
    <t xml:space="preserve">Register revision</t>
  </si>
  <si>
    <t xml:space="preserve">Date this revision was issued</t>
  </si>
  <si>
    <t xml:space="preserve">4  ·  BASIS OF ACCEPTANCE</t>
  </si>
  <si>
    <t xml:space="preserve">An item is closed when it complies with</t>
  </si>
  <si>
    <t xml:space="preserve">the Contract, the approved drawings and specification, the National Construction Code and the relevant Australian Standards.</t>
  </si>
  <si>
    <t xml:space="preserve">Write the basis of acceptance down before the first inspection. Most punch list arguments are not about whether something is imperfect - they are about what standard applies.</t>
  </si>
  <si>
    <t xml:space="preserve">Built with Mastt  |  mastt.com</t>
  </si>
  <si>
    <t xml:space="preserve">PUNCH LIST  ·  DEFECTS REGISTER</t>
  </si>
  <si>
    <t xml:space="preserve">Item ID</t>
  </si>
  <si>
    <t xml:space="preserve">Stage</t>
  </si>
  <si>
    <t xml:space="preserve">Raised</t>
  </si>
  <si>
    <t xml:space="preserve">Area / building</t>
  </si>
  <si>
    <t xml:space="preserve">Level</t>
  </si>
  <si>
    <t xml:space="preserve">Room / grid ref</t>
  </si>
  <si>
    <t xml:space="preserve">Trade / package</t>
  </si>
  <si>
    <t xml:space="preserve">Category</t>
  </si>
  <si>
    <t xml:space="preserve">Description of the item and the rectification required</t>
  </si>
  <si>
    <t xml:space="preserve">Severity</t>
  </si>
  <si>
    <t xml:space="preserve">Stops PC?</t>
  </si>
  <si>
    <t xml:space="preserve">Responsible</t>
  </si>
  <si>
    <t xml:space="preserve">Subcontractor allocated</t>
  </si>
  <si>
    <t xml:space="preserve">Target</t>
  </si>
  <si>
    <t xml:space="preserve">Rectified</t>
  </si>
  <si>
    <t xml:space="preserve">Closed out by</t>
  </si>
  <si>
    <t xml:space="preserve">Days open</t>
  </si>
  <si>
    <t xml:space="preserve">Flag</t>
  </si>
  <si>
    <t xml:space="preserve">Photos</t>
  </si>
  <si>
    <t xml:space="preserve">Comments</t>
  </si>
  <si>
    <t xml:space="preserve">Pre-Practical Completion</t>
  </si>
  <si>
    <t xml:space="preserve">Building A</t>
  </si>
  <si>
    <t xml:space="preserve">L3</t>
  </si>
  <si>
    <t xml:space="preserve">Rm 3.04</t>
  </si>
  <si>
    <t xml:space="preserve">Painting</t>
  </si>
  <si>
    <t xml:space="preserve">Defect</t>
  </si>
  <si>
    <t xml:space="preserve">Paint finish to the south wall shows roller marks and visible patching under natural light. Repaint the full wall to a uniform finish.</t>
  </si>
  <si>
    <t xml:space="preserve">No</t>
  </si>
  <si>
    <t xml:space="preserve">Coastal Painting Pty Ltd</t>
  </si>
  <si>
    <t xml:space="preserve">EXAMPLE - delete before use</t>
  </si>
  <si>
    <t xml:space="preserve">L1</t>
  </si>
  <si>
    <t xml:space="preserve">Main lobby</t>
  </si>
  <si>
    <t xml:space="preserve">Facade and glazing</t>
  </si>
  <si>
    <t xml:space="preserve">Damage</t>
  </si>
  <si>
    <t xml:space="preserve">Chip to the lower right corner of glazing panel G-12. Replace the panel and reinstate the seal.</t>
  </si>
  <si>
    <t xml:space="preserve">Yes</t>
  </si>
  <si>
    <t xml:space="preserve">Vitrex Facades Pty Ltd</t>
  </si>
  <si>
    <t xml:space="preserve">EXAMPLE</t>
  </si>
  <si>
    <t xml:space="preserve">Roof and plant</t>
  </si>
  <si>
    <t xml:space="preserve">Roof</t>
  </si>
  <si>
    <t xml:space="preserve">Plant deck</t>
  </si>
  <si>
    <t xml:space="preserve">Mechanical services</t>
  </si>
  <si>
    <t xml:space="preserve">Incomplete work</t>
  </si>
  <si>
    <t xml:space="preserve">Condensate drain to AHU-03 is not connected to the waste. Complete the connection and witness test.</t>
  </si>
  <si>
    <t xml:space="preserve">Apex Mechanical Services</t>
  </si>
  <si>
    <t xml:space="preserve">Basement</t>
  </si>
  <si>
    <t xml:space="preserve">B1</t>
  </si>
  <si>
    <t xml:space="preserve">Carpark egress</t>
  </si>
  <si>
    <t xml:space="preserve">Electrical services</t>
  </si>
  <si>
    <t xml:space="preserve">Non-conformance</t>
  </si>
  <si>
    <t xml:space="preserve">Emergency lighting to the carpark egress path does not achieve the required illuminance. Rectify to comply with AS 2293.1 and provide a compliance certificate.</t>
  </si>
  <si>
    <t xml:space="preserve">Arcline Electrical Pty Ltd</t>
  </si>
  <si>
    <t xml:space="preserve">External and landscape</t>
  </si>
  <si>
    <t xml:space="preserve">GF</t>
  </si>
  <si>
    <t xml:space="preserve">Forecourt</t>
  </si>
  <si>
    <t xml:space="preserve">Landscaping and external works</t>
  </si>
  <si>
    <t xml:space="preserve">Paving to the forecourt is not laid to the eastern edge. Complete in accordance with drawing L-102.</t>
  </si>
  <si>
    <t xml:space="preserve">Greenline Landscapes</t>
  </si>
  <si>
    <t xml:space="preserve">L2</t>
  </si>
  <si>
    <t xml:space="preserve">Rm 2.11</t>
  </si>
  <si>
    <t xml:space="preserve">Ceilings</t>
  </si>
  <si>
    <t xml:space="preserve">Ceiling tile grid is out of level by 8 mm over 3 m. Adjust to the specified tolerance.</t>
  </si>
  <si>
    <t xml:space="preserve">Interior Linings Co</t>
  </si>
  <si>
    <t xml:space="preserve">A. Whitmore</t>
  </si>
  <si>
    <t xml:space="preserve">Comms room</t>
  </si>
  <si>
    <t xml:space="preserve">Security and communications</t>
  </si>
  <si>
    <t xml:space="preserve">Missing documentation</t>
  </si>
  <si>
    <t xml:space="preserve">As-built drawings and the O&amp;M manual for the access control system have not been provided.</t>
  </si>
  <si>
    <t xml:space="preserve">Sentry Systems Pty Ltd</t>
  </si>
  <si>
    <t xml:space="preserve">Site wide</t>
  </si>
  <si>
    <t xml:space="preserve">All</t>
  </si>
  <si>
    <t xml:space="preserve">Levels 2-3</t>
  </si>
  <si>
    <t xml:space="preserve">Cleaning</t>
  </si>
  <si>
    <t xml:space="preserve">Builder's clean not completed to levels 2 and 3. Complete prior to the Practical Completion inspection.</t>
  </si>
  <si>
    <t xml:space="preserve">Sparkle Site Services</t>
  </si>
  <si>
    <t xml:space="preserve">Defects Liability Period</t>
  </si>
  <si>
    <t xml:space="preserve">Accessible WC</t>
  </si>
  <si>
    <t xml:space="preserve">Hydraulic services</t>
  </si>
  <si>
    <t xml:space="preserve">Intermittent leak at the basin mixer in the ground floor accessible WC. Investigate and rectify.</t>
  </si>
  <si>
    <t xml:space="preserve">Metro Plumbing Group</t>
  </si>
  <si>
    <t xml:space="preserve">Rm 3.08</t>
  </si>
  <si>
    <t xml:space="preserve">Floor finishes</t>
  </si>
  <si>
    <t xml:space="preserve">Vinyl seam lifting at the doorway threshold. Re-weld the seam and make good.</t>
  </si>
  <si>
    <t xml:space="preserve">Surface Floors Pty Ltd</t>
  </si>
  <si>
    <t xml:space="preserve">One item per row. Write what is wrong AND what will fix it in the description - an item that only says 'poor finish' will be argued about. Only the Superintendent sets Closed; the Contractor moves items to Ready for inspection. 'Not accepted' keeps the item ageing from the date it was first raised, which is the point of it. Add rows inside the table so the Summary keeps counting them. Prints A3 landscape - for A4, hide columns F, G, S and W first. The four grey columns - Item ID, Days open, Flag and Photos - calculate themselves; everything else is yours to fill in.</t>
  </si>
  <si>
    <t xml:space="preserve">SUMMARY</t>
  </si>
  <si>
    <t xml:space="preserve">Who owes what, where, and how long it has been sitting there</t>
  </si>
  <si>
    <t xml:space="preserve">WHERE THE LIST STANDS</t>
  </si>
  <si>
    <t xml:space="preserve">Total items raised</t>
  </si>
  <si>
    <t xml:space="preserve">Items overdue</t>
  </si>
  <si>
    <t xml:space="preserve">Open items</t>
  </si>
  <si>
    <t xml:space="preserve">Open items that stop PC</t>
  </si>
  <si>
    <t xml:space="preserve">Closed items</t>
  </si>
  <si>
    <t xml:space="preserve">Open Critical items</t>
  </si>
  <si>
    <t xml:space="preserve">Percentage closed</t>
  </si>
  <si>
    <t xml:space="preserve">Open more than 30 days</t>
  </si>
  <si>
    <t xml:space="preserve">Trade and area counts show OPEN items only - that is the chase list.</t>
  </si>
  <si>
    <t xml:space="preserve">BY STATUS</t>
  </si>
  <si>
    <t xml:space="preserve">BY TRADE</t>
  </si>
  <si>
    <t xml:space="preserve">Items</t>
  </si>
  <si>
    <t xml:space="preserve">% of all</t>
  </si>
  <si>
    <t xml:space="preserve">Share</t>
  </si>
  <si>
    <t xml:space="preserve">Trade</t>
  </si>
  <si>
    <t xml:space="preserve">Demolition</t>
  </si>
  <si>
    <t xml:space="preserve">Earthworks and civil</t>
  </si>
  <si>
    <t xml:space="preserve">Piling and foundations</t>
  </si>
  <si>
    <t xml:space="preserve">Concrete structure</t>
  </si>
  <si>
    <t xml:space="preserve">Structural steel</t>
  </si>
  <si>
    <t xml:space="preserve">Masonry</t>
  </si>
  <si>
    <t xml:space="preserve">Carpentry and joinery</t>
  </si>
  <si>
    <t xml:space="preserve">Roofing and cladding</t>
  </si>
  <si>
    <t xml:space="preserve">BY SEVERITY</t>
  </si>
  <si>
    <t xml:space="preserve">Windows and doors</t>
  </si>
  <si>
    <t xml:space="preserve">Waterproofing</t>
  </si>
  <si>
    <t xml:space="preserve">Plastering and linings</t>
  </si>
  <si>
    <t xml:space="preserve">Partitions</t>
  </si>
  <si>
    <t xml:space="preserve">BY STAGE</t>
  </si>
  <si>
    <t xml:space="preserve">Tiling</t>
  </si>
  <si>
    <t xml:space="preserve">AGEING OF OPEN ITEMS</t>
  </si>
  <si>
    <t xml:space="preserve">Age</t>
  </si>
  <si>
    <t xml:space="preserve">% of open</t>
  </si>
  <si>
    <t xml:space="preserve">Fire services</t>
  </si>
  <si>
    <t xml:space="preserve">0 - 7 days</t>
  </si>
  <si>
    <t xml:space="preserve">Vertical transport</t>
  </si>
  <si>
    <t xml:space="preserve">8 - 14 days</t>
  </si>
  <si>
    <t xml:space="preserve">15 - 30 days</t>
  </si>
  <si>
    <t xml:space="preserve">31 - 60 days</t>
  </si>
  <si>
    <t xml:space="preserve">Signage and wayfinding</t>
  </si>
  <si>
    <t xml:space="preserve">Over 60 days</t>
  </si>
  <si>
    <t xml:space="preserve">Loose furniture and equipment</t>
  </si>
  <si>
    <t xml:space="preserve">Other</t>
  </si>
  <si>
    <t xml:space="preserve">BY AREA</t>
  </si>
  <si>
    <t xml:space="preserve">Area</t>
  </si>
  <si>
    <t xml:space="preserve">Building B</t>
  </si>
  <si>
    <t xml:space="preserve">Ground floor</t>
  </si>
  <si>
    <t xml:space="preserve">Podium</t>
  </si>
  <si>
    <t xml:space="preserve">Tower</t>
  </si>
  <si>
    <t xml:space="preserve">Carpark</t>
  </si>
  <si>
    <t xml:space="preserve">Every figure here is a formula over the Punch List sheet. 'Open' means anything not Closed and not marked Not a defect. Ageing runs from the date the item was raised, not from the last time it was re-inspected, so items that keep failing keep ageing.</t>
  </si>
  <si>
    <t xml:space="preserve">INSPECTION SIGN-OFF</t>
  </si>
  <si>
    <t xml:space="preserve">INSPECTION DETAILS</t>
  </si>
  <si>
    <t xml:space="preserve">Inspection type</t>
  </si>
  <si>
    <t xml:space="preserve">Date of inspection</t>
  </si>
  <si>
    <t xml:space="preserve">Time started</t>
  </si>
  <si>
    <t xml:space="preserve">Time finished</t>
  </si>
  <si>
    <t xml:space="preserve">Areas inspected</t>
  </si>
  <si>
    <t xml:space="preserve">Weather and site conditions</t>
  </si>
  <si>
    <t xml:space="preserve">Inspection reference</t>
  </si>
  <si>
    <t xml:space="preserve">ATTENDEES</t>
  </si>
  <si>
    <t xml:space="preserve">Name</t>
  </si>
  <si>
    <t xml:space="preserve">Organisation</t>
  </si>
  <si>
    <t xml:space="preserve">Role</t>
  </si>
  <si>
    <t xml:space="preserve">Signature</t>
  </si>
  <si>
    <t xml:space="preserve">THE REGISTER AT THE DATE OF THIS INSPECTION</t>
  </si>
  <si>
    <t xml:space="preserve">Total items on the register</t>
  </si>
  <si>
    <t xml:space="preserve">Open items that stop Practical Completion</t>
  </si>
  <si>
    <t xml:space="preserve">OUTCOME</t>
  </si>
  <si>
    <t xml:space="preserve">Outcome of this inspection</t>
  </si>
  <si>
    <t xml:space="preserve">The Superintendent has inspected the areas listed above and records the items on the Punch List sheet as the items requiring rectification. Items marked as stopping Practical Completion must be closed out and verified before Practical Completion can be certified. This sign-off records the inspection only; it is not a certificate of Practical Completion, an approval of the work, or an acceptance that the work is free from defects that were not apparent at the time of inspection.</t>
  </si>
  <si>
    <t xml:space="preserve">Position</t>
  </si>
  <si>
    <t xml:space="preserve">Date</t>
  </si>
  <si>
    <t xml:space="preserve">Contractor representative</t>
  </si>
  <si>
    <t xml:space="preserve">PHOTO LOG</t>
  </si>
  <si>
    <t xml:space="preserve">One row per photo. Enter the Item ID exactly as it appears in column B of the Punch List (PL-001, PL-002 and so on) - the register counts the photos back against each item.</t>
  </si>
  <si>
    <t xml:space="preserve">Photo reference</t>
  </si>
  <si>
    <t xml:space="preserve">Type</t>
  </si>
  <si>
    <t xml:space="preserve">Date taken</t>
  </si>
  <si>
    <t xml:space="preserve">Taken by</t>
  </si>
  <si>
    <t xml:space="preserve">File name or location</t>
  </si>
  <si>
    <t xml:space="preserve">What the photo shows</t>
  </si>
  <si>
    <t xml:space="preserve">PL-002</t>
  </si>
  <si>
    <t xml:space="preserve">IMG-2207-01</t>
  </si>
  <si>
    <t xml:space="preserve">Before</t>
  </si>
  <si>
    <t xml:space="preserve">Site photos / 2026-07-27 PC inspection / IMG-2207-01.jpg</t>
  </si>
  <si>
    <t xml:space="preserve">Chip to glazing panel G-12, lower right corner.</t>
  </si>
  <si>
    <t xml:space="preserve">PL-004</t>
  </si>
  <si>
    <t xml:space="preserve">IMG-2207-14</t>
  </si>
  <si>
    <t xml:space="preserve">Site photos / 2026-07-22 services walk / IMG-2207-14.jpg</t>
  </si>
  <si>
    <t xml:space="preserve">Lux meter reading at the carpark egress path.</t>
  </si>
  <si>
    <t xml:space="preserve">IMG-2208-03</t>
  </si>
  <si>
    <t xml:space="preserve">After</t>
  </si>
  <si>
    <t xml:space="preserve">S. Nguyen</t>
  </si>
  <si>
    <t xml:space="preserve">Site photos / 2026-08-03 rectification / IMG-2208-03.jpg</t>
  </si>
  <si>
    <t xml:space="preserve">Reading after the first rectification attempt - still below the required level.</t>
  </si>
  <si>
    <t xml:space="preserve">PL-006</t>
  </si>
  <si>
    <t xml:space="preserve">IMG-2208-09</t>
  </si>
  <si>
    <t xml:space="preserve">Site photos / 2026-08-04 rectification / IMG-2208-09.jpg</t>
  </si>
  <si>
    <t xml:space="preserve">Ceiling grid re-levelled and checked.</t>
  </si>
  <si>
    <t xml:space="preserve">Record the file location as text - keep the photos in your document management system rather than embedding them here, or the workbook will become too heavy to email. A Before and an After photo against every Major and Critical item makes close-out arguments very short.</t>
  </si>
  <si>
    <t xml:space="preserve">REFERENCE  ·  DROPDOWN LISTS &amp; CONVENTIONS</t>
  </si>
  <si>
    <t xml:space="preserve">Edit the Area and Trade lists to match your project before the first inspection. Add values inside the ranges, not below them, so the dropdowns pick them up.</t>
  </si>
  <si>
    <t xml:space="preserve">Responsible party</t>
  </si>
  <si>
    <t xml:space="preserve">Yes / No</t>
  </si>
  <si>
    <t xml:space="preserve">Photo type</t>
  </si>
  <si>
    <t xml:space="preserve">Pre-Practical Completion inspection</t>
  </si>
  <si>
    <t xml:space="preserve">Principal</t>
  </si>
  <si>
    <t xml:space="preserve">Practical Completion inspection</t>
  </si>
  <si>
    <t xml:space="preserve">Principal's separate contractor</t>
  </si>
  <si>
    <t xml:space="preserve">Context</t>
  </si>
  <si>
    <t xml:space="preserve">Re-inspection</t>
  </si>
  <si>
    <t xml:space="preserve">Consultant</t>
  </si>
  <si>
    <t xml:space="preserve">Close-up</t>
  </si>
  <si>
    <t xml:space="preserve">Defects Liability Period inspection</t>
  </si>
  <si>
    <t xml:space="preserve">Supplier</t>
  </si>
  <si>
    <t xml:space="preserve">Final inspection - end of DLP</t>
  </si>
  <si>
    <t xml:space="preserve">Under investigation</t>
  </si>
  <si>
    <t xml:space="preserve">Commissioning outstanding</t>
  </si>
  <si>
    <t xml:space="preserve">STATUS DEFINITIONS</t>
  </si>
  <si>
    <t xml:space="preserve">Raised and issued to the Contractor. Nothing has started.</t>
  </si>
  <si>
    <t xml:space="preserve">The Contractor has started rectification.</t>
  </si>
  <si>
    <t xml:space="preserve">The Contractor says it is done. Waiting on the Superintendent to verify.</t>
  </si>
  <si>
    <t xml:space="preserve">Re-inspected and failed. Back to the Contractor - the item stays open and keeps ageing.</t>
  </si>
  <si>
    <t xml:space="preserve">Verified by the Superintendent and signed off. Only the Superintendent sets this.</t>
  </si>
  <si>
    <t xml:space="preserve">Assessed and found to be within tolerance, out of scope, or the Principal's responsibility. Record the reasoning in the comments.</t>
  </si>
  <si>
    <t xml:space="preserve">Cannot proceed - awaiting a decision, access, a long-lead part or another trade.</t>
  </si>
  <si>
    <t xml:space="preserve">SEVERITY</t>
  </si>
  <si>
    <t xml:space="preserve">Life safety, statutory compliance, or the asset cannot be used or operated. Always stops Practical Completion.</t>
  </si>
  <si>
    <t xml:space="preserve">Function, durability or appearance is materially affected. Usually stops Practical Completion in the affected area.</t>
  </si>
  <si>
    <t xml:space="preserve">Cosmetic or minor finish item. Normally rectified during the Defects Liability Period rather than holding up Practical Completion.</t>
  </si>
  <si>
    <t xml:space="preserve">CELL CONVENTIONS</t>
  </si>
  <si>
    <t xml:space="preserve">You complete this</t>
  </si>
  <si>
    <t xml:space="preserve">Pale blue fill, blue text.</t>
  </si>
  <si>
    <t xml:space="preserve">Calculated</t>
  </si>
  <si>
    <t xml:space="preserve">Off-white fill. A formula - do not type over it.</t>
  </si>
  <si>
    <t xml:space="preserve">Subtotal or total</t>
  </si>
  <si>
    <t xml:space="preserve">Light grey with a rule above. Always a formula.</t>
  </si>
  <si>
    <t xml:space="preserve">Section band</t>
  </si>
  <si>
    <t xml:space="preserve">Marks the start of a section.</t>
  </si>
</sst>
</file>

<file path=xl/styles.xml><?xml version="1.0" encoding="utf-8"?>
<styleSheet xmlns="http://schemas.openxmlformats.org/spreadsheetml/2006/main">
  <numFmts count="5">
    <numFmt numFmtId="164" formatCode="General"/>
    <numFmt numFmtId="165" formatCode="dd\ mmm\ yyyy"/>
    <numFmt numFmtId="166" formatCode="#,##0"/>
    <numFmt numFmtId="167" formatCode="0;;\-"/>
    <numFmt numFmtId="168" formatCode="0.0%"/>
  </numFmts>
  <fonts count="45">
    <font>
      <sz val="11"/>
      <color theme="1"/>
      <name val="Calibri"/>
      <family val="2"/>
      <charset val="1"/>
    </font>
    <font>
      <sz val="10"/>
      <name val="Arial"/>
      <family val="0"/>
    </font>
    <font>
      <sz val="10"/>
      <name val="Arial"/>
      <family val="0"/>
    </font>
    <font>
      <sz val="10"/>
      <name val="Arial"/>
      <family val="0"/>
    </font>
    <font>
      <b val="true"/>
      <sz val="26"/>
      <color rgb="FFFFFFFF"/>
      <name val="Inter"/>
      <family val="0"/>
      <charset val="1"/>
    </font>
    <font>
      <sz val="11"/>
      <color rgb="FF1D3245"/>
      <name val="Inter"/>
      <family val="0"/>
      <charset val="1"/>
    </font>
    <font>
      <b val="true"/>
      <sz val="11"/>
      <color rgb="FFFFFFFF"/>
      <name val="Inter"/>
      <family val="0"/>
      <charset val="1"/>
    </font>
    <font>
      <b val="true"/>
      <sz val="11"/>
      <color rgb="FF3480BC"/>
      <name val="Inter"/>
      <family val="0"/>
      <charset val="1"/>
    </font>
    <font>
      <b val="true"/>
      <sz val="10"/>
      <color rgb="FF1D3245"/>
      <name val="Inter"/>
      <family val="0"/>
      <charset val="1"/>
    </font>
    <font>
      <sz val="9"/>
      <color rgb="FF1D3245"/>
      <name val="Inter"/>
      <family val="0"/>
      <charset val="1"/>
    </font>
    <font>
      <b val="true"/>
      <sz val="9"/>
      <color rgb="FF8E98A2"/>
      <name val="Inter"/>
      <family val="0"/>
      <charset val="1"/>
    </font>
    <font>
      <b val="true"/>
      <sz val="9"/>
      <color rgb="FF1D3245"/>
      <name val="Inter"/>
      <family val="0"/>
      <charset val="1"/>
    </font>
    <font>
      <b val="true"/>
      <sz val="9"/>
      <color rgb="FFFFFFFF"/>
      <name val="Inter"/>
      <family val="0"/>
      <charset val="1"/>
    </font>
    <font>
      <sz val="8.5"/>
      <color rgb="FF1D3245"/>
      <name val="Inter"/>
      <family val="0"/>
      <charset val="1"/>
    </font>
    <font>
      <b val="true"/>
      <sz val="9"/>
      <color rgb="FFBDBDBD"/>
      <name val="Inter"/>
      <family val="0"/>
      <charset val="1"/>
    </font>
    <font>
      <b val="true"/>
      <sz val="8.5"/>
      <color rgb="FF0D3C61"/>
      <name val="Inter"/>
      <family val="0"/>
      <charset val="1"/>
    </font>
    <font>
      <b val="true"/>
      <u val="single"/>
      <sz val="9.5"/>
      <color rgb="FF3480BC"/>
      <name val="Inter"/>
      <family val="0"/>
      <charset val="1"/>
    </font>
    <font>
      <b val="true"/>
      <sz val="9.5"/>
      <color rgb="FFE31B0C"/>
      <name val="Inter"/>
      <family val="0"/>
      <charset val="1"/>
    </font>
    <font>
      <u val="single"/>
      <sz val="9.5"/>
      <color rgb="FF3480BC"/>
      <name val="Inter"/>
      <family val="0"/>
      <charset val="1"/>
    </font>
    <font>
      <b val="true"/>
      <sz val="18"/>
      <color rgb="FFFFFFFF"/>
      <name val="Inter"/>
      <family val="0"/>
      <charset val="1"/>
    </font>
    <font>
      <sz val="9.5"/>
      <color rgb="FF9FB3C8"/>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i val="true"/>
      <sz val="8.5"/>
      <color rgb="FF8E98A2"/>
      <name val="Inter"/>
      <family val="0"/>
      <charset val="1"/>
    </font>
    <font>
      <u val="single"/>
      <sz val="8.5"/>
      <color rgb="FF3480BC"/>
      <name val="Inter"/>
      <family val="0"/>
      <charset val="1"/>
    </font>
    <font>
      <b val="true"/>
      <sz val="9.5"/>
      <color rgb="FF64B6F7"/>
      <name val="Inter"/>
      <family val="0"/>
      <charset val="1"/>
    </font>
    <font>
      <b val="true"/>
      <sz val="9.5"/>
      <color rgb="FFEC6917"/>
      <name val="Inter"/>
      <family val="0"/>
      <charset val="1"/>
    </font>
    <font>
      <sz val="9"/>
      <color rgb="FF0D3C61"/>
      <name val="Inter"/>
      <family val="0"/>
      <charset val="1"/>
    </font>
    <font>
      <sz val="8.5"/>
      <color rgb="FF8E98A2"/>
      <name val="Inter"/>
      <family val="0"/>
      <charset val="1"/>
    </font>
    <font>
      <i val="true"/>
      <sz val="8.5"/>
      <color rgb="FF039BE5"/>
      <name val="Inter"/>
      <family val="0"/>
      <charset val="1"/>
    </font>
    <font>
      <b val="true"/>
      <sz val="13"/>
      <color rgb="FF0D3C61"/>
      <name val="Inter"/>
      <family val="0"/>
      <charset val="1"/>
    </font>
    <font>
      <b val="true"/>
      <sz val="10"/>
      <color rgb="FFFFFFFF"/>
      <name val="Inter"/>
      <family val="0"/>
      <charset val="1"/>
    </font>
    <font>
      <b val="true"/>
      <sz val="9.5"/>
      <color rgb="FF1D3245"/>
      <name val="Inter"/>
      <family val="0"/>
      <charset val="1"/>
    </font>
    <font>
      <sz val="9"/>
      <color rgb="FF8E98A2"/>
      <name val="Inter"/>
      <family val="0"/>
      <charset val="1"/>
    </font>
    <font>
      <b val="true"/>
      <sz val="10"/>
      <color rgb="FF039BE5"/>
      <name val="Inter"/>
      <family val="0"/>
      <charset val="1"/>
    </font>
    <font>
      <b val="true"/>
      <sz val="10"/>
      <color rgb="FF4CAF50"/>
      <name val="Inter"/>
      <family val="0"/>
      <charset val="1"/>
    </font>
    <font>
      <b val="true"/>
      <sz val="10"/>
      <color rgb="FFFFB547"/>
      <name val="Inter"/>
      <family val="0"/>
      <charset val="1"/>
    </font>
    <font>
      <b val="true"/>
      <sz val="10"/>
      <color rgb="FFEC6917"/>
      <name val="Inter"/>
      <family val="0"/>
      <charset val="1"/>
    </font>
    <font>
      <b val="true"/>
      <sz val="10"/>
      <color rgb="FFE31B0C"/>
      <name val="Inter"/>
      <family val="0"/>
      <charset val="1"/>
    </font>
    <font>
      <b val="true"/>
      <sz val="11"/>
      <color rgb="FF0D3C61"/>
      <name val="Inter"/>
      <family val="0"/>
      <charset val="1"/>
    </font>
    <font>
      <sz val="9.5"/>
      <color rgb="FF1D3245"/>
      <name val="Inter"/>
      <family val="0"/>
      <charset val="1"/>
    </font>
    <font>
      <b val="true"/>
      <sz val="12"/>
      <color rgb="FFFFFFFF"/>
      <name val="Inter"/>
      <family val="0"/>
      <charset val="1"/>
    </font>
    <font>
      <b val="true"/>
      <sz val="9.5"/>
      <color rgb="FF0D3C61"/>
      <name val="Inter"/>
      <family val="0"/>
      <charset val="1"/>
    </font>
    <font>
      <b val="true"/>
      <sz val="9.5"/>
      <color rgb="FFFFFFFF"/>
      <name val="Inter"/>
      <family val="0"/>
      <charset val="1"/>
    </font>
  </fonts>
  <fills count="19">
    <fill>
      <patternFill patternType="none"/>
    </fill>
    <fill>
      <patternFill patternType="gray125"/>
    </fill>
    <fill>
      <patternFill patternType="solid">
        <fgColor rgb="FF1D3245"/>
        <bgColor rgb="FF0D3C61"/>
      </patternFill>
    </fill>
    <fill>
      <patternFill patternType="solid">
        <fgColor rgb="FF3480BC"/>
        <bgColor rgb="FF008080"/>
      </patternFill>
    </fill>
    <fill>
      <patternFill patternType="solid">
        <fgColor rgb="FF0D3C61"/>
        <bgColor rgb="FF1D3245"/>
      </patternFill>
    </fill>
    <fill>
      <patternFill patternType="solid">
        <fgColor rgb="FFE0E0E0"/>
        <bgColor rgb="FFDCE9F4"/>
      </patternFill>
    </fill>
    <fill>
      <patternFill patternType="solid">
        <fgColor rgb="FFFFFFFF"/>
        <bgColor rgb="FFF6F9FC"/>
      </patternFill>
    </fill>
    <fill>
      <patternFill patternType="solid">
        <fgColor rgb="FFE31B0C"/>
        <bgColor rgb="FF993300"/>
      </patternFill>
    </fill>
    <fill>
      <patternFill patternType="solid">
        <fgColor rgb="FFFFB547"/>
        <bgColor rgb="FFFF9900"/>
      </patternFill>
    </fill>
    <fill>
      <patternFill patternType="solid">
        <fgColor rgb="FFEC6917"/>
        <bgColor rgb="FFFF9900"/>
      </patternFill>
    </fill>
    <fill>
      <patternFill patternType="solid">
        <fgColor rgb="FF64B6F7"/>
        <bgColor rgb="FF9FB3C8"/>
      </patternFill>
    </fill>
    <fill>
      <patternFill patternType="solid">
        <fgColor rgb="FF4CAF50"/>
        <bgColor rgb="FF8E98A2"/>
      </patternFill>
    </fill>
    <fill>
      <patternFill patternType="solid">
        <fgColor rgb="FFEEEEEE"/>
        <bgColor rgb="FFF5F5F5"/>
      </patternFill>
    </fill>
    <fill>
      <patternFill patternType="solid">
        <fgColor rgb="FFBDBDBD"/>
        <bgColor rgb="FF9FB3C8"/>
      </patternFill>
    </fill>
    <fill>
      <patternFill patternType="solid">
        <fgColor rgb="FFDCE9F4"/>
        <bgColor rgb="FFE3F0FA"/>
      </patternFill>
    </fill>
    <fill>
      <patternFill patternType="solid">
        <fgColor rgb="FFF5F5F5"/>
        <bgColor rgb="FFF6F9FC"/>
      </patternFill>
    </fill>
    <fill>
      <patternFill patternType="solid">
        <fgColor rgb="FFFFF4E0"/>
        <bgColor rgb="FFFDEBE0"/>
      </patternFill>
    </fill>
    <fill>
      <patternFill patternType="solid">
        <fgColor rgb="FFE3F0FA"/>
        <bgColor rgb="FFDCE9F4"/>
      </patternFill>
    </fill>
    <fill>
      <patternFill patternType="solid">
        <fgColor rgb="FFF6F9FC"/>
        <bgColor rgb="FFF5F5F5"/>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right"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true" applyProtection="false">
      <alignment horizontal="center" vertical="top" textRotation="0" wrapText="false" indent="0" shrinkToFit="false"/>
      <protection locked="true" hidden="false"/>
    </xf>
    <xf numFmtId="164" fontId="8" fillId="0" borderId="0" xfId="0" applyFont="true" applyBorder="false" applyAlignment="true" applyProtection="false">
      <alignment horizontal="left" vertical="top" textRotation="0" wrapText="false" indent="1" shrinkToFit="tru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false" applyAlignment="true" applyProtection="false">
      <alignment horizontal="left" vertical="center" textRotation="0" wrapText="false" indent="1"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1" fillId="5" borderId="1" xfId="0" applyFont="true" applyBorder="true" applyAlignment="true" applyProtection="false">
      <alignment horizontal="center" vertical="center"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2" fillId="7"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1" shrinkToFit="false"/>
      <protection locked="true" hidden="false"/>
    </xf>
    <xf numFmtId="164" fontId="11" fillId="8" borderId="1" xfId="0" applyFont="true" applyBorder="true" applyAlignment="true" applyProtection="false">
      <alignment horizontal="center" vertical="center" textRotation="0" wrapText="false" indent="0" shrinkToFit="false"/>
      <protection locked="true" hidden="false"/>
    </xf>
    <xf numFmtId="164" fontId="12" fillId="9" borderId="1" xfId="0" applyFont="true" applyBorder="true" applyAlignment="true" applyProtection="false">
      <alignment horizontal="center" vertical="center" textRotation="0" wrapText="false" indent="0" shrinkToFit="false"/>
      <protection locked="true" hidden="false"/>
    </xf>
    <xf numFmtId="164" fontId="11" fillId="10" borderId="1" xfId="0" applyFont="true" applyBorder="true" applyAlignment="true" applyProtection="false">
      <alignment horizontal="center" vertical="center" textRotation="0" wrapText="false" indent="0" shrinkToFit="false"/>
      <protection locked="true" hidden="false"/>
    </xf>
    <xf numFmtId="164" fontId="11" fillId="11" borderId="1" xfId="0" applyFont="true" applyBorder="true" applyAlignment="true" applyProtection="false">
      <alignment horizontal="center" vertical="center" textRotation="0" wrapText="false" indent="0" shrinkToFit="false"/>
      <protection locked="true" hidden="false"/>
    </xf>
    <xf numFmtId="164" fontId="14" fillId="12" borderId="1" xfId="0" applyFont="true" applyBorder="true" applyAlignment="true" applyProtection="false">
      <alignment horizontal="center" vertical="center" textRotation="0" wrapText="false" indent="0" shrinkToFit="false"/>
      <protection locked="true" hidden="false"/>
    </xf>
    <xf numFmtId="164" fontId="11" fillId="13" borderId="1" xfId="0" applyFont="true" applyBorder="true" applyAlignment="true" applyProtection="false">
      <alignment horizontal="center" vertical="center" textRotation="0" wrapText="false" indent="0" shrinkToFit="false"/>
      <protection locked="true" hidden="false"/>
    </xf>
    <xf numFmtId="164" fontId="15" fillId="14" borderId="2" xfId="0" applyFont="true" applyBorder="true" applyAlignment="true" applyProtection="false">
      <alignment horizontal="center" vertical="center" textRotation="0" wrapText="tru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6" fillId="6" borderId="1" xfId="0" applyFont="true" applyBorder="true" applyAlignment="true" applyProtection="false">
      <alignment horizontal="left" vertical="center" textRotation="0" wrapText="false" indent="1" shrinkToFit="false"/>
      <protection locked="true" hidden="false"/>
    </xf>
    <xf numFmtId="164" fontId="9" fillId="6" borderId="1" xfId="0" applyFont="true" applyBorder="true" applyAlignment="true" applyProtection="false">
      <alignment horizontal="left" vertical="center" textRotation="0" wrapText="true" indent="1" shrinkToFit="false"/>
      <protection locked="true" hidden="false"/>
    </xf>
    <xf numFmtId="164" fontId="0" fillId="15" borderId="1" xfId="0" applyFont="false" applyBorder="true" applyAlignment="false" applyProtection="false">
      <alignment horizontal="general" vertical="bottom" textRotation="0" wrapText="false" indent="0" shrinkToFit="false"/>
      <protection locked="true" hidden="false"/>
    </xf>
    <xf numFmtId="164" fontId="16" fillId="15" borderId="1" xfId="0" applyFont="true" applyBorder="true" applyAlignment="true" applyProtection="false">
      <alignment horizontal="left" vertical="center" textRotation="0" wrapText="false" indent="1" shrinkToFit="false"/>
      <protection locked="true" hidden="false"/>
    </xf>
    <xf numFmtId="164" fontId="9" fillId="15" borderId="1" xfId="0" applyFont="true" applyBorder="true" applyAlignment="true" applyProtection="false">
      <alignment horizontal="left" vertical="center" textRotation="0" wrapText="true" indent="1" shrinkToFit="false"/>
      <protection locked="true" hidden="false"/>
    </xf>
    <xf numFmtId="164" fontId="17" fillId="0" borderId="0" xfId="0" applyFont="true" applyBorder="true" applyAlignment="true" applyProtection="false">
      <alignment horizontal="left" vertical="center" textRotation="0" wrapText="false" indent="1" shrinkToFit="false"/>
      <protection locked="true" hidden="false"/>
    </xf>
    <xf numFmtId="164" fontId="9" fillId="16" borderId="1" xfId="0" applyFont="true" applyBorder="true" applyAlignment="true" applyProtection="false">
      <alignment horizontal="left" vertical="top" textRotation="0" wrapText="true" indent="1"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9" fillId="2" borderId="0" xfId="0" applyFont="true" applyBorder="true" applyAlignment="true" applyProtection="false">
      <alignment horizontal="right" vertical="center" textRotation="0" wrapText="false" indent="1" shrinkToFit="false"/>
      <protection locked="true" hidden="false"/>
    </xf>
    <xf numFmtId="164" fontId="20" fillId="2" borderId="0" xfId="0" applyFont="true" applyBorder="true" applyAlignment="true" applyProtection="false">
      <alignment horizontal="right" vertical="center" textRotation="0" wrapText="false" indent="1" shrinkToFit="false"/>
      <protection locked="true" hidden="false"/>
    </xf>
    <xf numFmtId="164" fontId="21" fillId="0" borderId="0" xfId="0" applyFont="true" applyBorder="true" applyAlignment="true" applyProtection="false">
      <alignment horizontal="left" vertical="top" textRotation="0" wrapText="true" indent="1" shrinkToFit="false"/>
      <protection locked="true" hidden="false"/>
    </xf>
    <xf numFmtId="164" fontId="22" fillId="0" borderId="0" xfId="0" applyFont="true" applyBorder="true" applyAlignment="true" applyProtection="false">
      <alignment horizontal="left" vertical="center" textRotation="0" wrapText="false" indent="1" shrinkToFit="true"/>
      <protection locked="true" hidden="false"/>
    </xf>
    <xf numFmtId="164" fontId="23" fillId="17" borderId="1" xfId="0" applyFont="true" applyBorder="true" applyAlignment="true" applyProtection="false">
      <alignment horizontal="left" vertical="center" textRotation="0" wrapText="false" indent="1" shrinkToFit="true"/>
      <protection locked="true" hidden="false"/>
    </xf>
    <xf numFmtId="165" fontId="23" fillId="17" borderId="1" xfId="0" applyFont="true" applyBorder="true" applyAlignment="true" applyProtection="false">
      <alignment horizontal="left" vertical="center" textRotation="0" wrapText="false" indent="1" shrinkToFit="true"/>
      <protection locked="true" hidden="false"/>
    </xf>
    <xf numFmtId="164" fontId="24" fillId="0" borderId="0" xfId="0" applyFont="true" applyBorder="true" applyAlignment="true" applyProtection="false">
      <alignment horizontal="left" vertical="top" textRotation="0" wrapText="true" indent="1" shrinkToFit="false"/>
      <protection locked="true" hidden="false"/>
    </xf>
    <xf numFmtId="166" fontId="23" fillId="17" borderId="1" xfId="0" applyFont="true" applyBorder="true" applyAlignment="true" applyProtection="false">
      <alignment horizontal="left" vertical="center" textRotation="0" wrapText="false" indent="1" shrinkToFit="true"/>
      <protection locked="true" hidden="false"/>
    </xf>
    <xf numFmtId="165" fontId="22" fillId="18" borderId="1" xfId="0" applyFont="true" applyBorder="true" applyAlignment="true" applyProtection="false">
      <alignment horizontal="left" vertical="center" textRotation="0" wrapText="false" indent="1" shrinkToFit="true"/>
      <protection locked="true" hidden="false"/>
    </xf>
    <xf numFmtId="164" fontId="23" fillId="17" borderId="1" xfId="0" applyFont="true" applyBorder="true" applyAlignment="true" applyProtection="false">
      <alignment horizontal="left" vertical="top" textRotation="0" wrapText="true" indent="1" shrinkToFit="false"/>
      <protection locked="true" hidden="false"/>
    </xf>
    <xf numFmtId="164" fontId="25" fillId="0" borderId="0" xfId="0" applyFont="true" applyBorder="true" applyAlignment="true" applyProtection="false">
      <alignment horizontal="right" vertical="center" textRotation="0" wrapText="false" indent="0" shrinkToFit="false"/>
      <protection locked="true" hidden="false"/>
    </xf>
    <xf numFmtId="164" fontId="26" fillId="2" borderId="0" xfId="0" applyFont="true" applyBorder="true" applyAlignment="true" applyProtection="false">
      <alignment horizontal="right" vertical="center" textRotation="0" wrapText="false" indent="1" shrinkToFit="false"/>
      <protection locked="true" hidden="false"/>
    </xf>
    <xf numFmtId="164" fontId="27" fillId="0" borderId="0" xfId="0" applyFont="true" applyBorder="true" applyAlignment="true" applyProtection="false">
      <alignment horizontal="center" vertical="center" textRotation="0" wrapText="false" indent="0" shrinkToFit="false"/>
      <protection locked="true" hidden="false"/>
    </xf>
    <xf numFmtId="164" fontId="10" fillId="12" borderId="1" xfId="0" applyFont="true" applyBorder="true" applyAlignment="true" applyProtection="false">
      <alignment horizontal="center" vertical="center" textRotation="0" wrapText="false" indent="0" shrinkToFit="false"/>
      <protection locked="true" hidden="false"/>
    </xf>
    <xf numFmtId="164" fontId="28" fillId="6" borderId="1" xfId="0" applyFont="true" applyBorder="true" applyAlignment="true" applyProtection="false">
      <alignment horizontal="center" vertical="center" textRotation="0" wrapText="true" indent="0" shrinkToFit="false"/>
      <protection locked="true" hidden="false"/>
    </xf>
    <xf numFmtId="165" fontId="28" fillId="6" borderId="1" xfId="0" applyFont="true" applyBorder="true" applyAlignment="true" applyProtection="false">
      <alignment horizontal="center" vertical="center" textRotation="0" wrapText="false" indent="0" shrinkToFit="false"/>
      <protection locked="true" hidden="false"/>
    </xf>
    <xf numFmtId="164" fontId="28" fillId="6" borderId="1" xfId="0" applyFont="true" applyBorder="true" applyAlignment="true" applyProtection="false">
      <alignment horizontal="left" vertical="top" textRotation="0" wrapText="true" indent="1" shrinkToFit="false"/>
      <protection locked="true" hidden="false"/>
    </xf>
    <xf numFmtId="166" fontId="29" fillId="12" borderId="1" xfId="0" applyFont="true" applyBorder="true" applyAlignment="true" applyProtection="false">
      <alignment horizontal="center" vertical="center" textRotation="0" wrapText="false" indent="0" shrinkToFit="false"/>
      <protection locked="true" hidden="false"/>
    </xf>
    <xf numFmtId="164" fontId="29" fillId="12" borderId="1" xfId="0" applyFont="true" applyBorder="true" applyAlignment="true" applyProtection="false">
      <alignment horizontal="center" vertical="center" textRotation="0" wrapText="false" indent="0" shrinkToFit="false"/>
      <protection locked="true" hidden="false"/>
    </xf>
    <xf numFmtId="167" fontId="29" fillId="12" borderId="1" xfId="0" applyFont="true" applyBorder="true" applyAlignment="true" applyProtection="false">
      <alignment horizontal="center" vertical="center" textRotation="0" wrapText="false" indent="0" shrinkToFit="false"/>
      <protection locked="true" hidden="false"/>
    </xf>
    <xf numFmtId="164" fontId="30" fillId="6" borderId="1" xfId="0" applyFont="true" applyBorder="true" applyAlignment="true" applyProtection="false">
      <alignment horizontal="left" vertical="top" textRotation="0" wrapText="true" indent="1" shrinkToFit="false"/>
      <protection locked="true" hidden="false"/>
    </xf>
    <xf numFmtId="164" fontId="28" fillId="15" borderId="1" xfId="0" applyFont="true" applyBorder="true" applyAlignment="true" applyProtection="false">
      <alignment horizontal="center" vertical="center" textRotation="0" wrapText="true" indent="0" shrinkToFit="false"/>
      <protection locked="true" hidden="false"/>
    </xf>
    <xf numFmtId="165" fontId="28" fillId="15" borderId="1" xfId="0" applyFont="true" applyBorder="true" applyAlignment="true" applyProtection="false">
      <alignment horizontal="center" vertical="center" textRotation="0" wrapText="false" indent="0" shrinkToFit="false"/>
      <protection locked="true" hidden="false"/>
    </xf>
    <xf numFmtId="164" fontId="28" fillId="15" borderId="1" xfId="0" applyFont="true" applyBorder="true" applyAlignment="true" applyProtection="false">
      <alignment horizontal="left" vertical="top" textRotation="0" wrapText="true" indent="1" shrinkToFit="false"/>
      <protection locked="true" hidden="false"/>
    </xf>
    <xf numFmtId="164" fontId="30" fillId="15" borderId="1" xfId="0" applyFont="true" applyBorder="true" applyAlignment="true" applyProtection="false">
      <alignment horizontal="left" vertical="top" textRotation="0" wrapText="true" indent="1" shrinkToFit="false"/>
      <protection locked="true" hidden="false"/>
    </xf>
    <xf numFmtId="164" fontId="22" fillId="12" borderId="1" xfId="0" applyFont="true" applyBorder="true" applyAlignment="true" applyProtection="false">
      <alignment horizontal="left" vertical="center" textRotation="0" wrapText="false" indent="1" shrinkToFit="false"/>
      <protection locked="true" hidden="false"/>
    </xf>
    <xf numFmtId="166" fontId="31" fillId="12" borderId="1" xfId="0" applyFont="true" applyBorder="true" applyAlignment="true" applyProtection="false">
      <alignment horizontal="center" vertical="center" textRotation="0" wrapText="false" indent="0" shrinkToFit="false"/>
      <protection locked="true" hidden="false"/>
    </xf>
    <xf numFmtId="168" fontId="31" fillId="12" borderId="1" xfId="0" applyFont="true" applyBorder="true" applyAlignment="true" applyProtection="false">
      <alignment horizontal="center" vertical="center" textRotation="0" wrapText="false" indent="0" shrinkToFit="false"/>
      <protection locked="true" hidden="false"/>
    </xf>
    <xf numFmtId="164" fontId="32" fillId="3" borderId="0" xfId="0" applyFont="true" applyBorder="true" applyAlignment="true" applyProtection="false">
      <alignment horizontal="left" vertical="center" textRotation="0" wrapText="false" indent="1" shrinkToFit="false"/>
      <protection locked="true" hidden="false"/>
    </xf>
    <xf numFmtId="167" fontId="33" fillId="6" borderId="1" xfId="0" applyFont="true" applyBorder="true" applyAlignment="true" applyProtection="false">
      <alignment horizontal="center" vertical="center" textRotation="0" wrapText="false" indent="0" shrinkToFit="false"/>
      <protection locked="true" hidden="false"/>
    </xf>
    <xf numFmtId="168" fontId="34" fillId="6" borderId="1" xfId="0" applyFont="true" applyBorder="true" applyAlignment="true" applyProtection="false">
      <alignment horizontal="center" vertical="center" textRotation="0" wrapText="false" indent="0" shrinkToFit="false"/>
      <protection locked="true" hidden="false"/>
    </xf>
    <xf numFmtId="164" fontId="35" fillId="6" borderId="1" xfId="0" applyFont="true" applyBorder="true" applyAlignment="true" applyProtection="false">
      <alignment horizontal="left" vertical="center" textRotation="0" wrapText="false" indent="1" shrinkToFit="false"/>
      <protection locked="true" hidden="false"/>
    </xf>
    <xf numFmtId="167" fontId="33" fillId="15" borderId="1" xfId="0" applyFont="true" applyBorder="true" applyAlignment="true" applyProtection="false">
      <alignment horizontal="center" vertical="center" textRotation="0" wrapText="false" indent="0" shrinkToFit="false"/>
      <protection locked="true" hidden="false"/>
    </xf>
    <xf numFmtId="168" fontId="34" fillId="15" borderId="1" xfId="0" applyFont="true" applyBorder="true" applyAlignment="true" applyProtection="false">
      <alignment horizontal="center" vertical="center" textRotation="0" wrapText="false" indent="0" shrinkToFit="false"/>
      <protection locked="true" hidden="false"/>
    </xf>
    <xf numFmtId="164" fontId="35" fillId="15" borderId="1" xfId="0" applyFont="true" applyBorder="true" applyAlignment="true" applyProtection="false">
      <alignment horizontal="left" vertical="center" textRotation="0" wrapText="false" indent="1" shrinkToFit="false"/>
      <protection locked="true" hidden="false"/>
    </xf>
    <xf numFmtId="164" fontId="9" fillId="6" borderId="1" xfId="0" applyFont="true" applyBorder="true" applyAlignment="true" applyProtection="false">
      <alignment horizontal="left" vertical="center" textRotation="0" wrapText="false" indent="1" shrinkToFit="false"/>
      <protection locked="true" hidden="false"/>
    </xf>
    <xf numFmtId="164" fontId="36" fillId="6" borderId="1" xfId="0" applyFont="true" applyBorder="true" applyAlignment="true" applyProtection="false">
      <alignment horizontal="left" vertical="center" textRotation="0" wrapText="false" indent="1" shrinkToFit="false"/>
      <protection locked="true" hidden="false"/>
    </xf>
    <xf numFmtId="164" fontId="9" fillId="15" borderId="1" xfId="0" applyFont="true" applyBorder="true" applyAlignment="true" applyProtection="false">
      <alignment horizontal="left" vertical="center" textRotation="0" wrapText="false" indent="1" shrinkToFit="false"/>
      <protection locked="true" hidden="false"/>
    </xf>
    <xf numFmtId="164" fontId="36" fillId="15" borderId="1" xfId="0" applyFont="true" applyBorder="true" applyAlignment="true" applyProtection="false">
      <alignment horizontal="left" vertical="center" textRotation="0" wrapText="false" indent="1" shrinkToFit="false"/>
      <protection locked="true" hidden="false"/>
    </xf>
    <xf numFmtId="164" fontId="37" fillId="6" borderId="1" xfId="0" applyFont="true" applyBorder="true" applyAlignment="true" applyProtection="false">
      <alignment horizontal="left" vertical="center" textRotation="0" wrapText="false" indent="1" shrinkToFit="false"/>
      <protection locked="true" hidden="false"/>
    </xf>
    <xf numFmtId="164" fontId="38" fillId="15" borderId="1" xfId="0" applyFont="true" applyBorder="true" applyAlignment="true" applyProtection="false">
      <alignment horizontal="left" vertical="center" textRotation="0" wrapText="false" indent="1" shrinkToFit="false"/>
      <protection locked="true" hidden="false"/>
    </xf>
    <xf numFmtId="164" fontId="39" fillId="6" borderId="1" xfId="0" applyFont="true" applyBorder="true" applyAlignment="true" applyProtection="false">
      <alignment horizontal="left" vertical="center" textRotation="0" wrapText="false" indent="1" shrinkToFit="false"/>
      <protection locked="true" hidden="false"/>
    </xf>
    <xf numFmtId="164" fontId="28" fillId="17" borderId="1" xfId="0" applyFont="true" applyBorder="true" applyAlignment="true" applyProtection="false">
      <alignment horizontal="left" vertical="center" textRotation="0" wrapText="false" indent="1" shrinkToFit="false"/>
      <protection locked="true" hidden="false"/>
    </xf>
    <xf numFmtId="164" fontId="28" fillId="6" borderId="1" xfId="0" applyFont="true" applyBorder="true" applyAlignment="true" applyProtection="false">
      <alignment horizontal="left" vertical="center" textRotation="0" wrapText="false" indent="1" shrinkToFit="false"/>
      <protection locked="true" hidden="false"/>
    </xf>
    <xf numFmtId="164" fontId="28" fillId="15" borderId="1" xfId="0" applyFont="true" applyBorder="true" applyAlignment="true" applyProtection="false">
      <alignment horizontal="left" vertical="center" textRotation="0" wrapText="false" indent="1" shrinkToFit="false"/>
      <protection locked="true" hidden="false"/>
    </xf>
    <xf numFmtId="166" fontId="40" fillId="12" borderId="1" xfId="0" applyFont="true" applyBorder="true" applyAlignment="true" applyProtection="false">
      <alignment horizontal="center" vertical="center" textRotation="0" wrapText="false" indent="0" shrinkToFit="false"/>
      <protection locked="true" hidden="false"/>
    </xf>
    <xf numFmtId="164" fontId="13" fillId="18" borderId="1" xfId="0" applyFont="true" applyBorder="true" applyAlignment="true" applyProtection="false">
      <alignment horizontal="left" vertical="top" textRotation="0" wrapText="true" indent="1" shrinkToFit="false"/>
      <protection locked="true" hidden="false"/>
    </xf>
    <xf numFmtId="164" fontId="12" fillId="4" borderId="0" xfId="0" applyFont="true" applyBorder="true" applyAlignment="true" applyProtection="false">
      <alignment horizontal="left" vertical="center" textRotation="0" wrapText="false" indent="1" shrinkToFit="false"/>
      <protection locked="true" hidden="false"/>
    </xf>
    <xf numFmtId="164" fontId="41" fillId="0" borderId="0" xfId="0" applyFont="true" applyBorder="false" applyAlignment="true" applyProtection="false">
      <alignment horizontal="left" vertical="center" textRotation="0" wrapText="false" indent="1" shrinkToFit="false"/>
      <protection locked="true" hidden="false"/>
    </xf>
    <xf numFmtId="164" fontId="28" fillId="17" borderId="1" xfId="0" applyFont="true" applyBorder="true" applyAlignment="true" applyProtection="false">
      <alignment horizontal="center" vertical="center" textRotation="0" wrapText="false" indent="0" shrinkToFit="false"/>
      <protection locked="true" hidden="false"/>
    </xf>
    <xf numFmtId="164" fontId="28" fillId="17" borderId="1" xfId="0" applyFont="true" applyBorder="true" applyAlignment="true" applyProtection="false">
      <alignment horizontal="left" vertical="center" textRotation="0" wrapText="true" indent="1" shrinkToFit="false"/>
      <protection locked="true" hidden="false"/>
    </xf>
    <xf numFmtId="165" fontId="28" fillId="17" borderId="1" xfId="0" applyFont="true" applyBorder="true" applyAlignment="true" applyProtection="false">
      <alignment horizontal="center" vertical="center" textRotation="0" wrapText="false" indent="0" shrinkToFit="false"/>
      <protection locked="true" hidden="false"/>
    </xf>
    <xf numFmtId="164" fontId="42" fillId="2" borderId="0" xfId="0" applyFont="true" applyBorder="true" applyAlignment="true" applyProtection="false">
      <alignment horizontal="right" vertical="center" textRotation="0" wrapText="false" indent="1" shrinkToFit="false"/>
      <protection locked="true" hidden="false"/>
    </xf>
    <xf numFmtId="164" fontId="9" fillId="0" borderId="1" xfId="0" applyFont="true" applyBorder="true" applyAlignment="true" applyProtection="false">
      <alignment horizontal="left" vertical="center" textRotation="0" wrapText="false" indent="1" shrinkToFit="false"/>
      <protection locked="true" hidden="false"/>
    </xf>
    <xf numFmtId="164" fontId="9" fillId="0" borderId="0" xfId="0" applyFont="true" applyBorder="true" applyAlignment="true" applyProtection="false">
      <alignment horizontal="left" vertical="center" textRotation="0" wrapText="true" indent="1" shrinkToFit="false"/>
      <protection locked="true" hidden="false"/>
    </xf>
    <xf numFmtId="164" fontId="43" fillId="17"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33" fillId="18" borderId="1" xfId="0" applyFont="true" applyBorder="true" applyAlignment="true" applyProtection="false">
      <alignment horizontal="center" vertical="center" textRotation="0" wrapText="false" indent="0" shrinkToFit="false"/>
      <protection locked="true" hidden="false"/>
    </xf>
    <xf numFmtId="164" fontId="33" fillId="12" borderId="1" xfId="0" applyFont="true" applyBorder="true" applyAlignment="true" applyProtection="false">
      <alignment horizontal="center" vertical="center" textRotation="0" wrapText="false" indent="0" shrinkToFit="false"/>
      <protection locked="true" hidden="false"/>
    </xf>
    <xf numFmtId="164" fontId="44"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1">
    <dxf>
      <fill>
        <patternFill patternType="solid">
          <fgColor rgb="FFDCE9F4"/>
          <bgColor rgb="FF000000"/>
        </patternFill>
      </fill>
    </dxf>
    <dxf>
      <fill>
        <patternFill patternType="solid">
          <fgColor rgb="FFEEEEEE"/>
          <bgColor rgb="FF000000"/>
        </patternFill>
      </fill>
    </dxf>
    <dxf>
      <fill>
        <patternFill patternType="solid">
          <fgColor rgb="FF0D3C61"/>
          <bgColor rgb="FF000000"/>
        </patternFill>
      </fill>
    </dxf>
    <dxf>
      <fill>
        <patternFill patternType="solid">
          <fgColor rgb="FF8E98A2"/>
          <bgColor rgb="FF000000"/>
        </patternFill>
      </fill>
    </dxf>
    <dxf>
      <fill>
        <patternFill patternType="solid">
          <fgColor rgb="FFBDBDBD"/>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E31B0C"/>
          <bgColor rgb="FF000000"/>
        </patternFill>
      </fill>
    </dxf>
    <dxf>
      <fill>
        <patternFill patternType="solid">
          <fgColor rgb="FFEC6917"/>
          <bgColor rgb="FF000000"/>
        </patternFill>
      </fill>
    </dxf>
    <dxf>
      <fill>
        <patternFill patternType="solid">
          <fgColor rgb="FFFFB547"/>
          <bgColor rgb="FF000000"/>
        </patternFill>
      </fill>
    </dxf>
    <dxf>
      <fill>
        <patternFill patternType="solid">
          <fgColor rgb="FF1D3245"/>
          <bgColor rgb="FF000000"/>
        </patternFill>
      </fill>
    </dxf>
    <dxf>
      <fill>
        <patternFill patternType="solid">
          <fgColor rgb="FF4CAF50"/>
          <bgColor rgb="FF000000"/>
        </patternFill>
      </fill>
    </dxf>
    <dxf>
      <fill>
        <patternFill patternType="solid">
          <fgColor rgb="FF64B6F7"/>
          <bgColor rgb="FF000000"/>
        </patternFill>
      </fill>
    </dxf>
    <dxf>
      <fill>
        <patternFill patternType="solid">
          <fgColor rgb="FFE0E0E0"/>
          <bgColor rgb="FF000000"/>
        </patternFill>
      </fill>
    </dxf>
    <dxf>
      <fill>
        <patternFill patternType="solid">
          <fgColor rgb="FFFDEBE9"/>
          <bgColor rgb="FF000000"/>
        </patternFill>
      </fill>
    </dxf>
    <dxf>
      <fill>
        <patternFill patternType="solid">
          <fgColor rgb="FF039BE5"/>
          <bgColor rgb="FF000000"/>
        </patternFill>
      </fill>
    </dxf>
    <dxf>
      <fill>
        <patternFill>
          <bgColor rgb="FFFDEBE0"/>
        </patternFill>
      </fill>
    </dxf>
    <dxf>
      <font>
        <name val="Inter"/>
        <charset val="1"/>
        <family val="0"/>
        <b val="1"/>
        <color rgb="FF1D3245"/>
        <sz val="8"/>
      </font>
      <fill>
        <patternFill>
          <bgColor rgb="FFE0E0E0"/>
        </patternFill>
      </fill>
    </dxf>
    <dxf>
      <font>
        <name val="Inter"/>
        <charset val="1"/>
        <family val="0"/>
        <b val="1"/>
        <color rgb="FF1D3245"/>
        <sz val="8"/>
      </font>
      <fill>
        <patternFill>
          <bgColor rgb="FFFFB547"/>
        </patternFill>
      </fill>
    </dxf>
    <dxf>
      <font>
        <name val="Inter"/>
        <charset val="1"/>
        <family val="0"/>
        <b val="1"/>
        <color rgb="FF1D3245"/>
        <sz val="8"/>
      </font>
      <fill>
        <patternFill>
          <bgColor rgb="FF64B6F7"/>
        </patternFill>
      </fill>
    </dxf>
    <dxf>
      <font>
        <name val="Inter"/>
        <charset val="1"/>
        <family val="0"/>
        <b val="1"/>
        <color rgb="FFFFFFFF"/>
        <sz val="8"/>
      </font>
      <fill>
        <patternFill>
          <bgColor rgb="FFEC6917"/>
        </patternFill>
      </fill>
    </dxf>
    <dxf>
      <font>
        <name val="Inter"/>
        <charset val="1"/>
        <family val="0"/>
        <b val="1"/>
        <color rgb="FF1D3245"/>
        <sz val="8"/>
      </font>
      <fill>
        <patternFill>
          <bgColor rgb="FF4CAF50"/>
        </patternFill>
      </fill>
    </dxf>
    <dxf>
      <font>
        <name val="Inter"/>
        <charset val="1"/>
        <family val="0"/>
        <b val="1"/>
        <color rgb="FFBDBDBD"/>
        <sz val="8"/>
      </font>
      <fill>
        <patternFill>
          <bgColor rgb="FFEEEEEE"/>
        </patternFill>
      </fill>
    </dxf>
    <dxf>
      <font>
        <name val="Inter"/>
        <charset val="1"/>
        <family val="0"/>
        <b val="1"/>
        <color rgb="FF1D3245"/>
        <sz val="8"/>
      </font>
      <fill>
        <patternFill>
          <bgColor rgb="FFBDBDBD"/>
        </patternFill>
      </fill>
    </dxf>
    <dxf>
      <font>
        <name val="Inter"/>
        <charset val="1"/>
        <family val="0"/>
        <b val="1"/>
        <color rgb="FFFFFFFF"/>
        <sz val="8"/>
      </font>
      <fill>
        <patternFill>
          <bgColor rgb="FFE31B0C"/>
        </patternFill>
      </fill>
    </dxf>
    <dxf>
      <font>
        <name val="Inter"/>
        <charset val="1"/>
        <family val="0"/>
        <b val="1"/>
        <color rgb="FFE31B0C"/>
        <sz val="8"/>
      </font>
      <fill>
        <patternFill>
          <bgColor rgb="FFFDEBE9"/>
        </patternFill>
      </fill>
    </dxf>
    <dxf>
      <font>
        <name val="Inter"/>
        <charset val="1"/>
        <family val="0"/>
        <b val="1"/>
        <color rgb="FFEC6917"/>
        <sz val="8"/>
      </font>
    </dxf>
    <dxf>
      <font>
        <name val="Inter"/>
        <charset val="1"/>
        <family val="0"/>
        <color rgb="FFBDBDBD"/>
        <sz val="9"/>
      </font>
    </dxf>
    <dxf>
      <font>
        <name val="Inter"/>
        <charset val="1"/>
        <family val="0"/>
        <b val="1"/>
        <color rgb="FFE31B0C"/>
        <sz val="13"/>
      </font>
    </dxf>
    <dxf>
      <font>
        <name val="Inter"/>
        <charset val="1"/>
        <family val="0"/>
        <b val="1"/>
        <color rgb="FFE31B0C"/>
        <sz val="11"/>
      </font>
    </dxf>
    <dxf>
      <fill>
        <patternFill patternType="solid">
          <fgColor rgb="FFE3F0FA"/>
          <bgColor rgb="FF000000"/>
        </patternFill>
      </fill>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39BE5"/>
      <rgbColor rgb="FFDCE9F4"/>
      <rgbColor rgb="FFEEEEEE"/>
      <rgbColor rgb="FFFDEBE0"/>
      <rgbColor rgb="FF9FB3C8"/>
      <rgbColor rgb="FFF5F5F5"/>
      <rgbColor rgb="FFF6F9FC"/>
      <rgbColor rgb="FFFDEBE9"/>
      <rgbColor rgb="FF3480BC"/>
      <rgbColor rgb="FF64B6F7"/>
      <rgbColor rgb="FF99CC00"/>
      <rgbColor rgb="FFFFB547"/>
      <rgbColor rgb="FFFF9900"/>
      <rgbColor rgb="FFEC6917"/>
      <rgbColor rgb="FF666699"/>
      <rgbColor rgb="FF8E98A2"/>
      <rgbColor rgb="FF0D3C61"/>
      <rgbColor rgb="FF4CAF50"/>
      <rgbColor rgb="FF0C1628"/>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133200</xdr:rowOff>
    </xdr:from>
    <xdr:to>
      <xdr:col>3</xdr:col>
      <xdr:colOff>729720</xdr:colOff>
      <xdr:row>5</xdr:row>
      <xdr:rowOff>237960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94280" y="476280"/>
          <a:ext cx="2857320" cy="8474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2</xdr:col>
      <xdr:colOff>1011240</xdr:colOff>
      <xdr:row>2</xdr:row>
      <xdr:rowOff>237960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152640"/>
          <a:ext cx="1428480" cy="418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2</xdr:col>
      <xdr:colOff>915840</xdr:colOff>
      <xdr:row>2</xdr:row>
      <xdr:rowOff>209520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152640"/>
          <a:ext cx="1333080" cy="3902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1</xdr:col>
      <xdr:colOff>1504800</xdr:colOff>
      <xdr:row>2</xdr:row>
      <xdr:rowOff>237960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152640"/>
          <a:ext cx="1428480" cy="418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2</xdr:col>
      <xdr:colOff>1011240</xdr:colOff>
      <xdr:row>2</xdr:row>
      <xdr:rowOff>237960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152640"/>
          <a:ext cx="1428480" cy="418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2</xdr:col>
      <xdr:colOff>563400</xdr:colOff>
      <xdr:row>2</xdr:row>
      <xdr:rowOff>209520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152640"/>
          <a:ext cx="1333080" cy="3902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1</xdr:row>
      <xdr:rowOff>57240</xdr:rowOff>
    </xdr:from>
    <xdr:to>
      <xdr:col>1</xdr:col>
      <xdr:colOff>1123560</xdr:colOff>
      <xdr:row>2</xdr:row>
      <xdr:rowOff>37800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247680"/>
          <a:ext cx="1047240" cy="3045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5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31"/>
    <col collapsed="false" customWidth="true" hidden="false" outlineLevel="0" max="6" min="4" style="0" width="28"/>
    <col collapsed="false" customWidth="true" hidden="false" outlineLevel="0" max="7" min="7" style="0" width="21"/>
    <col collapsed="false" customWidth="true" hidden="false" outlineLevel="0" max="8" min="8" style="0" width="2.2"/>
  </cols>
  <sheetData>
    <row r="1" customFormat="false" ht="7.5" hidden="false" customHeight="true" outlineLevel="0" collapsed="false"/>
    <row r="2" customFormat="false" ht="19.5" hidden="false" customHeight="true" outlineLevel="0" collapsed="false">
      <c r="B2" s="1"/>
      <c r="C2" s="1"/>
      <c r="D2" s="1"/>
      <c r="E2" s="1"/>
      <c r="F2" s="1"/>
      <c r="G2" s="1"/>
    </row>
    <row r="3" customFormat="false" ht="19.5" hidden="false" customHeight="true" outlineLevel="0" collapsed="false">
      <c r="B3" s="1"/>
      <c r="C3" s="1"/>
      <c r="D3" s="1"/>
      <c r="E3" s="1"/>
      <c r="F3" s="1"/>
      <c r="G3" s="1"/>
    </row>
    <row r="4" customFormat="false" ht="19.5" hidden="false" customHeight="true" outlineLevel="0" collapsed="false">
      <c r="B4" s="1"/>
      <c r="C4" s="1"/>
      <c r="D4" s="1"/>
      <c r="E4" s="1"/>
      <c r="F4" s="1"/>
      <c r="G4" s="1"/>
    </row>
    <row r="5" customFormat="false" ht="19.5" hidden="false" customHeight="true" outlineLevel="0" collapsed="false">
      <c r="B5" s="1"/>
      <c r="C5" s="1"/>
      <c r="D5" s="1"/>
      <c r="E5" s="1"/>
      <c r="F5" s="1"/>
      <c r="G5" s="1"/>
    </row>
    <row r="6" customFormat="false" ht="19.5" hidden="false" customHeight="true" outlineLevel="0" collapsed="false">
      <c r="B6" s="1"/>
      <c r="C6" s="1"/>
      <c r="D6" s="2" t="s">
        <v>0</v>
      </c>
      <c r="E6" s="2"/>
      <c r="F6" s="2"/>
      <c r="G6" s="2"/>
    </row>
    <row r="7" customFormat="false" ht="19.5" hidden="false" customHeight="true" outlineLevel="0" collapsed="false">
      <c r="B7" s="1"/>
      <c r="C7" s="1"/>
      <c r="D7" s="1"/>
      <c r="E7" s="1"/>
      <c r="F7" s="1"/>
      <c r="G7" s="1"/>
    </row>
    <row r="8" customFormat="false" ht="19.5" hidden="false" customHeight="true" outlineLevel="0" collapsed="false">
      <c r="B8" s="1"/>
      <c r="C8" s="1"/>
      <c r="D8" s="1"/>
      <c r="E8" s="1"/>
      <c r="F8" s="1"/>
      <c r="G8" s="1"/>
    </row>
    <row r="9" customFormat="false" ht="4.5" hidden="false" customHeight="true" outlineLevel="0" collapsed="false">
      <c r="B9" s="3"/>
      <c r="C9" s="3"/>
      <c r="D9" s="3"/>
      <c r="E9" s="3"/>
      <c r="F9" s="3"/>
      <c r="G9" s="3"/>
    </row>
    <row r="10" customFormat="false" ht="7.5" hidden="false" customHeight="true" outlineLevel="0" collapsed="false"/>
    <row r="11" customFormat="false" ht="15.75" hidden="false" customHeight="true" outlineLevel="0" collapsed="false">
      <c r="B11" s="4" t="s">
        <v>1</v>
      </c>
      <c r="C11" s="4"/>
      <c r="D11" s="4"/>
      <c r="E11" s="4"/>
      <c r="F11" s="4"/>
      <c r="G11" s="4"/>
    </row>
    <row r="12" customFormat="false" ht="15.75" hidden="false" customHeight="true" outlineLevel="0" collapsed="false">
      <c r="B12" s="4"/>
      <c r="C12" s="4"/>
      <c r="D12" s="4"/>
      <c r="E12" s="4"/>
      <c r="F12" s="4"/>
      <c r="G12" s="4"/>
    </row>
    <row r="13" customFormat="false" ht="15.7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5" hidden="false" customHeight="true" outlineLevel="0" collapsed="false">
      <c r="B16" s="6" t="s">
        <v>3</v>
      </c>
      <c r="C16" s="7" t="s">
        <v>4</v>
      </c>
      <c r="D16" s="8" t="s">
        <v>5</v>
      </c>
      <c r="E16" s="8"/>
      <c r="F16" s="8"/>
      <c r="G16" s="8"/>
    </row>
    <row r="17" customFormat="false" ht="15" hidden="false" customHeight="true" outlineLevel="0" collapsed="false">
      <c r="D17" s="8"/>
      <c r="E17" s="8"/>
      <c r="F17" s="8"/>
      <c r="G17" s="8"/>
    </row>
    <row r="18" customFormat="false" ht="15" hidden="false" customHeight="true" outlineLevel="0" collapsed="false">
      <c r="B18" s="6" t="s">
        <v>6</v>
      </c>
      <c r="C18" s="7" t="s">
        <v>7</v>
      </c>
      <c r="D18" s="8" t="s">
        <v>8</v>
      </c>
      <c r="E18" s="8"/>
      <c r="F18" s="8"/>
      <c r="G18" s="8"/>
    </row>
    <row r="19" customFormat="false" ht="15" hidden="false" customHeight="true" outlineLevel="0" collapsed="false">
      <c r="D19" s="8"/>
      <c r="E19" s="8"/>
      <c r="F19" s="8"/>
      <c r="G19" s="8"/>
    </row>
    <row r="20" customFormat="false" ht="15" hidden="false" customHeight="true" outlineLevel="0" collapsed="false">
      <c r="B20" s="6" t="s">
        <v>9</v>
      </c>
      <c r="C20" s="7" t="s">
        <v>10</v>
      </c>
      <c r="D20" s="8" t="s">
        <v>11</v>
      </c>
      <c r="E20" s="8"/>
      <c r="F20" s="8"/>
      <c r="G20" s="8"/>
    </row>
    <row r="21" customFormat="false" ht="15" hidden="false" customHeight="true" outlineLevel="0" collapsed="false">
      <c r="D21" s="8"/>
      <c r="E21" s="8"/>
      <c r="F21" s="8"/>
      <c r="G21" s="8"/>
    </row>
    <row r="22" customFormat="false" ht="15" hidden="false" customHeight="true" outlineLevel="0" collapsed="false">
      <c r="B22" s="6" t="s">
        <v>12</v>
      </c>
      <c r="C22" s="7" t="s">
        <v>13</v>
      </c>
      <c r="D22" s="8" t="s">
        <v>14</v>
      </c>
      <c r="E22" s="8"/>
      <c r="F22" s="8"/>
      <c r="G22" s="8"/>
    </row>
    <row r="23" customFormat="false" ht="15" hidden="false" customHeight="true" outlineLevel="0" collapsed="false">
      <c r="D23" s="8"/>
      <c r="E23" s="8"/>
      <c r="F23" s="8"/>
      <c r="G23" s="8"/>
    </row>
    <row r="24" customFormat="false" ht="15" hidden="false" customHeight="true" outlineLevel="0" collapsed="false">
      <c r="B24" s="6" t="s">
        <v>15</v>
      </c>
      <c r="C24" s="7" t="s">
        <v>16</v>
      </c>
      <c r="D24" s="8" t="s">
        <v>17</v>
      </c>
      <c r="E24" s="8"/>
      <c r="F24" s="8"/>
      <c r="G24" s="8"/>
    </row>
    <row r="25" customFormat="false" ht="15" hidden="false" customHeight="true" outlineLevel="0" collapsed="false">
      <c r="D25" s="8"/>
      <c r="E25" s="8"/>
      <c r="F25" s="8"/>
      <c r="G25" s="8"/>
    </row>
    <row r="26" customFormat="false" ht="15" hidden="false" customHeight="true" outlineLevel="0" collapsed="false">
      <c r="B26" s="6" t="s">
        <v>18</v>
      </c>
      <c r="C26" s="7" t="s">
        <v>19</v>
      </c>
      <c r="D26" s="8" t="s">
        <v>20</v>
      </c>
      <c r="E26" s="8"/>
      <c r="F26" s="8"/>
      <c r="G26" s="8"/>
    </row>
    <row r="27" customFormat="false" ht="15" hidden="false" customHeight="true" outlineLevel="0" collapsed="false">
      <c r="D27" s="8"/>
      <c r="E27" s="8"/>
      <c r="F27" s="8"/>
      <c r="G27" s="8"/>
    </row>
    <row r="28" customFormat="false" ht="15" hidden="false" customHeight="true" outlineLevel="0" collapsed="false">
      <c r="B28" s="6" t="s">
        <v>21</v>
      </c>
      <c r="C28" s="7" t="s">
        <v>22</v>
      </c>
      <c r="D28" s="8" t="s">
        <v>23</v>
      </c>
      <c r="E28" s="8"/>
      <c r="F28" s="8"/>
      <c r="G28" s="8"/>
    </row>
    <row r="29" customFormat="false" ht="15" hidden="false" customHeight="true" outlineLevel="0" collapsed="false">
      <c r="D29" s="8"/>
      <c r="E29" s="8"/>
      <c r="F29" s="8"/>
      <c r="G29" s="8"/>
    </row>
    <row r="31" customFormat="false" ht="24" hidden="false" customHeight="true" outlineLevel="0" collapsed="false">
      <c r="B31" s="5" t="s">
        <v>24</v>
      </c>
      <c r="C31" s="5"/>
      <c r="D31" s="5"/>
      <c r="E31" s="5"/>
      <c r="F31" s="5"/>
      <c r="G31" s="5"/>
    </row>
    <row r="32" customFormat="false" ht="15" hidden="false" customHeight="false" outlineLevel="0" collapsed="false">
      <c r="C32" s="9" t="s">
        <v>25</v>
      </c>
      <c r="E32" s="10" t="s">
        <v>26</v>
      </c>
      <c r="F32" s="10"/>
      <c r="G32" s="10"/>
    </row>
    <row r="33" customFormat="false" ht="16.5" hidden="false" customHeight="true" outlineLevel="0" collapsed="false">
      <c r="C33" s="11" t="s">
        <v>27</v>
      </c>
      <c r="D33" s="12"/>
      <c r="E33" s="13" t="s">
        <v>28</v>
      </c>
      <c r="F33" s="14" t="s">
        <v>29</v>
      </c>
      <c r="G33" s="14"/>
    </row>
    <row r="34" customFormat="false" ht="16.5" hidden="false" customHeight="true" outlineLevel="0" collapsed="false">
      <c r="C34" s="15" t="s">
        <v>30</v>
      </c>
      <c r="D34" s="12"/>
      <c r="E34" s="16" t="s">
        <v>31</v>
      </c>
      <c r="F34" s="14" t="s">
        <v>32</v>
      </c>
      <c r="G34" s="14"/>
    </row>
    <row r="35" customFormat="false" ht="16.5" hidden="false" customHeight="true" outlineLevel="0" collapsed="false">
      <c r="C35" s="17" t="s">
        <v>33</v>
      </c>
      <c r="D35" s="12"/>
      <c r="E35" s="15" t="s">
        <v>34</v>
      </c>
      <c r="F35" s="14" t="s">
        <v>35</v>
      </c>
      <c r="G35" s="14"/>
    </row>
    <row r="36" customFormat="false" ht="16.5" hidden="false" customHeight="true" outlineLevel="0" collapsed="false">
      <c r="C36" s="16" t="s">
        <v>36</v>
      </c>
      <c r="D36" s="12"/>
      <c r="E36" s="13" t="s">
        <v>37</v>
      </c>
      <c r="F36" s="14" t="s">
        <v>38</v>
      </c>
      <c r="G36" s="14"/>
    </row>
    <row r="37" customFormat="false" ht="16.5" hidden="false" customHeight="true" outlineLevel="0" collapsed="false">
      <c r="C37" s="18" t="s">
        <v>39</v>
      </c>
      <c r="D37" s="12"/>
      <c r="E37" s="13" t="s">
        <v>40</v>
      </c>
      <c r="F37" s="14" t="s">
        <v>41</v>
      </c>
      <c r="G37" s="14"/>
    </row>
    <row r="38" customFormat="false" ht="16.5" hidden="false" customHeight="true" outlineLevel="0" collapsed="false">
      <c r="C38" s="19" t="s">
        <v>42</v>
      </c>
      <c r="D38" s="12"/>
    </row>
    <row r="39" customFormat="false" ht="16.5" hidden="false" customHeight="true" outlineLevel="0" collapsed="false">
      <c r="C39" s="20" t="s">
        <v>43</v>
      </c>
      <c r="D39" s="12"/>
    </row>
    <row r="41" customFormat="false" ht="24" hidden="false" customHeight="true" outlineLevel="0" collapsed="false">
      <c r="B41" s="5" t="s">
        <v>44</v>
      </c>
      <c r="C41" s="5"/>
      <c r="D41" s="5"/>
      <c r="E41" s="5"/>
      <c r="F41" s="5"/>
      <c r="G41" s="5"/>
    </row>
    <row r="42" customFormat="false" ht="18" hidden="false" customHeight="true" outlineLevel="0" collapsed="false">
      <c r="B42" s="21"/>
      <c r="C42" s="21" t="s">
        <v>45</v>
      </c>
      <c r="D42" s="21" t="s">
        <v>46</v>
      </c>
      <c r="E42" s="21"/>
      <c r="F42" s="21"/>
      <c r="G42" s="21"/>
    </row>
    <row r="43" customFormat="false" ht="27" hidden="false" customHeight="true" outlineLevel="0" collapsed="false">
      <c r="B43" s="22"/>
      <c r="C43" s="23" t="s">
        <v>47</v>
      </c>
      <c r="D43" s="24" t="s">
        <v>48</v>
      </c>
      <c r="E43" s="24"/>
      <c r="F43" s="24"/>
      <c r="G43" s="24"/>
    </row>
    <row r="44" customFormat="false" ht="27" hidden="false" customHeight="true" outlineLevel="0" collapsed="false">
      <c r="B44" s="25"/>
      <c r="C44" s="26" t="s">
        <v>49</v>
      </c>
      <c r="D44" s="27" t="s">
        <v>50</v>
      </c>
      <c r="E44" s="27"/>
      <c r="F44" s="27"/>
      <c r="G44" s="27"/>
    </row>
    <row r="45" customFormat="false" ht="27" hidden="false" customHeight="true" outlineLevel="0" collapsed="false">
      <c r="B45" s="22"/>
      <c r="C45" s="23" t="s">
        <v>51</v>
      </c>
      <c r="D45" s="24" t="s">
        <v>52</v>
      </c>
      <c r="E45" s="24"/>
      <c r="F45" s="24"/>
      <c r="G45" s="24"/>
    </row>
    <row r="46" customFormat="false" ht="27" hidden="false" customHeight="true" outlineLevel="0" collapsed="false">
      <c r="B46" s="25"/>
      <c r="C46" s="26" t="s">
        <v>53</v>
      </c>
      <c r="D46" s="27" t="s">
        <v>54</v>
      </c>
      <c r="E46" s="27"/>
      <c r="F46" s="27"/>
      <c r="G46" s="27"/>
    </row>
    <row r="47" customFormat="false" ht="27" hidden="false" customHeight="true" outlineLevel="0" collapsed="false">
      <c r="B47" s="22"/>
      <c r="C47" s="23" t="s">
        <v>55</v>
      </c>
      <c r="D47" s="24" t="s">
        <v>56</v>
      </c>
      <c r="E47" s="24"/>
      <c r="F47" s="24"/>
      <c r="G47" s="24"/>
    </row>
    <row r="48" customFormat="false" ht="27" hidden="false" customHeight="true" outlineLevel="0" collapsed="false">
      <c r="B48" s="25"/>
      <c r="C48" s="26" t="s">
        <v>57</v>
      </c>
      <c r="D48" s="27" t="s">
        <v>58</v>
      </c>
      <c r="E48" s="27"/>
      <c r="F48" s="27"/>
      <c r="G48" s="27"/>
    </row>
    <row r="50" customFormat="false" ht="15" hidden="false" customHeight="false" outlineLevel="0" collapsed="false">
      <c r="B50" s="28" t="s">
        <v>59</v>
      </c>
      <c r="C50" s="28"/>
      <c r="D50" s="28"/>
      <c r="E50" s="28"/>
      <c r="F50" s="28"/>
      <c r="G50" s="28"/>
    </row>
    <row r="51" customFormat="false" ht="13.5" hidden="false" customHeight="true" outlineLevel="0" collapsed="false">
      <c r="B51" s="29" t="s">
        <v>60</v>
      </c>
      <c r="C51" s="29"/>
      <c r="D51" s="29"/>
      <c r="E51" s="29"/>
      <c r="F51" s="29"/>
      <c r="G51" s="29"/>
    </row>
    <row r="52" customFormat="false" ht="13.5" hidden="false" customHeight="true" outlineLevel="0" collapsed="false">
      <c r="B52" s="29"/>
      <c r="C52" s="29"/>
      <c r="D52" s="29"/>
      <c r="E52" s="29"/>
      <c r="F52" s="29"/>
      <c r="G52" s="29"/>
    </row>
    <row r="53" customFormat="false" ht="13.5" hidden="false" customHeight="true" outlineLevel="0" collapsed="false">
      <c r="B53" s="29"/>
      <c r="C53" s="29"/>
      <c r="D53" s="29"/>
      <c r="E53" s="29"/>
      <c r="F53" s="29"/>
      <c r="G53" s="29"/>
    </row>
    <row r="55" customFormat="false" ht="19.5" hidden="false" customHeight="true" outlineLevel="0" collapsed="false">
      <c r="B55" s="30" t="s">
        <v>61</v>
      </c>
      <c r="C55" s="30"/>
      <c r="D55" s="30"/>
      <c r="E55" s="30"/>
      <c r="F55" s="30"/>
      <c r="G55" s="30"/>
    </row>
  </sheetData>
  <mergeCells count="28">
    <mergeCell ref="D6:G6"/>
    <mergeCell ref="B11:G13"/>
    <mergeCell ref="B15:G15"/>
    <mergeCell ref="D16:G17"/>
    <mergeCell ref="D18:G19"/>
    <mergeCell ref="D20:G21"/>
    <mergeCell ref="D22:G23"/>
    <mergeCell ref="D24:G25"/>
    <mergeCell ref="D26:G27"/>
    <mergeCell ref="D28:G29"/>
    <mergeCell ref="B31:G31"/>
    <mergeCell ref="E32:G32"/>
    <mergeCell ref="F33:G33"/>
    <mergeCell ref="F34:G34"/>
    <mergeCell ref="F35:G35"/>
    <mergeCell ref="F36:G36"/>
    <mergeCell ref="F37:G37"/>
    <mergeCell ref="B41:G41"/>
    <mergeCell ref="D42:G42"/>
    <mergeCell ref="D43:G43"/>
    <mergeCell ref="D44:G44"/>
    <mergeCell ref="D45:G45"/>
    <mergeCell ref="D46:G46"/>
    <mergeCell ref="D47:G47"/>
    <mergeCell ref="D48:G48"/>
    <mergeCell ref="B50:G50"/>
    <mergeCell ref="B51:G53"/>
    <mergeCell ref="B55:G55"/>
  </mergeCells>
  <hyperlinks>
    <hyperlink ref="C43" location="'Setup'!A1" display="Setup"/>
    <hyperlink ref="C44" location="'Punch List'!A1" display="Punch List"/>
    <hyperlink ref="C45" location="'Summary'!A1" display="Summary"/>
    <hyperlink ref="C46" location="'Inspection Sign-off'!A1" display="Inspection Sign-off"/>
    <hyperlink ref="C47" location="'Photo Log'!A1" display="Photo Log"/>
    <hyperlink ref="C48" location="'Reference'!A1" display="Reference"/>
    <hyperlink ref="B55" r:id="rId1" display="Built for capital project teams by Mastt.  Project controls, cost management and reporting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F4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7"/>
    <col collapsed="false" customWidth="true" hidden="false" outlineLevel="0" max="4" min="4" style="0" width="34"/>
    <col collapsed="false" customWidth="true" hidden="false" outlineLevel="0" max="5" min="5" style="0" width="26"/>
    <col collapsed="false" customWidth="true" hidden="false" outlineLevel="0" max="6" min="6" style="0" width="24"/>
    <col collapsed="false" customWidth="true" hidden="false" outlineLevel="0" max="7" min="7" style="0" width="2.2"/>
  </cols>
  <sheetData>
    <row r="1" customFormat="false" ht="7.5" hidden="false" customHeight="true" outlineLevel="0" collapsed="false"/>
    <row r="2" customFormat="false" ht="18.75" hidden="false" customHeight="true" outlineLevel="0" collapsed="false">
      <c r="B2" s="1"/>
      <c r="C2" s="1"/>
      <c r="D2" s="1"/>
      <c r="E2" s="1"/>
      <c r="F2" s="1"/>
    </row>
    <row r="3" customFormat="false" ht="18.75" hidden="false" customHeight="true" outlineLevel="0" collapsed="false">
      <c r="B3" s="1"/>
      <c r="C3" s="1"/>
      <c r="D3" s="31" t="s">
        <v>62</v>
      </c>
      <c r="E3" s="31"/>
      <c r="F3" s="31"/>
    </row>
    <row r="4" customFormat="false" ht="18.75" hidden="false" customHeight="true" outlineLevel="0" collapsed="false">
      <c r="B4" s="1"/>
      <c r="C4" s="1"/>
      <c r="D4" s="32" t="s">
        <v>63</v>
      </c>
      <c r="E4" s="32"/>
      <c r="F4" s="32"/>
    </row>
    <row r="5" customFormat="false" ht="3.75" hidden="false" customHeight="true" outlineLevel="0" collapsed="false">
      <c r="B5" s="3"/>
      <c r="C5" s="3"/>
      <c r="D5" s="3"/>
      <c r="E5" s="3"/>
      <c r="F5" s="3"/>
    </row>
    <row r="6" customFormat="false" ht="15" hidden="false" customHeight="true" outlineLevel="0" collapsed="false">
      <c r="B6" s="33" t="s">
        <v>64</v>
      </c>
      <c r="C6" s="33"/>
      <c r="D6" s="33"/>
      <c r="E6" s="33"/>
      <c r="F6" s="33"/>
    </row>
    <row r="8" customFormat="false" ht="21.75" hidden="false" customHeight="true" outlineLevel="0" collapsed="false">
      <c r="B8" s="5" t="s">
        <v>65</v>
      </c>
      <c r="C8" s="5"/>
      <c r="D8" s="5"/>
      <c r="E8" s="5"/>
      <c r="F8" s="5"/>
    </row>
    <row r="9" customFormat="false" ht="18.75" hidden="false" customHeight="true" outlineLevel="0" collapsed="false">
      <c r="B9" s="34" t="s">
        <v>66</v>
      </c>
      <c r="C9" s="34"/>
      <c r="D9" s="35"/>
    </row>
    <row r="10" customFormat="false" ht="18.75" hidden="false" customHeight="true" outlineLevel="0" collapsed="false">
      <c r="B10" s="34" t="s">
        <v>67</v>
      </c>
      <c r="C10" s="34"/>
      <c r="D10" s="35"/>
    </row>
    <row r="11" customFormat="false" ht="18.75" hidden="false" customHeight="true" outlineLevel="0" collapsed="false">
      <c r="B11" s="34" t="s">
        <v>68</v>
      </c>
      <c r="C11" s="34"/>
      <c r="D11" s="35"/>
    </row>
    <row r="12" customFormat="false" ht="18.75" hidden="false" customHeight="true" outlineLevel="0" collapsed="false">
      <c r="B12" s="34" t="s">
        <v>69</v>
      </c>
      <c r="C12" s="34"/>
      <c r="D12" s="35"/>
    </row>
    <row r="13" customFormat="false" ht="18.75" hidden="false" customHeight="true" outlineLevel="0" collapsed="false">
      <c r="B13" s="34" t="s">
        <v>70</v>
      </c>
      <c r="C13" s="34"/>
      <c r="D13" s="35"/>
    </row>
    <row r="14" customFormat="false" ht="18.75" hidden="false" customHeight="true" outlineLevel="0" collapsed="false">
      <c r="B14" s="34" t="s">
        <v>71</v>
      </c>
      <c r="C14" s="34"/>
      <c r="D14" s="35"/>
    </row>
    <row r="16" customFormat="false" ht="21.75" hidden="false" customHeight="true" outlineLevel="0" collapsed="false">
      <c r="B16" s="5" t="s">
        <v>72</v>
      </c>
      <c r="C16" s="5"/>
      <c r="D16" s="5"/>
      <c r="E16" s="5"/>
      <c r="F16" s="5"/>
    </row>
    <row r="17" customFormat="false" ht="18.75" hidden="false" customHeight="true" outlineLevel="0" collapsed="false">
      <c r="B17" s="34" t="s">
        <v>73</v>
      </c>
      <c r="C17" s="34"/>
      <c r="D17" s="35"/>
    </row>
    <row r="18" customFormat="false" ht="18.75" hidden="false" customHeight="true" outlineLevel="0" collapsed="false">
      <c r="B18" s="34" t="s">
        <v>74</v>
      </c>
      <c r="C18" s="34"/>
      <c r="D18" s="35"/>
    </row>
    <row r="19" customFormat="false" ht="18.75" hidden="false" customHeight="true" outlineLevel="0" collapsed="false">
      <c r="B19" s="34" t="s">
        <v>75</v>
      </c>
      <c r="C19" s="34"/>
      <c r="D19" s="35"/>
    </row>
    <row r="20" customFormat="false" ht="18.75" hidden="false" customHeight="true" outlineLevel="0" collapsed="false">
      <c r="B20" s="34" t="s">
        <v>76</v>
      </c>
      <c r="C20" s="34"/>
      <c r="D20" s="35"/>
    </row>
    <row r="21" customFormat="false" ht="18.75" hidden="false" customHeight="true" outlineLevel="0" collapsed="false">
      <c r="B21" s="34" t="s">
        <v>77</v>
      </c>
      <c r="C21" s="34"/>
      <c r="D21" s="35"/>
    </row>
    <row r="22" customFormat="false" ht="18.75" hidden="false" customHeight="true" outlineLevel="0" collapsed="false">
      <c r="B22" s="34" t="s">
        <v>78</v>
      </c>
      <c r="C22" s="34"/>
      <c r="D22" s="35"/>
    </row>
    <row r="24" customFormat="false" ht="21.75" hidden="false" customHeight="true" outlineLevel="0" collapsed="false">
      <c r="B24" s="5" t="s">
        <v>79</v>
      </c>
      <c r="C24" s="5"/>
      <c r="D24" s="5"/>
      <c r="E24" s="5"/>
      <c r="F24" s="5"/>
    </row>
    <row r="25" customFormat="false" ht="18.75" hidden="false" customHeight="true" outlineLevel="0" collapsed="false">
      <c r="B25" s="34" t="s">
        <v>80</v>
      </c>
      <c r="C25" s="34"/>
      <c r="D25" s="36"/>
    </row>
    <row r="26" customFormat="false" ht="18.75" hidden="false" customHeight="true" outlineLevel="0" collapsed="false">
      <c r="B26" s="34" t="s">
        <v>81</v>
      </c>
      <c r="C26" s="34"/>
      <c r="D26" s="36"/>
      <c r="E26" s="37" t="s">
        <v>82</v>
      </c>
      <c r="F26" s="37"/>
    </row>
    <row r="27" customFormat="false" ht="18.75" hidden="false" customHeight="true" outlineLevel="0" collapsed="false">
      <c r="B27" s="34" t="s">
        <v>83</v>
      </c>
      <c r="C27" s="34"/>
      <c r="D27" s="38"/>
    </row>
    <row r="28" customFormat="false" ht="18.75" hidden="false" customHeight="true" outlineLevel="0" collapsed="false">
      <c r="B28" s="34" t="s">
        <v>84</v>
      </c>
      <c r="C28" s="34"/>
      <c r="D28" s="39" t="str">
        <f aca="false">IF(OR(D26="",D27=""),"",EDATE(D26,D27))</f>
        <v/>
      </c>
    </row>
    <row r="29" customFormat="false" ht="18.75" hidden="false" customHeight="true" outlineLevel="0" collapsed="false">
      <c r="B29" s="34" t="s">
        <v>85</v>
      </c>
      <c r="C29" s="34"/>
      <c r="D29" s="38"/>
      <c r="E29" s="37" t="s">
        <v>86</v>
      </c>
      <c r="F29" s="37"/>
    </row>
    <row r="30" customFormat="false" ht="18.75" hidden="false" customHeight="true" outlineLevel="0" collapsed="false">
      <c r="B30" s="34" t="s">
        <v>87</v>
      </c>
      <c r="C30" s="34"/>
      <c r="D30" s="35"/>
    </row>
    <row r="31" customFormat="false" ht="18.75" hidden="false" customHeight="true" outlineLevel="0" collapsed="false">
      <c r="B31" s="34" t="s">
        <v>88</v>
      </c>
      <c r="C31" s="34"/>
      <c r="D31" s="36"/>
    </row>
    <row r="33" customFormat="false" ht="21.75" hidden="false" customHeight="true" outlineLevel="0" collapsed="false">
      <c r="B33" s="5" t="s">
        <v>89</v>
      </c>
      <c r="C33" s="5"/>
      <c r="D33" s="5"/>
      <c r="E33" s="5"/>
      <c r="F33" s="5"/>
    </row>
    <row r="34" customFormat="false" ht="16.5" hidden="false" customHeight="true" outlineLevel="0" collapsed="false">
      <c r="B34" s="34" t="s">
        <v>90</v>
      </c>
      <c r="C34" s="34"/>
      <c r="D34" s="40" t="s">
        <v>91</v>
      </c>
      <c r="E34" s="40"/>
      <c r="F34" s="40"/>
    </row>
    <row r="35" customFormat="false" ht="16.5" hidden="false" customHeight="true" outlineLevel="0" collapsed="false">
      <c r="D35" s="40"/>
      <c r="E35" s="40"/>
      <c r="F35" s="40"/>
    </row>
    <row r="37" customFormat="false" ht="15" hidden="false" customHeight="true" outlineLevel="0" collapsed="false">
      <c r="B37" s="33" t="s">
        <v>92</v>
      </c>
      <c r="C37" s="33"/>
      <c r="D37" s="33"/>
      <c r="E37" s="33"/>
      <c r="F37" s="33"/>
    </row>
    <row r="38" customFormat="false" ht="15" hidden="false" customHeight="false" outlineLevel="0" collapsed="false">
      <c r="B38" s="33"/>
      <c r="C38" s="33"/>
      <c r="D38" s="33"/>
      <c r="E38" s="33"/>
      <c r="F38" s="33"/>
    </row>
    <row r="41" customFormat="false" ht="15" hidden="false" customHeight="false" outlineLevel="0" collapsed="false">
      <c r="B41" s="41" t="s">
        <v>93</v>
      </c>
      <c r="C41" s="41"/>
      <c r="D41" s="41"/>
      <c r="E41" s="41"/>
      <c r="F41" s="41"/>
    </row>
  </sheetData>
  <mergeCells count="32">
    <mergeCell ref="D3:F3"/>
    <mergeCell ref="D4:F4"/>
    <mergeCell ref="B6:F6"/>
    <mergeCell ref="B8:F8"/>
    <mergeCell ref="B9:C9"/>
    <mergeCell ref="B10:C10"/>
    <mergeCell ref="B11:C11"/>
    <mergeCell ref="B12:C12"/>
    <mergeCell ref="B13:C13"/>
    <mergeCell ref="B14:C14"/>
    <mergeCell ref="B16:F16"/>
    <mergeCell ref="B17:C17"/>
    <mergeCell ref="B18:C18"/>
    <mergeCell ref="B19:C19"/>
    <mergeCell ref="B20:C20"/>
    <mergeCell ref="B21:C21"/>
    <mergeCell ref="B22:C22"/>
    <mergeCell ref="B24:F24"/>
    <mergeCell ref="B25:C25"/>
    <mergeCell ref="B26:C26"/>
    <mergeCell ref="E26:F26"/>
    <mergeCell ref="B27:C27"/>
    <mergeCell ref="B28:C28"/>
    <mergeCell ref="B29:C29"/>
    <mergeCell ref="E29:F29"/>
    <mergeCell ref="B30:C30"/>
    <mergeCell ref="B31:C31"/>
    <mergeCell ref="B33:F33"/>
    <mergeCell ref="B34:C34"/>
    <mergeCell ref="D34:F35"/>
    <mergeCell ref="B37:F38"/>
    <mergeCell ref="B41:F41"/>
  </mergeCells>
  <hyperlinks>
    <hyperlink ref="B41" r:id="rId1" display="Built with Mastt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W21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10" ySplit="8" topLeftCell="K9" activePane="bottomRight" state="frozen"/>
      <selection pane="topLeft" activeCell="A1" activeCellId="0" sqref="A1"/>
      <selection pane="topRight" activeCell="K1" activeCellId="0" sqref="K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13"/>
    <col collapsed="false" customWidth="true" hidden="false" outlineLevel="0" max="4" min="4" style="0" width="11"/>
    <col collapsed="false" customWidth="true" hidden="false" outlineLevel="0" max="5" min="5" style="0" width="16"/>
    <col collapsed="false" customWidth="true" hidden="false" outlineLevel="0" max="6" min="6" style="0" width="7"/>
    <col collapsed="false" customWidth="true" hidden="false" outlineLevel="0" max="7" min="7" style="0" width="14"/>
    <col collapsed="false" customWidth="true" hidden="false" outlineLevel="0" max="8" min="8" style="0" width="20"/>
    <col collapsed="false" customWidth="true" hidden="false" outlineLevel="0" max="9" min="9" style="0" width="16"/>
    <col collapsed="false" customWidth="true" hidden="false" outlineLevel="0" max="10" min="10" style="0" width="52"/>
    <col collapsed="false" customWidth="true" hidden="false" outlineLevel="0" max="11" min="11" style="0" width="10"/>
    <col collapsed="false" customWidth="true" hidden="false" outlineLevel="0" max="12" min="12" style="0" width="9"/>
    <col collapsed="false" customWidth="true" hidden="false" outlineLevel="0" max="13" min="13" style="0" width="15"/>
    <col collapsed="false" customWidth="true" hidden="false" outlineLevel="0" max="14" min="14" style="0" width="18"/>
    <col collapsed="false" customWidth="true" hidden="false" outlineLevel="0" max="15" min="15" style="0" width="11"/>
    <col collapsed="false" customWidth="true" hidden="false" outlineLevel="0" max="16" min="16" style="0" width="18"/>
    <col collapsed="false" customWidth="true" hidden="false" outlineLevel="0" max="18" min="17" style="0" width="11"/>
    <col collapsed="false" customWidth="true" hidden="false" outlineLevel="0" max="19" min="19" style="0" width="12"/>
    <col collapsed="false" customWidth="true" hidden="false" outlineLevel="0" max="20" min="20" style="0" width="9"/>
    <col collapsed="false" customWidth="true" hidden="false" outlineLevel="0" max="21" min="21" style="0" width="13"/>
    <col collapsed="false" customWidth="true" hidden="false" outlineLevel="0" max="22" min="22" style="0" width="8"/>
    <col collapsed="false" customWidth="true" hidden="false" outlineLevel="0" max="23" min="23" style="0" width="24"/>
    <col collapsed="false" customWidth="true" hidden="false" outlineLevel="0" max="24" min="24" style="0" width="2.2"/>
  </cols>
  <sheetData>
    <row r="1" customFormat="false" ht="7.5" hidden="false" customHeight="true" outlineLevel="0" collapsed="false"/>
    <row r="2" customFormat="false" ht="18.75" hidden="false" customHeight="true" outlineLevel="0" collapsed="false">
      <c r="B2" s="1"/>
      <c r="C2" s="1"/>
      <c r="D2" s="1"/>
      <c r="E2" s="1"/>
      <c r="F2" s="1"/>
      <c r="G2" s="1"/>
      <c r="H2" s="1"/>
      <c r="I2" s="1"/>
      <c r="J2" s="1"/>
      <c r="K2" s="1"/>
      <c r="L2" s="1"/>
      <c r="M2" s="1"/>
      <c r="N2" s="1"/>
      <c r="O2" s="1"/>
      <c r="P2" s="1"/>
      <c r="Q2" s="1"/>
      <c r="R2" s="1"/>
      <c r="S2" s="1"/>
      <c r="T2" s="1"/>
      <c r="U2" s="1"/>
      <c r="V2" s="1"/>
      <c r="W2" s="1"/>
    </row>
    <row r="3" customFormat="false" ht="18.75" hidden="false" customHeight="true" outlineLevel="0" collapsed="false">
      <c r="B3" s="1"/>
      <c r="C3" s="1"/>
      <c r="D3" s="31" t="s">
        <v>94</v>
      </c>
      <c r="E3" s="31"/>
      <c r="F3" s="31"/>
      <c r="G3" s="31"/>
      <c r="H3" s="31"/>
      <c r="I3" s="31"/>
      <c r="J3" s="31"/>
      <c r="K3" s="31"/>
      <c r="L3" s="31"/>
      <c r="M3" s="31"/>
      <c r="N3" s="31"/>
      <c r="O3" s="31"/>
      <c r="P3" s="31"/>
      <c r="Q3" s="31"/>
      <c r="R3" s="31"/>
      <c r="S3" s="31"/>
      <c r="T3" s="31"/>
      <c r="U3" s="31"/>
      <c r="V3" s="31"/>
      <c r="W3" s="31"/>
    </row>
    <row r="4" customFormat="false" ht="18.75" hidden="false" customHeight="true" outlineLevel="0" collapsed="false">
      <c r="B4" s="1"/>
      <c r="C4" s="1"/>
      <c r="D4" s="1"/>
      <c r="E4" s="1"/>
      <c r="F4" s="1"/>
      <c r="G4" s="1"/>
      <c r="H4" s="1"/>
      <c r="I4" s="1"/>
      <c r="J4" s="1"/>
      <c r="K4" s="1"/>
      <c r="L4" s="1"/>
      <c r="M4" s="1"/>
      <c r="N4" s="1"/>
      <c r="O4" s="1"/>
      <c r="P4" s="1"/>
      <c r="Q4" s="1"/>
      <c r="R4" s="1"/>
      <c r="S4" s="1"/>
      <c r="T4" s="1"/>
      <c r="U4" s="1"/>
      <c r="V4" s="1"/>
      <c r="W4" s="1"/>
    </row>
    <row r="5" customFormat="false" ht="18.75" hidden="false" customHeight="true" outlineLevel="0" collapsed="false">
      <c r="B5" s="1"/>
      <c r="C5" s="1"/>
      <c r="D5" s="42" t="str">
        <f aca="false">"Open  "&amp;Summary!$D$9&amp;"          Overdue  "&amp;Summary!$I$8&amp;"          Stops PC  "&amp;Summary!$I$9&amp;"          Closed  "&amp;Summary!$D$10</f>
        <v>Open  9          Overdue  2          Stops PC  5          Closed  1</v>
      </c>
      <c r="E5" s="42"/>
      <c r="F5" s="42"/>
      <c r="G5" s="42"/>
      <c r="H5" s="42"/>
      <c r="I5" s="42"/>
      <c r="J5" s="42"/>
      <c r="K5" s="42"/>
      <c r="L5" s="42"/>
      <c r="M5" s="42"/>
      <c r="N5" s="42"/>
      <c r="O5" s="42"/>
      <c r="P5" s="42"/>
      <c r="Q5" s="42"/>
      <c r="R5" s="42"/>
      <c r="S5" s="42"/>
      <c r="T5" s="42"/>
      <c r="U5" s="42"/>
      <c r="V5" s="42"/>
      <c r="W5" s="42"/>
    </row>
    <row r="6" customFormat="false" ht="3.75" hidden="false" customHeight="true" outlineLevel="0" collapsed="false">
      <c r="B6" s="3"/>
      <c r="C6" s="3"/>
      <c r="D6" s="3"/>
      <c r="E6" s="3"/>
      <c r="F6" s="3"/>
      <c r="G6" s="3"/>
      <c r="H6" s="3"/>
      <c r="I6" s="3"/>
      <c r="J6" s="3"/>
      <c r="K6" s="3"/>
      <c r="L6" s="3"/>
      <c r="M6" s="3"/>
      <c r="N6" s="3"/>
      <c r="O6" s="3"/>
      <c r="P6" s="3"/>
      <c r="Q6" s="3"/>
      <c r="R6" s="3"/>
      <c r="S6" s="3"/>
      <c r="T6" s="3"/>
      <c r="U6" s="3"/>
      <c r="V6" s="3"/>
      <c r="W6" s="3"/>
    </row>
    <row r="7" customFormat="false" ht="16.5" hidden="false" customHeight="true" outlineLevel="0" collapsed="false">
      <c r="B7" s="43" t="str">
        <f aca="false">IF('Punch List'!$N$9="Coastal Painting Pty Ltd","EXAMPLE DATA  ·  delete rows 9 to 18 and the Photo Log examples before use","")</f>
        <v>EXAMPLE DATA  ·  delete rows 9 to 18 and the Photo Log examples before use</v>
      </c>
      <c r="C7" s="43"/>
      <c r="D7" s="43"/>
      <c r="E7" s="43"/>
      <c r="F7" s="43"/>
      <c r="G7" s="43"/>
      <c r="H7" s="43"/>
      <c r="I7" s="43"/>
      <c r="J7" s="43"/>
      <c r="K7" s="43"/>
      <c r="L7" s="43"/>
      <c r="M7" s="43"/>
      <c r="N7" s="43"/>
      <c r="O7" s="43"/>
      <c r="P7" s="43"/>
      <c r="Q7" s="43"/>
      <c r="R7" s="43"/>
      <c r="S7" s="43"/>
      <c r="T7" s="43"/>
      <c r="U7" s="43"/>
      <c r="V7" s="43"/>
      <c r="W7" s="43"/>
    </row>
    <row r="8" customFormat="false" ht="33.75" hidden="false" customHeight="true" outlineLevel="0" collapsed="false">
      <c r="B8" s="21" t="s">
        <v>95</v>
      </c>
      <c r="C8" s="21" t="s">
        <v>96</v>
      </c>
      <c r="D8" s="21" t="s">
        <v>97</v>
      </c>
      <c r="E8" s="21" t="s">
        <v>98</v>
      </c>
      <c r="F8" s="21" t="s">
        <v>99</v>
      </c>
      <c r="G8" s="21" t="s">
        <v>100</v>
      </c>
      <c r="H8" s="21" t="s">
        <v>101</v>
      </c>
      <c r="I8" s="21" t="s">
        <v>102</v>
      </c>
      <c r="J8" s="21" t="s">
        <v>103</v>
      </c>
      <c r="K8" s="21" t="s">
        <v>104</v>
      </c>
      <c r="L8" s="21" t="s">
        <v>105</v>
      </c>
      <c r="M8" s="21" t="s">
        <v>106</v>
      </c>
      <c r="N8" s="21" t="s">
        <v>107</v>
      </c>
      <c r="O8" s="21" t="s">
        <v>108</v>
      </c>
      <c r="P8" s="21" t="s">
        <v>25</v>
      </c>
      <c r="Q8" s="21" t="s">
        <v>109</v>
      </c>
      <c r="R8" s="21" t="s">
        <v>39</v>
      </c>
      <c r="S8" s="21" t="s">
        <v>110</v>
      </c>
      <c r="T8" s="21" t="s">
        <v>111</v>
      </c>
      <c r="U8" s="21" t="s">
        <v>112</v>
      </c>
      <c r="V8" s="21" t="s">
        <v>113</v>
      </c>
      <c r="W8" s="21" t="s">
        <v>114</v>
      </c>
    </row>
    <row r="9" customFormat="false" ht="30" hidden="false" customHeight="true" outlineLevel="0" collapsed="false">
      <c r="B9" s="44" t="str">
        <f aca="false">IF($J9="","","PL-"&amp;TEXT(ROW()-8,"000"))</f>
        <v>PL-001</v>
      </c>
      <c r="C9" s="45" t="s">
        <v>115</v>
      </c>
      <c r="D9" s="46" t="n">
        <v>46230</v>
      </c>
      <c r="E9" s="47" t="s">
        <v>116</v>
      </c>
      <c r="F9" s="47" t="s">
        <v>117</v>
      </c>
      <c r="G9" s="47" t="s">
        <v>118</v>
      </c>
      <c r="H9" s="47" t="s">
        <v>119</v>
      </c>
      <c r="I9" s="47" t="s">
        <v>120</v>
      </c>
      <c r="J9" s="47" t="s">
        <v>121</v>
      </c>
      <c r="K9" s="45" t="s">
        <v>34</v>
      </c>
      <c r="L9" s="45" t="s">
        <v>122</v>
      </c>
      <c r="M9" s="45" t="s">
        <v>74</v>
      </c>
      <c r="N9" s="47" t="s">
        <v>123</v>
      </c>
      <c r="O9" s="46" t="n">
        <v>46255</v>
      </c>
      <c r="P9" s="45" t="s">
        <v>30</v>
      </c>
      <c r="Q9" s="46"/>
      <c r="R9" s="46"/>
      <c r="S9" s="47"/>
      <c r="T9" s="48" t="n">
        <f aca="true">IF($J9="","",IF($R9&lt;&gt;"",$R9-$D9,IF($D9="","",TODAY()-$D9)))</f>
        <v>15</v>
      </c>
      <c r="U9" s="49" t="str">
        <f aca="true">IF($J9="","",IF(OR($P9="Closed",$P9="Not a defect"),"",IF($O9="","no target",IF($O9&lt;TODAY(),"OVERDUE "&amp;(TODAY()-$O9)&amp;"d","in "&amp;($O9-TODAY())&amp;"d"))))</f>
        <v>in 10d</v>
      </c>
      <c r="V9" s="50" t="n">
        <f aca="false">IF($J9="","",COUNTIF('Photo Log'!$B$8:$B$107,$B9))</f>
        <v>0</v>
      </c>
      <c r="W9" s="51" t="s">
        <v>124</v>
      </c>
    </row>
    <row r="10" customFormat="false" ht="30" hidden="false" customHeight="true" outlineLevel="0" collapsed="false">
      <c r="B10" s="44" t="str">
        <f aca="false">IF($J10="","","PL-"&amp;TEXT(ROW()-8,"000"))</f>
        <v>PL-002</v>
      </c>
      <c r="C10" s="52" t="s">
        <v>115</v>
      </c>
      <c r="D10" s="53" t="n">
        <v>46230</v>
      </c>
      <c r="E10" s="54" t="s">
        <v>116</v>
      </c>
      <c r="F10" s="54" t="s">
        <v>125</v>
      </c>
      <c r="G10" s="54" t="s">
        <v>126</v>
      </c>
      <c r="H10" s="54" t="s">
        <v>127</v>
      </c>
      <c r="I10" s="54" t="s">
        <v>128</v>
      </c>
      <c r="J10" s="54" t="s">
        <v>129</v>
      </c>
      <c r="K10" s="52" t="s">
        <v>31</v>
      </c>
      <c r="L10" s="52" t="s">
        <v>130</v>
      </c>
      <c r="M10" s="52" t="s">
        <v>74</v>
      </c>
      <c r="N10" s="54" t="s">
        <v>131</v>
      </c>
      <c r="O10" s="53" t="n">
        <v>46252</v>
      </c>
      <c r="P10" s="52" t="s">
        <v>27</v>
      </c>
      <c r="Q10" s="53"/>
      <c r="R10" s="53"/>
      <c r="S10" s="54"/>
      <c r="T10" s="48" t="n">
        <f aca="true">IF($J10="","",IF($R10&lt;&gt;"",$R10-$D10,IF($D10="","",TODAY()-$D10)))</f>
        <v>15</v>
      </c>
      <c r="U10" s="49" t="str">
        <f aca="true">IF($J10="","",IF(OR($P10="Closed",$P10="Not a defect"),"",IF($O10="","no target",IF($O10&lt;TODAY(),"OVERDUE "&amp;(TODAY()-$O10)&amp;"d","in "&amp;($O10-TODAY())&amp;"d"))))</f>
        <v>in 7d</v>
      </c>
      <c r="V10" s="50" t="n">
        <f aca="false">IF($J10="","",COUNTIF('Photo Log'!$B$8:$B$107,$B10))</f>
        <v>1</v>
      </c>
      <c r="W10" s="55" t="s">
        <v>132</v>
      </c>
    </row>
    <row r="11" customFormat="false" ht="30" hidden="false" customHeight="true" outlineLevel="0" collapsed="false">
      <c r="B11" s="44" t="str">
        <f aca="false">IF($J11="","","PL-"&amp;TEXT(ROW()-8,"000"))</f>
        <v>PL-003</v>
      </c>
      <c r="C11" s="45" t="s">
        <v>115</v>
      </c>
      <c r="D11" s="46" t="n">
        <v>46231</v>
      </c>
      <c r="E11" s="47" t="s">
        <v>133</v>
      </c>
      <c r="F11" s="47" t="s">
        <v>134</v>
      </c>
      <c r="G11" s="47" t="s">
        <v>135</v>
      </c>
      <c r="H11" s="47" t="s">
        <v>136</v>
      </c>
      <c r="I11" s="47" t="s">
        <v>137</v>
      </c>
      <c r="J11" s="47" t="s">
        <v>138</v>
      </c>
      <c r="K11" s="45" t="s">
        <v>28</v>
      </c>
      <c r="L11" s="45" t="s">
        <v>130</v>
      </c>
      <c r="M11" s="45" t="s">
        <v>74</v>
      </c>
      <c r="N11" s="47" t="s">
        <v>139</v>
      </c>
      <c r="O11" s="46" t="n">
        <v>46246</v>
      </c>
      <c r="P11" s="45" t="s">
        <v>33</v>
      </c>
      <c r="Q11" s="46" t="n">
        <v>46241</v>
      </c>
      <c r="R11" s="46"/>
      <c r="S11" s="47"/>
      <c r="T11" s="48" t="n">
        <f aca="true">IF($J11="","",IF($R11&lt;&gt;"",$R11-$D11,IF($D11="","",TODAY()-$D11)))</f>
        <v>14</v>
      </c>
      <c r="U11" s="49" t="str">
        <f aca="true">IF($J11="","",IF(OR($P11="Closed",$P11="Not a defect"),"",IF($O11="","no target",IF($O11&lt;TODAY(),"OVERDUE "&amp;(TODAY()-$O11)&amp;"d","in "&amp;($O11-TODAY())&amp;"d"))))</f>
        <v>in 1d</v>
      </c>
      <c r="V11" s="50" t="n">
        <f aca="false">IF($J11="","",COUNTIF('Photo Log'!$B$8:$B$107,$B11))</f>
        <v>0</v>
      </c>
      <c r="W11" s="51" t="s">
        <v>132</v>
      </c>
    </row>
    <row r="12" customFormat="false" ht="30" hidden="false" customHeight="true" outlineLevel="0" collapsed="false">
      <c r="B12" s="44" t="str">
        <f aca="false">IF($J12="","","PL-"&amp;TEXT(ROW()-8,"000"))</f>
        <v>PL-004</v>
      </c>
      <c r="C12" s="52" t="s">
        <v>115</v>
      </c>
      <c r="D12" s="53" t="n">
        <v>46225</v>
      </c>
      <c r="E12" s="54" t="s">
        <v>140</v>
      </c>
      <c r="F12" s="54" t="s">
        <v>141</v>
      </c>
      <c r="G12" s="54" t="s">
        <v>142</v>
      </c>
      <c r="H12" s="54" t="s">
        <v>143</v>
      </c>
      <c r="I12" s="54" t="s">
        <v>144</v>
      </c>
      <c r="J12" s="54" t="s">
        <v>145</v>
      </c>
      <c r="K12" s="52" t="s">
        <v>28</v>
      </c>
      <c r="L12" s="52" t="s">
        <v>130</v>
      </c>
      <c r="M12" s="52" t="s">
        <v>74</v>
      </c>
      <c r="N12" s="54" t="s">
        <v>146</v>
      </c>
      <c r="O12" s="53" t="n">
        <v>46239</v>
      </c>
      <c r="P12" s="52" t="s">
        <v>36</v>
      </c>
      <c r="Q12" s="53" t="n">
        <v>46237</v>
      </c>
      <c r="R12" s="53"/>
      <c r="S12" s="54"/>
      <c r="T12" s="48" t="n">
        <f aca="true">IF($J12="","",IF($R12&lt;&gt;"",$R12-$D12,IF($D12="","",TODAY()-$D12)))</f>
        <v>20</v>
      </c>
      <c r="U12" s="49" t="str">
        <f aca="true">IF($J12="","",IF(OR($P12="Closed",$P12="Not a defect"),"",IF($O12="","no target",IF($O12&lt;TODAY(),"OVERDUE "&amp;(TODAY()-$O12)&amp;"d","in "&amp;($O12-TODAY())&amp;"d"))))</f>
        <v>OVERDUE 6d</v>
      </c>
      <c r="V12" s="50" t="n">
        <f aca="false">IF($J12="","",COUNTIF('Photo Log'!$B$8:$B$107,$B12))</f>
        <v>2</v>
      </c>
      <c r="W12" s="55" t="s">
        <v>132</v>
      </c>
    </row>
    <row r="13" customFormat="false" ht="30" hidden="false" customHeight="true" outlineLevel="0" collapsed="false">
      <c r="B13" s="44" t="str">
        <f aca="false">IF($J13="","","PL-"&amp;TEXT(ROW()-8,"000"))</f>
        <v>PL-005</v>
      </c>
      <c r="C13" s="45" t="s">
        <v>115</v>
      </c>
      <c r="D13" s="46" t="n">
        <v>46227</v>
      </c>
      <c r="E13" s="47" t="s">
        <v>147</v>
      </c>
      <c r="F13" s="47" t="s">
        <v>148</v>
      </c>
      <c r="G13" s="47" t="s">
        <v>149</v>
      </c>
      <c r="H13" s="47" t="s">
        <v>150</v>
      </c>
      <c r="I13" s="47" t="s">
        <v>137</v>
      </c>
      <c r="J13" s="47" t="s">
        <v>151</v>
      </c>
      <c r="K13" s="45" t="s">
        <v>31</v>
      </c>
      <c r="L13" s="45" t="s">
        <v>122</v>
      </c>
      <c r="M13" s="45" t="s">
        <v>74</v>
      </c>
      <c r="N13" s="47" t="s">
        <v>152</v>
      </c>
      <c r="O13" s="46" t="n">
        <v>46241</v>
      </c>
      <c r="P13" s="45" t="s">
        <v>27</v>
      </c>
      <c r="Q13" s="46"/>
      <c r="R13" s="46"/>
      <c r="S13" s="47"/>
      <c r="T13" s="48" t="n">
        <f aca="true">IF($J13="","",IF($R13&lt;&gt;"",$R13-$D13,IF($D13="","",TODAY()-$D13)))</f>
        <v>18</v>
      </c>
      <c r="U13" s="49" t="str">
        <f aca="true">IF($J13="","",IF(OR($P13="Closed",$P13="Not a defect"),"",IF($O13="","no target",IF($O13&lt;TODAY(),"OVERDUE "&amp;(TODAY()-$O13)&amp;"d","in "&amp;($O13-TODAY())&amp;"d"))))</f>
        <v>OVERDUE 4d</v>
      </c>
      <c r="V13" s="50" t="n">
        <f aca="false">IF($J13="","",COUNTIF('Photo Log'!$B$8:$B$107,$B13))</f>
        <v>0</v>
      </c>
      <c r="W13" s="51" t="s">
        <v>132</v>
      </c>
    </row>
    <row r="14" customFormat="false" ht="30" hidden="false" customHeight="true" outlineLevel="0" collapsed="false">
      <c r="B14" s="44" t="str">
        <f aca="false">IF($J14="","","PL-"&amp;TEXT(ROW()-8,"000"))</f>
        <v>PL-006</v>
      </c>
      <c r="C14" s="52" t="s">
        <v>115</v>
      </c>
      <c r="D14" s="53" t="n">
        <v>46223</v>
      </c>
      <c r="E14" s="54" t="s">
        <v>116</v>
      </c>
      <c r="F14" s="54" t="s">
        <v>153</v>
      </c>
      <c r="G14" s="54" t="s">
        <v>154</v>
      </c>
      <c r="H14" s="54" t="s">
        <v>155</v>
      </c>
      <c r="I14" s="54" t="s">
        <v>120</v>
      </c>
      <c r="J14" s="54" t="s">
        <v>156</v>
      </c>
      <c r="K14" s="52" t="s">
        <v>34</v>
      </c>
      <c r="L14" s="52" t="s">
        <v>122</v>
      </c>
      <c r="M14" s="52" t="s">
        <v>74</v>
      </c>
      <c r="N14" s="54" t="s">
        <v>157</v>
      </c>
      <c r="O14" s="53" t="n">
        <v>46244</v>
      </c>
      <c r="P14" s="52" t="s">
        <v>39</v>
      </c>
      <c r="Q14" s="53" t="n">
        <v>46238</v>
      </c>
      <c r="R14" s="53" t="n">
        <v>46240</v>
      </c>
      <c r="S14" s="54" t="s">
        <v>158</v>
      </c>
      <c r="T14" s="48" t="n">
        <f aca="true">IF($J14="","",IF($R14&lt;&gt;"",$R14-$D14,IF($D14="","",TODAY()-$D14)))</f>
        <v>17</v>
      </c>
      <c r="U14" s="49" t="str">
        <f aca="true">IF($J14="","",IF(OR($P14="Closed",$P14="Not a defect"),"",IF($O14="","no target",IF($O14&lt;TODAY(),"OVERDUE "&amp;(TODAY()-$O14)&amp;"d","in "&amp;($O14-TODAY())&amp;"d"))))</f>
        <v/>
      </c>
      <c r="V14" s="50" t="n">
        <f aca="false">IF($J14="","",COUNTIF('Photo Log'!$B$8:$B$107,$B14))</f>
        <v>1</v>
      </c>
      <c r="W14" s="55" t="s">
        <v>132</v>
      </c>
    </row>
    <row r="15" customFormat="false" ht="30" hidden="false" customHeight="true" outlineLevel="0" collapsed="false">
      <c r="B15" s="44" t="str">
        <f aca="false">IF($J15="","","PL-"&amp;TEXT(ROW()-8,"000"))</f>
        <v>PL-007</v>
      </c>
      <c r="C15" s="45" t="s">
        <v>115</v>
      </c>
      <c r="D15" s="46" t="n">
        <v>46233</v>
      </c>
      <c r="E15" s="47" t="s">
        <v>116</v>
      </c>
      <c r="F15" s="47" t="s">
        <v>125</v>
      </c>
      <c r="G15" s="47" t="s">
        <v>159</v>
      </c>
      <c r="H15" s="47" t="s">
        <v>160</v>
      </c>
      <c r="I15" s="47" t="s">
        <v>161</v>
      </c>
      <c r="J15" s="47" t="s">
        <v>162</v>
      </c>
      <c r="K15" s="45" t="s">
        <v>31</v>
      </c>
      <c r="L15" s="45" t="s">
        <v>130</v>
      </c>
      <c r="M15" s="45" t="s">
        <v>74</v>
      </c>
      <c r="N15" s="47" t="s">
        <v>163</v>
      </c>
      <c r="O15" s="46" t="n">
        <v>46258</v>
      </c>
      <c r="P15" s="45" t="s">
        <v>27</v>
      </c>
      <c r="Q15" s="46"/>
      <c r="R15" s="46"/>
      <c r="S15" s="47"/>
      <c r="T15" s="48" t="n">
        <f aca="true">IF($J15="","",IF($R15&lt;&gt;"",$R15-$D15,IF($D15="","",TODAY()-$D15)))</f>
        <v>12</v>
      </c>
      <c r="U15" s="49" t="str">
        <f aca="true">IF($J15="","",IF(OR($P15="Closed",$P15="Not a defect"),"",IF($O15="","no target",IF($O15&lt;TODAY(),"OVERDUE "&amp;(TODAY()-$O15)&amp;"d","in "&amp;($O15-TODAY())&amp;"d"))))</f>
        <v>in 13d</v>
      </c>
      <c r="V15" s="50" t="n">
        <f aca="false">IF($J15="","",COUNTIF('Photo Log'!$B$8:$B$107,$B15))</f>
        <v>0</v>
      </c>
      <c r="W15" s="51" t="s">
        <v>132</v>
      </c>
    </row>
    <row r="16" customFormat="false" ht="30" hidden="false" customHeight="true" outlineLevel="0" collapsed="false">
      <c r="B16" s="44" t="str">
        <f aca="false">IF($J16="","","PL-"&amp;TEXT(ROW()-8,"000"))</f>
        <v>PL-008</v>
      </c>
      <c r="C16" s="52" t="s">
        <v>115</v>
      </c>
      <c r="D16" s="53" t="n">
        <v>46237</v>
      </c>
      <c r="E16" s="54" t="s">
        <v>164</v>
      </c>
      <c r="F16" s="54" t="s">
        <v>165</v>
      </c>
      <c r="G16" s="54" t="s">
        <v>166</v>
      </c>
      <c r="H16" s="54" t="s">
        <v>167</v>
      </c>
      <c r="I16" s="54" t="s">
        <v>167</v>
      </c>
      <c r="J16" s="54" t="s">
        <v>168</v>
      </c>
      <c r="K16" s="52" t="s">
        <v>34</v>
      </c>
      <c r="L16" s="52" t="s">
        <v>130</v>
      </c>
      <c r="M16" s="52" t="s">
        <v>74</v>
      </c>
      <c r="N16" s="54" t="s">
        <v>169</v>
      </c>
      <c r="O16" s="53" t="n">
        <v>46248</v>
      </c>
      <c r="P16" s="52" t="s">
        <v>27</v>
      </c>
      <c r="Q16" s="53"/>
      <c r="R16" s="53"/>
      <c r="S16" s="54"/>
      <c r="T16" s="48" t="n">
        <f aca="true">IF($J16="","",IF($R16&lt;&gt;"",$R16-$D16,IF($D16="","",TODAY()-$D16)))</f>
        <v>8</v>
      </c>
      <c r="U16" s="49" t="str">
        <f aca="true">IF($J16="","",IF(OR($P16="Closed",$P16="Not a defect"),"",IF($O16="","no target",IF($O16&lt;TODAY(),"OVERDUE "&amp;(TODAY()-$O16)&amp;"d","in "&amp;($O16-TODAY())&amp;"d"))))</f>
        <v>in 3d</v>
      </c>
      <c r="V16" s="50" t="n">
        <f aca="false">IF($J16="","",COUNTIF('Photo Log'!$B$8:$B$107,$B16))</f>
        <v>0</v>
      </c>
      <c r="W16" s="55" t="s">
        <v>132</v>
      </c>
    </row>
    <row r="17" customFormat="false" ht="30" hidden="false" customHeight="true" outlineLevel="0" collapsed="false">
      <c r="B17" s="44" t="str">
        <f aca="false">IF($J17="","","PL-"&amp;TEXT(ROW()-8,"000"))</f>
        <v>PL-009</v>
      </c>
      <c r="C17" s="45" t="s">
        <v>170</v>
      </c>
      <c r="D17" s="46" t="n">
        <v>46238</v>
      </c>
      <c r="E17" s="47" t="s">
        <v>116</v>
      </c>
      <c r="F17" s="47" t="s">
        <v>125</v>
      </c>
      <c r="G17" s="47" t="s">
        <v>171</v>
      </c>
      <c r="H17" s="47" t="s">
        <v>172</v>
      </c>
      <c r="I17" s="47" t="s">
        <v>120</v>
      </c>
      <c r="J17" s="47" t="s">
        <v>173</v>
      </c>
      <c r="K17" s="45" t="s">
        <v>31</v>
      </c>
      <c r="L17" s="45" t="s">
        <v>122</v>
      </c>
      <c r="M17" s="45" t="s">
        <v>74</v>
      </c>
      <c r="N17" s="47" t="s">
        <v>174</v>
      </c>
      <c r="O17" s="46" t="n">
        <v>46260</v>
      </c>
      <c r="P17" s="45" t="s">
        <v>27</v>
      </c>
      <c r="Q17" s="46"/>
      <c r="R17" s="46"/>
      <c r="S17" s="47"/>
      <c r="T17" s="48" t="n">
        <f aca="true">IF($J17="","",IF($R17&lt;&gt;"",$R17-$D17,IF($D17="","",TODAY()-$D17)))</f>
        <v>7</v>
      </c>
      <c r="U17" s="49" t="str">
        <f aca="true">IF($J17="","",IF(OR($P17="Closed",$P17="Not a defect"),"",IF($O17="","no target",IF($O17&lt;TODAY(),"OVERDUE "&amp;(TODAY()-$O17)&amp;"d","in "&amp;($O17-TODAY())&amp;"d"))))</f>
        <v>in 15d</v>
      </c>
      <c r="V17" s="50" t="n">
        <f aca="false">IF($J17="","",COUNTIF('Photo Log'!$B$8:$B$107,$B17))</f>
        <v>0</v>
      </c>
      <c r="W17" s="51" t="s">
        <v>132</v>
      </c>
    </row>
    <row r="18" customFormat="false" ht="30" hidden="false" customHeight="true" outlineLevel="0" collapsed="false">
      <c r="B18" s="44" t="str">
        <f aca="false">IF($J18="","","PL-"&amp;TEXT(ROW()-8,"000"))</f>
        <v>PL-010</v>
      </c>
      <c r="C18" s="52" t="s">
        <v>170</v>
      </c>
      <c r="D18" s="53" t="n">
        <v>46239</v>
      </c>
      <c r="E18" s="54" t="s">
        <v>116</v>
      </c>
      <c r="F18" s="54" t="s">
        <v>117</v>
      </c>
      <c r="G18" s="54" t="s">
        <v>175</v>
      </c>
      <c r="H18" s="54" t="s">
        <v>176</v>
      </c>
      <c r="I18" s="54" t="s">
        <v>120</v>
      </c>
      <c r="J18" s="54" t="s">
        <v>177</v>
      </c>
      <c r="K18" s="52" t="s">
        <v>34</v>
      </c>
      <c r="L18" s="52" t="s">
        <v>122</v>
      </c>
      <c r="M18" s="52" t="s">
        <v>74</v>
      </c>
      <c r="N18" s="54" t="s">
        <v>178</v>
      </c>
      <c r="O18" s="53" t="n">
        <v>46267</v>
      </c>
      <c r="P18" s="52" t="s">
        <v>30</v>
      </c>
      <c r="Q18" s="53"/>
      <c r="R18" s="53"/>
      <c r="S18" s="54"/>
      <c r="T18" s="48" t="n">
        <f aca="true">IF($J18="","",IF($R18&lt;&gt;"",$R18-$D18,IF($D18="","",TODAY()-$D18)))</f>
        <v>6</v>
      </c>
      <c r="U18" s="49" t="str">
        <f aca="true">IF($J18="","",IF(OR($P18="Closed",$P18="Not a defect"),"",IF($O18="","no target",IF($O18&lt;TODAY(),"OVERDUE "&amp;(TODAY()-$O18)&amp;"d","in "&amp;($O18-TODAY())&amp;"d"))))</f>
        <v>in 22d</v>
      </c>
      <c r="V18" s="50" t="n">
        <f aca="false">IF($J18="","",COUNTIF('Photo Log'!$B$8:$B$107,$B18))</f>
        <v>0</v>
      </c>
      <c r="W18" s="55" t="s">
        <v>132</v>
      </c>
    </row>
    <row r="19" customFormat="false" ht="30" hidden="false" customHeight="true" outlineLevel="0" collapsed="false">
      <c r="B19" s="44" t="str">
        <f aca="false">IF($J19="","","PL-"&amp;TEXT(ROW()-8,"000"))</f>
        <v/>
      </c>
      <c r="C19" s="45"/>
      <c r="D19" s="46"/>
      <c r="E19" s="47"/>
      <c r="F19" s="47"/>
      <c r="G19" s="47"/>
      <c r="H19" s="47"/>
      <c r="I19" s="47"/>
      <c r="J19" s="47"/>
      <c r="K19" s="45"/>
      <c r="L19" s="45"/>
      <c r="M19" s="45"/>
      <c r="N19" s="47"/>
      <c r="O19" s="46"/>
      <c r="P19" s="45"/>
      <c r="Q19" s="46"/>
      <c r="R19" s="46"/>
      <c r="S19" s="47"/>
      <c r="T19" s="48" t="str">
        <f aca="true">IF($J19="","",IF($R19&lt;&gt;"",$R19-$D19,IF($D19="","",TODAY()-$D19)))</f>
        <v/>
      </c>
      <c r="U19" s="49" t="str">
        <f aca="true">IF($J19="","",IF(OR($P19="Closed",$P19="Not a defect"),"",IF($O19="","no target",IF($O19&lt;TODAY(),"OVERDUE "&amp;(TODAY()-$O19)&amp;"d","in "&amp;($O19-TODAY())&amp;"d"))))</f>
        <v/>
      </c>
      <c r="V19" s="50" t="str">
        <f aca="false">IF($J19="","",COUNTIF('Photo Log'!$B$8:$B$107,$B19))</f>
        <v/>
      </c>
      <c r="W19" s="47"/>
    </row>
    <row r="20" customFormat="false" ht="30" hidden="false" customHeight="true" outlineLevel="0" collapsed="false">
      <c r="B20" s="44" t="str">
        <f aca="false">IF($J20="","","PL-"&amp;TEXT(ROW()-8,"000"))</f>
        <v/>
      </c>
      <c r="C20" s="52"/>
      <c r="D20" s="53"/>
      <c r="E20" s="54"/>
      <c r="F20" s="54"/>
      <c r="G20" s="54"/>
      <c r="H20" s="54"/>
      <c r="I20" s="54"/>
      <c r="J20" s="54"/>
      <c r="K20" s="52"/>
      <c r="L20" s="52"/>
      <c r="M20" s="52"/>
      <c r="N20" s="54"/>
      <c r="O20" s="53"/>
      <c r="P20" s="52"/>
      <c r="Q20" s="53"/>
      <c r="R20" s="53"/>
      <c r="S20" s="54"/>
      <c r="T20" s="48" t="str">
        <f aca="true">IF($J20="","",IF($R20&lt;&gt;"",$R20-$D20,IF($D20="","",TODAY()-$D20)))</f>
        <v/>
      </c>
      <c r="U20" s="49" t="str">
        <f aca="true">IF($J20="","",IF(OR($P20="Closed",$P20="Not a defect"),"",IF($O20="","no target",IF($O20&lt;TODAY(),"OVERDUE "&amp;(TODAY()-$O20)&amp;"d","in "&amp;($O20-TODAY())&amp;"d"))))</f>
        <v/>
      </c>
      <c r="V20" s="50" t="str">
        <f aca="false">IF($J20="","",COUNTIF('Photo Log'!$B$8:$B$107,$B20))</f>
        <v/>
      </c>
      <c r="W20" s="54"/>
    </row>
    <row r="21" customFormat="false" ht="30" hidden="false" customHeight="true" outlineLevel="0" collapsed="false">
      <c r="B21" s="44" t="str">
        <f aca="false">IF($J21="","","PL-"&amp;TEXT(ROW()-8,"000"))</f>
        <v/>
      </c>
      <c r="C21" s="45"/>
      <c r="D21" s="46"/>
      <c r="E21" s="47"/>
      <c r="F21" s="47"/>
      <c r="G21" s="47"/>
      <c r="H21" s="47"/>
      <c r="I21" s="47"/>
      <c r="J21" s="47"/>
      <c r="K21" s="45"/>
      <c r="L21" s="45"/>
      <c r="M21" s="45"/>
      <c r="N21" s="47"/>
      <c r="O21" s="46"/>
      <c r="P21" s="45"/>
      <c r="Q21" s="46"/>
      <c r="R21" s="46"/>
      <c r="S21" s="47"/>
      <c r="T21" s="48" t="str">
        <f aca="true">IF($J21="","",IF($R21&lt;&gt;"",$R21-$D21,IF($D21="","",TODAY()-$D21)))</f>
        <v/>
      </c>
      <c r="U21" s="49" t="str">
        <f aca="true">IF($J21="","",IF(OR($P21="Closed",$P21="Not a defect"),"",IF($O21="","no target",IF($O21&lt;TODAY(),"OVERDUE "&amp;(TODAY()-$O21)&amp;"d","in "&amp;($O21-TODAY())&amp;"d"))))</f>
        <v/>
      </c>
      <c r="V21" s="50" t="str">
        <f aca="false">IF($J21="","",COUNTIF('Photo Log'!$B$8:$B$107,$B21))</f>
        <v/>
      </c>
      <c r="W21" s="47"/>
    </row>
    <row r="22" customFormat="false" ht="30" hidden="false" customHeight="true" outlineLevel="0" collapsed="false">
      <c r="B22" s="44" t="str">
        <f aca="false">IF($J22="","","PL-"&amp;TEXT(ROW()-8,"000"))</f>
        <v/>
      </c>
      <c r="C22" s="52"/>
      <c r="D22" s="53"/>
      <c r="E22" s="54"/>
      <c r="F22" s="54"/>
      <c r="G22" s="54"/>
      <c r="H22" s="54"/>
      <c r="I22" s="54"/>
      <c r="J22" s="54"/>
      <c r="K22" s="52"/>
      <c r="L22" s="52"/>
      <c r="M22" s="52"/>
      <c r="N22" s="54"/>
      <c r="O22" s="53"/>
      <c r="P22" s="52"/>
      <c r="Q22" s="53"/>
      <c r="R22" s="53"/>
      <c r="S22" s="54"/>
      <c r="T22" s="48" t="str">
        <f aca="true">IF($J22="","",IF($R22&lt;&gt;"",$R22-$D22,IF($D22="","",TODAY()-$D22)))</f>
        <v/>
      </c>
      <c r="U22" s="49" t="str">
        <f aca="true">IF($J22="","",IF(OR($P22="Closed",$P22="Not a defect"),"",IF($O22="","no target",IF($O22&lt;TODAY(),"OVERDUE "&amp;(TODAY()-$O22)&amp;"d","in "&amp;($O22-TODAY())&amp;"d"))))</f>
        <v/>
      </c>
      <c r="V22" s="50" t="str">
        <f aca="false">IF($J22="","",COUNTIF('Photo Log'!$B$8:$B$107,$B22))</f>
        <v/>
      </c>
      <c r="W22" s="54"/>
    </row>
    <row r="23" customFormat="false" ht="30" hidden="false" customHeight="true" outlineLevel="0" collapsed="false">
      <c r="B23" s="44" t="str">
        <f aca="false">IF($J23="","","PL-"&amp;TEXT(ROW()-8,"000"))</f>
        <v/>
      </c>
      <c r="C23" s="45"/>
      <c r="D23" s="46"/>
      <c r="E23" s="47"/>
      <c r="F23" s="47"/>
      <c r="G23" s="47"/>
      <c r="H23" s="47"/>
      <c r="I23" s="47"/>
      <c r="J23" s="47"/>
      <c r="K23" s="45"/>
      <c r="L23" s="45"/>
      <c r="M23" s="45"/>
      <c r="N23" s="47"/>
      <c r="O23" s="46"/>
      <c r="P23" s="45"/>
      <c r="Q23" s="46"/>
      <c r="R23" s="46"/>
      <c r="S23" s="47"/>
      <c r="T23" s="48" t="str">
        <f aca="true">IF($J23="","",IF($R23&lt;&gt;"",$R23-$D23,IF($D23="","",TODAY()-$D23)))</f>
        <v/>
      </c>
      <c r="U23" s="49" t="str">
        <f aca="true">IF($J23="","",IF(OR($P23="Closed",$P23="Not a defect"),"",IF($O23="","no target",IF($O23&lt;TODAY(),"OVERDUE "&amp;(TODAY()-$O23)&amp;"d","in "&amp;($O23-TODAY())&amp;"d"))))</f>
        <v/>
      </c>
      <c r="V23" s="50" t="str">
        <f aca="false">IF($J23="","",COUNTIF('Photo Log'!$B$8:$B$107,$B23))</f>
        <v/>
      </c>
      <c r="W23" s="47"/>
    </row>
    <row r="24" customFormat="false" ht="30" hidden="false" customHeight="true" outlineLevel="0" collapsed="false">
      <c r="B24" s="44" t="str">
        <f aca="false">IF($J24="","","PL-"&amp;TEXT(ROW()-8,"000"))</f>
        <v/>
      </c>
      <c r="C24" s="52"/>
      <c r="D24" s="53"/>
      <c r="E24" s="54"/>
      <c r="F24" s="54"/>
      <c r="G24" s="54"/>
      <c r="H24" s="54"/>
      <c r="I24" s="54"/>
      <c r="J24" s="54"/>
      <c r="K24" s="52"/>
      <c r="L24" s="52"/>
      <c r="M24" s="52"/>
      <c r="N24" s="54"/>
      <c r="O24" s="53"/>
      <c r="P24" s="52"/>
      <c r="Q24" s="53"/>
      <c r="R24" s="53"/>
      <c r="S24" s="54"/>
      <c r="T24" s="48" t="str">
        <f aca="true">IF($J24="","",IF($R24&lt;&gt;"",$R24-$D24,IF($D24="","",TODAY()-$D24)))</f>
        <v/>
      </c>
      <c r="U24" s="49" t="str">
        <f aca="true">IF($J24="","",IF(OR($P24="Closed",$P24="Not a defect"),"",IF($O24="","no target",IF($O24&lt;TODAY(),"OVERDUE "&amp;(TODAY()-$O24)&amp;"d","in "&amp;($O24-TODAY())&amp;"d"))))</f>
        <v/>
      </c>
      <c r="V24" s="50" t="str">
        <f aca="false">IF($J24="","",COUNTIF('Photo Log'!$B$8:$B$107,$B24))</f>
        <v/>
      </c>
      <c r="W24" s="54"/>
    </row>
    <row r="25" customFormat="false" ht="30" hidden="false" customHeight="true" outlineLevel="0" collapsed="false">
      <c r="B25" s="44" t="str">
        <f aca="false">IF($J25="","","PL-"&amp;TEXT(ROW()-8,"000"))</f>
        <v/>
      </c>
      <c r="C25" s="45"/>
      <c r="D25" s="46"/>
      <c r="E25" s="47"/>
      <c r="F25" s="47"/>
      <c r="G25" s="47"/>
      <c r="H25" s="47"/>
      <c r="I25" s="47"/>
      <c r="J25" s="47"/>
      <c r="K25" s="45"/>
      <c r="L25" s="45"/>
      <c r="M25" s="45"/>
      <c r="N25" s="47"/>
      <c r="O25" s="46"/>
      <c r="P25" s="45"/>
      <c r="Q25" s="46"/>
      <c r="R25" s="46"/>
      <c r="S25" s="47"/>
      <c r="T25" s="48" t="str">
        <f aca="true">IF($J25="","",IF($R25&lt;&gt;"",$R25-$D25,IF($D25="","",TODAY()-$D25)))</f>
        <v/>
      </c>
      <c r="U25" s="49" t="str">
        <f aca="true">IF($J25="","",IF(OR($P25="Closed",$P25="Not a defect"),"",IF($O25="","no target",IF($O25&lt;TODAY(),"OVERDUE "&amp;(TODAY()-$O25)&amp;"d","in "&amp;($O25-TODAY())&amp;"d"))))</f>
        <v/>
      </c>
      <c r="V25" s="50" t="str">
        <f aca="false">IF($J25="","",COUNTIF('Photo Log'!$B$8:$B$107,$B25))</f>
        <v/>
      </c>
      <c r="W25" s="47"/>
    </row>
    <row r="26" customFormat="false" ht="30" hidden="false" customHeight="true" outlineLevel="0" collapsed="false">
      <c r="B26" s="44" t="str">
        <f aca="false">IF($J26="","","PL-"&amp;TEXT(ROW()-8,"000"))</f>
        <v/>
      </c>
      <c r="C26" s="52"/>
      <c r="D26" s="53"/>
      <c r="E26" s="54"/>
      <c r="F26" s="54"/>
      <c r="G26" s="54"/>
      <c r="H26" s="54"/>
      <c r="I26" s="54"/>
      <c r="J26" s="54"/>
      <c r="K26" s="52"/>
      <c r="L26" s="52"/>
      <c r="M26" s="52"/>
      <c r="N26" s="54"/>
      <c r="O26" s="53"/>
      <c r="P26" s="52"/>
      <c r="Q26" s="53"/>
      <c r="R26" s="53"/>
      <c r="S26" s="54"/>
      <c r="T26" s="48" t="str">
        <f aca="true">IF($J26="","",IF($R26&lt;&gt;"",$R26-$D26,IF($D26="","",TODAY()-$D26)))</f>
        <v/>
      </c>
      <c r="U26" s="49" t="str">
        <f aca="true">IF($J26="","",IF(OR($P26="Closed",$P26="Not a defect"),"",IF($O26="","no target",IF($O26&lt;TODAY(),"OVERDUE "&amp;(TODAY()-$O26)&amp;"d","in "&amp;($O26-TODAY())&amp;"d"))))</f>
        <v/>
      </c>
      <c r="V26" s="50" t="str">
        <f aca="false">IF($J26="","",COUNTIF('Photo Log'!$B$8:$B$107,$B26))</f>
        <v/>
      </c>
      <c r="W26" s="54"/>
    </row>
    <row r="27" customFormat="false" ht="30" hidden="false" customHeight="true" outlineLevel="0" collapsed="false">
      <c r="B27" s="44" t="str">
        <f aca="false">IF($J27="","","PL-"&amp;TEXT(ROW()-8,"000"))</f>
        <v/>
      </c>
      <c r="C27" s="45"/>
      <c r="D27" s="46"/>
      <c r="E27" s="47"/>
      <c r="F27" s="47"/>
      <c r="G27" s="47"/>
      <c r="H27" s="47"/>
      <c r="I27" s="47"/>
      <c r="J27" s="47"/>
      <c r="K27" s="45"/>
      <c r="L27" s="45"/>
      <c r="M27" s="45"/>
      <c r="N27" s="47"/>
      <c r="O27" s="46"/>
      <c r="P27" s="45"/>
      <c r="Q27" s="46"/>
      <c r="R27" s="46"/>
      <c r="S27" s="47"/>
      <c r="T27" s="48" t="str">
        <f aca="true">IF($J27="","",IF($R27&lt;&gt;"",$R27-$D27,IF($D27="","",TODAY()-$D27)))</f>
        <v/>
      </c>
      <c r="U27" s="49" t="str">
        <f aca="true">IF($J27="","",IF(OR($P27="Closed",$P27="Not a defect"),"",IF($O27="","no target",IF($O27&lt;TODAY(),"OVERDUE "&amp;(TODAY()-$O27)&amp;"d","in "&amp;($O27-TODAY())&amp;"d"))))</f>
        <v/>
      </c>
      <c r="V27" s="50" t="str">
        <f aca="false">IF($J27="","",COUNTIF('Photo Log'!$B$8:$B$107,$B27))</f>
        <v/>
      </c>
      <c r="W27" s="47"/>
    </row>
    <row r="28" customFormat="false" ht="30" hidden="false" customHeight="true" outlineLevel="0" collapsed="false">
      <c r="B28" s="44" t="str">
        <f aca="false">IF($J28="","","PL-"&amp;TEXT(ROW()-8,"000"))</f>
        <v/>
      </c>
      <c r="C28" s="52"/>
      <c r="D28" s="53"/>
      <c r="E28" s="54"/>
      <c r="F28" s="54"/>
      <c r="G28" s="54"/>
      <c r="H28" s="54"/>
      <c r="I28" s="54"/>
      <c r="J28" s="54"/>
      <c r="K28" s="52"/>
      <c r="L28" s="52"/>
      <c r="M28" s="52"/>
      <c r="N28" s="54"/>
      <c r="O28" s="53"/>
      <c r="P28" s="52"/>
      <c r="Q28" s="53"/>
      <c r="R28" s="53"/>
      <c r="S28" s="54"/>
      <c r="T28" s="48" t="str">
        <f aca="true">IF($J28="","",IF($R28&lt;&gt;"",$R28-$D28,IF($D28="","",TODAY()-$D28)))</f>
        <v/>
      </c>
      <c r="U28" s="49" t="str">
        <f aca="true">IF($J28="","",IF(OR($P28="Closed",$P28="Not a defect"),"",IF($O28="","no target",IF($O28&lt;TODAY(),"OVERDUE "&amp;(TODAY()-$O28)&amp;"d","in "&amp;($O28-TODAY())&amp;"d"))))</f>
        <v/>
      </c>
      <c r="V28" s="50" t="str">
        <f aca="false">IF($J28="","",COUNTIF('Photo Log'!$B$8:$B$107,$B28))</f>
        <v/>
      </c>
      <c r="W28" s="54"/>
    </row>
    <row r="29" customFormat="false" ht="30" hidden="false" customHeight="true" outlineLevel="0" collapsed="false">
      <c r="B29" s="44" t="str">
        <f aca="false">IF($J29="","","PL-"&amp;TEXT(ROW()-8,"000"))</f>
        <v/>
      </c>
      <c r="C29" s="45"/>
      <c r="D29" s="46"/>
      <c r="E29" s="47"/>
      <c r="F29" s="47"/>
      <c r="G29" s="47"/>
      <c r="H29" s="47"/>
      <c r="I29" s="47"/>
      <c r="J29" s="47"/>
      <c r="K29" s="45"/>
      <c r="L29" s="45"/>
      <c r="M29" s="45"/>
      <c r="N29" s="47"/>
      <c r="O29" s="46"/>
      <c r="P29" s="45"/>
      <c r="Q29" s="46"/>
      <c r="R29" s="46"/>
      <c r="S29" s="47"/>
      <c r="T29" s="48" t="str">
        <f aca="true">IF($J29="","",IF($R29&lt;&gt;"",$R29-$D29,IF($D29="","",TODAY()-$D29)))</f>
        <v/>
      </c>
      <c r="U29" s="49" t="str">
        <f aca="true">IF($J29="","",IF(OR($P29="Closed",$P29="Not a defect"),"",IF($O29="","no target",IF($O29&lt;TODAY(),"OVERDUE "&amp;(TODAY()-$O29)&amp;"d","in "&amp;($O29-TODAY())&amp;"d"))))</f>
        <v/>
      </c>
      <c r="V29" s="50" t="str">
        <f aca="false">IF($J29="","",COUNTIF('Photo Log'!$B$8:$B$107,$B29))</f>
        <v/>
      </c>
      <c r="W29" s="47"/>
    </row>
    <row r="30" customFormat="false" ht="30" hidden="false" customHeight="true" outlineLevel="0" collapsed="false">
      <c r="B30" s="44" t="str">
        <f aca="false">IF($J30="","","PL-"&amp;TEXT(ROW()-8,"000"))</f>
        <v/>
      </c>
      <c r="C30" s="52"/>
      <c r="D30" s="53"/>
      <c r="E30" s="54"/>
      <c r="F30" s="54"/>
      <c r="G30" s="54"/>
      <c r="H30" s="54"/>
      <c r="I30" s="54"/>
      <c r="J30" s="54"/>
      <c r="K30" s="52"/>
      <c r="L30" s="52"/>
      <c r="M30" s="52"/>
      <c r="N30" s="54"/>
      <c r="O30" s="53"/>
      <c r="P30" s="52"/>
      <c r="Q30" s="53"/>
      <c r="R30" s="53"/>
      <c r="S30" s="54"/>
      <c r="T30" s="48" t="str">
        <f aca="true">IF($J30="","",IF($R30&lt;&gt;"",$R30-$D30,IF($D30="","",TODAY()-$D30)))</f>
        <v/>
      </c>
      <c r="U30" s="49" t="str">
        <f aca="true">IF($J30="","",IF(OR($P30="Closed",$P30="Not a defect"),"",IF($O30="","no target",IF($O30&lt;TODAY(),"OVERDUE "&amp;(TODAY()-$O30)&amp;"d","in "&amp;($O30-TODAY())&amp;"d"))))</f>
        <v/>
      </c>
      <c r="V30" s="50" t="str">
        <f aca="false">IF($J30="","",COUNTIF('Photo Log'!$B$8:$B$107,$B30))</f>
        <v/>
      </c>
      <c r="W30" s="54"/>
    </row>
    <row r="31" customFormat="false" ht="30" hidden="false" customHeight="true" outlineLevel="0" collapsed="false">
      <c r="B31" s="44" t="str">
        <f aca="false">IF($J31="","","PL-"&amp;TEXT(ROW()-8,"000"))</f>
        <v/>
      </c>
      <c r="C31" s="45"/>
      <c r="D31" s="46"/>
      <c r="E31" s="47"/>
      <c r="F31" s="47"/>
      <c r="G31" s="47"/>
      <c r="H31" s="47"/>
      <c r="I31" s="47"/>
      <c r="J31" s="47"/>
      <c r="K31" s="45"/>
      <c r="L31" s="45"/>
      <c r="M31" s="45"/>
      <c r="N31" s="47"/>
      <c r="O31" s="46"/>
      <c r="P31" s="45"/>
      <c r="Q31" s="46"/>
      <c r="R31" s="46"/>
      <c r="S31" s="47"/>
      <c r="T31" s="48" t="str">
        <f aca="true">IF($J31="","",IF($R31&lt;&gt;"",$R31-$D31,IF($D31="","",TODAY()-$D31)))</f>
        <v/>
      </c>
      <c r="U31" s="49" t="str">
        <f aca="true">IF($J31="","",IF(OR($P31="Closed",$P31="Not a defect"),"",IF($O31="","no target",IF($O31&lt;TODAY(),"OVERDUE "&amp;(TODAY()-$O31)&amp;"d","in "&amp;($O31-TODAY())&amp;"d"))))</f>
        <v/>
      </c>
      <c r="V31" s="50" t="str">
        <f aca="false">IF($J31="","",COUNTIF('Photo Log'!$B$8:$B$107,$B31))</f>
        <v/>
      </c>
      <c r="W31" s="47"/>
    </row>
    <row r="32" customFormat="false" ht="30" hidden="false" customHeight="true" outlineLevel="0" collapsed="false">
      <c r="B32" s="44" t="str">
        <f aca="false">IF($J32="","","PL-"&amp;TEXT(ROW()-8,"000"))</f>
        <v/>
      </c>
      <c r="C32" s="52"/>
      <c r="D32" s="53"/>
      <c r="E32" s="54"/>
      <c r="F32" s="54"/>
      <c r="G32" s="54"/>
      <c r="H32" s="54"/>
      <c r="I32" s="54"/>
      <c r="J32" s="54"/>
      <c r="K32" s="52"/>
      <c r="L32" s="52"/>
      <c r="M32" s="52"/>
      <c r="N32" s="54"/>
      <c r="O32" s="53"/>
      <c r="P32" s="52"/>
      <c r="Q32" s="53"/>
      <c r="R32" s="53"/>
      <c r="S32" s="54"/>
      <c r="T32" s="48" t="str">
        <f aca="true">IF($J32="","",IF($R32&lt;&gt;"",$R32-$D32,IF($D32="","",TODAY()-$D32)))</f>
        <v/>
      </c>
      <c r="U32" s="49" t="str">
        <f aca="true">IF($J32="","",IF(OR($P32="Closed",$P32="Not a defect"),"",IF($O32="","no target",IF($O32&lt;TODAY(),"OVERDUE "&amp;(TODAY()-$O32)&amp;"d","in "&amp;($O32-TODAY())&amp;"d"))))</f>
        <v/>
      </c>
      <c r="V32" s="50" t="str">
        <f aca="false">IF($J32="","",COUNTIF('Photo Log'!$B$8:$B$107,$B32))</f>
        <v/>
      </c>
      <c r="W32" s="54"/>
    </row>
    <row r="33" customFormat="false" ht="30" hidden="false" customHeight="true" outlineLevel="0" collapsed="false">
      <c r="B33" s="44" t="str">
        <f aca="false">IF($J33="","","PL-"&amp;TEXT(ROW()-8,"000"))</f>
        <v/>
      </c>
      <c r="C33" s="45"/>
      <c r="D33" s="46"/>
      <c r="E33" s="47"/>
      <c r="F33" s="47"/>
      <c r="G33" s="47"/>
      <c r="H33" s="47"/>
      <c r="I33" s="47"/>
      <c r="J33" s="47"/>
      <c r="K33" s="45"/>
      <c r="L33" s="45"/>
      <c r="M33" s="45"/>
      <c r="N33" s="47"/>
      <c r="O33" s="46"/>
      <c r="P33" s="45"/>
      <c r="Q33" s="46"/>
      <c r="R33" s="46"/>
      <c r="S33" s="47"/>
      <c r="T33" s="48" t="str">
        <f aca="true">IF($J33="","",IF($R33&lt;&gt;"",$R33-$D33,IF($D33="","",TODAY()-$D33)))</f>
        <v/>
      </c>
      <c r="U33" s="49" t="str">
        <f aca="true">IF($J33="","",IF(OR($P33="Closed",$P33="Not a defect"),"",IF($O33="","no target",IF($O33&lt;TODAY(),"OVERDUE "&amp;(TODAY()-$O33)&amp;"d","in "&amp;($O33-TODAY())&amp;"d"))))</f>
        <v/>
      </c>
      <c r="V33" s="50" t="str">
        <f aca="false">IF($J33="","",COUNTIF('Photo Log'!$B$8:$B$107,$B33))</f>
        <v/>
      </c>
      <c r="W33" s="47"/>
    </row>
    <row r="34" customFormat="false" ht="30" hidden="false" customHeight="true" outlineLevel="0" collapsed="false">
      <c r="B34" s="44" t="str">
        <f aca="false">IF($J34="","","PL-"&amp;TEXT(ROW()-8,"000"))</f>
        <v/>
      </c>
      <c r="C34" s="52"/>
      <c r="D34" s="53"/>
      <c r="E34" s="54"/>
      <c r="F34" s="54"/>
      <c r="G34" s="54"/>
      <c r="H34" s="54"/>
      <c r="I34" s="54"/>
      <c r="J34" s="54"/>
      <c r="K34" s="52"/>
      <c r="L34" s="52"/>
      <c r="M34" s="52"/>
      <c r="N34" s="54"/>
      <c r="O34" s="53"/>
      <c r="P34" s="52"/>
      <c r="Q34" s="53"/>
      <c r="R34" s="53"/>
      <c r="S34" s="54"/>
      <c r="T34" s="48" t="str">
        <f aca="true">IF($J34="","",IF($R34&lt;&gt;"",$R34-$D34,IF($D34="","",TODAY()-$D34)))</f>
        <v/>
      </c>
      <c r="U34" s="49" t="str">
        <f aca="true">IF($J34="","",IF(OR($P34="Closed",$P34="Not a defect"),"",IF($O34="","no target",IF($O34&lt;TODAY(),"OVERDUE "&amp;(TODAY()-$O34)&amp;"d","in "&amp;($O34-TODAY())&amp;"d"))))</f>
        <v/>
      </c>
      <c r="V34" s="50" t="str">
        <f aca="false">IF($J34="","",COUNTIF('Photo Log'!$B$8:$B$107,$B34))</f>
        <v/>
      </c>
      <c r="W34" s="54"/>
    </row>
    <row r="35" customFormat="false" ht="30" hidden="false" customHeight="true" outlineLevel="0" collapsed="false">
      <c r="B35" s="44" t="str">
        <f aca="false">IF($J35="","","PL-"&amp;TEXT(ROW()-8,"000"))</f>
        <v/>
      </c>
      <c r="C35" s="45"/>
      <c r="D35" s="46"/>
      <c r="E35" s="47"/>
      <c r="F35" s="47"/>
      <c r="G35" s="47"/>
      <c r="H35" s="47"/>
      <c r="I35" s="47"/>
      <c r="J35" s="47"/>
      <c r="K35" s="45"/>
      <c r="L35" s="45"/>
      <c r="M35" s="45"/>
      <c r="N35" s="47"/>
      <c r="O35" s="46"/>
      <c r="P35" s="45"/>
      <c r="Q35" s="46"/>
      <c r="R35" s="46"/>
      <c r="S35" s="47"/>
      <c r="T35" s="48" t="str">
        <f aca="true">IF($J35="","",IF($R35&lt;&gt;"",$R35-$D35,IF($D35="","",TODAY()-$D35)))</f>
        <v/>
      </c>
      <c r="U35" s="49" t="str">
        <f aca="true">IF($J35="","",IF(OR($P35="Closed",$P35="Not a defect"),"",IF($O35="","no target",IF($O35&lt;TODAY(),"OVERDUE "&amp;(TODAY()-$O35)&amp;"d","in "&amp;($O35-TODAY())&amp;"d"))))</f>
        <v/>
      </c>
      <c r="V35" s="50" t="str">
        <f aca="false">IF($J35="","",COUNTIF('Photo Log'!$B$8:$B$107,$B35))</f>
        <v/>
      </c>
      <c r="W35" s="47"/>
    </row>
    <row r="36" customFormat="false" ht="30" hidden="false" customHeight="true" outlineLevel="0" collapsed="false">
      <c r="B36" s="44" t="str">
        <f aca="false">IF($J36="","","PL-"&amp;TEXT(ROW()-8,"000"))</f>
        <v/>
      </c>
      <c r="C36" s="52"/>
      <c r="D36" s="53"/>
      <c r="E36" s="54"/>
      <c r="F36" s="54"/>
      <c r="G36" s="54"/>
      <c r="H36" s="54"/>
      <c r="I36" s="54"/>
      <c r="J36" s="54"/>
      <c r="K36" s="52"/>
      <c r="L36" s="52"/>
      <c r="M36" s="52"/>
      <c r="N36" s="54"/>
      <c r="O36" s="53"/>
      <c r="P36" s="52"/>
      <c r="Q36" s="53"/>
      <c r="R36" s="53"/>
      <c r="S36" s="54"/>
      <c r="T36" s="48" t="str">
        <f aca="true">IF($J36="","",IF($R36&lt;&gt;"",$R36-$D36,IF($D36="","",TODAY()-$D36)))</f>
        <v/>
      </c>
      <c r="U36" s="49" t="str">
        <f aca="true">IF($J36="","",IF(OR($P36="Closed",$P36="Not a defect"),"",IF($O36="","no target",IF($O36&lt;TODAY(),"OVERDUE "&amp;(TODAY()-$O36)&amp;"d","in "&amp;($O36-TODAY())&amp;"d"))))</f>
        <v/>
      </c>
      <c r="V36" s="50" t="str">
        <f aca="false">IF($J36="","",COUNTIF('Photo Log'!$B$8:$B$107,$B36))</f>
        <v/>
      </c>
      <c r="W36" s="54"/>
    </row>
    <row r="37" customFormat="false" ht="30" hidden="false" customHeight="true" outlineLevel="0" collapsed="false">
      <c r="B37" s="44" t="str">
        <f aca="false">IF($J37="","","PL-"&amp;TEXT(ROW()-8,"000"))</f>
        <v/>
      </c>
      <c r="C37" s="45"/>
      <c r="D37" s="46"/>
      <c r="E37" s="47"/>
      <c r="F37" s="47"/>
      <c r="G37" s="47"/>
      <c r="H37" s="47"/>
      <c r="I37" s="47"/>
      <c r="J37" s="47"/>
      <c r="K37" s="45"/>
      <c r="L37" s="45"/>
      <c r="M37" s="45"/>
      <c r="N37" s="47"/>
      <c r="O37" s="46"/>
      <c r="P37" s="45"/>
      <c r="Q37" s="46"/>
      <c r="R37" s="46"/>
      <c r="S37" s="47"/>
      <c r="T37" s="48" t="str">
        <f aca="true">IF($J37="","",IF($R37&lt;&gt;"",$R37-$D37,IF($D37="","",TODAY()-$D37)))</f>
        <v/>
      </c>
      <c r="U37" s="49" t="str">
        <f aca="true">IF($J37="","",IF(OR($P37="Closed",$P37="Not a defect"),"",IF($O37="","no target",IF($O37&lt;TODAY(),"OVERDUE "&amp;(TODAY()-$O37)&amp;"d","in "&amp;($O37-TODAY())&amp;"d"))))</f>
        <v/>
      </c>
      <c r="V37" s="50" t="str">
        <f aca="false">IF($J37="","",COUNTIF('Photo Log'!$B$8:$B$107,$B37))</f>
        <v/>
      </c>
      <c r="W37" s="47"/>
    </row>
    <row r="38" customFormat="false" ht="30" hidden="false" customHeight="true" outlineLevel="0" collapsed="false">
      <c r="B38" s="44" t="str">
        <f aca="false">IF($J38="","","PL-"&amp;TEXT(ROW()-8,"000"))</f>
        <v/>
      </c>
      <c r="C38" s="52"/>
      <c r="D38" s="53"/>
      <c r="E38" s="54"/>
      <c r="F38" s="54"/>
      <c r="G38" s="54"/>
      <c r="H38" s="54"/>
      <c r="I38" s="54"/>
      <c r="J38" s="54"/>
      <c r="K38" s="52"/>
      <c r="L38" s="52"/>
      <c r="M38" s="52"/>
      <c r="N38" s="54"/>
      <c r="O38" s="53"/>
      <c r="P38" s="52"/>
      <c r="Q38" s="53"/>
      <c r="R38" s="53"/>
      <c r="S38" s="54"/>
      <c r="T38" s="48" t="str">
        <f aca="true">IF($J38="","",IF($R38&lt;&gt;"",$R38-$D38,IF($D38="","",TODAY()-$D38)))</f>
        <v/>
      </c>
      <c r="U38" s="49" t="str">
        <f aca="true">IF($J38="","",IF(OR($P38="Closed",$P38="Not a defect"),"",IF($O38="","no target",IF($O38&lt;TODAY(),"OVERDUE "&amp;(TODAY()-$O38)&amp;"d","in "&amp;($O38-TODAY())&amp;"d"))))</f>
        <v/>
      </c>
      <c r="V38" s="50" t="str">
        <f aca="false">IF($J38="","",COUNTIF('Photo Log'!$B$8:$B$107,$B38))</f>
        <v/>
      </c>
      <c r="W38" s="54"/>
    </row>
    <row r="39" customFormat="false" ht="30" hidden="false" customHeight="true" outlineLevel="0" collapsed="false">
      <c r="B39" s="44" t="str">
        <f aca="false">IF($J39="","","PL-"&amp;TEXT(ROW()-8,"000"))</f>
        <v/>
      </c>
      <c r="C39" s="45"/>
      <c r="D39" s="46"/>
      <c r="E39" s="47"/>
      <c r="F39" s="47"/>
      <c r="G39" s="47"/>
      <c r="H39" s="47"/>
      <c r="I39" s="47"/>
      <c r="J39" s="47"/>
      <c r="K39" s="45"/>
      <c r="L39" s="45"/>
      <c r="M39" s="45"/>
      <c r="N39" s="47"/>
      <c r="O39" s="46"/>
      <c r="P39" s="45"/>
      <c r="Q39" s="46"/>
      <c r="R39" s="46"/>
      <c r="S39" s="47"/>
      <c r="T39" s="48" t="str">
        <f aca="true">IF($J39="","",IF($R39&lt;&gt;"",$R39-$D39,IF($D39="","",TODAY()-$D39)))</f>
        <v/>
      </c>
      <c r="U39" s="49" t="str">
        <f aca="true">IF($J39="","",IF(OR($P39="Closed",$P39="Not a defect"),"",IF($O39="","no target",IF($O39&lt;TODAY(),"OVERDUE "&amp;(TODAY()-$O39)&amp;"d","in "&amp;($O39-TODAY())&amp;"d"))))</f>
        <v/>
      </c>
      <c r="V39" s="50" t="str">
        <f aca="false">IF($J39="","",COUNTIF('Photo Log'!$B$8:$B$107,$B39))</f>
        <v/>
      </c>
      <c r="W39" s="47"/>
    </row>
    <row r="40" customFormat="false" ht="30" hidden="false" customHeight="true" outlineLevel="0" collapsed="false">
      <c r="B40" s="44" t="str">
        <f aca="false">IF($J40="","","PL-"&amp;TEXT(ROW()-8,"000"))</f>
        <v/>
      </c>
      <c r="C40" s="52"/>
      <c r="D40" s="53"/>
      <c r="E40" s="54"/>
      <c r="F40" s="54"/>
      <c r="G40" s="54"/>
      <c r="H40" s="54"/>
      <c r="I40" s="54"/>
      <c r="J40" s="54"/>
      <c r="K40" s="52"/>
      <c r="L40" s="52"/>
      <c r="M40" s="52"/>
      <c r="N40" s="54"/>
      <c r="O40" s="53"/>
      <c r="P40" s="52"/>
      <c r="Q40" s="53"/>
      <c r="R40" s="53"/>
      <c r="S40" s="54"/>
      <c r="T40" s="48" t="str">
        <f aca="true">IF($J40="","",IF($R40&lt;&gt;"",$R40-$D40,IF($D40="","",TODAY()-$D40)))</f>
        <v/>
      </c>
      <c r="U40" s="49" t="str">
        <f aca="true">IF($J40="","",IF(OR($P40="Closed",$P40="Not a defect"),"",IF($O40="","no target",IF($O40&lt;TODAY(),"OVERDUE "&amp;(TODAY()-$O40)&amp;"d","in "&amp;($O40-TODAY())&amp;"d"))))</f>
        <v/>
      </c>
      <c r="V40" s="50" t="str">
        <f aca="false">IF($J40="","",COUNTIF('Photo Log'!$B$8:$B$107,$B40))</f>
        <v/>
      </c>
      <c r="W40" s="54"/>
    </row>
    <row r="41" customFormat="false" ht="30" hidden="false" customHeight="true" outlineLevel="0" collapsed="false">
      <c r="B41" s="44" t="str">
        <f aca="false">IF($J41="","","PL-"&amp;TEXT(ROW()-8,"000"))</f>
        <v/>
      </c>
      <c r="C41" s="45"/>
      <c r="D41" s="46"/>
      <c r="E41" s="47"/>
      <c r="F41" s="47"/>
      <c r="G41" s="47"/>
      <c r="H41" s="47"/>
      <c r="I41" s="47"/>
      <c r="J41" s="47"/>
      <c r="K41" s="45"/>
      <c r="L41" s="45"/>
      <c r="M41" s="45"/>
      <c r="N41" s="47"/>
      <c r="O41" s="46"/>
      <c r="P41" s="45"/>
      <c r="Q41" s="46"/>
      <c r="R41" s="46"/>
      <c r="S41" s="47"/>
      <c r="T41" s="48" t="str">
        <f aca="true">IF($J41="","",IF($R41&lt;&gt;"",$R41-$D41,IF($D41="","",TODAY()-$D41)))</f>
        <v/>
      </c>
      <c r="U41" s="49" t="str">
        <f aca="true">IF($J41="","",IF(OR($P41="Closed",$P41="Not a defect"),"",IF($O41="","no target",IF($O41&lt;TODAY(),"OVERDUE "&amp;(TODAY()-$O41)&amp;"d","in "&amp;($O41-TODAY())&amp;"d"))))</f>
        <v/>
      </c>
      <c r="V41" s="50" t="str">
        <f aca="false">IF($J41="","",COUNTIF('Photo Log'!$B$8:$B$107,$B41))</f>
        <v/>
      </c>
      <c r="W41" s="47"/>
    </row>
    <row r="42" customFormat="false" ht="30" hidden="false" customHeight="true" outlineLevel="0" collapsed="false">
      <c r="B42" s="44" t="str">
        <f aca="false">IF($J42="","","PL-"&amp;TEXT(ROW()-8,"000"))</f>
        <v/>
      </c>
      <c r="C42" s="52"/>
      <c r="D42" s="53"/>
      <c r="E42" s="54"/>
      <c r="F42" s="54"/>
      <c r="G42" s="54"/>
      <c r="H42" s="54"/>
      <c r="I42" s="54"/>
      <c r="J42" s="54"/>
      <c r="K42" s="52"/>
      <c r="L42" s="52"/>
      <c r="M42" s="52"/>
      <c r="N42" s="54"/>
      <c r="O42" s="53"/>
      <c r="P42" s="52"/>
      <c r="Q42" s="53"/>
      <c r="R42" s="53"/>
      <c r="S42" s="54"/>
      <c r="T42" s="48" t="str">
        <f aca="true">IF($J42="","",IF($R42&lt;&gt;"",$R42-$D42,IF($D42="","",TODAY()-$D42)))</f>
        <v/>
      </c>
      <c r="U42" s="49" t="str">
        <f aca="true">IF($J42="","",IF(OR($P42="Closed",$P42="Not a defect"),"",IF($O42="","no target",IF($O42&lt;TODAY(),"OVERDUE "&amp;(TODAY()-$O42)&amp;"d","in "&amp;($O42-TODAY())&amp;"d"))))</f>
        <v/>
      </c>
      <c r="V42" s="50" t="str">
        <f aca="false">IF($J42="","",COUNTIF('Photo Log'!$B$8:$B$107,$B42))</f>
        <v/>
      </c>
      <c r="W42" s="54"/>
    </row>
    <row r="43" customFormat="false" ht="30" hidden="false" customHeight="true" outlineLevel="0" collapsed="false">
      <c r="B43" s="44" t="str">
        <f aca="false">IF($J43="","","PL-"&amp;TEXT(ROW()-8,"000"))</f>
        <v/>
      </c>
      <c r="C43" s="45"/>
      <c r="D43" s="46"/>
      <c r="E43" s="47"/>
      <c r="F43" s="47"/>
      <c r="G43" s="47"/>
      <c r="H43" s="47"/>
      <c r="I43" s="47"/>
      <c r="J43" s="47"/>
      <c r="K43" s="45"/>
      <c r="L43" s="45"/>
      <c r="M43" s="45"/>
      <c r="N43" s="47"/>
      <c r="O43" s="46"/>
      <c r="P43" s="45"/>
      <c r="Q43" s="46"/>
      <c r="R43" s="46"/>
      <c r="S43" s="47"/>
      <c r="T43" s="48" t="str">
        <f aca="true">IF($J43="","",IF($R43&lt;&gt;"",$R43-$D43,IF($D43="","",TODAY()-$D43)))</f>
        <v/>
      </c>
      <c r="U43" s="49" t="str">
        <f aca="true">IF($J43="","",IF(OR($P43="Closed",$P43="Not a defect"),"",IF($O43="","no target",IF($O43&lt;TODAY(),"OVERDUE "&amp;(TODAY()-$O43)&amp;"d","in "&amp;($O43-TODAY())&amp;"d"))))</f>
        <v/>
      </c>
      <c r="V43" s="50" t="str">
        <f aca="false">IF($J43="","",COUNTIF('Photo Log'!$B$8:$B$107,$B43))</f>
        <v/>
      </c>
      <c r="W43" s="47"/>
    </row>
    <row r="44" customFormat="false" ht="30" hidden="false" customHeight="true" outlineLevel="0" collapsed="false">
      <c r="B44" s="44" t="str">
        <f aca="false">IF($J44="","","PL-"&amp;TEXT(ROW()-8,"000"))</f>
        <v/>
      </c>
      <c r="C44" s="52"/>
      <c r="D44" s="53"/>
      <c r="E44" s="54"/>
      <c r="F44" s="54"/>
      <c r="G44" s="54"/>
      <c r="H44" s="54"/>
      <c r="I44" s="54"/>
      <c r="J44" s="54"/>
      <c r="K44" s="52"/>
      <c r="L44" s="52"/>
      <c r="M44" s="52"/>
      <c r="N44" s="54"/>
      <c r="O44" s="53"/>
      <c r="P44" s="52"/>
      <c r="Q44" s="53"/>
      <c r="R44" s="53"/>
      <c r="S44" s="54"/>
      <c r="T44" s="48" t="str">
        <f aca="true">IF($J44="","",IF($R44&lt;&gt;"",$R44-$D44,IF($D44="","",TODAY()-$D44)))</f>
        <v/>
      </c>
      <c r="U44" s="49" t="str">
        <f aca="true">IF($J44="","",IF(OR($P44="Closed",$P44="Not a defect"),"",IF($O44="","no target",IF($O44&lt;TODAY(),"OVERDUE "&amp;(TODAY()-$O44)&amp;"d","in "&amp;($O44-TODAY())&amp;"d"))))</f>
        <v/>
      </c>
      <c r="V44" s="50" t="str">
        <f aca="false">IF($J44="","",COUNTIF('Photo Log'!$B$8:$B$107,$B44))</f>
        <v/>
      </c>
      <c r="W44" s="54"/>
    </row>
    <row r="45" customFormat="false" ht="30" hidden="false" customHeight="true" outlineLevel="0" collapsed="false">
      <c r="B45" s="44" t="str">
        <f aca="false">IF($J45="","","PL-"&amp;TEXT(ROW()-8,"000"))</f>
        <v/>
      </c>
      <c r="C45" s="45"/>
      <c r="D45" s="46"/>
      <c r="E45" s="47"/>
      <c r="F45" s="47"/>
      <c r="G45" s="47"/>
      <c r="H45" s="47"/>
      <c r="I45" s="47"/>
      <c r="J45" s="47"/>
      <c r="K45" s="45"/>
      <c r="L45" s="45"/>
      <c r="M45" s="45"/>
      <c r="N45" s="47"/>
      <c r="O45" s="46"/>
      <c r="P45" s="45"/>
      <c r="Q45" s="46"/>
      <c r="R45" s="46"/>
      <c r="S45" s="47"/>
      <c r="T45" s="48" t="str">
        <f aca="true">IF($J45="","",IF($R45&lt;&gt;"",$R45-$D45,IF($D45="","",TODAY()-$D45)))</f>
        <v/>
      </c>
      <c r="U45" s="49" t="str">
        <f aca="true">IF($J45="","",IF(OR($P45="Closed",$P45="Not a defect"),"",IF($O45="","no target",IF($O45&lt;TODAY(),"OVERDUE "&amp;(TODAY()-$O45)&amp;"d","in "&amp;($O45-TODAY())&amp;"d"))))</f>
        <v/>
      </c>
      <c r="V45" s="50" t="str">
        <f aca="false">IF($J45="","",COUNTIF('Photo Log'!$B$8:$B$107,$B45))</f>
        <v/>
      </c>
      <c r="W45" s="47"/>
    </row>
    <row r="46" customFormat="false" ht="30" hidden="false" customHeight="true" outlineLevel="0" collapsed="false">
      <c r="B46" s="44" t="str">
        <f aca="false">IF($J46="","","PL-"&amp;TEXT(ROW()-8,"000"))</f>
        <v/>
      </c>
      <c r="C46" s="52"/>
      <c r="D46" s="53"/>
      <c r="E46" s="54"/>
      <c r="F46" s="54"/>
      <c r="G46" s="54"/>
      <c r="H46" s="54"/>
      <c r="I46" s="54"/>
      <c r="J46" s="54"/>
      <c r="K46" s="52"/>
      <c r="L46" s="52"/>
      <c r="M46" s="52"/>
      <c r="N46" s="54"/>
      <c r="O46" s="53"/>
      <c r="P46" s="52"/>
      <c r="Q46" s="53"/>
      <c r="R46" s="53"/>
      <c r="S46" s="54"/>
      <c r="T46" s="48" t="str">
        <f aca="true">IF($J46="","",IF($R46&lt;&gt;"",$R46-$D46,IF($D46="","",TODAY()-$D46)))</f>
        <v/>
      </c>
      <c r="U46" s="49" t="str">
        <f aca="true">IF($J46="","",IF(OR($P46="Closed",$P46="Not a defect"),"",IF($O46="","no target",IF($O46&lt;TODAY(),"OVERDUE "&amp;(TODAY()-$O46)&amp;"d","in "&amp;($O46-TODAY())&amp;"d"))))</f>
        <v/>
      </c>
      <c r="V46" s="50" t="str">
        <f aca="false">IF($J46="","",COUNTIF('Photo Log'!$B$8:$B$107,$B46))</f>
        <v/>
      </c>
      <c r="W46" s="54"/>
    </row>
    <row r="47" customFormat="false" ht="30" hidden="false" customHeight="true" outlineLevel="0" collapsed="false">
      <c r="B47" s="44" t="str">
        <f aca="false">IF($J47="","","PL-"&amp;TEXT(ROW()-8,"000"))</f>
        <v/>
      </c>
      <c r="C47" s="45"/>
      <c r="D47" s="46"/>
      <c r="E47" s="47"/>
      <c r="F47" s="47"/>
      <c r="G47" s="47"/>
      <c r="H47" s="47"/>
      <c r="I47" s="47"/>
      <c r="J47" s="47"/>
      <c r="K47" s="45"/>
      <c r="L47" s="45"/>
      <c r="M47" s="45"/>
      <c r="N47" s="47"/>
      <c r="O47" s="46"/>
      <c r="P47" s="45"/>
      <c r="Q47" s="46"/>
      <c r="R47" s="46"/>
      <c r="S47" s="47"/>
      <c r="T47" s="48" t="str">
        <f aca="true">IF($J47="","",IF($R47&lt;&gt;"",$R47-$D47,IF($D47="","",TODAY()-$D47)))</f>
        <v/>
      </c>
      <c r="U47" s="49" t="str">
        <f aca="true">IF($J47="","",IF(OR($P47="Closed",$P47="Not a defect"),"",IF($O47="","no target",IF($O47&lt;TODAY(),"OVERDUE "&amp;(TODAY()-$O47)&amp;"d","in "&amp;($O47-TODAY())&amp;"d"))))</f>
        <v/>
      </c>
      <c r="V47" s="50" t="str">
        <f aca="false">IF($J47="","",COUNTIF('Photo Log'!$B$8:$B$107,$B47))</f>
        <v/>
      </c>
      <c r="W47" s="47"/>
    </row>
    <row r="48" customFormat="false" ht="30" hidden="false" customHeight="true" outlineLevel="0" collapsed="false">
      <c r="B48" s="44" t="str">
        <f aca="false">IF($J48="","","PL-"&amp;TEXT(ROW()-8,"000"))</f>
        <v/>
      </c>
      <c r="C48" s="52"/>
      <c r="D48" s="53"/>
      <c r="E48" s="54"/>
      <c r="F48" s="54"/>
      <c r="G48" s="54"/>
      <c r="H48" s="54"/>
      <c r="I48" s="54"/>
      <c r="J48" s="54"/>
      <c r="K48" s="52"/>
      <c r="L48" s="52"/>
      <c r="M48" s="52"/>
      <c r="N48" s="54"/>
      <c r="O48" s="53"/>
      <c r="P48" s="52"/>
      <c r="Q48" s="53"/>
      <c r="R48" s="53"/>
      <c r="S48" s="54"/>
      <c r="T48" s="48" t="str">
        <f aca="true">IF($J48="","",IF($R48&lt;&gt;"",$R48-$D48,IF($D48="","",TODAY()-$D48)))</f>
        <v/>
      </c>
      <c r="U48" s="49" t="str">
        <f aca="true">IF($J48="","",IF(OR($P48="Closed",$P48="Not a defect"),"",IF($O48="","no target",IF($O48&lt;TODAY(),"OVERDUE "&amp;(TODAY()-$O48)&amp;"d","in "&amp;($O48-TODAY())&amp;"d"))))</f>
        <v/>
      </c>
      <c r="V48" s="50" t="str">
        <f aca="false">IF($J48="","",COUNTIF('Photo Log'!$B$8:$B$107,$B48))</f>
        <v/>
      </c>
      <c r="W48" s="54"/>
    </row>
    <row r="49" customFormat="false" ht="30" hidden="false" customHeight="true" outlineLevel="0" collapsed="false">
      <c r="B49" s="44" t="str">
        <f aca="false">IF($J49="","","PL-"&amp;TEXT(ROW()-8,"000"))</f>
        <v/>
      </c>
      <c r="C49" s="45"/>
      <c r="D49" s="46"/>
      <c r="E49" s="47"/>
      <c r="F49" s="47"/>
      <c r="G49" s="47"/>
      <c r="H49" s="47"/>
      <c r="I49" s="47"/>
      <c r="J49" s="47"/>
      <c r="K49" s="45"/>
      <c r="L49" s="45"/>
      <c r="M49" s="45"/>
      <c r="N49" s="47"/>
      <c r="O49" s="46"/>
      <c r="P49" s="45"/>
      <c r="Q49" s="46"/>
      <c r="R49" s="46"/>
      <c r="S49" s="47"/>
      <c r="T49" s="48" t="str">
        <f aca="true">IF($J49="","",IF($R49&lt;&gt;"",$R49-$D49,IF($D49="","",TODAY()-$D49)))</f>
        <v/>
      </c>
      <c r="U49" s="49" t="str">
        <f aca="true">IF($J49="","",IF(OR($P49="Closed",$P49="Not a defect"),"",IF($O49="","no target",IF($O49&lt;TODAY(),"OVERDUE "&amp;(TODAY()-$O49)&amp;"d","in "&amp;($O49-TODAY())&amp;"d"))))</f>
        <v/>
      </c>
      <c r="V49" s="50" t="str">
        <f aca="false">IF($J49="","",COUNTIF('Photo Log'!$B$8:$B$107,$B49))</f>
        <v/>
      </c>
      <c r="W49" s="47"/>
    </row>
    <row r="50" customFormat="false" ht="30" hidden="false" customHeight="true" outlineLevel="0" collapsed="false">
      <c r="B50" s="44" t="str">
        <f aca="false">IF($J50="","","PL-"&amp;TEXT(ROW()-8,"000"))</f>
        <v/>
      </c>
      <c r="C50" s="52"/>
      <c r="D50" s="53"/>
      <c r="E50" s="54"/>
      <c r="F50" s="54"/>
      <c r="G50" s="54"/>
      <c r="H50" s="54"/>
      <c r="I50" s="54"/>
      <c r="J50" s="54"/>
      <c r="K50" s="52"/>
      <c r="L50" s="52"/>
      <c r="M50" s="52"/>
      <c r="N50" s="54"/>
      <c r="O50" s="53"/>
      <c r="P50" s="52"/>
      <c r="Q50" s="53"/>
      <c r="R50" s="53"/>
      <c r="S50" s="54"/>
      <c r="T50" s="48" t="str">
        <f aca="true">IF($J50="","",IF($R50&lt;&gt;"",$R50-$D50,IF($D50="","",TODAY()-$D50)))</f>
        <v/>
      </c>
      <c r="U50" s="49" t="str">
        <f aca="true">IF($J50="","",IF(OR($P50="Closed",$P50="Not a defect"),"",IF($O50="","no target",IF($O50&lt;TODAY(),"OVERDUE "&amp;(TODAY()-$O50)&amp;"d","in "&amp;($O50-TODAY())&amp;"d"))))</f>
        <v/>
      </c>
      <c r="V50" s="50" t="str">
        <f aca="false">IF($J50="","",COUNTIF('Photo Log'!$B$8:$B$107,$B50))</f>
        <v/>
      </c>
      <c r="W50" s="54"/>
    </row>
    <row r="51" customFormat="false" ht="30" hidden="false" customHeight="true" outlineLevel="0" collapsed="false">
      <c r="B51" s="44" t="str">
        <f aca="false">IF($J51="","","PL-"&amp;TEXT(ROW()-8,"000"))</f>
        <v/>
      </c>
      <c r="C51" s="45"/>
      <c r="D51" s="46"/>
      <c r="E51" s="47"/>
      <c r="F51" s="47"/>
      <c r="G51" s="47"/>
      <c r="H51" s="47"/>
      <c r="I51" s="47"/>
      <c r="J51" s="47"/>
      <c r="K51" s="45"/>
      <c r="L51" s="45"/>
      <c r="M51" s="45"/>
      <c r="N51" s="47"/>
      <c r="O51" s="46"/>
      <c r="P51" s="45"/>
      <c r="Q51" s="46"/>
      <c r="R51" s="46"/>
      <c r="S51" s="47"/>
      <c r="T51" s="48" t="str">
        <f aca="true">IF($J51="","",IF($R51&lt;&gt;"",$R51-$D51,IF($D51="","",TODAY()-$D51)))</f>
        <v/>
      </c>
      <c r="U51" s="49" t="str">
        <f aca="true">IF($J51="","",IF(OR($P51="Closed",$P51="Not a defect"),"",IF($O51="","no target",IF($O51&lt;TODAY(),"OVERDUE "&amp;(TODAY()-$O51)&amp;"d","in "&amp;($O51-TODAY())&amp;"d"))))</f>
        <v/>
      </c>
      <c r="V51" s="50" t="str">
        <f aca="false">IF($J51="","",COUNTIF('Photo Log'!$B$8:$B$107,$B51))</f>
        <v/>
      </c>
      <c r="W51" s="47"/>
    </row>
    <row r="52" customFormat="false" ht="30" hidden="false" customHeight="true" outlineLevel="0" collapsed="false">
      <c r="B52" s="44" t="str">
        <f aca="false">IF($J52="","","PL-"&amp;TEXT(ROW()-8,"000"))</f>
        <v/>
      </c>
      <c r="C52" s="52"/>
      <c r="D52" s="53"/>
      <c r="E52" s="54"/>
      <c r="F52" s="54"/>
      <c r="G52" s="54"/>
      <c r="H52" s="54"/>
      <c r="I52" s="54"/>
      <c r="J52" s="54"/>
      <c r="K52" s="52"/>
      <c r="L52" s="52"/>
      <c r="M52" s="52"/>
      <c r="N52" s="54"/>
      <c r="O52" s="53"/>
      <c r="P52" s="52"/>
      <c r="Q52" s="53"/>
      <c r="R52" s="53"/>
      <c r="S52" s="54"/>
      <c r="T52" s="48" t="str">
        <f aca="true">IF($J52="","",IF($R52&lt;&gt;"",$R52-$D52,IF($D52="","",TODAY()-$D52)))</f>
        <v/>
      </c>
      <c r="U52" s="49" t="str">
        <f aca="true">IF($J52="","",IF(OR($P52="Closed",$P52="Not a defect"),"",IF($O52="","no target",IF($O52&lt;TODAY(),"OVERDUE "&amp;(TODAY()-$O52)&amp;"d","in "&amp;($O52-TODAY())&amp;"d"))))</f>
        <v/>
      </c>
      <c r="V52" s="50" t="str">
        <f aca="false">IF($J52="","",COUNTIF('Photo Log'!$B$8:$B$107,$B52))</f>
        <v/>
      </c>
      <c r="W52" s="54"/>
    </row>
    <row r="53" customFormat="false" ht="30" hidden="false" customHeight="true" outlineLevel="0" collapsed="false">
      <c r="B53" s="44" t="str">
        <f aca="false">IF($J53="","","PL-"&amp;TEXT(ROW()-8,"000"))</f>
        <v/>
      </c>
      <c r="C53" s="45"/>
      <c r="D53" s="46"/>
      <c r="E53" s="47"/>
      <c r="F53" s="47"/>
      <c r="G53" s="47"/>
      <c r="H53" s="47"/>
      <c r="I53" s="47"/>
      <c r="J53" s="47"/>
      <c r="K53" s="45"/>
      <c r="L53" s="45"/>
      <c r="M53" s="45"/>
      <c r="N53" s="47"/>
      <c r="O53" s="46"/>
      <c r="P53" s="45"/>
      <c r="Q53" s="46"/>
      <c r="R53" s="46"/>
      <c r="S53" s="47"/>
      <c r="T53" s="48" t="str">
        <f aca="true">IF($J53="","",IF($R53&lt;&gt;"",$R53-$D53,IF($D53="","",TODAY()-$D53)))</f>
        <v/>
      </c>
      <c r="U53" s="49" t="str">
        <f aca="true">IF($J53="","",IF(OR($P53="Closed",$P53="Not a defect"),"",IF($O53="","no target",IF($O53&lt;TODAY(),"OVERDUE "&amp;(TODAY()-$O53)&amp;"d","in "&amp;($O53-TODAY())&amp;"d"))))</f>
        <v/>
      </c>
      <c r="V53" s="50" t="str">
        <f aca="false">IF($J53="","",COUNTIF('Photo Log'!$B$8:$B$107,$B53))</f>
        <v/>
      </c>
      <c r="W53" s="47"/>
    </row>
    <row r="54" customFormat="false" ht="30" hidden="false" customHeight="true" outlineLevel="0" collapsed="false">
      <c r="B54" s="44" t="str">
        <f aca="false">IF($J54="","","PL-"&amp;TEXT(ROW()-8,"000"))</f>
        <v/>
      </c>
      <c r="C54" s="52"/>
      <c r="D54" s="53"/>
      <c r="E54" s="54"/>
      <c r="F54" s="54"/>
      <c r="G54" s="54"/>
      <c r="H54" s="54"/>
      <c r="I54" s="54"/>
      <c r="J54" s="54"/>
      <c r="K54" s="52"/>
      <c r="L54" s="52"/>
      <c r="M54" s="52"/>
      <c r="N54" s="54"/>
      <c r="O54" s="53"/>
      <c r="P54" s="52"/>
      <c r="Q54" s="53"/>
      <c r="R54" s="53"/>
      <c r="S54" s="54"/>
      <c r="T54" s="48" t="str">
        <f aca="true">IF($J54="","",IF($R54&lt;&gt;"",$R54-$D54,IF($D54="","",TODAY()-$D54)))</f>
        <v/>
      </c>
      <c r="U54" s="49" t="str">
        <f aca="true">IF($J54="","",IF(OR($P54="Closed",$P54="Not a defect"),"",IF($O54="","no target",IF($O54&lt;TODAY(),"OVERDUE "&amp;(TODAY()-$O54)&amp;"d","in "&amp;($O54-TODAY())&amp;"d"))))</f>
        <v/>
      </c>
      <c r="V54" s="50" t="str">
        <f aca="false">IF($J54="","",COUNTIF('Photo Log'!$B$8:$B$107,$B54))</f>
        <v/>
      </c>
      <c r="W54" s="54"/>
    </row>
    <row r="55" customFormat="false" ht="30" hidden="false" customHeight="true" outlineLevel="0" collapsed="false">
      <c r="B55" s="44" t="str">
        <f aca="false">IF($J55="","","PL-"&amp;TEXT(ROW()-8,"000"))</f>
        <v/>
      </c>
      <c r="C55" s="45"/>
      <c r="D55" s="46"/>
      <c r="E55" s="47"/>
      <c r="F55" s="47"/>
      <c r="G55" s="47"/>
      <c r="H55" s="47"/>
      <c r="I55" s="47"/>
      <c r="J55" s="47"/>
      <c r="K55" s="45"/>
      <c r="L55" s="45"/>
      <c r="M55" s="45"/>
      <c r="N55" s="47"/>
      <c r="O55" s="46"/>
      <c r="P55" s="45"/>
      <c r="Q55" s="46"/>
      <c r="R55" s="46"/>
      <c r="S55" s="47"/>
      <c r="T55" s="48" t="str">
        <f aca="true">IF($J55="","",IF($R55&lt;&gt;"",$R55-$D55,IF($D55="","",TODAY()-$D55)))</f>
        <v/>
      </c>
      <c r="U55" s="49" t="str">
        <f aca="true">IF($J55="","",IF(OR($P55="Closed",$P55="Not a defect"),"",IF($O55="","no target",IF($O55&lt;TODAY(),"OVERDUE "&amp;(TODAY()-$O55)&amp;"d","in "&amp;($O55-TODAY())&amp;"d"))))</f>
        <v/>
      </c>
      <c r="V55" s="50" t="str">
        <f aca="false">IF($J55="","",COUNTIF('Photo Log'!$B$8:$B$107,$B55))</f>
        <v/>
      </c>
      <c r="W55" s="47"/>
    </row>
    <row r="56" customFormat="false" ht="30" hidden="false" customHeight="true" outlineLevel="0" collapsed="false">
      <c r="B56" s="44" t="str">
        <f aca="false">IF($J56="","","PL-"&amp;TEXT(ROW()-8,"000"))</f>
        <v/>
      </c>
      <c r="C56" s="52"/>
      <c r="D56" s="53"/>
      <c r="E56" s="54"/>
      <c r="F56" s="54"/>
      <c r="G56" s="54"/>
      <c r="H56" s="54"/>
      <c r="I56" s="54"/>
      <c r="J56" s="54"/>
      <c r="K56" s="52"/>
      <c r="L56" s="52"/>
      <c r="M56" s="52"/>
      <c r="N56" s="54"/>
      <c r="O56" s="53"/>
      <c r="P56" s="52"/>
      <c r="Q56" s="53"/>
      <c r="R56" s="53"/>
      <c r="S56" s="54"/>
      <c r="T56" s="48" t="str">
        <f aca="true">IF($J56="","",IF($R56&lt;&gt;"",$R56-$D56,IF($D56="","",TODAY()-$D56)))</f>
        <v/>
      </c>
      <c r="U56" s="49" t="str">
        <f aca="true">IF($J56="","",IF(OR($P56="Closed",$P56="Not a defect"),"",IF($O56="","no target",IF($O56&lt;TODAY(),"OVERDUE "&amp;(TODAY()-$O56)&amp;"d","in "&amp;($O56-TODAY())&amp;"d"))))</f>
        <v/>
      </c>
      <c r="V56" s="50" t="str">
        <f aca="false">IF($J56="","",COUNTIF('Photo Log'!$B$8:$B$107,$B56))</f>
        <v/>
      </c>
      <c r="W56" s="54"/>
    </row>
    <row r="57" customFormat="false" ht="30" hidden="false" customHeight="true" outlineLevel="0" collapsed="false">
      <c r="B57" s="44" t="str">
        <f aca="false">IF($J57="","","PL-"&amp;TEXT(ROW()-8,"000"))</f>
        <v/>
      </c>
      <c r="C57" s="45"/>
      <c r="D57" s="46"/>
      <c r="E57" s="47"/>
      <c r="F57" s="47"/>
      <c r="G57" s="47"/>
      <c r="H57" s="47"/>
      <c r="I57" s="47"/>
      <c r="J57" s="47"/>
      <c r="K57" s="45"/>
      <c r="L57" s="45"/>
      <c r="M57" s="45"/>
      <c r="N57" s="47"/>
      <c r="O57" s="46"/>
      <c r="P57" s="45"/>
      <c r="Q57" s="46"/>
      <c r="R57" s="46"/>
      <c r="S57" s="47"/>
      <c r="T57" s="48" t="str">
        <f aca="true">IF($J57="","",IF($R57&lt;&gt;"",$R57-$D57,IF($D57="","",TODAY()-$D57)))</f>
        <v/>
      </c>
      <c r="U57" s="49" t="str">
        <f aca="true">IF($J57="","",IF(OR($P57="Closed",$P57="Not a defect"),"",IF($O57="","no target",IF($O57&lt;TODAY(),"OVERDUE "&amp;(TODAY()-$O57)&amp;"d","in "&amp;($O57-TODAY())&amp;"d"))))</f>
        <v/>
      </c>
      <c r="V57" s="50" t="str">
        <f aca="false">IF($J57="","",COUNTIF('Photo Log'!$B$8:$B$107,$B57))</f>
        <v/>
      </c>
      <c r="W57" s="47"/>
    </row>
    <row r="58" customFormat="false" ht="30" hidden="false" customHeight="true" outlineLevel="0" collapsed="false">
      <c r="B58" s="44" t="str">
        <f aca="false">IF($J58="","","PL-"&amp;TEXT(ROW()-8,"000"))</f>
        <v/>
      </c>
      <c r="C58" s="52"/>
      <c r="D58" s="53"/>
      <c r="E58" s="54"/>
      <c r="F58" s="54"/>
      <c r="G58" s="54"/>
      <c r="H58" s="54"/>
      <c r="I58" s="54"/>
      <c r="J58" s="54"/>
      <c r="K58" s="52"/>
      <c r="L58" s="52"/>
      <c r="M58" s="52"/>
      <c r="N58" s="54"/>
      <c r="O58" s="53"/>
      <c r="P58" s="52"/>
      <c r="Q58" s="53"/>
      <c r="R58" s="53"/>
      <c r="S58" s="54"/>
      <c r="T58" s="48" t="str">
        <f aca="true">IF($J58="","",IF($R58&lt;&gt;"",$R58-$D58,IF($D58="","",TODAY()-$D58)))</f>
        <v/>
      </c>
      <c r="U58" s="49" t="str">
        <f aca="true">IF($J58="","",IF(OR($P58="Closed",$P58="Not a defect"),"",IF($O58="","no target",IF($O58&lt;TODAY(),"OVERDUE "&amp;(TODAY()-$O58)&amp;"d","in "&amp;($O58-TODAY())&amp;"d"))))</f>
        <v/>
      </c>
      <c r="V58" s="50" t="str">
        <f aca="false">IF($J58="","",COUNTIF('Photo Log'!$B$8:$B$107,$B58))</f>
        <v/>
      </c>
      <c r="W58" s="54"/>
    </row>
    <row r="59" customFormat="false" ht="30" hidden="false" customHeight="true" outlineLevel="0" collapsed="false">
      <c r="B59" s="44" t="str">
        <f aca="false">IF($J59="","","PL-"&amp;TEXT(ROW()-8,"000"))</f>
        <v/>
      </c>
      <c r="C59" s="45"/>
      <c r="D59" s="46"/>
      <c r="E59" s="47"/>
      <c r="F59" s="47"/>
      <c r="G59" s="47"/>
      <c r="H59" s="47"/>
      <c r="I59" s="47"/>
      <c r="J59" s="47"/>
      <c r="K59" s="45"/>
      <c r="L59" s="45"/>
      <c r="M59" s="45"/>
      <c r="N59" s="47"/>
      <c r="O59" s="46"/>
      <c r="P59" s="45"/>
      <c r="Q59" s="46"/>
      <c r="R59" s="46"/>
      <c r="S59" s="47"/>
      <c r="T59" s="48" t="str">
        <f aca="true">IF($J59="","",IF($R59&lt;&gt;"",$R59-$D59,IF($D59="","",TODAY()-$D59)))</f>
        <v/>
      </c>
      <c r="U59" s="49" t="str">
        <f aca="true">IF($J59="","",IF(OR($P59="Closed",$P59="Not a defect"),"",IF($O59="","no target",IF($O59&lt;TODAY(),"OVERDUE "&amp;(TODAY()-$O59)&amp;"d","in "&amp;($O59-TODAY())&amp;"d"))))</f>
        <v/>
      </c>
      <c r="V59" s="50" t="str">
        <f aca="false">IF($J59="","",COUNTIF('Photo Log'!$B$8:$B$107,$B59))</f>
        <v/>
      </c>
      <c r="W59" s="47"/>
    </row>
    <row r="60" customFormat="false" ht="30" hidden="false" customHeight="true" outlineLevel="0" collapsed="false">
      <c r="B60" s="44" t="str">
        <f aca="false">IF($J60="","","PL-"&amp;TEXT(ROW()-8,"000"))</f>
        <v/>
      </c>
      <c r="C60" s="52"/>
      <c r="D60" s="53"/>
      <c r="E60" s="54"/>
      <c r="F60" s="54"/>
      <c r="G60" s="54"/>
      <c r="H60" s="54"/>
      <c r="I60" s="54"/>
      <c r="J60" s="54"/>
      <c r="K60" s="52"/>
      <c r="L60" s="52"/>
      <c r="M60" s="52"/>
      <c r="N60" s="54"/>
      <c r="O60" s="53"/>
      <c r="P60" s="52"/>
      <c r="Q60" s="53"/>
      <c r="R60" s="53"/>
      <c r="S60" s="54"/>
      <c r="T60" s="48" t="str">
        <f aca="true">IF($J60="","",IF($R60&lt;&gt;"",$R60-$D60,IF($D60="","",TODAY()-$D60)))</f>
        <v/>
      </c>
      <c r="U60" s="49" t="str">
        <f aca="true">IF($J60="","",IF(OR($P60="Closed",$P60="Not a defect"),"",IF($O60="","no target",IF($O60&lt;TODAY(),"OVERDUE "&amp;(TODAY()-$O60)&amp;"d","in "&amp;($O60-TODAY())&amp;"d"))))</f>
        <v/>
      </c>
      <c r="V60" s="50" t="str">
        <f aca="false">IF($J60="","",COUNTIF('Photo Log'!$B$8:$B$107,$B60))</f>
        <v/>
      </c>
      <c r="W60" s="54"/>
    </row>
    <row r="61" customFormat="false" ht="30" hidden="false" customHeight="true" outlineLevel="0" collapsed="false">
      <c r="B61" s="44" t="str">
        <f aca="false">IF($J61="","","PL-"&amp;TEXT(ROW()-8,"000"))</f>
        <v/>
      </c>
      <c r="C61" s="45"/>
      <c r="D61" s="46"/>
      <c r="E61" s="47"/>
      <c r="F61" s="47"/>
      <c r="G61" s="47"/>
      <c r="H61" s="47"/>
      <c r="I61" s="47"/>
      <c r="J61" s="47"/>
      <c r="K61" s="45"/>
      <c r="L61" s="45"/>
      <c r="M61" s="45"/>
      <c r="N61" s="47"/>
      <c r="O61" s="46"/>
      <c r="P61" s="45"/>
      <c r="Q61" s="46"/>
      <c r="R61" s="46"/>
      <c r="S61" s="47"/>
      <c r="T61" s="48" t="str">
        <f aca="true">IF($J61="","",IF($R61&lt;&gt;"",$R61-$D61,IF($D61="","",TODAY()-$D61)))</f>
        <v/>
      </c>
      <c r="U61" s="49" t="str">
        <f aca="true">IF($J61="","",IF(OR($P61="Closed",$P61="Not a defect"),"",IF($O61="","no target",IF($O61&lt;TODAY(),"OVERDUE "&amp;(TODAY()-$O61)&amp;"d","in "&amp;($O61-TODAY())&amp;"d"))))</f>
        <v/>
      </c>
      <c r="V61" s="50" t="str">
        <f aca="false">IF($J61="","",COUNTIF('Photo Log'!$B$8:$B$107,$B61))</f>
        <v/>
      </c>
      <c r="W61" s="47"/>
    </row>
    <row r="62" customFormat="false" ht="30" hidden="false" customHeight="true" outlineLevel="0" collapsed="false">
      <c r="B62" s="44" t="str">
        <f aca="false">IF($J62="","","PL-"&amp;TEXT(ROW()-8,"000"))</f>
        <v/>
      </c>
      <c r="C62" s="52"/>
      <c r="D62" s="53"/>
      <c r="E62" s="54"/>
      <c r="F62" s="54"/>
      <c r="G62" s="54"/>
      <c r="H62" s="54"/>
      <c r="I62" s="54"/>
      <c r="J62" s="54"/>
      <c r="K62" s="52"/>
      <c r="L62" s="52"/>
      <c r="M62" s="52"/>
      <c r="N62" s="54"/>
      <c r="O62" s="53"/>
      <c r="P62" s="52"/>
      <c r="Q62" s="53"/>
      <c r="R62" s="53"/>
      <c r="S62" s="54"/>
      <c r="T62" s="48" t="str">
        <f aca="true">IF($J62="","",IF($R62&lt;&gt;"",$R62-$D62,IF($D62="","",TODAY()-$D62)))</f>
        <v/>
      </c>
      <c r="U62" s="49" t="str">
        <f aca="true">IF($J62="","",IF(OR($P62="Closed",$P62="Not a defect"),"",IF($O62="","no target",IF($O62&lt;TODAY(),"OVERDUE "&amp;(TODAY()-$O62)&amp;"d","in "&amp;($O62-TODAY())&amp;"d"))))</f>
        <v/>
      </c>
      <c r="V62" s="50" t="str">
        <f aca="false">IF($J62="","",COUNTIF('Photo Log'!$B$8:$B$107,$B62))</f>
        <v/>
      </c>
      <c r="W62" s="54"/>
    </row>
    <row r="63" customFormat="false" ht="30" hidden="false" customHeight="true" outlineLevel="0" collapsed="false">
      <c r="B63" s="44" t="str">
        <f aca="false">IF($J63="","","PL-"&amp;TEXT(ROW()-8,"000"))</f>
        <v/>
      </c>
      <c r="C63" s="45"/>
      <c r="D63" s="46"/>
      <c r="E63" s="47"/>
      <c r="F63" s="47"/>
      <c r="G63" s="47"/>
      <c r="H63" s="47"/>
      <c r="I63" s="47"/>
      <c r="J63" s="47"/>
      <c r="K63" s="45"/>
      <c r="L63" s="45"/>
      <c r="M63" s="45"/>
      <c r="N63" s="47"/>
      <c r="O63" s="46"/>
      <c r="P63" s="45"/>
      <c r="Q63" s="46"/>
      <c r="R63" s="46"/>
      <c r="S63" s="47"/>
      <c r="T63" s="48" t="str">
        <f aca="true">IF($J63="","",IF($R63&lt;&gt;"",$R63-$D63,IF($D63="","",TODAY()-$D63)))</f>
        <v/>
      </c>
      <c r="U63" s="49" t="str">
        <f aca="true">IF($J63="","",IF(OR($P63="Closed",$P63="Not a defect"),"",IF($O63="","no target",IF($O63&lt;TODAY(),"OVERDUE "&amp;(TODAY()-$O63)&amp;"d","in "&amp;($O63-TODAY())&amp;"d"))))</f>
        <v/>
      </c>
      <c r="V63" s="50" t="str">
        <f aca="false">IF($J63="","",COUNTIF('Photo Log'!$B$8:$B$107,$B63))</f>
        <v/>
      </c>
      <c r="W63" s="47"/>
    </row>
    <row r="64" customFormat="false" ht="30" hidden="false" customHeight="true" outlineLevel="0" collapsed="false">
      <c r="B64" s="44" t="str">
        <f aca="false">IF($J64="","","PL-"&amp;TEXT(ROW()-8,"000"))</f>
        <v/>
      </c>
      <c r="C64" s="52"/>
      <c r="D64" s="53"/>
      <c r="E64" s="54"/>
      <c r="F64" s="54"/>
      <c r="G64" s="54"/>
      <c r="H64" s="54"/>
      <c r="I64" s="54"/>
      <c r="J64" s="54"/>
      <c r="K64" s="52"/>
      <c r="L64" s="52"/>
      <c r="M64" s="52"/>
      <c r="N64" s="54"/>
      <c r="O64" s="53"/>
      <c r="P64" s="52"/>
      <c r="Q64" s="53"/>
      <c r="R64" s="53"/>
      <c r="S64" s="54"/>
      <c r="T64" s="48" t="str">
        <f aca="true">IF($J64="","",IF($R64&lt;&gt;"",$R64-$D64,IF($D64="","",TODAY()-$D64)))</f>
        <v/>
      </c>
      <c r="U64" s="49" t="str">
        <f aca="true">IF($J64="","",IF(OR($P64="Closed",$P64="Not a defect"),"",IF($O64="","no target",IF($O64&lt;TODAY(),"OVERDUE "&amp;(TODAY()-$O64)&amp;"d","in "&amp;($O64-TODAY())&amp;"d"))))</f>
        <v/>
      </c>
      <c r="V64" s="50" t="str">
        <f aca="false">IF($J64="","",COUNTIF('Photo Log'!$B$8:$B$107,$B64))</f>
        <v/>
      </c>
      <c r="W64" s="54"/>
    </row>
    <row r="65" customFormat="false" ht="30" hidden="false" customHeight="true" outlineLevel="0" collapsed="false">
      <c r="B65" s="44" t="str">
        <f aca="false">IF($J65="","","PL-"&amp;TEXT(ROW()-8,"000"))</f>
        <v/>
      </c>
      <c r="C65" s="45"/>
      <c r="D65" s="46"/>
      <c r="E65" s="47"/>
      <c r="F65" s="47"/>
      <c r="G65" s="47"/>
      <c r="H65" s="47"/>
      <c r="I65" s="47"/>
      <c r="J65" s="47"/>
      <c r="K65" s="45"/>
      <c r="L65" s="45"/>
      <c r="M65" s="45"/>
      <c r="N65" s="47"/>
      <c r="O65" s="46"/>
      <c r="P65" s="45"/>
      <c r="Q65" s="46"/>
      <c r="R65" s="46"/>
      <c r="S65" s="47"/>
      <c r="T65" s="48" t="str">
        <f aca="true">IF($J65="","",IF($R65&lt;&gt;"",$R65-$D65,IF($D65="","",TODAY()-$D65)))</f>
        <v/>
      </c>
      <c r="U65" s="49" t="str">
        <f aca="true">IF($J65="","",IF(OR($P65="Closed",$P65="Not a defect"),"",IF($O65="","no target",IF($O65&lt;TODAY(),"OVERDUE "&amp;(TODAY()-$O65)&amp;"d","in "&amp;($O65-TODAY())&amp;"d"))))</f>
        <v/>
      </c>
      <c r="V65" s="50" t="str">
        <f aca="false">IF($J65="","",COUNTIF('Photo Log'!$B$8:$B$107,$B65))</f>
        <v/>
      </c>
      <c r="W65" s="47"/>
    </row>
    <row r="66" customFormat="false" ht="30" hidden="false" customHeight="true" outlineLevel="0" collapsed="false">
      <c r="B66" s="44" t="str">
        <f aca="false">IF($J66="","","PL-"&amp;TEXT(ROW()-8,"000"))</f>
        <v/>
      </c>
      <c r="C66" s="52"/>
      <c r="D66" s="53"/>
      <c r="E66" s="54"/>
      <c r="F66" s="54"/>
      <c r="G66" s="54"/>
      <c r="H66" s="54"/>
      <c r="I66" s="54"/>
      <c r="J66" s="54"/>
      <c r="K66" s="52"/>
      <c r="L66" s="52"/>
      <c r="M66" s="52"/>
      <c r="N66" s="54"/>
      <c r="O66" s="53"/>
      <c r="P66" s="52"/>
      <c r="Q66" s="53"/>
      <c r="R66" s="53"/>
      <c r="S66" s="54"/>
      <c r="T66" s="48" t="str">
        <f aca="true">IF($J66="","",IF($R66&lt;&gt;"",$R66-$D66,IF($D66="","",TODAY()-$D66)))</f>
        <v/>
      </c>
      <c r="U66" s="49" t="str">
        <f aca="true">IF($J66="","",IF(OR($P66="Closed",$P66="Not a defect"),"",IF($O66="","no target",IF($O66&lt;TODAY(),"OVERDUE "&amp;(TODAY()-$O66)&amp;"d","in "&amp;($O66-TODAY())&amp;"d"))))</f>
        <v/>
      </c>
      <c r="V66" s="50" t="str">
        <f aca="false">IF($J66="","",COUNTIF('Photo Log'!$B$8:$B$107,$B66))</f>
        <v/>
      </c>
      <c r="W66" s="54"/>
    </row>
    <row r="67" customFormat="false" ht="30" hidden="false" customHeight="true" outlineLevel="0" collapsed="false">
      <c r="B67" s="44" t="str">
        <f aca="false">IF($J67="","","PL-"&amp;TEXT(ROW()-8,"000"))</f>
        <v/>
      </c>
      <c r="C67" s="45"/>
      <c r="D67" s="46"/>
      <c r="E67" s="47"/>
      <c r="F67" s="47"/>
      <c r="G67" s="47"/>
      <c r="H67" s="47"/>
      <c r="I67" s="47"/>
      <c r="J67" s="47"/>
      <c r="K67" s="45"/>
      <c r="L67" s="45"/>
      <c r="M67" s="45"/>
      <c r="N67" s="47"/>
      <c r="O67" s="46"/>
      <c r="P67" s="45"/>
      <c r="Q67" s="46"/>
      <c r="R67" s="46"/>
      <c r="S67" s="47"/>
      <c r="T67" s="48" t="str">
        <f aca="true">IF($J67="","",IF($R67&lt;&gt;"",$R67-$D67,IF($D67="","",TODAY()-$D67)))</f>
        <v/>
      </c>
      <c r="U67" s="49" t="str">
        <f aca="true">IF($J67="","",IF(OR($P67="Closed",$P67="Not a defect"),"",IF($O67="","no target",IF($O67&lt;TODAY(),"OVERDUE "&amp;(TODAY()-$O67)&amp;"d","in "&amp;($O67-TODAY())&amp;"d"))))</f>
        <v/>
      </c>
      <c r="V67" s="50" t="str">
        <f aca="false">IF($J67="","",COUNTIF('Photo Log'!$B$8:$B$107,$B67))</f>
        <v/>
      </c>
      <c r="W67" s="47"/>
    </row>
    <row r="68" customFormat="false" ht="30" hidden="false" customHeight="true" outlineLevel="0" collapsed="false">
      <c r="B68" s="44" t="str">
        <f aca="false">IF($J68="","","PL-"&amp;TEXT(ROW()-8,"000"))</f>
        <v/>
      </c>
      <c r="C68" s="52"/>
      <c r="D68" s="53"/>
      <c r="E68" s="54"/>
      <c r="F68" s="54"/>
      <c r="G68" s="54"/>
      <c r="H68" s="54"/>
      <c r="I68" s="54"/>
      <c r="J68" s="54"/>
      <c r="K68" s="52"/>
      <c r="L68" s="52"/>
      <c r="M68" s="52"/>
      <c r="N68" s="54"/>
      <c r="O68" s="53"/>
      <c r="P68" s="52"/>
      <c r="Q68" s="53"/>
      <c r="R68" s="53"/>
      <c r="S68" s="54"/>
      <c r="T68" s="48" t="str">
        <f aca="true">IF($J68="","",IF($R68&lt;&gt;"",$R68-$D68,IF($D68="","",TODAY()-$D68)))</f>
        <v/>
      </c>
      <c r="U68" s="49" t="str">
        <f aca="true">IF($J68="","",IF(OR($P68="Closed",$P68="Not a defect"),"",IF($O68="","no target",IF($O68&lt;TODAY(),"OVERDUE "&amp;(TODAY()-$O68)&amp;"d","in "&amp;($O68-TODAY())&amp;"d"))))</f>
        <v/>
      </c>
      <c r="V68" s="50" t="str">
        <f aca="false">IF($J68="","",COUNTIF('Photo Log'!$B$8:$B$107,$B68))</f>
        <v/>
      </c>
      <c r="W68" s="54"/>
    </row>
    <row r="69" customFormat="false" ht="30" hidden="false" customHeight="true" outlineLevel="0" collapsed="false">
      <c r="B69" s="44" t="str">
        <f aca="false">IF($J69="","","PL-"&amp;TEXT(ROW()-8,"000"))</f>
        <v/>
      </c>
      <c r="C69" s="45"/>
      <c r="D69" s="46"/>
      <c r="E69" s="47"/>
      <c r="F69" s="47"/>
      <c r="G69" s="47"/>
      <c r="H69" s="47"/>
      <c r="I69" s="47"/>
      <c r="J69" s="47"/>
      <c r="K69" s="45"/>
      <c r="L69" s="45"/>
      <c r="M69" s="45"/>
      <c r="N69" s="47"/>
      <c r="O69" s="46"/>
      <c r="P69" s="45"/>
      <c r="Q69" s="46"/>
      <c r="R69" s="46"/>
      <c r="S69" s="47"/>
      <c r="T69" s="48" t="str">
        <f aca="true">IF($J69="","",IF($R69&lt;&gt;"",$R69-$D69,IF($D69="","",TODAY()-$D69)))</f>
        <v/>
      </c>
      <c r="U69" s="49" t="str">
        <f aca="true">IF($J69="","",IF(OR($P69="Closed",$P69="Not a defect"),"",IF($O69="","no target",IF($O69&lt;TODAY(),"OVERDUE "&amp;(TODAY()-$O69)&amp;"d","in "&amp;($O69-TODAY())&amp;"d"))))</f>
        <v/>
      </c>
      <c r="V69" s="50" t="str">
        <f aca="false">IF($J69="","",COUNTIF('Photo Log'!$B$8:$B$107,$B69))</f>
        <v/>
      </c>
      <c r="W69" s="47"/>
    </row>
    <row r="70" customFormat="false" ht="30" hidden="false" customHeight="true" outlineLevel="0" collapsed="false">
      <c r="B70" s="44" t="str">
        <f aca="false">IF($J70="","","PL-"&amp;TEXT(ROW()-8,"000"))</f>
        <v/>
      </c>
      <c r="C70" s="52"/>
      <c r="D70" s="53"/>
      <c r="E70" s="54"/>
      <c r="F70" s="54"/>
      <c r="G70" s="54"/>
      <c r="H70" s="54"/>
      <c r="I70" s="54"/>
      <c r="J70" s="54"/>
      <c r="K70" s="52"/>
      <c r="L70" s="52"/>
      <c r="M70" s="52"/>
      <c r="N70" s="54"/>
      <c r="O70" s="53"/>
      <c r="P70" s="52"/>
      <c r="Q70" s="53"/>
      <c r="R70" s="53"/>
      <c r="S70" s="54"/>
      <c r="T70" s="48" t="str">
        <f aca="true">IF($J70="","",IF($R70&lt;&gt;"",$R70-$D70,IF($D70="","",TODAY()-$D70)))</f>
        <v/>
      </c>
      <c r="U70" s="49" t="str">
        <f aca="true">IF($J70="","",IF(OR($P70="Closed",$P70="Not a defect"),"",IF($O70="","no target",IF($O70&lt;TODAY(),"OVERDUE "&amp;(TODAY()-$O70)&amp;"d","in "&amp;($O70-TODAY())&amp;"d"))))</f>
        <v/>
      </c>
      <c r="V70" s="50" t="str">
        <f aca="false">IF($J70="","",COUNTIF('Photo Log'!$B$8:$B$107,$B70))</f>
        <v/>
      </c>
      <c r="W70" s="54"/>
    </row>
    <row r="71" customFormat="false" ht="30" hidden="false" customHeight="true" outlineLevel="0" collapsed="false">
      <c r="B71" s="44" t="str">
        <f aca="false">IF($J71="","","PL-"&amp;TEXT(ROW()-8,"000"))</f>
        <v/>
      </c>
      <c r="C71" s="45"/>
      <c r="D71" s="46"/>
      <c r="E71" s="47"/>
      <c r="F71" s="47"/>
      <c r="G71" s="47"/>
      <c r="H71" s="47"/>
      <c r="I71" s="47"/>
      <c r="J71" s="47"/>
      <c r="K71" s="45"/>
      <c r="L71" s="45"/>
      <c r="M71" s="45"/>
      <c r="N71" s="47"/>
      <c r="O71" s="46"/>
      <c r="P71" s="45"/>
      <c r="Q71" s="46"/>
      <c r="R71" s="46"/>
      <c r="S71" s="47"/>
      <c r="T71" s="48" t="str">
        <f aca="true">IF($J71="","",IF($R71&lt;&gt;"",$R71-$D71,IF($D71="","",TODAY()-$D71)))</f>
        <v/>
      </c>
      <c r="U71" s="49" t="str">
        <f aca="true">IF($J71="","",IF(OR($P71="Closed",$P71="Not a defect"),"",IF($O71="","no target",IF($O71&lt;TODAY(),"OVERDUE "&amp;(TODAY()-$O71)&amp;"d","in "&amp;($O71-TODAY())&amp;"d"))))</f>
        <v/>
      </c>
      <c r="V71" s="50" t="str">
        <f aca="false">IF($J71="","",COUNTIF('Photo Log'!$B$8:$B$107,$B71))</f>
        <v/>
      </c>
      <c r="W71" s="47"/>
    </row>
    <row r="72" customFormat="false" ht="30" hidden="false" customHeight="true" outlineLevel="0" collapsed="false">
      <c r="B72" s="44" t="str">
        <f aca="false">IF($J72="","","PL-"&amp;TEXT(ROW()-8,"000"))</f>
        <v/>
      </c>
      <c r="C72" s="52"/>
      <c r="D72" s="53"/>
      <c r="E72" s="54"/>
      <c r="F72" s="54"/>
      <c r="G72" s="54"/>
      <c r="H72" s="54"/>
      <c r="I72" s="54"/>
      <c r="J72" s="54"/>
      <c r="K72" s="52"/>
      <c r="L72" s="52"/>
      <c r="M72" s="52"/>
      <c r="N72" s="54"/>
      <c r="O72" s="53"/>
      <c r="P72" s="52"/>
      <c r="Q72" s="53"/>
      <c r="R72" s="53"/>
      <c r="S72" s="54"/>
      <c r="T72" s="48" t="str">
        <f aca="true">IF($J72="","",IF($R72&lt;&gt;"",$R72-$D72,IF($D72="","",TODAY()-$D72)))</f>
        <v/>
      </c>
      <c r="U72" s="49" t="str">
        <f aca="true">IF($J72="","",IF(OR($P72="Closed",$P72="Not a defect"),"",IF($O72="","no target",IF($O72&lt;TODAY(),"OVERDUE "&amp;(TODAY()-$O72)&amp;"d","in "&amp;($O72-TODAY())&amp;"d"))))</f>
        <v/>
      </c>
      <c r="V72" s="50" t="str">
        <f aca="false">IF($J72="","",COUNTIF('Photo Log'!$B$8:$B$107,$B72))</f>
        <v/>
      </c>
      <c r="W72" s="54"/>
    </row>
    <row r="73" customFormat="false" ht="30" hidden="false" customHeight="true" outlineLevel="0" collapsed="false">
      <c r="B73" s="44" t="str">
        <f aca="false">IF($J73="","","PL-"&amp;TEXT(ROW()-8,"000"))</f>
        <v/>
      </c>
      <c r="C73" s="45"/>
      <c r="D73" s="46"/>
      <c r="E73" s="47"/>
      <c r="F73" s="47"/>
      <c r="G73" s="47"/>
      <c r="H73" s="47"/>
      <c r="I73" s="47"/>
      <c r="J73" s="47"/>
      <c r="K73" s="45"/>
      <c r="L73" s="45"/>
      <c r="M73" s="45"/>
      <c r="N73" s="47"/>
      <c r="O73" s="46"/>
      <c r="P73" s="45"/>
      <c r="Q73" s="46"/>
      <c r="R73" s="46"/>
      <c r="S73" s="47"/>
      <c r="T73" s="48" t="str">
        <f aca="true">IF($J73="","",IF($R73&lt;&gt;"",$R73-$D73,IF($D73="","",TODAY()-$D73)))</f>
        <v/>
      </c>
      <c r="U73" s="49" t="str">
        <f aca="true">IF($J73="","",IF(OR($P73="Closed",$P73="Not a defect"),"",IF($O73="","no target",IF($O73&lt;TODAY(),"OVERDUE "&amp;(TODAY()-$O73)&amp;"d","in "&amp;($O73-TODAY())&amp;"d"))))</f>
        <v/>
      </c>
      <c r="V73" s="50" t="str">
        <f aca="false">IF($J73="","",COUNTIF('Photo Log'!$B$8:$B$107,$B73))</f>
        <v/>
      </c>
      <c r="W73" s="47"/>
    </row>
    <row r="74" customFormat="false" ht="30" hidden="false" customHeight="true" outlineLevel="0" collapsed="false">
      <c r="B74" s="44" t="str">
        <f aca="false">IF($J74="","","PL-"&amp;TEXT(ROW()-8,"000"))</f>
        <v/>
      </c>
      <c r="C74" s="52"/>
      <c r="D74" s="53"/>
      <c r="E74" s="54"/>
      <c r="F74" s="54"/>
      <c r="G74" s="54"/>
      <c r="H74" s="54"/>
      <c r="I74" s="54"/>
      <c r="J74" s="54"/>
      <c r="K74" s="52"/>
      <c r="L74" s="52"/>
      <c r="M74" s="52"/>
      <c r="N74" s="54"/>
      <c r="O74" s="53"/>
      <c r="P74" s="52"/>
      <c r="Q74" s="53"/>
      <c r="R74" s="53"/>
      <c r="S74" s="54"/>
      <c r="T74" s="48" t="str">
        <f aca="true">IF($J74="","",IF($R74&lt;&gt;"",$R74-$D74,IF($D74="","",TODAY()-$D74)))</f>
        <v/>
      </c>
      <c r="U74" s="49" t="str">
        <f aca="true">IF($J74="","",IF(OR($P74="Closed",$P74="Not a defect"),"",IF($O74="","no target",IF($O74&lt;TODAY(),"OVERDUE "&amp;(TODAY()-$O74)&amp;"d","in "&amp;($O74-TODAY())&amp;"d"))))</f>
        <v/>
      </c>
      <c r="V74" s="50" t="str">
        <f aca="false">IF($J74="","",COUNTIF('Photo Log'!$B$8:$B$107,$B74))</f>
        <v/>
      </c>
      <c r="W74" s="54"/>
    </row>
    <row r="75" customFormat="false" ht="30" hidden="false" customHeight="true" outlineLevel="0" collapsed="false">
      <c r="B75" s="44" t="str">
        <f aca="false">IF($J75="","","PL-"&amp;TEXT(ROW()-8,"000"))</f>
        <v/>
      </c>
      <c r="C75" s="45"/>
      <c r="D75" s="46"/>
      <c r="E75" s="47"/>
      <c r="F75" s="47"/>
      <c r="G75" s="47"/>
      <c r="H75" s="47"/>
      <c r="I75" s="47"/>
      <c r="J75" s="47"/>
      <c r="K75" s="45"/>
      <c r="L75" s="45"/>
      <c r="M75" s="45"/>
      <c r="N75" s="47"/>
      <c r="O75" s="46"/>
      <c r="P75" s="45"/>
      <c r="Q75" s="46"/>
      <c r="R75" s="46"/>
      <c r="S75" s="47"/>
      <c r="T75" s="48" t="str">
        <f aca="true">IF($J75="","",IF($R75&lt;&gt;"",$R75-$D75,IF($D75="","",TODAY()-$D75)))</f>
        <v/>
      </c>
      <c r="U75" s="49" t="str">
        <f aca="true">IF($J75="","",IF(OR($P75="Closed",$P75="Not a defect"),"",IF($O75="","no target",IF($O75&lt;TODAY(),"OVERDUE "&amp;(TODAY()-$O75)&amp;"d","in "&amp;($O75-TODAY())&amp;"d"))))</f>
        <v/>
      </c>
      <c r="V75" s="50" t="str">
        <f aca="false">IF($J75="","",COUNTIF('Photo Log'!$B$8:$B$107,$B75))</f>
        <v/>
      </c>
      <c r="W75" s="47"/>
    </row>
    <row r="76" customFormat="false" ht="30" hidden="false" customHeight="true" outlineLevel="0" collapsed="false">
      <c r="B76" s="44" t="str">
        <f aca="false">IF($J76="","","PL-"&amp;TEXT(ROW()-8,"000"))</f>
        <v/>
      </c>
      <c r="C76" s="52"/>
      <c r="D76" s="53"/>
      <c r="E76" s="54"/>
      <c r="F76" s="54"/>
      <c r="G76" s="54"/>
      <c r="H76" s="54"/>
      <c r="I76" s="54"/>
      <c r="J76" s="54"/>
      <c r="K76" s="52"/>
      <c r="L76" s="52"/>
      <c r="M76" s="52"/>
      <c r="N76" s="54"/>
      <c r="O76" s="53"/>
      <c r="P76" s="52"/>
      <c r="Q76" s="53"/>
      <c r="R76" s="53"/>
      <c r="S76" s="54"/>
      <c r="T76" s="48" t="str">
        <f aca="true">IF($J76="","",IF($R76&lt;&gt;"",$R76-$D76,IF($D76="","",TODAY()-$D76)))</f>
        <v/>
      </c>
      <c r="U76" s="49" t="str">
        <f aca="true">IF($J76="","",IF(OR($P76="Closed",$P76="Not a defect"),"",IF($O76="","no target",IF($O76&lt;TODAY(),"OVERDUE "&amp;(TODAY()-$O76)&amp;"d","in "&amp;($O76-TODAY())&amp;"d"))))</f>
        <v/>
      </c>
      <c r="V76" s="50" t="str">
        <f aca="false">IF($J76="","",COUNTIF('Photo Log'!$B$8:$B$107,$B76))</f>
        <v/>
      </c>
      <c r="W76" s="54"/>
    </row>
    <row r="77" customFormat="false" ht="30" hidden="false" customHeight="true" outlineLevel="0" collapsed="false">
      <c r="B77" s="44" t="str">
        <f aca="false">IF($J77="","","PL-"&amp;TEXT(ROW()-8,"000"))</f>
        <v/>
      </c>
      <c r="C77" s="45"/>
      <c r="D77" s="46"/>
      <c r="E77" s="47"/>
      <c r="F77" s="47"/>
      <c r="G77" s="47"/>
      <c r="H77" s="47"/>
      <c r="I77" s="47"/>
      <c r="J77" s="47"/>
      <c r="K77" s="45"/>
      <c r="L77" s="45"/>
      <c r="M77" s="45"/>
      <c r="N77" s="47"/>
      <c r="O77" s="46"/>
      <c r="P77" s="45"/>
      <c r="Q77" s="46"/>
      <c r="R77" s="46"/>
      <c r="S77" s="47"/>
      <c r="T77" s="48" t="str">
        <f aca="true">IF($J77="","",IF($R77&lt;&gt;"",$R77-$D77,IF($D77="","",TODAY()-$D77)))</f>
        <v/>
      </c>
      <c r="U77" s="49" t="str">
        <f aca="true">IF($J77="","",IF(OR($P77="Closed",$P77="Not a defect"),"",IF($O77="","no target",IF($O77&lt;TODAY(),"OVERDUE "&amp;(TODAY()-$O77)&amp;"d","in "&amp;($O77-TODAY())&amp;"d"))))</f>
        <v/>
      </c>
      <c r="V77" s="50" t="str">
        <f aca="false">IF($J77="","",COUNTIF('Photo Log'!$B$8:$B$107,$B77))</f>
        <v/>
      </c>
      <c r="W77" s="47"/>
    </row>
    <row r="78" customFormat="false" ht="30" hidden="false" customHeight="true" outlineLevel="0" collapsed="false">
      <c r="B78" s="44" t="str">
        <f aca="false">IF($J78="","","PL-"&amp;TEXT(ROW()-8,"000"))</f>
        <v/>
      </c>
      <c r="C78" s="52"/>
      <c r="D78" s="53"/>
      <c r="E78" s="54"/>
      <c r="F78" s="54"/>
      <c r="G78" s="54"/>
      <c r="H78" s="54"/>
      <c r="I78" s="54"/>
      <c r="J78" s="54"/>
      <c r="K78" s="52"/>
      <c r="L78" s="52"/>
      <c r="M78" s="52"/>
      <c r="N78" s="54"/>
      <c r="O78" s="53"/>
      <c r="P78" s="52"/>
      <c r="Q78" s="53"/>
      <c r="R78" s="53"/>
      <c r="S78" s="54"/>
      <c r="T78" s="48" t="str">
        <f aca="true">IF($J78="","",IF($R78&lt;&gt;"",$R78-$D78,IF($D78="","",TODAY()-$D78)))</f>
        <v/>
      </c>
      <c r="U78" s="49" t="str">
        <f aca="true">IF($J78="","",IF(OR($P78="Closed",$P78="Not a defect"),"",IF($O78="","no target",IF($O78&lt;TODAY(),"OVERDUE "&amp;(TODAY()-$O78)&amp;"d","in "&amp;($O78-TODAY())&amp;"d"))))</f>
        <v/>
      </c>
      <c r="V78" s="50" t="str">
        <f aca="false">IF($J78="","",COUNTIF('Photo Log'!$B$8:$B$107,$B78))</f>
        <v/>
      </c>
      <c r="W78" s="54"/>
    </row>
    <row r="79" customFormat="false" ht="30" hidden="false" customHeight="true" outlineLevel="0" collapsed="false">
      <c r="B79" s="44" t="str">
        <f aca="false">IF($J79="","","PL-"&amp;TEXT(ROW()-8,"000"))</f>
        <v/>
      </c>
      <c r="C79" s="45"/>
      <c r="D79" s="46"/>
      <c r="E79" s="47"/>
      <c r="F79" s="47"/>
      <c r="G79" s="47"/>
      <c r="H79" s="47"/>
      <c r="I79" s="47"/>
      <c r="J79" s="47"/>
      <c r="K79" s="45"/>
      <c r="L79" s="45"/>
      <c r="M79" s="45"/>
      <c r="N79" s="47"/>
      <c r="O79" s="46"/>
      <c r="P79" s="45"/>
      <c r="Q79" s="46"/>
      <c r="R79" s="46"/>
      <c r="S79" s="47"/>
      <c r="T79" s="48" t="str">
        <f aca="true">IF($J79="","",IF($R79&lt;&gt;"",$R79-$D79,IF($D79="","",TODAY()-$D79)))</f>
        <v/>
      </c>
      <c r="U79" s="49" t="str">
        <f aca="true">IF($J79="","",IF(OR($P79="Closed",$P79="Not a defect"),"",IF($O79="","no target",IF($O79&lt;TODAY(),"OVERDUE "&amp;(TODAY()-$O79)&amp;"d","in "&amp;($O79-TODAY())&amp;"d"))))</f>
        <v/>
      </c>
      <c r="V79" s="50" t="str">
        <f aca="false">IF($J79="","",COUNTIF('Photo Log'!$B$8:$B$107,$B79))</f>
        <v/>
      </c>
      <c r="W79" s="47"/>
    </row>
    <row r="80" customFormat="false" ht="30" hidden="false" customHeight="true" outlineLevel="0" collapsed="false">
      <c r="B80" s="44" t="str">
        <f aca="false">IF($J80="","","PL-"&amp;TEXT(ROW()-8,"000"))</f>
        <v/>
      </c>
      <c r="C80" s="52"/>
      <c r="D80" s="53"/>
      <c r="E80" s="54"/>
      <c r="F80" s="54"/>
      <c r="G80" s="54"/>
      <c r="H80" s="54"/>
      <c r="I80" s="54"/>
      <c r="J80" s="54"/>
      <c r="K80" s="52"/>
      <c r="L80" s="52"/>
      <c r="M80" s="52"/>
      <c r="N80" s="54"/>
      <c r="O80" s="53"/>
      <c r="P80" s="52"/>
      <c r="Q80" s="53"/>
      <c r="R80" s="53"/>
      <c r="S80" s="54"/>
      <c r="T80" s="48" t="str">
        <f aca="true">IF($J80="","",IF($R80&lt;&gt;"",$R80-$D80,IF($D80="","",TODAY()-$D80)))</f>
        <v/>
      </c>
      <c r="U80" s="49" t="str">
        <f aca="true">IF($J80="","",IF(OR($P80="Closed",$P80="Not a defect"),"",IF($O80="","no target",IF($O80&lt;TODAY(),"OVERDUE "&amp;(TODAY()-$O80)&amp;"d","in "&amp;($O80-TODAY())&amp;"d"))))</f>
        <v/>
      </c>
      <c r="V80" s="50" t="str">
        <f aca="false">IF($J80="","",COUNTIF('Photo Log'!$B$8:$B$107,$B80))</f>
        <v/>
      </c>
      <c r="W80" s="54"/>
    </row>
    <row r="81" customFormat="false" ht="30" hidden="false" customHeight="true" outlineLevel="0" collapsed="false">
      <c r="B81" s="44" t="str">
        <f aca="false">IF($J81="","","PL-"&amp;TEXT(ROW()-8,"000"))</f>
        <v/>
      </c>
      <c r="C81" s="45"/>
      <c r="D81" s="46"/>
      <c r="E81" s="47"/>
      <c r="F81" s="47"/>
      <c r="G81" s="47"/>
      <c r="H81" s="47"/>
      <c r="I81" s="47"/>
      <c r="J81" s="47"/>
      <c r="K81" s="45"/>
      <c r="L81" s="45"/>
      <c r="M81" s="45"/>
      <c r="N81" s="47"/>
      <c r="O81" s="46"/>
      <c r="P81" s="45"/>
      <c r="Q81" s="46"/>
      <c r="R81" s="46"/>
      <c r="S81" s="47"/>
      <c r="T81" s="48" t="str">
        <f aca="true">IF($J81="","",IF($R81&lt;&gt;"",$R81-$D81,IF($D81="","",TODAY()-$D81)))</f>
        <v/>
      </c>
      <c r="U81" s="49" t="str">
        <f aca="true">IF($J81="","",IF(OR($P81="Closed",$P81="Not a defect"),"",IF($O81="","no target",IF($O81&lt;TODAY(),"OVERDUE "&amp;(TODAY()-$O81)&amp;"d","in "&amp;($O81-TODAY())&amp;"d"))))</f>
        <v/>
      </c>
      <c r="V81" s="50" t="str">
        <f aca="false">IF($J81="","",COUNTIF('Photo Log'!$B$8:$B$107,$B81))</f>
        <v/>
      </c>
      <c r="W81" s="47"/>
    </row>
    <row r="82" customFormat="false" ht="30" hidden="false" customHeight="true" outlineLevel="0" collapsed="false">
      <c r="B82" s="44" t="str">
        <f aca="false">IF($J82="","","PL-"&amp;TEXT(ROW()-8,"000"))</f>
        <v/>
      </c>
      <c r="C82" s="52"/>
      <c r="D82" s="53"/>
      <c r="E82" s="54"/>
      <c r="F82" s="54"/>
      <c r="G82" s="54"/>
      <c r="H82" s="54"/>
      <c r="I82" s="54"/>
      <c r="J82" s="54"/>
      <c r="K82" s="52"/>
      <c r="L82" s="52"/>
      <c r="M82" s="52"/>
      <c r="N82" s="54"/>
      <c r="O82" s="53"/>
      <c r="P82" s="52"/>
      <c r="Q82" s="53"/>
      <c r="R82" s="53"/>
      <c r="S82" s="54"/>
      <c r="T82" s="48" t="str">
        <f aca="true">IF($J82="","",IF($R82&lt;&gt;"",$R82-$D82,IF($D82="","",TODAY()-$D82)))</f>
        <v/>
      </c>
      <c r="U82" s="49" t="str">
        <f aca="true">IF($J82="","",IF(OR($P82="Closed",$P82="Not a defect"),"",IF($O82="","no target",IF($O82&lt;TODAY(),"OVERDUE "&amp;(TODAY()-$O82)&amp;"d","in "&amp;($O82-TODAY())&amp;"d"))))</f>
        <v/>
      </c>
      <c r="V82" s="50" t="str">
        <f aca="false">IF($J82="","",COUNTIF('Photo Log'!$B$8:$B$107,$B82))</f>
        <v/>
      </c>
      <c r="W82" s="54"/>
    </row>
    <row r="83" customFormat="false" ht="30" hidden="false" customHeight="true" outlineLevel="0" collapsed="false">
      <c r="B83" s="44" t="str">
        <f aca="false">IF($J83="","","PL-"&amp;TEXT(ROW()-8,"000"))</f>
        <v/>
      </c>
      <c r="C83" s="45"/>
      <c r="D83" s="46"/>
      <c r="E83" s="47"/>
      <c r="F83" s="47"/>
      <c r="G83" s="47"/>
      <c r="H83" s="47"/>
      <c r="I83" s="47"/>
      <c r="J83" s="47"/>
      <c r="K83" s="45"/>
      <c r="L83" s="45"/>
      <c r="M83" s="45"/>
      <c r="N83" s="47"/>
      <c r="O83" s="46"/>
      <c r="P83" s="45"/>
      <c r="Q83" s="46"/>
      <c r="R83" s="46"/>
      <c r="S83" s="47"/>
      <c r="T83" s="48" t="str">
        <f aca="true">IF($J83="","",IF($R83&lt;&gt;"",$R83-$D83,IF($D83="","",TODAY()-$D83)))</f>
        <v/>
      </c>
      <c r="U83" s="49" t="str">
        <f aca="true">IF($J83="","",IF(OR($P83="Closed",$P83="Not a defect"),"",IF($O83="","no target",IF($O83&lt;TODAY(),"OVERDUE "&amp;(TODAY()-$O83)&amp;"d","in "&amp;($O83-TODAY())&amp;"d"))))</f>
        <v/>
      </c>
      <c r="V83" s="50" t="str">
        <f aca="false">IF($J83="","",COUNTIF('Photo Log'!$B$8:$B$107,$B83))</f>
        <v/>
      </c>
      <c r="W83" s="47"/>
    </row>
    <row r="84" customFormat="false" ht="30" hidden="false" customHeight="true" outlineLevel="0" collapsed="false">
      <c r="B84" s="44" t="str">
        <f aca="false">IF($J84="","","PL-"&amp;TEXT(ROW()-8,"000"))</f>
        <v/>
      </c>
      <c r="C84" s="52"/>
      <c r="D84" s="53"/>
      <c r="E84" s="54"/>
      <c r="F84" s="54"/>
      <c r="G84" s="54"/>
      <c r="H84" s="54"/>
      <c r="I84" s="54"/>
      <c r="J84" s="54"/>
      <c r="K84" s="52"/>
      <c r="L84" s="52"/>
      <c r="M84" s="52"/>
      <c r="N84" s="54"/>
      <c r="O84" s="53"/>
      <c r="P84" s="52"/>
      <c r="Q84" s="53"/>
      <c r="R84" s="53"/>
      <c r="S84" s="54"/>
      <c r="T84" s="48" t="str">
        <f aca="true">IF($J84="","",IF($R84&lt;&gt;"",$R84-$D84,IF($D84="","",TODAY()-$D84)))</f>
        <v/>
      </c>
      <c r="U84" s="49" t="str">
        <f aca="true">IF($J84="","",IF(OR($P84="Closed",$P84="Not a defect"),"",IF($O84="","no target",IF($O84&lt;TODAY(),"OVERDUE "&amp;(TODAY()-$O84)&amp;"d","in "&amp;($O84-TODAY())&amp;"d"))))</f>
        <v/>
      </c>
      <c r="V84" s="50" t="str">
        <f aca="false">IF($J84="","",COUNTIF('Photo Log'!$B$8:$B$107,$B84))</f>
        <v/>
      </c>
      <c r="W84" s="54"/>
    </row>
    <row r="85" customFormat="false" ht="30" hidden="false" customHeight="true" outlineLevel="0" collapsed="false">
      <c r="B85" s="44" t="str">
        <f aca="false">IF($J85="","","PL-"&amp;TEXT(ROW()-8,"000"))</f>
        <v/>
      </c>
      <c r="C85" s="45"/>
      <c r="D85" s="46"/>
      <c r="E85" s="47"/>
      <c r="F85" s="47"/>
      <c r="G85" s="47"/>
      <c r="H85" s="47"/>
      <c r="I85" s="47"/>
      <c r="J85" s="47"/>
      <c r="K85" s="45"/>
      <c r="L85" s="45"/>
      <c r="M85" s="45"/>
      <c r="N85" s="47"/>
      <c r="O85" s="46"/>
      <c r="P85" s="45"/>
      <c r="Q85" s="46"/>
      <c r="R85" s="46"/>
      <c r="S85" s="47"/>
      <c r="T85" s="48" t="str">
        <f aca="true">IF($J85="","",IF($R85&lt;&gt;"",$R85-$D85,IF($D85="","",TODAY()-$D85)))</f>
        <v/>
      </c>
      <c r="U85" s="49" t="str">
        <f aca="true">IF($J85="","",IF(OR($P85="Closed",$P85="Not a defect"),"",IF($O85="","no target",IF($O85&lt;TODAY(),"OVERDUE "&amp;(TODAY()-$O85)&amp;"d","in "&amp;($O85-TODAY())&amp;"d"))))</f>
        <v/>
      </c>
      <c r="V85" s="50" t="str">
        <f aca="false">IF($J85="","",COUNTIF('Photo Log'!$B$8:$B$107,$B85))</f>
        <v/>
      </c>
      <c r="W85" s="47"/>
    </row>
    <row r="86" customFormat="false" ht="30" hidden="false" customHeight="true" outlineLevel="0" collapsed="false">
      <c r="B86" s="44" t="str">
        <f aca="false">IF($J86="","","PL-"&amp;TEXT(ROW()-8,"000"))</f>
        <v/>
      </c>
      <c r="C86" s="52"/>
      <c r="D86" s="53"/>
      <c r="E86" s="54"/>
      <c r="F86" s="54"/>
      <c r="G86" s="54"/>
      <c r="H86" s="54"/>
      <c r="I86" s="54"/>
      <c r="J86" s="54"/>
      <c r="K86" s="52"/>
      <c r="L86" s="52"/>
      <c r="M86" s="52"/>
      <c r="N86" s="54"/>
      <c r="O86" s="53"/>
      <c r="P86" s="52"/>
      <c r="Q86" s="53"/>
      <c r="R86" s="53"/>
      <c r="S86" s="54"/>
      <c r="T86" s="48" t="str">
        <f aca="true">IF($J86="","",IF($R86&lt;&gt;"",$R86-$D86,IF($D86="","",TODAY()-$D86)))</f>
        <v/>
      </c>
      <c r="U86" s="49" t="str">
        <f aca="true">IF($J86="","",IF(OR($P86="Closed",$P86="Not a defect"),"",IF($O86="","no target",IF($O86&lt;TODAY(),"OVERDUE "&amp;(TODAY()-$O86)&amp;"d","in "&amp;($O86-TODAY())&amp;"d"))))</f>
        <v/>
      </c>
      <c r="V86" s="50" t="str">
        <f aca="false">IF($J86="","",COUNTIF('Photo Log'!$B$8:$B$107,$B86))</f>
        <v/>
      </c>
      <c r="W86" s="54"/>
    </row>
    <row r="87" customFormat="false" ht="30" hidden="false" customHeight="true" outlineLevel="0" collapsed="false">
      <c r="B87" s="44" t="str">
        <f aca="false">IF($J87="","","PL-"&amp;TEXT(ROW()-8,"000"))</f>
        <v/>
      </c>
      <c r="C87" s="45"/>
      <c r="D87" s="46"/>
      <c r="E87" s="47"/>
      <c r="F87" s="47"/>
      <c r="G87" s="47"/>
      <c r="H87" s="47"/>
      <c r="I87" s="47"/>
      <c r="J87" s="47"/>
      <c r="K87" s="45"/>
      <c r="L87" s="45"/>
      <c r="M87" s="45"/>
      <c r="N87" s="47"/>
      <c r="O87" s="46"/>
      <c r="P87" s="45"/>
      <c r="Q87" s="46"/>
      <c r="R87" s="46"/>
      <c r="S87" s="47"/>
      <c r="T87" s="48" t="str">
        <f aca="true">IF($J87="","",IF($R87&lt;&gt;"",$R87-$D87,IF($D87="","",TODAY()-$D87)))</f>
        <v/>
      </c>
      <c r="U87" s="49" t="str">
        <f aca="true">IF($J87="","",IF(OR($P87="Closed",$P87="Not a defect"),"",IF($O87="","no target",IF($O87&lt;TODAY(),"OVERDUE "&amp;(TODAY()-$O87)&amp;"d","in "&amp;($O87-TODAY())&amp;"d"))))</f>
        <v/>
      </c>
      <c r="V87" s="50" t="str">
        <f aca="false">IF($J87="","",COUNTIF('Photo Log'!$B$8:$B$107,$B87))</f>
        <v/>
      </c>
      <c r="W87" s="47"/>
    </row>
    <row r="88" customFormat="false" ht="30" hidden="false" customHeight="true" outlineLevel="0" collapsed="false">
      <c r="B88" s="44" t="str">
        <f aca="false">IF($J88="","","PL-"&amp;TEXT(ROW()-8,"000"))</f>
        <v/>
      </c>
      <c r="C88" s="52"/>
      <c r="D88" s="53"/>
      <c r="E88" s="54"/>
      <c r="F88" s="54"/>
      <c r="G88" s="54"/>
      <c r="H88" s="54"/>
      <c r="I88" s="54"/>
      <c r="J88" s="54"/>
      <c r="K88" s="52"/>
      <c r="L88" s="52"/>
      <c r="M88" s="52"/>
      <c r="N88" s="54"/>
      <c r="O88" s="53"/>
      <c r="P88" s="52"/>
      <c r="Q88" s="53"/>
      <c r="R88" s="53"/>
      <c r="S88" s="54"/>
      <c r="T88" s="48" t="str">
        <f aca="true">IF($J88="","",IF($R88&lt;&gt;"",$R88-$D88,IF($D88="","",TODAY()-$D88)))</f>
        <v/>
      </c>
      <c r="U88" s="49" t="str">
        <f aca="true">IF($J88="","",IF(OR($P88="Closed",$P88="Not a defect"),"",IF($O88="","no target",IF($O88&lt;TODAY(),"OVERDUE "&amp;(TODAY()-$O88)&amp;"d","in "&amp;($O88-TODAY())&amp;"d"))))</f>
        <v/>
      </c>
      <c r="V88" s="50" t="str">
        <f aca="false">IF($J88="","",COUNTIF('Photo Log'!$B$8:$B$107,$B88))</f>
        <v/>
      </c>
      <c r="W88" s="54"/>
    </row>
    <row r="89" customFormat="false" ht="30" hidden="false" customHeight="true" outlineLevel="0" collapsed="false">
      <c r="B89" s="44" t="str">
        <f aca="false">IF($J89="","","PL-"&amp;TEXT(ROW()-8,"000"))</f>
        <v/>
      </c>
      <c r="C89" s="45"/>
      <c r="D89" s="46"/>
      <c r="E89" s="47"/>
      <c r="F89" s="47"/>
      <c r="G89" s="47"/>
      <c r="H89" s="47"/>
      <c r="I89" s="47"/>
      <c r="J89" s="47"/>
      <c r="K89" s="45"/>
      <c r="L89" s="45"/>
      <c r="M89" s="45"/>
      <c r="N89" s="47"/>
      <c r="O89" s="46"/>
      <c r="P89" s="45"/>
      <c r="Q89" s="46"/>
      <c r="R89" s="46"/>
      <c r="S89" s="47"/>
      <c r="T89" s="48" t="str">
        <f aca="true">IF($J89="","",IF($R89&lt;&gt;"",$R89-$D89,IF($D89="","",TODAY()-$D89)))</f>
        <v/>
      </c>
      <c r="U89" s="49" t="str">
        <f aca="true">IF($J89="","",IF(OR($P89="Closed",$P89="Not a defect"),"",IF($O89="","no target",IF($O89&lt;TODAY(),"OVERDUE "&amp;(TODAY()-$O89)&amp;"d","in "&amp;($O89-TODAY())&amp;"d"))))</f>
        <v/>
      </c>
      <c r="V89" s="50" t="str">
        <f aca="false">IF($J89="","",COUNTIF('Photo Log'!$B$8:$B$107,$B89))</f>
        <v/>
      </c>
      <c r="W89" s="47"/>
    </row>
    <row r="90" customFormat="false" ht="30" hidden="false" customHeight="true" outlineLevel="0" collapsed="false">
      <c r="B90" s="44" t="str">
        <f aca="false">IF($J90="","","PL-"&amp;TEXT(ROW()-8,"000"))</f>
        <v/>
      </c>
      <c r="C90" s="52"/>
      <c r="D90" s="53"/>
      <c r="E90" s="54"/>
      <c r="F90" s="54"/>
      <c r="G90" s="54"/>
      <c r="H90" s="54"/>
      <c r="I90" s="54"/>
      <c r="J90" s="54"/>
      <c r="K90" s="52"/>
      <c r="L90" s="52"/>
      <c r="M90" s="52"/>
      <c r="N90" s="54"/>
      <c r="O90" s="53"/>
      <c r="P90" s="52"/>
      <c r="Q90" s="53"/>
      <c r="R90" s="53"/>
      <c r="S90" s="54"/>
      <c r="T90" s="48" t="str">
        <f aca="true">IF($J90="","",IF($R90&lt;&gt;"",$R90-$D90,IF($D90="","",TODAY()-$D90)))</f>
        <v/>
      </c>
      <c r="U90" s="49" t="str">
        <f aca="true">IF($J90="","",IF(OR($P90="Closed",$P90="Not a defect"),"",IF($O90="","no target",IF($O90&lt;TODAY(),"OVERDUE "&amp;(TODAY()-$O90)&amp;"d","in "&amp;($O90-TODAY())&amp;"d"))))</f>
        <v/>
      </c>
      <c r="V90" s="50" t="str">
        <f aca="false">IF($J90="","",COUNTIF('Photo Log'!$B$8:$B$107,$B90))</f>
        <v/>
      </c>
      <c r="W90" s="54"/>
    </row>
    <row r="91" customFormat="false" ht="30" hidden="false" customHeight="true" outlineLevel="0" collapsed="false">
      <c r="B91" s="44" t="str">
        <f aca="false">IF($J91="","","PL-"&amp;TEXT(ROW()-8,"000"))</f>
        <v/>
      </c>
      <c r="C91" s="45"/>
      <c r="D91" s="46"/>
      <c r="E91" s="47"/>
      <c r="F91" s="47"/>
      <c r="G91" s="47"/>
      <c r="H91" s="47"/>
      <c r="I91" s="47"/>
      <c r="J91" s="47"/>
      <c r="K91" s="45"/>
      <c r="L91" s="45"/>
      <c r="M91" s="45"/>
      <c r="N91" s="47"/>
      <c r="O91" s="46"/>
      <c r="P91" s="45"/>
      <c r="Q91" s="46"/>
      <c r="R91" s="46"/>
      <c r="S91" s="47"/>
      <c r="T91" s="48" t="str">
        <f aca="true">IF($J91="","",IF($R91&lt;&gt;"",$R91-$D91,IF($D91="","",TODAY()-$D91)))</f>
        <v/>
      </c>
      <c r="U91" s="49" t="str">
        <f aca="true">IF($J91="","",IF(OR($P91="Closed",$P91="Not a defect"),"",IF($O91="","no target",IF($O91&lt;TODAY(),"OVERDUE "&amp;(TODAY()-$O91)&amp;"d","in "&amp;($O91-TODAY())&amp;"d"))))</f>
        <v/>
      </c>
      <c r="V91" s="50" t="str">
        <f aca="false">IF($J91="","",COUNTIF('Photo Log'!$B$8:$B$107,$B91))</f>
        <v/>
      </c>
      <c r="W91" s="47"/>
    </row>
    <row r="92" customFormat="false" ht="30" hidden="false" customHeight="true" outlineLevel="0" collapsed="false">
      <c r="B92" s="44" t="str">
        <f aca="false">IF($J92="","","PL-"&amp;TEXT(ROW()-8,"000"))</f>
        <v/>
      </c>
      <c r="C92" s="52"/>
      <c r="D92" s="53"/>
      <c r="E92" s="54"/>
      <c r="F92" s="54"/>
      <c r="G92" s="54"/>
      <c r="H92" s="54"/>
      <c r="I92" s="54"/>
      <c r="J92" s="54"/>
      <c r="K92" s="52"/>
      <c r="L92" s="52"/>
      <c r="M92" s="52"/>
      <c r="N92" s="54"/>
      <c r="O92" s="53"/>
      <c r="P92" s="52"/>
      <c r="Q92" s="53"/>
      <c r="R92" s="53"/>
      <c r="S92" s="54"/>
      <c r="T92" s="48" t="str">
        <f aca="true">IF($J92="","",IF($R92&lt;&gt;"",$R92-$D92,IF($D92="","",TODAY()-$D92)))</f>
        <v/>
      </c>
      <c r="U92" s="49" t="str">
        <f aca="true">IF($J92="","",IF(OR($P92="Closed",$P92="Not a defect"),"",IF($O92="","no target",IF($O92&lt;TODAY(),"OVERDUE "&amp;(TODAY()-$O92)&amp;"d","in "&amp;($O92-TODAY())&amp;"d"))))</f>
        <v/>
      </c>
      <c r="V92" s="50" t="str">
        <f aca="false">IF($J92="","",COUNTIF('Photo Log'!$B$8:$B$107,$B92))</f>
        <v/>
      </c>
      <c r="W92" s="54"/>
    </row>
    <row r="93" customFormat="false" ht="30" hidden="false" customHeight="true" outlineLevel="0" collapsed="false">
      <c r="B93" s="44" t="str">
        <f aca="false">IF($J93="","","PL-"&amp;TEXT(ROW()-8,"000"))</f>
        <v/>
      </c>
      <c r="C93" s="45"/>
      <c r="D93" s="46"/>
      <c r="E93" s="47"/>
      <c r="F93" s="47"/>
      <c r="G93" s="47"/>
      <c r="H93" s="47"/>
      <c r="I93" s="47"/>
      <c r="J93" s="47"/>
      <c r="K93" s="45"/>
      <c r="L93" s="45"/>
      <c r="M93" s="45"/>
      <c r="N93" s="47"/>
      <c r="O93" s="46"/>
      <c r="P93" s="45"/>
      <c r="Q93" s="46"/>
      <c r="R93" s="46"/>
      <c r="S93" s="47"/>
      <c r="T93" s="48" t="str">
        <f aca="true">IF($J93="","",IF($R93&lt;&gt;"",$R93-$D93,IF($D93="","",TODAY()-$D93)))</f>
        <v/>
      </c>
      <c r="U93" s="49" t="str">
        <f aca="true">IF($J93="","",IF(OR($P93="Closed",$P93="Not a defect"),"",IF($O93="","no target",IF($O93&lt;TODAY(),"OVERDUE "&amp;(TODAY()-$O93)&amp;"d","in "&amp;($O93-TODAY())&amp;"d"))))</f>
        <v/>
      </c>
      <c r="V93" s="50" t="str">
        <f aca="false">IF($J93="","",COUNTIF('Photo Log'!$B$8:$B$107,$B93))</f>
        <v/>
      </c>
      <c r="W93" s="47"/>
    </row>
    <row r="94" customFormat="false" ht="30" hidden="false" customHeight="true" outlineLevel="0" collapsed="false">
      <c r="B94" s="44" t="str">
        <f aca="false">IF($J94="","","PL-"&amp;TEXT(ROW()-8,"000"))</f>
        <v/>
      </c>
      <c r="C94" s="52"/>
      <c r="D94" s="53"/>
      <c r="E94" s="54"/>
      <c r="F94" s="54"/>
      <c r="G94" s="54"/>
      <c r="H94" s="54"/>
      <c r="I94" s="54"/>
      <c r="J94" s="54"/>
      <c r="K94" s="52"/>
      <c r="L94" s="52"/>
      <c r="M94" s="52"/>
      <c r="N94" s="54"/>
      <c r="O94" s="53"/>
      <c r="P94" s="52"/>
      <c r="Q94" s="53"/>
      <c r="R94" s="53"/>
      <c r="S94" s="54"/>
      <c r="T94" s="48" t="str">
        <f aca="true">IF($J94="","",IF($R94&lt;&gt;"",$R94-$D94,IF($D94="","",TODAY()-$D94)))</f>
        <v/>
      </c>
      <c r="U94" s="49" t="str">
        <f aca="true">IF($J94="","",IF(OR($P94="Closed",$P94="Not a defect"),"",IF($O94="","no target",IF($O94&lt;TODAY(),"OVERDUE "&amp;(TODAY()-$O94)&amp;"d","in "&amp;($O94-TODAY())&amp;"d"))))</f>
        <v/>
      </c>
      <c r="V94" s="50" t="str">
        <f aca="false">IF($J94="","",COUNTIF('Photo Log'!$B$8:$B$107,$B94))</f>
        <v/>
      </c>
      <c r="W94" s="54"/>
    </row>
    <row r="95" customFormat="false" ht="30" hidden="false" customHeight="true" outlineLevel="0" collapsed="false">
      <c r="B95" s="44" t="str">
        <f aca="false">IF($J95="","","PL-"&amp;TEXT(ROW()-8,"000"))</f>
        <v/>
      </c>
      <c r="C95" s="45"/>
      <c r="D95" s="46"/>
      <c r="E95" s="47"/>
      <c r="F95" s="47"/>
      <c r="G95" s="47"/>
      <c r="H95" s="47"/>
      <c r="I95" s="47"/>
      <c r="J95" s="47"/>
      <c r="K95" s="45"/>
      <c r="L95" s="45"/>
      <c r="M95" s="45"/>
      <c r="N95" s="47"/>
      <c r="O95" s="46"/>
      <c r="P95" s="45"/>
      <c r="Q95" s="46"/>
      <c r="R95" s="46"/>
      <c r="S95" s="47"/>
      <c r="T95" s="48" t="str">
        <f aca="true">IF($J95="","",IF($R95&lt;&gt;"",$R95-$D95,IF($D95="","",TODAY()-$D95)))</f>
        <v/>
      </c>
      <c r="U95" s="49" t="str">
        <f aca="true">IF($J95="","",IF(OR($P95="Closed",$P95="Not a defect"),"",IF($O95="","no target",IF($O95&lt;TODAY(),"OVERDUE "&amp;(TODAY()-$O95)&amp;"d","in "&amp;($O95-TODAY())&amp;"d"))))</f>
        <v/>
      </c>
      <c r="V95" s="50" t="str">
        <f aca="false">IF($J95="","",COUNTIF('Photo Log'!$B$8:$B$107,$B95))</f>
        <v/>
      </c>
      <c r="W95" s="47"/>
    </row>
    <row r="96" customFormat="false" ht="30" hidden="false" customHeight="true" outlineLevel="0" collapsed="false">
      <c r="B96" s="44" t="str">
        <f aca="false">IF($J96="","","PL-"&amp;TEXT(ROW()-8,"000"))</f>
        <v/>
      </c>
      <c r="C96" s="52"/>
      <c r="D96" s="53"/>
      <c r="E96" s="54"/>
      <c r="F96" s="54"/>
      <c r="G96" s="54"/>
      <c r="H96" s="54"/>
      <c r="I96" s="54"/>
      <c r="J96" s="54"/>
      <c r="K96" s="52"/>
      <c r="L96" s="52"/>
      <c r="M96" s="52"/>
      <c r="N96" s="54"/>
      <c r="O96" s="53"/>
      <c r="P96" s="52"/>
      <c r="Q96" s="53"/>
      <c r="R96" s="53"/>
      <c r="S96" s="54"/>
      <c r="T96" s="48" t="str">
        <f aca="true">IF($J96="","",IF($R96&lt;&gt;"",$R96-$D96,IF($D96="","",TODAY()-$D96)))</f>
        <v/>
      </c>
      <c r="U96" s="49" t="str">
        <f aca="true">IF($J96="","",IF(OR($P96="Closed",$P96="Not a defect"),"",IF($O96="","no target",IF($O96&lt;TODAY(),"OVERDUE "&amp;(TODAY()-$O96)&amp;"d","in "&amp;($O96-TODAY())&amp;"d"))))</f>
        <v/>
      </c>
      <c r="V96" s="50" t="str">
        <f aca="false">IF($J96="","",COUNTIF('Photo Log'!$B$8:$B$107,$B96))</f>
        <v/>
      </c>
      <c r="W96" s="54"/>
    </row>
    <row r="97" customFormat="false" ht="30" hidden="false" customHeight="true" outlineLevel="0" collapsed="false">
      <c r="B97" s="44" t="str">
        <f aca="false">IF($J97="","","PL-"&amp;TEXT(ROW()-8,"000"))</f>
        <v/>
      </c>
      <c r="C97" s="45"/>
      <c r="D97" s="46"/>
      <c r="E97" s="47"/>
      <c r="F97" s="47"/>
      <c r="G97" s="47"/>
      <c r="H97" s="47"/>
      <c r="I97" s="47"/>
      <c r="J97" s="47"/>
      <c r="K97" s="45"/>
      <c r="L97" s="45"/>
      <c r="M97" s="45"/>
      <c r="N97" s="47"/>
      <c r="O97" s="46"/>
      <c r="P97" s="45"/>
      <c r="Q97" s="46"/>
      <c r="R97" s="46"/>
      <c r="S97" s="47"/>
      <c r="T97" s="48" t="str">
        <f aca="true">IF($J97="","",IF($R97&lt;&gt;"",$R97-$D97,IF($D97="","",TODAY()-$D97)))</f>
        <v/>
      </c>
      <c r="U97" s="49" t="str">
        <f aca="true">IF($J97="","",IF(OR($P97="Closed",$P97="Not a defect"),"",IF($O97="","no target",IF($O97&lt;TODAY(),"OVERDUE "&amp;(TODAY()-$O97)&amp;"d","in "&amp;($O97-TODAY())&amp;"d"))))</f>
        <v/>
      </c>
      <c r="V97" s="50" t="str">
        <f aca="false">IF($J97="","",COUNTIF('Photo Log'!$B$8:$B$107,$B97))</f>
        <v/>
      </c>
      <c r="W97" s="47"/>
    </row>
    <row r="98" customFormat="false" ht="30" hidden="false" customHeight="true" outlineLevel="0" collapsed="false">
      <c r="B98" s="44" t="str">
        <f aca="false">IF($J98="","","PL-"&amp;TEXT(ROW()-8,"000"))</f>
        <v/>
      </c>
      <c r="C98" s="52"/>
      <c r="D98" s="53"/>
      <c r="E98" s="54"/>
      <c r="F98" s="54"/>
      <c r="G98" s="54"/>
      <c r="H98" s="54"/>
      <c r="I98" s="54"/>
      <c r="J98" s="54"/>
      <c r="K98" s="52"/>
      <c r="L98" s="52"/>
      <c r="M98" s="52"/>
      <c r="N98" s="54"/>
      <c r="O98" s="53"/>
      <c r="P98" s="52"/>
      <c r="Q98" s="53"/>
      <c r="R98" s="53"/>
      <c r="S98" s="54"/>
      <c r="T98" s="48" t="str">
        <f aca="true">IF($J98="","",IF($R98&lt;&gt;"",$R98-$D98,IF($D98="","",TODAY()-$D98)))</f>
        <v/>
      </c>
      <c r="U98" s="49" t="str">
        <f aca="true">IF($J98="","",IF(OR($P98="Closed",$P98="Not a defect"),"",IF($O98="","no target",IF($O98&lt;TODAY(),"OVERDUE "&amp;(TODAY()-$O98)&amp;"d","in "&amp;($O98-TODAY())&amp;"d"))))</f>
        <v/>
      </c>
      <c r="V98" s="50" t="str">
        <f aca="false">IF($J98="","",COUNTIF('Photo Log'!$B$8:$B$107,$B98))</f>
        <v/>
      </c>
      <c r="W98" s="54"/>
    </row>
    <row r="99" customFormat="false" ht="30" hidden="false" customHeight="true" outlineLevel="0" collapsed="false">
      <c r="B99" s="44" t="str">
        <f aca="false">IF($J99="","","PL-"&amp;TEXT(ROW()-8,"000"))</f>
        <v/>
      </c>
      <c r="C99" s="45"/>
      <c r="D99" s="46"/>
      <c r="E99" s="47"/>
      <c r="F99" s="47"/>
      <c r="G99" s="47"/>
      <c r="H99" s="47"/>
      <c r="I99" s="47"/>
      <c r="J99" s="47"/>
      <c r="K99" s="45"/>
      <c r="L99" s="45"/>
      <c r="M99" s="45"/>
      <c r="N99" s="47"/>
      <c r="O99" s="46"/>
      <c r="P99" s="45"/>
      <c r="Q99" s="46"/>
      <c r="R99" s="46"/>
      <c r="S99" s="47"/>
      <c r="T99" s="48" t="str">
        <f aca="true">IF($J99="","",IF($R99&lt;&gt;"",$R99-$D99,IF($D99="","",TODAY()-$D99)))</f>
        <v/>
      </c>
      <c r="U99" s="49" t="str">
        <f aca="true">IF($J99="","",IF(OR($P99="Closed",$P99="Not a defect"),"",IF($O99="","no target",IF($O99&lt;TODAY(),"OVERDUE "&amp;(TODAY()-$O99)&amp;"d","in "&amp;($O99-TODAY())&amp;"d"))))</f>
        <v/>
      </c>
      <c r="V99" s="50" t="str">
        <f aca="false">IF($J99="","",COUNTIF('Photo Log'!$B$8:$B$107,$B99))</f>
        <v/>
      </c>
      <c r="W99" s="47"/>
    </row>
    <row r="100" customFormat="false" ht="30" hidden="false" customHeight="true" outlineLevel="0" collapsed="false">
      <c r="B100" s="44" t="str">
        <f aca="false">IF($J100="","","PL-"&amp;TEXT(ROW()-8,"000"))</f>
        <v/>
      </c>
      <c r="C100" s="52"/>
      <c r="D100" s="53"/>
      <c r="E100" s="54"/>
      <c r="F100" s="54"/>
      <c r="G100" s="54"/>
      <c r="H100" s="54"/>
      <c r="I100" s="54"/>
      <c r="J100" s="54"/>
      <c r="K100" s="52"/>
      <c r="L100" s="52"/>
      <c r="M100" s="52"/>
      <c r="N100" s="54"/>
      <c r="O100" s="53"/>
      <c r="P100" s="52"/>
      <c r="Q100" s="53"/>
      <c r="R100" s="53"/>
      <c r="S100" s="54"/>
      <c r="T100" s="48" t="str">
        <f aca="true">IF($J100="","",IF($R100&lt;&gt;"",$R100-$D100,IF($D100="","",TODAY()-$D100)))</f>
        <v/>
      </c>
      <c r="U100" s="49" t="str">
        <f aca="true">IF($J100="","",IF(OR($P100="Closed",$P100="Not a defect"),"",IF($O100="","no target",IF($O100&lt;TODAY(),"OVERDUE "&amp;(TODAY()-$O100)&amp;"d","in "&amp;($O100-TODAY())&amp;"d"))))</f>
        <v/>
      </c>
      <c r="V100" s="50" t="str">
        <f aca="false">IF($J100="","",COUNTIF('Photo Log'!$B$8:$B$107,$B100))</f>
        <v/>
      </c>
      <c r="W100" s="54"/>
    </row>
    <row r="101" customFormat="false" ht="30" hidden="false" customHeight="true" outlineLevel="0" collapsed="false">
      <c r="B101" s="44" t="str">
        <f aca="false">IF($J101="","","PL-"&amp;TEXT(ROW()-8,"000"))</f>
        <v/>
      </c>
      <c r="C101" s="45"/>
      <c r="D101" s="46"/>
      <c r="E101" s="47"/>
      <c r="F101" s="47"/>
      <c r="G101" s="47"/>
      <c r="H101" s="47"/>
      <c r="I101" s="47"/>
      <c r="J101" s="47"/>
      <c r="K101" s="45"/>
      <c r="L101" s="45"/>
      <c r="M101" s="45"/>
      <c r="N101" s="47"/>
      <c r="O101" s="46"/>
      <c r="P101" s="45"/>
      <c r="Q101" s="46"/>
      <c r="R101" s="46"/>
      <c r="S101" s="47"/>
      <c r="T101" s="48" t="str">
        <f aca="true">IF($J101="","",IF($R101&lt;&gt;"",$R101-$D101,IF($D101="","",TODAY()-$D101)))</f>
        <v/>
      </c>
      <c r="U101" s="49" t="str">
        <f aca="true">IF($J101="","",IF(OR($P101="Closed",$P101="Not a defect"),"",IF($O101="","no target",IF($O101&lt;TODAY(),"OVERDUE "&amp;(TODAY()-$O101)&amp;"d","in "&amp;($O101-TODAY())&amp;"d"))))</f>
        <v/>
      </c>
      <c r="V101" s="50" t="str">
        <f aca="false">IF($J101="","",COUNTIF('Photo Log'!$B$8:$B$107,$B101))</f>
        <v/>
      </c>
      <c r="W101" s="47"/>
    </row>
    <row r="102" customFormat="false" ht="30" hidden="false" customHeight="true" outlineLevel="0" collapsed="false">
      <c r="B102" s="44" t="str">
        <f aca="false">IF($J102="","","PL-"&amp;TEXT(ROW()-8,"000"))</f>
        <v/>
      </c>
      <c r="C102" s="52"/>
      <c r="D102" s="53"/>
      <c r="E102" s="54"/>
      <c r="F102" s="54"/>
      <c r="G102" s="54"/>
      <c r="H102" s="54"/>
      <c r="I102" s="54"/>
      <c r="J102" s="54"/>
      <c r="K102" s="52"/>
      <c r="L102" s="52"/>
      <c r="M102" s="52"/>
      <c r="N102" s="54"/>
      <c r="O102" s="53"/>
      <c r="P102" s="52"/>
      <c r="Q102" s="53"/>
      <c r="R102" s="53"/>
      <c r="S102" s="54"/>
      <c r="T102" s="48" t="str">
        <f aca="true">IF($J102="","",IF($R102&lt;&gt;"",$R102-$D102,IF($D102="","",TODAY()-$D102)))</f>
        <v/>
      </c>
      <c r="U102" s="49" t="str">
        <f aca="true">IF($J102="","",IF(OR($P102="Closed",$P102="Not a defect"),"",IF($O102="","no target",IF($O102&lt;TODAY(),"OVERDUE "&amp;(TODAY()-$O102)&amp;"d","in "&amp;($O102-TODAY())&amp;"d"))))</f>
        <v/>
      </c>
      <c r="V102" s="50" t="str">
        <f aca="false">IF($J102="","",COUNTIF('Photo Log'!$B$8:$B$107,$B102))</f>
        <v/>
      </c>
      <c r="W102" s="54"/>
    </row>
    <row r="103" customFormat="false" ht="30" hidden="false" customHeight="true" outlineLevel="0" collapsed="false">
      <c r="B103" s="44" t="str">
        <f aca="false">IF($J103="","","PL-"&amp;TEXT(ROW()-8,"000"))</f>
        <v/>
      </c>
      <c r="C103" s="45"/>
      <c r="D103" s="46"/>
      <c r="E103" s="47"/>
      <c r="F103" s="47"/>
      <c r="G103" s="47"/>
      <c r="H103" s="47"/>
      <c r="I103" s="47"/>
      <c r="J103" s="47"/>
      <c r="K103" s="45"/>
      <c r="L103" s="45"/>
      <c r="M103" s="45"/>
      <c r="N103" s="47"/>
      <c r="O103" s="46"/>
      <c r="P103" s="45"/>
      <c r="Q103" s="46"/>
      <c r="R103" s="46"/>
      <c r="S103" s="47"/>
      <c r="T103" s="48" t="str">
        <f aca="true">IF($J103="","",IF($R103&lt;&gt;"",$R103-$D103,IF($D103="","",TODAY()-$D103)))</f>
        <v/>
      </c>
      <c r="U103" s="49" t="str">
        <f aca="true">IF($J103="","",IF(OR($P103="Closed",$P103="Not a defect"),"",IF($O103="","no target",IF($O103&lt;TODAY(),"OVERDUE "&amp;(TODAY()-$O103)&amp;"d","in "&amp;($O103-TODAY())&amp;"d"))))</f>
        <v/>
      </c>
      <c r="V103" s="50" t="str">
        <f aca="false">IF($J103="","",COUNTIF('Photo Log'!$B$8:$B$107,$B103))</f>
        <v/>
      </c>
      <c r="W103" s="47"/>
    </row>
    <row r="104" customFormat="false" ht="30" hidden="false" customHeight="true" outlineLevel="0" collapsed="false">
      <c r="B104" s="44" t="str">
        <f aca="false">IF($J104="","","PL-"&amp;TEXT(ROW()-8,"000"))</f>
        <v/>
      </c>
      <c r="C104" s="52"/>
      <c r="D104" s="53"/>
      <c r="E104" s="54"/>
      <c r="F104" s="54"/>
      <c r="G104" s="54"/>
      <c r="H104" s="54"/>
      <c r="I104" s="54"/>
      <c r="J104" s="54"/>
      <c r="K104" s="52"/>
      <c r="L104" s="52"/>
      <c r="M104" s="52"/>
      <c r="N104" s="54"/>
      <c r="O104" s="53"/>
      <c r="P104" s="52"/>
      <c r="Q104" s="53"/>
      <c r="R104" s="53"/>
      <c r="S104" s="54"/>
      <c r="T104" s="48" t="str">
        <f aca="true">IF($J104="","",IF($R104&lt;&gt;"",$R104-$D104,IF($D104="","",TODAY()-$D104)))</f>
        <v/>
      </c>
      <c r="U104" s="49" t="str">
        <f aca="true">IF($J104="","",IF(OR($P104="Closed",$P104="Not a defect"),"",IF($O104="","no target",IF($O104&lt;TODAY(),"OVERDUE "&amp;(TODAY()-$O104)&amp;"d","in "&amp;($O104-TODAY())&amp;"d"))))</f>
        <v/>
      </c>
      <c r="V104" s="50" t="str">
        <f aca="false">IF($J104="","",COUNTIF('Photo Log'!$B$8:$B$107,$B104))</f>
        <v/>
      </c>
      <c r="W104" s="54"/>
    </row>
    <row r="105" customFormat="false" ht="30" hidden="false" customHeight="true" outlineLevel="0" collapsed="false">
      <c r="B105" s="44" t="str">
        <f aca="false">IF($J105="","","PL-"&amp;TEXT(ROW()-8,"000"))</f>
        <v/>
      </c>
      <c r="C105" s="45"/>
      <c r="D105" s="46"/>
      <c r="E105" s="47"/>
      <c r="F105" s="47"/>
      <c r="G105" s="47"/>
      <c r="H105" s="47"/>
      <c r="I105" s="47"/>
      <c r="J105" s="47"/>
      <c r="K105" s="45"/>
      <c r="L105" s="45"/>
      <c r="M105" s="45"/>
      <c r="N105" s="47"/>
      <c r="O105" s="46"/>
      <c r="P105" s="45"/>
      <c r="Q105" s="46"/>
      <c r="R105" s="46"/>
      <c r="S105" s="47"/>
      <c r="T105" s="48" t="str">
        <f aca="true">IF($J105="","",IF($R105&lt;&gt;"",$R105-$D105,IF($D105="","",TODAY()-$D105)))</f>
        <v/>
      </c>
      <c r="U105" s="49" t="str">
        <f aca="true">IF($J105="","",IF(OR($P105="Closed",$P105="Not a defect"),"",IF($O105="","no target",IF($O105&lt;TODAY(),"OVERDUE "&amp;(TODAY()-$O105)&amp;"d","in "&amp;($O105-TODAY())&amp;"d"))))</f>
        <v/>
      </c>
      <c r="V105" s="50" t="str">
        <f aca="false">IF($J105="","",COUNTIF('Photo Log'!$B$8:$B$107,$B105))</f>
        <v/>
      </c>
      <c r="W105" s="47"/>
    </row>
    <row r="106" customFormat="false" ht="30" hidden="false" customHeight="true" outlineLevel="0" collapsed="false">
      <c r="B106" s="44" t="str">
        <f aca="false">IF($J106="","","PL-"&amp;TEXT(ROW()-8,"000"))</f>
        <v/>
      </c>
      <c r="C106" s="52"/>
      <c r="D106" s="53"/>
      <c r="E106" s="54"/>
      <c r="F106" s="54"/>
      <c r="G106" s="54"/>
      <c r="H106" s="54"/>
      <c r="I106" s="54"/>
      <c r="J106" s="54"/>
      <c r="K106" s="52"/>
      <c r="L106" s="52"/>
      <c r="M106" s="52"/>
      <c r="N106" s="54"/>
      <c r="O106" s="53"/>
      <c r="P106" s="52"/>
      <c r="Q106" s="53"/>
      <c r="R106" s="53"/>
      <c r="S106" s="54"/>
      <c r="T106" s="48" t="str">
        <f aca="true">IF($J106="","",IF($R106&lt;&gt;"",$R106-$D106,IF($D106="","",TODAY()-$D106)))</f>
        <v/>
      </c>
      <c r="U106" s="49" t="str">
        <f aca="true">IF($J106="","",IF(OR($P106="Closed",$P106="Not a defect"),"",IF($O106="","no target",IF($O106&lt;TODAY(),"OVERDUE "&amp;(TODAY()-$O106)&amp;"d","in "&amp;($O106-TODAY())&amp;"d"))))</f>
        <v/>
      </c>
      <c r="V106" s="50" t="str">
        <f aca="false">IF($J106="","",COUNTIF('Photo Log'!$B$8:$B$107,$B106))</f>
        <v/>
      </c>
      <c r="W106" s="54"/>
    </row>
    <row r="107" customFormat="false" ht="30" hidden="false" customHeight="true" outlineLevel="0" collapsed="false">
      <c r="B107" s="44" t="str">
        <f aca="false">IF($J107="","","PL-"&amp;TEXT(ROW()-8,"000"))</f>
        <v/>
      </c>
      <c r="C107" s="45"/>
      <c r="D107" s="46"/>
      <c r="E107" s="47"/>
      <c r="F107" s="47"/>
      <c r="G107" s="47"/>
      <c r="H107" s="47"/>
      <c r="I107" s="47"/>
      <c r="J107" s="47"/>
      <c r="K107" s="45"/>
      <c r="L107" s="45"/>
      <c r="M107" s="45"/>
      <c r="N107" s="47"/>
      <c r="O107" s="46"/>
      <c r="P107" s="45"/>
      <c r="Q107" s="46"/>
      <c r="R107" s="46"/>
      <c r="S107" s="47"/>
      <c r="T107" s="48" t="str">
        <f aca="true">IF($J107="","",IF($R107&lt;&gt;"",$R107-$D107,IF($D107="","",TODAY()-$D107)))</f>
        <v/>
      </c>
      <c r="U107" s="49" t="str">
        <f aca="true">IF($J107="","",IF(OR($P107="Closed",$P107="Not a defect"),"",IF($O107="","no target",IF($O107&lt;TODAY(),"OVERDUE "&amp;(TODAY()-$O107)&amp;"d","in "&amp;($O107-TODAY())&amp;"d"))))</f>
        <v/>
      </c>
      <c r="V107" s="50" t="str">
        <f aca="false">IF($J107="","",COUNTIF('Photo Log'!$B$8:$B$107,$B107))</f>
        <v/>
      </c>
      <c r="W107" s="47"/>
    </row>
    <row r="108" customFormat="false" ht="30" hidden="false" customHeight="true" outlineLevel="0" collapsed="false">
      <c r="B108" s="44" t="str">
        <f aca="false">IF($J108="","","PL-"&amp;TEXT(ROW()-8,"000"))</f>
        <v/>
      </c>
      <c r="C108" s="52"/>
      <c r="D108" s="53"/>
      <c r="E108" s="54"/>
      <c r="F108" s="54"/>
      <c r="G108" s="54"/>
      <c r="H108" s="54"/>
      <c r="I108" s="54"/>
      <c r="J108" s="54"/>
      <c r="K108" s="52"/>
      <c r="L108" s="52"/>
      <c r="M108" s="52"/>
      <c r="N108" s="54"/>
      <c r="O108" s="53"/>
      <c r="P108" s="52"/>
      <c r="Q108" s="53"/>
      <c r="R108" s="53"/>
      <c r="S108" s="54"/>
      <c r="T108" s="48" t="str">
        <f aca="true">IF($J108="","",IF($R108&lt;&gt;"",$R108-$D108,IF($D108="","",TODAY()-$D108)))</f>
        <v/>
      </c>
      <c r="U108" s="49" t="str">
        <f aca="true">IF($J108="","",IF(OR($P108="Closed",$P108="Not a defect"),"",IF($O108="","no target",IF($O108&lt;TODAY(),"OVERDUE "&amp;(TODAY()-$O108)&amp;"d","in "&amp;($O108-TODAY())&amp;"d"))))</f>
        <v/>
      </c>
      <c r="V108" s="50" t="str">
        <f aca="false">IF($J108="","",COUNTIF('Photo Log'!$B$8:$B$107,$B108))</f>
        <v/>
      </c>
      <c r="W108" s="54"/>
    </row>
    <row r="109" customFormat="false" ht="30" hidden="false" customHeight="true" outlineLevel="0" collapsed="false">
      <c r="B109" s="44" t="str">
        <f aca="false">IF($J109="","","PL-"&amp;TEXT(ROW()-8,"000"))</f>
        <v/>
      </c>
      <c r="C109" s="45"/>
      <c r="D109" s="46"/>
      <c r="E109" s="47"/>
      <c r="F109" s="47"/>
      <c r="G109" s="47"/>
      <c r="H109" s="47"/>
      <c r="I109" s="47"/>
      <c r="J109" s="47"/>
      <c r="K109" s="45"/>
      <c r="L109" s="45"/>
      <c r="M109" s="45"/>
      <c r="N109" s="47"/>
      <c r="O109" s="46"/>
      <c r="P109" s="45"/>
      <c r="Q109" s="46"/>
      <c r="R109" s="46"/>
      <c r="S109" s="47"/>
      <c r="T109" s="48" t="str">
        <f aca="true">IF($J109="","",IF($R109&lt;&gt;"",$R109-$D109,IF($D109="","",TODAY()-$D109)))</f>
        <v/>
      </c>
      <c r="U109" s="49" t="str">
        <f aca="true">IF($J109="","",IF(OR($P109="Closed",$P109="Not a defect"),"",IF($O109="","no target",IF($O109&lt;TODAY(),"OVERDUE "&amp;(TODAY()-$O109)&amp;"d","in "&amp;($O109-TODAY())&amp;"d"))))</f>
        <v/>
      </c>
      <c r="V109" s="50" t="str">
        <f aca="false">IF($J109="","",COUNTIF('Photo Log'!$B$8:$B$107,$B109))</f>
        <v/>
      </c>
      <c r="W109" s="47"/>
    </row>
    <row r="110" customFormat="false" ht="30" hidden="false" customHeight="true" outlineLevel="0" collapsed="false">
      <c r="B110" s="44" t="str">
        <f aca="false">IF($J110="","","PL-"&amp;TEXT(ROW()-8,"000"))</f>
        <v/>
      </c>
      <c r="C110" s="52"/>
      <c r="D110" s="53"/>
      <c r="E110" s="54"/>
      <c r="F110" s="54"/>
      <c r="G110" s="54"/>
      <c r="H110" s="54"/>
      <c r="I110" s="54"/>
      <c r="J110" s="54"/>
      <c r="K110" s="52"/>
      <c r="L110" s="52"/>
      <c r="M110" s="52"/>
      <c r="N110" s="54"/>
      <c r="O110" s="53"/>
      <c r="P110" s="52"/>
      <c r="Q110" s="53"/>
      <c r="R110" s="53"/>
      <c r="S110" s="54"/>
      <c r="T110" s="48" t="str">
        <f aca="true">IF($J110="","",IF($R110&lt;&gt;"",$R110-$D110,IF($D110="","",TODAY()-$D110)))</f>
        <v/>
      </c>
      <c r="U110" s="49" t="str">
        <f aca="true">IF($J110="","",IF(OR($P110="Closed",$P110="Not a defect"),"",IF($O110="","no target",IF($O110&lt;TODAY(),"OVERDUE "&amp;(TODAY()-$O110)&amp;"d","in "&amp;($O110-TODAY())&amp;"d"))))</f>
        <v/>
      </c>
      <c r="V110" s="50" t="str">
        <f aca="false">IF($J110="","",COUNTIF('Photo Log'!$B$8:$B$107,$B110))</f>
        <v/>
      </c>
      <c r="W110" s="54"/>
    </row>
    <row r="111" customFormat="false" ht="30" hidden="false" customHeight="true" outlineLevel="0" collapsed="false">
      <c r="B111" s="44" t="str">
        <f aca="false">IF($J111="","","PL-"&amp;TEXT(ROW()-8,"000"))</f>
        <v/>
      </c>
      <c r="C111" s="45"/>
      <c r="D111" s="46"/>
      <c r="E111" s="47"/>
      <c r="F111" s="47"/>
      <c r="G111" s="47"/>
      <c r="H111" s="47"/>
      <c r="I111" s="47"/>
      <c r="J111" s="47"/>
      <c r="K111" s="45"/>
      <c r="L111" s="45"/>
      <c r="M111" s="45"/>
      <c r="N111" s="47"/>
      <c r="O111" s="46"/>
      <c r="P111" s="45"/>
      <c r="Q111" s="46"/>
      <c r="R111" s="46"/>
      <c r="S111" s="47"/>
      <c r="T111" s="48" t="str">
        <f aca="true">IF($J111="","",IF($R111&lt;&gt;"",$R111-$D111,IF($D111="","",TODAY()-$D111)))</f>
        <v/>
      </c>
      <c r="U111" s="49" t="str">
        <f aca="true">IF($J111="","",IF(OR($P111="Closed",$P111="Not a defect"),"",IF($O111="","no target",IF($O111&lt;TODAY(),"OVERDUE "&amp;(TODAY()-$O111)&amp;"d","in "&amp;($O111-TODAY())&amp;"d"))))</f>
        <v/>
      </c>
      <c r="V111" s="50" t="str">
        <f aca="false">IF($J111="","",COUNTIF('Photo Log'!$B$8:$B$107,$B111))</f>
        <v/>
      </c>
      <c r="W111" s="47"/>
    </row>
    <row r="112" customFormat="false" ht="30" hidden="false" customHeight="true" outlineLevel="0" collapsed="false">
      <c r="B112" s="44" t="str">
        <f aca="false">IF($J112="","","PL-"&amp;TEXT(ROW()-8,"000"))</f>
        <v/>
      </c>
      <c r="C112" s="52"/>
      <c r="D112" s="53"/>
      <c r="E112" s="54"/>
      <c r="F112" s="54"/>
      <c r="G112" s="54"/>
      <c r="H112" s="54"/>
      <c r="I112" s="54"/>
      <c r="J112" s="54"/>
      <c r="K112" s="52"/>
      <c r="L112" s="52"/>
      <c r="M112" s="52"/>
      <c r="N112" s="54"/>
      <c r="O112" s="53"/>
      <c r="P112" s="52"/>
      <c r="Q112" s="53"/>
      <c r="R112" s="53"/>
      <c r="S112" s="54"/>
      <c r="T112" s="48" t="str">
        <f aca="true">IF($J112="","",IF($R112&lt;&gt;"",$R112-$D112,IF($D112="","",TODAY()-$D112)))</f>
        <v/>
      </c>
      <c r="U112" s="49" t="str">
        <f aca="true">IF($J112="","",IF(OR($P112="Closed",$P112="Not a defect"),"",IF($O112="","no target",IF($O112&lt;TODAY(),"OVERDUE "&amp;(TODAY()-$O112)&amp;"d","in "&amp;($O112-TODAY())&amp;"d"))))</f>
        <v/>
      </c>
      <c r="V112" s="50" t="str">
        <f aca="false">IF($J112="","",COUNTIF('Photo Log'!$B$8:$B$107,$B112))</f>
        <v/>
      </c>
      <c r="W112" s="54"/>
    </row>
    <row r="113" customFormat="false" ht="30" hidden="false" customHeight="true" outlineLevel="0" collapsed="false">
      <c r="B113" s="44" t="str">
        <f aca="false">IF($J113="","","PL-"&amp;TEXT(ROW()-8,"000"))</f>
        <v/>
      </c>
      <c r="C113" s="45"/>
      <c r="D113" s="46"/>
      <c r="E113" s="47"/>
      <c r="F113" s="47"/>
      <c r="G113" s="47"/>
      <c r="H113" s="47"/>
      <c r="I113" s="47"/>
      <c r="J113" s="47"/>
      <c r="K113" s="45"/>
      <c r="L113" s="45"/>
      <c r="M113" s="45"/>
      <c r="N113" s="47"/>
      <c r="O113" s="46"/>
      <c r="P113" s="45"/>
      <c r="Q113" s="46"/>
      <c r="R113" s="46"/>
      <c r="S113" s="47"/>
      <c r="T113" s="48" t="str">
        <f aca="true">IF($J113="","",IF($R113&lt;&gt;"",$R113-$D113,IF($D113="","",TODAY()-$D113)))</f>
        <v/>
      </c>
      <c r="U113" s="49" t="str">
        <f aca="true">IF($J113="","",IF(OR($P113="Closed",$P113="Not a defect"),"",IF($O113="","no target",IF($O113&lt;TODAY(),"OVERDUE "&amp;(TODAY()-$O113)&amp;"d","in "&amp;($O113-TODAY())&amp;"d"))))</f>
        <v/>
      </c>
      <c r="V113" s="50" t="str">
        <f aca="false">IF($J113="","",COUNTIF('Photo Log'!$B$8:$B$107,$B113))</f>
        <v/>
      </c>
      <c r="W113" s="47"/>
    </row>
    <row r="114" customFormat="false" ht="30" hidden="false" customHeight="true" outlineLevel="0" collapsed="false">
      <c r="B114" s="44" t="str">
        <f aca="false">IF($J114="","","PL-"&amp;TEXT(ROW()-8,"000"))</f>
        <v/>
      </c>
      <c r="C114" s="52"/>
      <c r="D114" s="53"/>
      <c r="E114" s="54"/>
      <c r="F114" s="54"/>
      <c r="G114" s="54"/>
      <c r="H114" s="54"/>
      <c r="I114" s="54"/>
      <c r="J114" s="54"/>
      <c r="K114" s="52"/>
      <c r="L114" s="52"/>
      <c r="M114" s="52"/>
      <c r="N114" s="54"/>
      <c r="O114" s="53"/>
      <c r="P114" s="52"/>
      <c r="Q114" s="53"/>
      <c r="R114" s="53"/>
      <c r="S114" s="54"/>
      <c r="T114" s="48" t="str">
        <f aca="true">IF($J114="","",IF($R114&lt;&gt;"",$R114-$D114,IF($D114="","",TODAY()-$D114)))</f>
        <v/>
      </c>
      <c r="U114" s="49" t="str">
        <f aca="true">IF($J114="","",IF(OR($P114="Closed",$P114="Not a defect"),"",IF($O114="","no target",IF($O114&lt;TODAY(),"OVERDUE "&amp;(TODAY()-$O114)&amp;"d","in "&amp;($O114-TODAY())&amp;"d"))))</f>
        <v/>
      </c>
      <c r="V114" s="50" t="str">
        <f aca="false">IF($J114="","",COUNTIF('Photo Log'!$B$8:$B$107,$B114))</f>
        <v/>
      </c>
      <c r="W114" s="54"/>
    </row>
    <row r="115" customFormat="false" ht="30" hidden="false" customHeight="true" outlineLevel="0" collapsed="false">
      <c r="B115" s="44" t="str">
        <f aca="false">IF($J115="","","PL-"&amp;TEXT(ROW()-8,"000"))</f>
        <v/>
      </c>
      <c r="C115" s="45"/>
      <c r="D115" s="46"/>
      <c r="E115" s="47"/>
      <c r="F115" s="47"/>
      <c r="G115" s="47"/>
      <c r="H115" s="47"/>
      <c r="I115" s="47"/>
      <c r="J115" s="47"/>
      <c r="K115" s="45"/>
      <c r="L115" s="45"/>
      <c r="M115" s="45"/>
      <c r="N115" s="47"/>
      <c r="O115" s="46"/>
      <c r="P115" s="45"/>
      <c r="Q115" s="46"/>
      <c r="R115" s="46"/>
      <c r="S115" s="47"/>
      <c r="T115" s="48" t="str">
        <f aca="true">IF($J115="","",IF($R115&lt;&gt;"",$R115-$D115,IF($D115="","",TODAY()-$D115)))</f>
        <v/>
      </c>
      <c r="U115" s="49" t="str">
        <f aca="true">IF($J115="","",IF(OR($P115="Closed",$P115="Not a defect"),"",IF($O115="","no target",IF($O115&lt;TODAY(),"OVERDUE "&amp;(TODAY()-$O115)&amp;"d","in "&amp;($O115-TODAY())&amp;"d"))))</f>
        <v/>
      </c>
      <c r="V115" s="50" t="str">
        <f aca="false">IF($J115="","",COUNTIF('Photo Log'!$B$8:$B$107,$B115))</f>
        <v/>
      </c>
      <c r="W115" s="47"/>
    </row>
    <row r="116" customFormat="false" ht="30" hidden="false" customHeight="true" outlineLevel="0" collapsed="false">
      <c r="B116" s="44" t="str">
        <f aca="false">IF($J116="","","PL-"&amp;TEXT(ROW()-8,"000"))</f>
        <v/>
      </c>
      <c r="C116" s="52"/>
      <c r="D116" s="53"/>
      <c r="E116" s="54"/>
      <c r="F116" s="54"/>
      <c r="G116" s="54"/>
      <c r="H116" s="54"/>
      <c r="I116" s="54"/>
      <c r="J116" s="54"/>
      <c r="K116" s="52"/>
      <c r="L116" s="52"/>
      <c r="M116" s="52"/>
      <c r="N116" s="54"/>
      <c r="O116" s="53"/>
      <c r="P116" s="52"/>
      <c r="Q116" s="53"/>
      <c r="R116" s="53"/>
      <c r="S116" s="54"/>
      <c r="T116" s="48" t="str">
        <f aca="true">IF($J116="","",IF($R116&lt;&gt;"",$R116-$D116,IF($D116="","",TODAY()-$D116)))</f>
        <v/>
      </c>
      <c r="U116" s="49" t="str">
        <f aca="true">IF($J116="","",IF(OR($P116="Closed",$P116="Not a defect"),"",IF($O116="","no target",IF($O116&lt;TODAY(),"OVERDUE "&amp;(TODAY()-$O116)&amp;"d","in "&amp;($O116-TODAY())&amp;"d"))))</f>
        <v/>
      </c>
      <c r="V116" s="50" t="str">
        <f aca="false">IF($J116="","",COUNTIF('Photo Log'!$B$8:$B$107,$B116))</f>
        <v/>
      </c>
      <c r="W116" s="54"/>
    </row>
    <row r="117" customFormat="false" ht="30" hidden="false" customHeight="true" outlineLevel="0" collapsed="false">
      <c r="B117" s="44" t="str">
        <f aca="false">IF($J117="","","PL-"&amp;TEXT(ROW()-8,"000"))</f>
        <v/>
      </c>
      <c r="C117" s="45"/>
      <c r="D117" s="46"/>
      <c r="E117" s="47"/>
      <c r="F117" s="47"/>
      <c r="G117" s="47"/>
      <c r="H117" s="47"/>
      <c r="I117" s="47"/>
      <c r="J117" s="47"/>
      <c r="K117" s="45"/>
      <c r="L117" s="45"/>
      <c r="M117" s="45"/>
      <c r="N117" s="47"/>
      <c r="O117" s="46"/>
      <c r="P117" s="45"/>
      <c r="Q117" s="46"/>
      <c r="R117" s="46"/>
      <c r="S117" s="47"/>
      <c r="T117" s="48" t="str">
        <f aca="true">IF($J117="","",IF($R117&lt;&gt;"",$R117-$D117,IF($D117="","",TODAY()-$D117)))</f>
        <v/>
      </c>
      <c r="U117" s="49" t="str">
        <f aca="true">IF($J117="","",IF(OR($P117="Closed",$P117="Not a defect"),"",IF($O117="","no target",IF($O117&lt;TODAY(),"OVERDUE "&amp;(TODAY()-$O117)&amp;"d","in "&amp;($O117-TODAY())&amp;"d"))))</f>
        <v/>
      </c>
      <c r="V117" s="50" t="str">
        <f aca="false">IF($J117="","",COUNTIF('Photo Log'!$B$8:$B$107,$B117))</f>
        <v/>
      </c>
      <c r="W117" s="47"/>
    </row>
    <row r="118" customFormat="false" ht="30" hidden="false" customHeight="true" outlineLevel="0" collapsed="false">
      <c r="B118" s="44" t="str">
        <f aca="false">IF($J118="","","PL-"&amp;TEXT(ROW()-8,"000"))</f>
        <v/>
      </c>
      <c r="C118" s="52"/>
      <c r="D118" s="53"/>
      <c r="E118" s="54"/>
      <c r="F118" s="54"/>
      <c r="G118" s="54"/>
      <c r="H118" s="54"/>
      <c r="I118" s="54"/>
      <c r="J118" s="54"/>
      <c r="K118" s="52"/>
      <c r="L118" s="52"/>
      <c r="M118" s="52"/>
      <c r="N118" s="54"/>
      <c r="O118" s="53"/>
      <c r="P118" s="52"/>
      <c r="Q118" s="53"/>
      <c r="R118" s="53"/>
      <c r="S118" s="54"/>
      <c r="T118" s="48" t="str">
        <f aca="true">IF($J118="","",IF($R118&lt;&gt;"",$R118-$D118,IF($D118="","",TODAY()-$D118)))</f>
        <v/>
      </c>
      <c r="U118" s="49" t="str">
        <f aca="true">IF($J118="","",IF(OR($P118="Closed",$P118="Not a defect"),"",IF($O118="","no target",IF($O118&lt;TODAY(),"OVERDUE "&amp;(TODAY()-$O118)&amp;"d","in "&amp;($O118-TODAY())&amp;"d"))))</f>
        <v/>
      </c>
      <c r="V118" s="50" t="str">
        <f aca="false">IF($J118="","",COUNTIF('Photo Log'!$B$8:$B$107,$B118))</f>
        <v/>
      </c>
      <c r="W118" s="54"/>
    </row>
    <row r="119" customFormat="false" ht="30" hidden="false" customHeight="true" outlineLevel="0" collapsed="false">
      <c r="B119" s="44" t="str">
        <f aca="false">IF($J119="","","PL-"&amp;TEXT(ROW()-8,"000"))</f>
        <v/>
      </c>
      <c r="C119" s="45"/>
      <c r="D119" s="46"/>
      <c r="E119" s="47"/>
      <c r="F119" s="47"/>
      <c r="G119" s="47"/>
      <c r="H119" s="47"/>
      <c r="I119" s="47"/>
      <c r="J119" s="47"/>
      <c r="K119" s="45"/>
      <c r="L119" s="45"/>
      <c r="M119" s="45"/>
      <c r="N119" s="47"/>
      <c r="O119" s="46"/>
      <c r="P119" s="45"/>
      <c r="Q119" s="46"/>
      <c r="R119" s="46"/>
      <c r="S119" s="47"/>
      <c r="T119" s="48" t="str">
        <f aca="true">IF($J119="","",IF($R119&lt;&gt;"",$R119-$D119,IF($D119="","",TODAY()-$D119)))</f>
        <v/>
      </c>
      <c r="U119" s="49" t="str">
        <f aca="true">IF($J119="","",IF(OR($P119="Closed",$P119="Not a defect"),"",IF($O119="","no target",IF($O119&lt;TODAY(),"OVERDUE "&amp;(TODAY()-$O119)&amp;"d","in "&amp;($O119-TODAY())&amp;"d"))))</f>
        <v/>
      </c>
      <c r="V119" s="50" t="str">
        <f aca="false">IF($J119="","",COUNTIF('Photo Log'!$B$8:$B$107,$B119))</f>
        <v/>
      </c>
      <c r="W119" s="47"/>
    </row>
    <row r="120" customFormat="false" ht="30" hidden="false" customHeight="true" outlineLevel="0" collapsed="false">
      <c r="B120" s="44" t="str">
        <f aca="false">IF($J120="","","PL-"&amp;TEXT(ROW()-8,"000"))</f>
        <v/>
      </c>
      <c r="C120" s="52"/>
      <c r="D120" s="53"/>
      <c r="E120" s="54"/>
      <c r="F120" s="54"/>
      <c r="G120" s="54"/>
      <c r="H120" s="54"/>
      <c r="I120" s="54"/>
      <c r="J120" s="54"/>
      <c r="K120" s="52"/>
      <c r="L120" s="52"/>
      <c r="M120" s="52"/>
      <c r="N120" s="54"/>
      <c r="O120" s="53"/>
      <c r="P120" s="52"/>
      <c r="Q120" s="53"/>
      <c r="R120" s="53"/>
      <c r="S120" s="54"/>
      <c r="T120" s="48" t="str">
        <f aca="true">IF($J120="","",IF($R120&lt;&gt;"",$R120-$D120,IF($D120="","",TODAY()-$D120)))</f>
        <v/>
      </c>
      <c r="U120" s="49" t="str">
        <f aca="true">IF($J120="","",IF(OR($P120="Closed",$P120="Not a defect"),"",IF($O120="","no target",IF($O120&lt;TODAY(),"OVERDUE "&amp;(TODAY()-$O120)&amp;"d","in "&amp;($O120-TODAY())&amp;"d"))))</f>
        <v/>
      </c>
      <c r="V120" s="50" t="str">
        <f aca="false">IF($J120="","",COUNTIF('Photo Log'!$B$8:$B$107,$B120))</f>
        <v/>
      </c>
      <c r="W120" s="54"/>
    </row>
    <row r="121" customFormat="false" ht="30" hidden="false" customHeight="true" outlineLevel="0" collapsed="false">
      <c r="B121" s="44" t="str">
        <f aca="false">IF($J121="","","PL-"&amp;TEXT(ROW()-8,"000"))</f>
        <v/>
      </c>
      <c r="C121" s="45"/>
      <c r="D121" s="46"/>
      <c r="E121" s="47"/>
      <c r="F121" s="47"/>
      <c r="G121" s="47"/>
      <c r="H121" s="47"/>
      <c r="I121" s="47"/>
      <c r="J121" s="47"/>
      <c r="K121" s="45"/>
      <c r="L121" s="45"/>
      <c r="M121" s="45"/>
      <c r="N121" s="47"/>
      <c r="O121" s="46"/>
      <c r="P121" s="45"/>
      <c r="Q121" s="46"/>
      <c r="R121" s="46"/>
      <c r="S121" s="47"/>
      <c r="T121" s="48" t="str">
        <f aca="true">IF($J121="","",IF($R121&lt;&gt;"",$R121-$D121,IF($D121="","",TODAY()-$D121)))</f>
        <v/>
      </c>
      <c r="U121" s="49" t="str">
        <f aca="true">IF($J121="","",IF(OR($P121="Closed",$P121="Not a defect"),"",IF($O121="","no target",IF($O121&lt;TODAY(),"OVERDUE "&amp;(TODAY()-$O121)&amp;"d","in "&amp;($O121-TODAY())&amp;"d"))))</f>
        <v/>
      </c>
      <c r="V121" s="50" t="str">
        <f aca="false">IF($J121="","",COUNTIF('Photo Log'!$B$8:$B$107,$B121))</f>
        <v/>
      </c>
      <c r="W121" s="47"/>
    </row>
    <row r="122" customFormat="false" ht="30" hidden="false" customHeight="true" outlineLevel="0" collapsed="false">
      <c r="B122" s="44" t="str">
        <f aca="false">IF($J122="","","PL-"&amp;TEXT(ROW()-8,"000"))</f>
        <v/>
      </c>
      <c r="C122" s="52"/>
      <c r="D122" s="53"/>
      <c r="E122" s="54"/>
      <c r="F122" s="54"/>
      <c r="G122" s="54"/>
      <c r="H122" s="54"/>
      <c r="I122" s="54"/>
      <c r="J122" s="54"/>
      <c r="K122" s="52"/>
      <c r="L122" s="52"/>
      <c r="M122" s="52"/>
      <c r="N122" s="54"/>
      <c r="O122" s="53"/>
      <c r="P122" s="52"/>
      <c r="Q122" s="53"/>
      <c r="R122" s="53"/>
      <c r="S122" s="54"/>
      <c r="T122" s="48" t="str">
        <f aca="true">IF($J122="","",IF($R122&lt;&gt;"",$R122-$D122,IF($D122="","",TODAY()-$D122)))</f>
        <v/>
      </c>
      <c r="U122" s="49" t="str">
        <f aca="true">IF($J122="","",IF(OR($P122="Closed",$P122="Not a defect"),"",IF($O122="","no target",IF($O122&lt;TODAY(),"OVERDUE "&amp;(TODAY()-$O122)&amp;"d","in "&amp;($O122-TODAY())&amp;"d"))))</f>
        <v/>
      </c>
      <c r="V122" s="50" t="str">
        <f aca="false">IF($J122="","",COUNTIF('Photo Log'!$B$8:$B$107,$B122))</f>
        <v/>
      </c>
      <c r="W122" s="54"/>
    </row>
    <row r="123" customFormat="false" ht="30" hidden="false" customHeight="true" outlineLevel="0" collapsed="false">
      <c r="B123" s="44" t="str">
        <f aca="false">IF($J123="","","PL-"&amp;TEXT(ROW()-8,"000"))</f>
        <v/>
      </c>
      <c r="C123" s="45"/>
      <c r="D123" s="46"/>
      <c r="E123" s="47"/>
      <c r="F123" s="47"/>
      <c r="G123" s="47"/>
      <c r="H123" s="47"/>
      <c r="I123" s="47"/>
      <c r="J123" s="47"/>
      <c r="K123" s="45"/>
      <c r="L123" s="45"/>
      <c r="M123" s="45"/>
      <c r="N123" s="47"/>
      <c r="O123" s="46"/>
      <c r="P123" s="45"/>
      <c r="Q123" s="46"/>
      <c r="R123" s="46"/>
      <c r="S123" s="47"/>
      <c r="T123" s="48" t="str">
        <f aca="true">IF($J123="","",IF($R123&lt;&gt;"",$R123-$D123,IF($D123="","",TODAY()-$D123)))</f>
        <v/>
      </c>
      <c r="U123" s="49" t="str">
        <f aca="true">IF($J123="","",IF(OR($P123="Closed",$P123="Not a defect"),"",IF($O123="","no target",IF($O123&lt;TODAY(),"OVERDUE "&amp;(TODAY()-$O123)&amp;"d","in "&amp;($O123-TODAY())&amp;"d"))))</f>
        <v/>
      </c>
      <c r="V123" s="50" t="str">
        <f aca="false">IF($J123="","",COUNTIF('Photo Log'!$B$8:$B$107,$B123))</f>
        <v/>
      </c>
      <c r="W123" s="47"/>
    </row>
    <row r="124" customFormat="false" ht="30" hidden="false" customHeight="true" outlineLevel="0" collapsed="false">
      <c r="B124" s="44" t="str">
        <f aca="false">IF($J124="","","PL-"&amp;TEXT(ROW()-8,"000"))</f>
        <v/>
      </c>
      <c r="C124" s="52"/>
      <c r="D124" s="53"/>
      <c r="E124" s="54"/>
      <c r="F124" s="54"/>
      <c r="G124" s="54"/>
      <c r="H124" s="54"/>
      <c r="I124" s="54"/>
      <c r="J124" s="54"/>
      <c r="K124" s="52"/>
      <c r="L124" s="52"/>
      <c r="M124" s="52"/>
      <c r="N124" s="54"/>
      <c r="O124" s="53"/>
      <c r="P124" s="52"/>
      <c r="Q124" s="53"/>
      <c r="R124" s="53"/>
      <c r="S124" s="54"/>
      <c r="T124" s="48" t="str">
        <f aca="true">IF($J124="","",IF($R124&lt;&gt;"",$R124-$D124,IF($D124="","",TODAY()-$D124)))</f>
        <v/>
      </c>
      <c r="U124" s="49" t="str">
        <f aca="true">IF($J124="","",IF(OR($P124="Closed",$P124="Not a defect"),"",IF($O124="","no target",IF($O124&lt;TODAY(),"OVERDUE "&amp;(TODAY()-$O124)&amp;"d","in "&amp;($O124-TODAY())&amp;"d"))))</f>
        <v/>
      </c>
      <c r="V124" s="50" t="str">
        <f aca="false">IF($J124="","",COUNTIF('Photo Log'!$B$8:$B$107,$B124))</f>
        <v/>
      </c>
      <c r="W124" s="54"/>
    </row>
    <row r="125" customFormat="false" ht="30" hidden="false" customHeight="true" outlineLevel="0" collapsed="false">
      <c r="B125" s="44" t="str">
        <f aca="false">IF($J125="","","PL-"&amp;TEXT(ROW()-8,"000"))</f>
        <v/>
      </c>
      <c r="C125" s="45"/>
      <c r="D125" s="46"/>
      <c r="E125" s="47"/>
      <c r="F125" s="47"/>
      <c r="G125" s="47"/>
      <c r="H125" s="47"/>
      <c r="I125" s="47"/>
      <c r="J125" s="47"/>
      <c r="K125" s="45"/>
      <c r="L125" s="45"/>
      <c r="M125" s="45"/>
      <c r="N125" s="47"/>
      <c r="O125" s="46"/>
      <c r="P125" s="45"/>
      <c r="Q125" s="46"/>
      <c r="R125" s="46"/>
      <c r="S125" s="47"/>
      <c r="T125" s="48" t="str">
        <f aca="true">IF($J125="","",IF($R125&lt;&gt;"",$R125-$D125,IF($D125="","",TODAY()-$D125)))</f>
        <v/>
      </c>
      <c r="U125" s="49" t="str">
        <f aca="true">IF($J125="","",IF(OR($P125="Closed",$P125="Not a defect"),"",IF($O125="","no target",IF($O125&lt;TODAY(),"OVERDUE "&amp;(TODAY()-$O125)&amp;"d","in "&amp;($O125-TODAY())&amp;"d"))))</f>
        <v/>
      </c>
      <c r="V125" s="50" t="str">
        <f aca="false">IF($J125="","",COUNTIF('Photo Log'!$B$8:$B$107,$B125))</f>
        <v/>
      </c>
      <c r="W125" s="47"/>
    </row>
    <row r="126" customFormat="false" ht="30" hidden="false" customHeight="true" outlineLevel="0" collapsed="false">
      <c r="B126" s="44" t="str">
        <f aca="false">IF($J126="","","PL-"&amp;TEXT(ROW()-8,"000"))</f>
        <v/>
      </c>
      <c r="C126" s="52"/>
      <c r="D126" s="53"/>
      <c r="E126" s="54"/>
      <c r="F126" s="54"/>
      <c r="G126" s="54"/>
      <c r="H126" s="54"/>
      <c r="I126" s="54"/>
      <c r="J126" s="54"/>
      <c r="K126" s="52"/>
      <c r="L126" s="52"/>
      <c r="M126" s="52"/>
      <c r="N126" s="54"/>
      <c r="O126" s="53"/>
      <c r="P126" s="52"/>
      <c r="Q126" s="53"/>
      <c r="R126" s="53"/>
      <c r="S126" s="54"/>
      <c r="T126" s="48" t="str">
        <f aca="true">IF($J126="","",IF($R126&lt;&gt;"",$R126-$D126,IF($D126="","",TODAY()-$D126)))</f>
        <v/>
      </c>
      <c r="U126" s="49" t="str">
        <f aca="true">IF($J126="","",IF(OR($P126="Closed",$P126="Not a defect"),"",IF($O126="","no target",IF($O126&lt;TODAY(),"OVERDUE "&amp;(TODAY()-$O126)&amp;"d","in "&amp;($O126-TODAY())&amp;"d"))))</f>
        <v/>
      </c>
      <c r="V126" s="50" t="str">
        <f aca="false">IF($J126="","",COUNTIF('Photo Log'!$B$8:$B$107,$B126))</f>
        <v/>
      </c>
      <c r="W126" s="54"/>
    </row>
    <row r="127" customFormat="false" ht="30" hidden="false" customHeight="true" outlineLevel="0" collapsed="false">
      <c r="B127" s="44" t="str">
        <f aca="false">IF($J127="","","PL-"&amp;TEXT(ROW()-8,"000"))</f>
        <v/>
      </c>
      <c r="C127" s="45"/>
      <c r="D127" s="46"/>
      <c r="E127" s="47"/>
      <c r="F127" s="47"/>
      <c r="G127" s="47"/>
      <c r="H127" s="47"/>
      <c r="I127" s="47"/>
      <c r="J127" s="47"/>
      <c r="K127" s="45"/>
      <c r="L127" s="45"/>
      <c r="M127" s="45"/>
      <c r="N127" s="47"/>
      <c r="O127" s="46"/>
      <c r="P127" s="45"/>
      <c r="Q127" s="46"/>
      <c r="R127" s="46"/>
      <c r="S127" s="47"/>
      <c r="T127" s="48" t="str">
        <f aca="true">IF($J127="","",IF($R127&lt;&gt;"",$R127-$D127,IF($D127="","",TODAY()-$D127)))</f>
        <v/>
      </c>
      <c r="U127" s="49" t="str">
        <f aca="true">IF($J127="","",IF(OR($P127="Closed",$P127="Not a defect"),"",IF($O127="","no target",IF($O127&lt;TODAY(),"OVERDUE "&amp;(TODAY()-$O127)&amp;"d","in "&amp;($O127-TODAY())&amp;"d"))))</f>
        <v/>
      </c>
      <c r="V127" s="50" t="str">
        <f aca="false">IF($J127="","",COUNTIF('Photo Log'!$B$8:$B$107,$B127))</f>
        <v/>
      </c>
      <c r="W127" s="47"/>
    </row>
    <row r="128" customFormat="false" ht="30" hidden="false" customHeight="true" outlineLevel="0" collapsed="false">
      <c r="B128" s="44" t="str">
        <f aca="false">IF($J128="","","PL-"&amp;TEXT(ROW()-8,"000"))</f>
        <v/>
      </c>
      <c r="C128" s="52"/>
      <c r="D128" s="53"/>
      <c r="E128" s="54"/>
      <c r="F128" s="54"/>
      <c r="G128" s="54"/>
      <c r="H128" s="54"/>
      <c r="I128" s="54"/>
      <c r="J128" s="54"/>
      <c r="K128" s="52"/>
      <c r="L128" s="52"/>
      <c r="M128" s="52"/>
      <c r="N128" s="54"/>
      <c r="O128" s="53"/>
      <c r="P128" s="52"/>
      <c r="Q128" s="53"/>
      <c r="R128" s="53"/>
      <c r="S128" s="54"/>
      <c r="T128" s="48" t="str">
        <f aca="true">IF($J128="","",IF($R128&lt;&gt;"",$R128-$D128,IF($D128="","",TODAY()-$D128)))</f>
        <v/>
      </c>
      <c r="U128" s="49" t="str">
        <f aca="true">IF($J128="","",IF(OR($P128="Closed",$P128="Not a defect"),"",IF($O128="","no target",IF($O128&lt;TODAY(),"OVERDUE "&amp;(TODAY()-$O128)&amp;"d","in "&amp;($O128-TODAY())&amp;"d"))))</f>
        <v/>
      </c>
      <c r="V128" s="50" t="str">
        <f aca="false">IF($J128="","",COUNTIF('Photo Log'!$B$8:$B$107,$B128))</f>
        <v/>
      </c>
      <c r="W128" s="54"/>
    </row>
    <row r="129" customFormat="false" ht="30" hidden="false" customHeight="true" outlineLevel="0" collapsed="false">
      <c r="B129" s="44" t="str">
        <f aca="false">IF($J129="","","PL-"&amp;TEXT(ROW()-8,"000"))</f>
        <v/>
      </c>
      <c r="C129" s="45"/>
      <c r="D129" s="46"/>
      <c r="E129" s="47"/>
      <c r="F129" s="47"/>
      <c r="G129" s="47"/>
      <c r="H129" s="47"/>
      <c r="I129" s="47"/>
      <c r="J129" s="47"/>
      <c r="K129" s="45"/>
      <c r="L129" s="45"/>
      <c r="M129" s="45"/>
      <c r="N129" s="47"/>
      <c r="O129" s="46"/>
      <c r="P129" s="45"/>
      <c r="Q129" s="46"/>
      <c r="R129" s="46"/>
      <c r="S129" s="47"/>
      <c r="T129" s="48" t="str">
        <f aca="true">IF($J129="","",IF($R129&lt;&gt;"",$R129-$D129,IF($D129="","",TODAY()-$D129)))</f>
        <v/>
      </c>
      <c r="U129" s="49" t="str">
        <f aca="true">IF($J129="","",IF(OR($P129="Closed",$P129="Not a defect"),"",IF($O129="","no target",IF($O129&lt;TODAY(),"OVERDUE "&amp;(TODAY()-$O129)&amp;"d","in "&amp;($O129-TODAY())&amp;"d"))))</f>
        <v/>
      </c>
      <c r="V129" s="50" t="str">
        <f aca="false">IF($J129="","",COUNTIF('Photo Log'!$B$8:$B$107,$B129))</f>
        <v/>
      </c>
      <c r="W129" s="47"/>
    </row>
    <row r="130" customFormat="false" ht="30" hidden="false" customHeight="true" outlineLevel="0" collapsed="false">
      <c r="B130" s="44" t="str">
        <f aca="false">IF($J130="","","PL-"&amp;TEXT(ROW()-8,"000"))</f>
        <v/>
      </c>
      <c r="C130" s="52"/>
      <c r="D130" s="53"/>
      <c r="E130" s="54"/>
      <c r="F130" s="54"/>
      <c r="G130" s="54"/>
      <c r="H130" s="54"/>
      <c r="I130" s="54"/>
      <c r="J130" s="54"/>
      <c r="K130" s="52"/>
      <c r="L130" s="52"/>
      <c r="M130" s="52"/>
      <c r="N130" s="54"/>
      <c r="O130" s="53"/>
      <c r="P130" s="52"/>
      <c r="Q130" s="53"/>
      <c r="R130" s="53"/>
      <c r="S130" s="54"/>
      <c r="T130" s="48" t="str">
        <f aca="true">IF($J130="","",IF($R130&lt;&gt;"",$R130-$D130,IF($D130="","",TODAY()-$D130)))</f>
        <v/>
      </c>
      <c r="U130" s="49" t="str">
        <f aca="true">IF($J130="","",IF(OR($P130="Closed",$P130="Not a defect"),"",IF($O130="","no target",IF($O130&lt;TODAY(),"OVERDUE "&amp;(TODAY()-$O130)&amp;"d","in "&amp;($O130-TODAY())&amp;"d"))))</f>
        <v/>
      </c>
      <c r="V130" s="50" t="str">
        <f aca="false">IF($J130="","",COUNTIF('Photo Log'!$B$8:$B$107,$B130))</f>
        <v/>
      </c>
      <c r="W130" s="54"/>
    </row>
    <row r="131" customFormat="false" ht="30" hidden="false" customHeight="true" outlineLevel="0" collapsed="false">
      <c r="B131" s="44" t="str">
        <f aca="false">IF($J131="","","PL-"&amp;TEXT(ROW()-8,"000"))</f>
        <v/>
      </c>
      <c r="C131" s="45"/>
      <c r="D131" s="46"/>
      <c r="E131" s="47"/>
      <c r="F131" s="47"/>
      <c r="G131" s="47"/>
      <c r="H131" s="47"/>
      <c r="I131" s="47"/>
      <c r="J131" s="47"/>
      <c r="K131" s="45"/>
      <c r="L131" s="45"/>
      <c r="M131" s="45"/>
      <c r="N131" s="47"/>
      <c r="O131" s="46"/>
      <c r="P131" s="45"/>
      <c r="Q131" s="46"/>
      <c r="R131" s="46"/>
      <c r="S131" s="47"/>
      <c r="T131" s="48" t="str">
        <f aca="true">IF($J131="","",IF($R131&lt;&gt;"",$R131-$D131,IF($D131="","",TODAY()-$D131)))</f>
        <v/>
      </c>
      <c r="U131" s="49" t="str">
        <f aca="true">IF($J131="","",IF(OR($P131="Closed",$P131="Not a defect"),"",IF($O131="","no target",IF($O131&lt;TODAY(),"OVERDUE "&amp;(TODAY()-$O131)&amp;"d","in "&amp;($O131-TODAY())&amp;"d"))))</f>
        <v/>
      </c>
      <c r="V131" s="50" t="str">
        <f aca="false">IF($J131="","",COUNTIF('Photo Log'!$B$8:$B$107,$B131))</f>
        <v/>
      </c>
      <c r="W131" s="47"/>
    </row>
    <row r="132" customFormat="false" ht="30" hidden="false" customHeight="true" outlineLevel="0" collapsed="false">
      <c r="B132" s="44" t="str">
        <f aca="false">IF($J132="","","PL-"&amp;TEXT(ROW()-8,"000"))</f>
        <v/>
      </c>
      <c r="C132" s="52"/>
      <c r="D132" s="53"/>
      <c r="E132" s="54"/>
      <c r="F132" s="54"/>
      <c r="G132" s="54"/>
      <c r="H132" s="54"/>
      <c r="I132" s="54"/>
      <c r="J132" s="54"/>
      <c r="K132" s="52"/>
      <c r="L132" s="52"/>
      <c r="M132" s="52"/>
      <c r="N132" s="54"/>
      <c r="O132" s="53"/>
      <c r="P132" s="52"/>
      <c r="Q132" s="53"/>
      <c r="R132" s="53"/>
      <c r="S132" s="54"/>
      <c r="T132" s="48" t="str">
        <f aca="true">IF($J132="","",IF($R132&lt;&gt;"",$R132-$D132,IF($D132="","",TODAY()-$D132)))</f>
        <v/>
      </c>
      <c r="U132" s="49" t="str">
        <f aca="true">IF($J132="","",IF(OR($P132="Closed",$P132="Not a defect"),"",IF($O132="","no target",IF($O132&lt;TODAY(),"OVERDUE "&amp;(TODAY()-$O132)&amp;"d","in "&amp;($O132-TODAY())&amp;"d"))))</f>
        <v/>
      </c>
      <c r="V132" s="50" t="str">
        <f aca="false">IF($J132="","",COUNTIF('Photo Log'!$B$8:$B$107,$B132))</f>
        <v/>
      </c>
      <c r="W132" s="54"/>
    </row>
    <row r="133" customFormat="false" ht="30" hidden="false" customHeight="true" outlineLevel="0" collapsed="false">
      <c r="B133" s="44" t="str">
        <f aca="false">IF($J133="","","PL-"&amp;TEXT(ROW()-8,"000"))</f>
        <v/>
      </c>
      <c r="C133" s="45"/>
      <c r="D133" s="46"/>
      <c r="E133" s="47"/>
      <c r="F133" s="47"/>
      <c r="G133" s="47"/>
      <c r="H133" s="47"/>
      <c r="I133" s="47"/>
      <c r="J133" s="47"/>
      <c r="K133" s="45"/>
      <c r="L133" s="45"/>
      <c r="M133" s="45"/>
      <c r="N133" s="47"/>
      <c r="O133" s="46"/>
      <c r="P133" s="45"/>
      <c r="Q133" s="46"/>
      <c r="R133" s="46"/>
      <c r="S133" s="47"/>
      <c r="T133" s="48" t="str">
        <f aca="true">IF($J133="","",IF($R133&lt;&gt;"",$R133-$D133,IF($D133="","",TODAY()-$D133)))</f>
        <v/>
      </c>
      <c r="U133" s="49" t="str">
        <f aca="true">IF($J133="","",IF(OR($P133="Closed",$P133="Not a defect"),"",IF($O133="","no target",IF($O133&lt;TODAY(),"OVERDUE "&amp;(TODAY()-$O133)&amp;"d","in "&amp;($O133-TODAY())&amp;"d"))))</f>
        <v/>
      </c>
      <c r="V133" s="50" t="str">
        <f aca="false">IF($J133="","",COUNTIF('Photo Log'!$B$8:$B$107,$B133))</f>
        <v/>
      </c>
      <c r="W133" s="47"/>
    </row>
    <row r="134" customFormat="false" ht="30" hidden="false" customHeight="true" outlineLevel="0" collapsed="false">
      <c r="B134" s="44" t="str">
        <f aca="false">IF($J134="","","PL-"&amp;TEXT(ROW()-8,"000"))</f>
        <v/>
      </c>
      <c r="C134" s="52"/>
      <c r="D134" s="53"/>
      <c r="E134" s="54"/>
      <c r="F134" s="54"/>
      <c r="G134" s="54"/>
      <c r="H134" s="54"/>
      <c r="I134" s="54"/>
      <c r="J134" s="54"/>
      <c r="K134" s="52"/>
      <c r="L134" s="52"/>
      <c r="M134" s="52"/>
      <c r="N134" s="54"/>
      <c r="O134" s="53"/>
      <c r="P134" s="52"/>
      <c r="Q134" s="53"/>
      <c r="R134" s="53"/>
      <c r="S134" s="54"/>
      <c r="T134" s="48" t="str">
        <f aca="true">IF($J134="","",IF($R134&lt;&gt;"",$R134-$D134,IF($D134="","",TODAY()-$D134)))</f>
        <v/>
      </c>
      <c r="U134" s="49" t="str">
        <f aca="true">IF($J134="","",IF(OR($P134="Closed",$P134="Not a defect"),"",IF($O134="","no target",IF($O134&lt;TODAY(),"OVERDUE "&amp;(TODAY()-$O134)&amp;"d","in "&amp;($O134-TODAY())&amp;"d"))))</f>
        <v/>
      </c>
      <c r="V134" s="50" t="str">
        <f aca="false">IF($J134="","",COUNTIF('Photo Log'!$B$8:$B$107,$B134))</f>
        <v/>
      </c>
      <c r="W134" s="54"/>
    </row>
    <row r="135" customFormat="false" ht="30" hidden="false" customHeight="true" outlineLevel="0" collapsed="false">
      <c r="B135" s="44" t="str">
        <f aca="false">IF($J135="","","PL-"&amp;TEXT(ROW()-8,"000"))</f>
        <v/>
      </c>
      <c r="C135" s="45"/>
      <c r="D135" s="46"/>
      <c r="E135" s="47"/>
      <c r="F135" s="47"/>
      <c r="G135" s="47"/>
      <c r="H135" s="47"/>
      <c r="I135" s="47"/>
      <c r="J135" s="47"/>
      <c r="K135" s="45"/>
      <c r="L135" s="45"/>
      <c r="M135" s="45"/>
      <c r="N135" s="47"/>
      <c r="O135" s="46"/>
      <c r="P135" s="45"/>
      <c r="Q135" s="46"/>
      <c r="R135" s="46"/>
      <c r="S135" s="47"/>
      <c r="T135" s="48" t="str">
        <f aca="true">IF($J135="","",IF($R135&lt;&gt;"",$R135-$D135,IF($D135="","",TODAY()-$D135)))</f>
        <v/>
      </c>
      <c r="U135" s="49" t="str">
        <f aca="true">IF($J135="","",IF(OR($P135="Closed",$P135="Not a defect"),"",IF($O135="","no target",IF($O135&lt;TODAY(),"OVERDUE "&amp;(TODAY()-$O135)&amp;"d","in "&amp;($O135-TODAY())&amp;"d"))))</f>
        <v/>
      </c>
      <c r="V135" s="50" t="str">
        <f aca="false">IF($J135="","",COUNTIF('Photo Log'!$B$8:$B$107,$B135))</f>
        <v/>
      </c>
      <c r="W135" s="47"/>
    </row>
    <row r="136" customFormat="false" ht="30" hidden="false" customHeight="true" outlineLevel="0" collapsed="false">
      <c r="B136" s="44" t="str">
        <f aca="false">IF($J136="","","PL-"&amp;TEXT(ROW()-8,"000"))</f>
        <v/>
      </c>
      <c r="C136" s="52"/>
      <c r="D136" s="53"/>
      <c r="E136" s="54"/>
      <c r="F136" s="54"/>
      <c r="G136" s="54"/>
      <c r="H136" s="54"/>
      <c r="I136" s="54"/>
      <c r="J136" s="54"/>
      <c r="K136" s="52"/>
      <c r="L136" s="52"/>
      <c r="M136" s="52"/>
      <c r="N136" s="54"/>
      <c r="O136" s="53"/>
      <c r="P136" s="52"/>
      <c r="Q136" s="53"/>
      <c r="R136" s="53"/>
      <c r="S136" s="54"/>
      <c r="T136" s="48" t="str">
        <f aca="true">IF($J136="","",IF($R136&lt;&gt;"",$R136-$D136,IF($D136="","",TODAY()-$D136)))</f>
        <v/>
      </c>
      <c r="U136" s="49" t="str">
        <f aca="true">IF($J136="","",IF(OR($P136="Closed",$P136="Not a defect"),"",IF($O136="","no target",IF($O136&lt;TODAY(),"OVERDUE "&amp;(TODAY()-$O136)&amp;"d","in "&amp;($O136-TODAY())&amp;"d"))))</f>
        <v/>
      </c>
      <c r="V136" s="50" t="str">
        <f aca="false">IF($J136="","",COUNTIF('Photo Log'!$B$8:$B$107,$B136))</f>
        <v/>
      </c>
      <c r="W136" s="54"/>
    </row>
    <row r="137" customFormat="false" ht="30" hidden="false" customHeight="true" outlineLevel="0" collapsed="false">
      <c r="B137" s="44" t="str">
        <f aca="false">IF($J137="","","PL-"&amp;TEXT(ROW()-8,"000"))</f>
        <v/>
      </c>
      <c r="C137" s="45"/>
      <c r="D137" s="46"/>
      <c r="E137" s="47"/>
      <c r="F137" s="47"/>
      <c r="G137" s="47"/>
      <c r="H137" s="47"/>
      <c r="I137" s="47"/>
      <c r="J137" s="47"/>
      <c r="K137" s="45"/>
      <c r="L137" s="45"/>
      <c r="M137" s="45"/>
      <c r="N137" s="47"/>
      <c r="O137" s="46"/>
      <c r="P137" s="45"/>
      <c r="Q137" s="46"/>
      <c r="R137" s="46"/>
      <c r="S137" s="47"/>
      <c r="T137" s="48" t="str">
        <f aca="true">IF($J137="","",IF($R137&lt;&gt;"",$R137-$D137,IF($D137="","",TODAY()-$D137)))</f>
        <v/>
      </c>
      <c r="U137" s="49" t="str">
        <f aca="true">IF($J137="","",IF(OR($P137="Closed",$P137="Not a defect"),"",IF($O137="","no target",IF($O137&lt;TODAY(),"OVERDUE "&amp;(TODAY()-$O137)&amp;"d","in "&amp;($O137-TODAY())&amp;"d"))))</f>
        <v/>
      </c>
      <c r="V137" s="50" t="str">
        <f aca="false">IF($J137="","",COUNTIF('Photo Log'!$B$8:$B$107,$B137))</f>
        <v/>
      </c>
      <c r="W137" s="47"/>
    </row>
    <row r="138" customFormat="false" ht="30" hidden="false" customHeight="true" outlineLevel="0" collapsed="false">
      <c r="B138" s="44" t="str">
        <f aca="false">IF($J138="","","PL-"&amp;TEXT(ROW()-8,"000"))</f>
        <v/>
      </c>
      <c r="C138" s="52"/>
      <c r="D138" s="53"/>
      <c r="E138" s="54"/>
      <c r="F138" s="54"/>
      <c r="G138" s="54"/>
      <c r="H138" s="54"/>
      <c r="I138" s="54"/>
      <c r="J138" s="54"/>
      <c r="K138" s="52"/>
      <c r="L138" s="52"/>
      <c r="M138" s="52"/>
      <c r="N138" s="54"/>
      <c r="O138" s="53"/>
      <c r="P138" s="52"/>
      <c r="Q138" s="53"/>
      <c r="R138" s="53"/>
      <c r="S138" s="54"/>
      <c r="T138" s="48" t="str">
        <f aca="true">IF($J138="","",IF($R138&lt;&gt;"",$R138-$D138,IF($D138="","",TODAY()-$D138)))</f>
        <v/>
      </c>
      <c r="U138" s="49" t="str">
        <f aca="true">IF($J138="","",IF(OR($P138="Closed",$P138="Not a defect"),"",IF($O138="","no target",IF($O138&lt;TODAY(),"OVERDUE "&amp;(TODAY()-$O138)&amp;"d","in "&amp;($O138-TODAY())&amp;"d"))))</f>
        <v/>
      </c>
      <c r="V138" s="50" t="str">
        <f aca="false">IF($J138="","",COUNTIF('Photo Log'!$B$8:$B$107,$B138))</f>
        <v/>
      </c>
      <c r="W138" s="54"/>
    </row>
    <row r="139" customFormat="false" ht="30" hidden="false" customHeight="true" outlineLevel="0" collapsed="false">
      <c r="B139" s="44" t="str">
        <f aca="false">IF($J139="","","PL-"&amp;TEXT(ROW()-8,"000"))</f>
        <v/>
      </c>
      <c r="C139" s="45"/>
      <c r="D139" s="46"/>
      <c r="E139" s="47"/>
      <c r="F139" s="47"/>
      <c r="G139" s="47"/>
      <c r="H139" s="47"/>
      <c r="I139" s="47"/>
      <c r="J139" s="47"/>
      <c r="K139" s="45"/>
      <c r="L139" s="45"/>
      <c r="M139" s="45"/>
      <c r="N139" s="47"/>
      <c r="O139" s="46"/>
      <c r="P139" s="45"/>
      <c r="Q139" s="46"/>
      <c r="R139" s="46"/>
      <c r="S139" s="47"/>
      <c r="T139" s="48" t="str">
        <f aca="true">IF($J139="","",IF($R139&lt;&gt;"",$R139-$D139,IF($D139="","",TODAY()-$D139)))</f>
        <v/>
      </c>
      <c r="U139" s="49" t="str">
        <f aca="true">IF($J139="","",IF(OR($P139="Closed",$P139="Not a defect"),"",IF($O139="","no target",IF($O139&lt;TODAY(),"OVERDUE "&amp;(TODAY()-$O139)&amp;"d","in "&amp;($O139-TODAY())&amp;"d"))))</f>
        <v/>
      </c>
      <c r="V139" s="50" t="str">
        <f aca="false">IF($J139="","",COUNTIF('Photo Log'!$B$8:$B$107,$B139))</f>
        <v/>
      </c>
      <c r="W139" s="47"/>
    </row>
    <row r="140" customFormat="false" ht="30" hidden="false" customHeight="true" outlineLevel="0" collapsed="false">
      <c r="B140" s="44" t="str">
        <f aca="false">IF($J140="","","PL-"&amp;TEXT(ROW()-8,"000"))</f>
        <v/>
      </c>
      <c r="C140" s="52"/>
      <c r="D140" s="53"/>
      <c r="E140" s="54"/>
      <c r="F140" s="54"/>
      <c r="G140" s="54"/>
      <c r="H140" s="54"/>
      <c r="I140" s="54"/>
      <c r="J140" s="54"/>
      <c r="K140" s="52"/>
      <c r="L140" s="52"/>
      <c r="M140" s="52"/>
      <c r="N140" s="54"/>
      <c r="O140" s="53"/>
      <c r="P140" s="52"/>
      <c r="Q140" s="53"/>
      <c r="R140" s="53"/>
      <c r="S140" s="54"/>
      <c r="T140" s="48" t="str">
        <f aca="true">IF($J140="","",IF($R140&lt;&gt;"",$R140-$D140,IF($D140="","",TODAY()-$D140)))</f>
        <v/>
      </c>
      <c r="U140" s="49" t="str">
        <f aca="true">IF($J140="","",IF(OR($P140="Closed",$P140="Not a defect"),"",IF($O140="","no target",IF($O140&lt;TODAY(),"OVERDUE "&amp;(TODAY()-$O140)&amp;"d","in "&amp;($O140-TODAY())&amp;"d"))))</f>
        <v/>
      </c>
      <c r="V140" s="50" t="str">
        <f aca="false">IF($J140="","",COUNTIF('Photo Log'!$B$8:$B$107,$B140))</f>
        <v/>
      </c>
      <c r="W140" s="54"/>
    </row>
    <row r="141" customFormat="false" ht="30" hidden="false" customHeight="true" outlineLevel="0" collapsed="false">
      <c r="B141" s="44" t="str">
        <f aca="false">IF($J141="","","PL-"&amp;TEXT(ROW()-8,"000"))</f>
        <v/>
      </c>
      <c r="C141" s="45"/>
      <c r="D141" s="46"/>
      <c r="E141" s="47"/>
      <c r="F141" s="47"/>
      <c r="G141" s="47"/>
      <c r="H141" s="47"/>
      <c r="I141" s="47"/>
      <c r="J141" s="47"/>
      <c r="K141" s="45"/>
      <c r="L141" s="45"/>
      <c r="M141" s="45"/>
      <c r="N141" s="47"/>
      <c r="O141" s="46"/>
      <c r="P141" s="45"/>
      <c r="Q141" s="46"/>
      <c r="R141" s="46"/>
      <c r="S141" s="47"/>
      <c r="T141" s="48" t="str">
        <f aca="true">IF($J141="","",IF($R141&lt;&gt;"",$R141-$D141,IF($D141="","",TODAY()-$D141)))</f>
        <v/>
      </c>
      <c r="U141" s="49" t="str">
        <f aca="true">IF($J141="","",IF(OR($P141="Closed",$P141="Not a defect"),"",IF($O141="","no target",IF($O141&lt;TODAY(),"OVERDUE "&amp;(TODAY()-$O141)&amp;"d","in "&amp;($O141-TODAY())&amp;"d"))))</f>
        <v/>
      </c>
      <c r="V141" s="50" t="str">
        <f aca="false">IF($J141="","",COUNTIF('Photo Log'!$B$8:$B$107,$B141))</f>
        <v/>
      </c>
      <c r="W141" s="47"/>
    </row>
    <row r="142" customFormat="false" ht="30" hidden="false" customHeight="true" outlineLevel="0" collapsed="false">
      <c r="B142" s="44" t="str">
        <f aca="false">IF($J142="","","PL-"&amp;TEXT(ROW()-8,"000"))</f>
        <v/>
      </c>
      <c r="C142" s="52"/>
      <c r="D142" s="53"/>
      <c r="E142" s="54"/>
      <c r="F142" s="54"/>
      <c r="G142" s="54"/>
      <c r="H142" s="54"/>
      <c r="I142" s="54"/>
      <c r="J142" s="54"/>
      <c r="K142" s="52"/>
      <c r="L142" s="52"/>
      <c r="M142" s="52"/>
      <c r="N142" s="54"/>
      <c r="O142" s="53"/>
      <c r="P142" s="52"/>
      <c r="Q142" s="53"/>
      <c r="R142" s="53"/>
      <c r="S142" s="54"/>
      <c r="T142" s="48" t="str">
        <f aca="true">IF($J142="","",IF($R142&lt;&gt;"",$R142-$D142,IF($D142="","",TODAY()-$D142)))</f>
        <v/>
      </c>
      <c r="U142" s="49" t="str">
        <f aca="true">IF($J142="","",IF(OR($P142="Closed",$P142="Not a defect"),"",IF($O142="","no target",IF($O142&lt;TODAY(),"OVERDUE "&amp;(TODAY()-$O142)&amp;"d","in "&amp;($O142-TODAY())&amp;"d"))))</f>
        <v/>
      </c>
      <c r="V142" s="50" t="str">
        <f aca="false">IF($J142="","",COUNTIF('Photo Log'!$B$8:$B$107,$B142))</f>
        <v/>
      </c>
      <c r="W142" s="54"/>
    </row>
    <row r="143" customFormat="false" ht="30" hidden="false" customHeight="true" outlineLevel="0" collapsed="false">
      <c r="B143" s="44" t="str">
        <f aca="false">IF($J143="","","PL-"&amp;TEXT(ROW()-8,"000"))</f>
        <v/>
      </c>
      <c r="C143" s="45"/>
      <c r="D143" s="46"/>
      <c r="E143" s="47"/>
      <c r="F143" s="47"/>
      <c r="G143" s="47"/>
      <c r="H143" s="47"/>
      <c r="I143" s="47"/>
      <c r="J143" s="47"/>
      <c r="K143" s="45"/>
      <c r="L143" s="45"/>
      <c r="M143" s="45"/>
      <c r="N143" s="47"/>
      <c r="O143" s="46"/>
      <c r="P143" s="45"/>
      <c r="Q143" s="46"/>
      <c r="R143" s="46"/>
      <c r="S143" s="47"/>
      <c r="T143" s="48" t="str">
        <f aca="true">IF($J143="","",IF($R143&lt;&gt;"",$R143-$D143,IF($D143="","",TODAY()-$D143)))</f>
        <v/>
      </c>
      <c r="U143" s="49" t="str">
        <f aca="true">IF($J143="","",IF(OR($P143="Closed",$P143="Not a defect"),"",IF($O143="","no target",IF($O143&lt;TODAY(),"OVERDUE "&amp;(TODAY()-$O143)&amp;"d","in "&amp;($O143-TODAY())&amp;"d"))))</f>
        <v/>
      </c>
      <c r="V143" s="50" t="str">
        <f aca="false">IF($J143="","",COUNTIF('Photo Log'!$B$8:$B$107,$B143))</f>
        <v/>
      </c>
      <c r="W143" s="47"/>
    </row>
    <row r="144" customFormat="false" ht="30" hidden="false" customHeight="true" outlineLevel="0" collapsed="false">
      <c r="B144" s="44" t="str">
        <f aca="false">IF($J144="","","PL-"&amp;TEXT(ROW()-8,"000"))</f>
        <v/>
      </c>
      <c r="C144" s="52"/>
      <c r="D144" s="53"/>
      <c r="E144" s="54"/>
      <c r="F144" s="54"/>
      <c r="G144" s="54"/>
      <c r="H144" s="54"/>
      <c r="I144" s="54"/>
      <c r="J144" s="54"/>
      <c r="K144" s="52"/>
      <c r="L144" s="52"/>
      <c r="M144" s="52"/>
      <c r="N144" s="54"/>
      <c r="O144" s="53"/>
      <c r="P144" s="52"/>
      <c r="Q144" s="53"/>
      <c r="R144" s="53"/>
      <c r="S144" s="54"/>
      <c r="T144" s="48" t="str">
        <f aca="true">IF($J144="","",IF($R144&lt;&gt;"",$R144-$D144,IF($D144="","",TODAY()-$D144)))</f>
        <v/>
      </c>
      <c r="U144" s="49" t="str">
        <f aca="true">IF($J144="","",IF(OR($P144="Closed",$P144="Not a defect"),"",IF($O144="","no target",IF($O144&lt;TODAY(),"OVERDUE "&amp;(TODAY()-$O144)&amp;"d","in "&amp;($O144-TODAY())&amp;"d"))))</f>
        <v/>
      </c>
      <c r="V144" s="50" t="str">
        <f aca="false">IF($J144="","",COUNTIF('Photo Log'!$B$8:$B$107,$B144))</f>
        <v/>
      </c>
      <c r="W144" s="54"/>
    </row>
    <row r="145" customFormat="false" ht="30" hidden="false" customHeight="true" outlineLevel="0" collapsed="false">
      <c r="B145" s="44" t="str">
        <f aca="false">IF($J145="","","PL-"&amp;TEXT(ROW()-8,"000"))</f>
        <v/>
      </c>
      <c r="C145" s="45"/>
      <c r="D145" s="46"/>
      <c r="E145" s="47"/>
      <c r="F145" s="47"/>
      <c r="G145" s="47"/>
      <c r="H145" s="47"/>
      <c r="I145" s="47"/>
      <c r="J145" s="47"/>
      <c r="K145" s="45"/>
      <c r="L145" s="45"/>
      <c r="M145" s="45"/>
      <c r="N145" s="47"/>
      <c r="O145" s="46"/>
      <c r="P145" s="45"/>
      <c r="Q145" s="46"/>
      <c r="R145" s="46"/>
      <c r="S145" s="47"/>
      <c r="T145" s="48" t="str">
        <f aca="true">IF($J145="","",IF($R145&lt;&gt;"",$R145-$D145,IF($D145="","",TODAY()-$D145)))</f>
        <v/>
      </c>
      <c r="U145" s="49" t="str">
        <f aca="true">IF($J145="","",IF(OR($P145="Closed",$P145="Not a defect"),"",IF($O145="","no target",IF($O145&lt;TODAY(),"OVERDUE "&amp;(TODAY()-$O145)&amp;"d","in "&amp;($O145-TODAY())&amp;"d"))))</f>
        <v/>
      </c>
      <c r="V145" s="50" t="str">
        <f aca="false">IF($J145="","",COUNTIF('Photo Log'!$B$8:$B$107,$B145))</f>
        <v/>
      </c>
      <c r="W145" s="47"/>
    </row>
    <row r="146" customFormat="false" ht="30" hidden="false" customHeight="true" outlineLevel="0" collapsed="false">
      <c r="B146" s="44" t="str">
        <f aca="false">IF($J146="","","PL-"&amp;TEXT(ROW()-8,"000"))</f>
        <v/>
      </c>
      <c r="C146" s="52"/>
      <c r="D146" s="53"/>
      <c r="E146" s="54"/>
      <c r="F146" s="54"/>
      <c r="G146" s="54"/>
      <c r="H146" s="54"/>
      <c r="I146" s="54"/>
      <c r="J146" s="54"/>
      <c r="K146" s="52"/>
      <c r="L146" s="52"/>
      <c r="M146" s="52"/>
      <c r="N146" s="54"/>
      <c r="O146" s="53"/>
      <c r="P146" s="52"/>
      <c r="Q146" s="53"/>
      <c r="R146" s="53"/>
      <c r="S146" s="54"/>
      <c r="T146" s="48" t="str">
        <f aca="true">IF($J146="","",IF($R146&lt;&gt;"",$R146-$D146,IF($D146="","",TODAY()-$D146)))</f>
        <v/>
      </c>
      <c r="U146" s="49" t="str">
        <f aca="true">IF($J146="","",IF(OR($P146="Closed",$P146="Not a defect"),"",IF($O146="","no target",IF($O146&lt;TODAY(),"OVERDUE "&amp;(TODAY()-$O146)&amp;"d","in "&amp;($O146-TODAY())&amp;"d"))))</f>
        <v/>
      </c>
      <c r="V146" s="50" t="str">
        <f aca="false">IF($J146="","",COUNTIF('Photo Log'!$B$8:$B$107,$B146))</f>
        <v/>
      </c>
      <c r="W146" s="54"/>
    </row>
    <row r="147" customFormat="false" ht="30" hidden="false" customHeight="true" outlineLevel="0" collapsed="false">
      <c r="B147" s="44" t="str">
        <f aca="false">IF($J147="","","PL-"&amp;TEXT(ROW()-8,"000"))</f>
        <v/>
      </c>
      <c r="C147" s="45"/>
      <c r="D147" s="46"/>
      <c r="E147" s="47"/>
      <c r="F147" s="47"/>
      <c r="G147" s="47"/>
      <c r="H147" s="47"/>
      <c r="I147" s="47"/>
      <c r="J147" s="47"/>
      <c r="K147" s="45"/>
      <c r="L147" s="45"/>
      <c r="M147" s="45"/>
      <c r="N147" s="47"/>
      <c r="O147" s="46"/>
      <c r="P147" s="45"/>
      <c r="Q147" s="46"/>
      <c r="R147" s="46"/>
      <c r="S147" s="47"/>
      <c r="T147" s="48" t="str">
        <f aca="true">IF($J147="","",IF($R147&lt;&gt;"",$R147-$D147,IF($D147="","",TODAY()-$D147)))</f>
        <v/>
      </c>
      <c r="U147" s="49" t="str">
        <f aca="true">IF($J147="","",IF(OR($P147="Closed",$P147="Not a defect"),"",IF($O147="","no target",IF($O147&lt;TODAY(),"OVERDUE "&amp;(TODAY()-$O147)&amp;"d","in "&amp;($O147-TODAY())&amp;"d"))))</f>
        <v/>
      </c>
      <c r="V147" s="50" t="str">
        <f aca="false">IF($J147="","",COUNTIF('Photo Log'!$B$8:$B$107,$B147))</f>
        <v/>
      </c>
      <c r="W147" s="47"/>
    </row>
    <row r="148" customFormat="false" ht="30" hidden="false" customHeight="true" outlineLevel="0" collapsed="false">
      <c r="B148" s="44" t="str">
        <f aca="false">IF($J148="","","PL-"&amp;TEXT(ROW()-8,"000"))</f>
        <v/>
      </c>
      <c r="C148" s="52"/>
      <c r="D148" s="53"/>
      <c r="E148" s="54"/>
      <c r="F148" s="54"/>
      <c r="G148" s="54"/>
      <c r="H148" s="54"/>
      <c r="I148" s="54"/>
      <c r="J148" s="54"/>
      <c r="K148" s="52"/>
      <c r="L148" s="52"/>
      <c r="M148" s="52"/>
      <c r="N148" s="54"/>
      <c r="O148" s="53"/>
      <c r="P148" s="52"/>
      <c r="Q148" s="53"/>
      <c r="R148" s="53"/>
      <c r="S148" s="54"/>
      <c r="T148" s="48" t="str">
        <f aca="true">IF($J148="","",IF($R148&lt;&gt;"",$R148-$D148,IF($D148="","",TODAY()-$D148)))</f>
        <v/>
      </c>
      <c r="U148" s="49" t="str">
        <f aca="true">IF($J148="","",IF(OR($P148="Closed",$P148="Not a defect"),"",IF($O148="","no target",IF($O148&lt;TODAY(),"OVERDUE "&amp;(TODAY()-$O148)&amp;"d","in "&amp;($O148-TODAY())&amp;"d"))))</f>
        <v/>
      </c>
      <c r="V148" s="50" t="str">
        <f aca="false">IF($J148="","",COUNTIF('Photo Log'!$B$8:$B$107,$B148))</f>
        <v/>
      </c>
      <c r="W148" s="54"/>
    </row>
    <row r="149" customFormat="false" ht="30" hidden="false" customHeight="true" outlineLevel="0" collapsed="false">
      <c r="B149" s="44" t="str">
        <f aca="false">IF($J149="","","PL-"&amp;TEXT(ROW()-8,"000"))</f>
        <v/>
      </c>
      <c r="C149" s="45"/>
      <c r="D149" s="46"/>
      <c r="E149" s="47"/>
      <c r="F149" s="47"/>
      <c r="G149" s="47"/>
      <c r="H149" s="47"/>
      <c r="I149" s="47"/>
      <c r="J149" s="47"/>
      <c r="K149" s="45"/>
      <c r="L149" s="45"/>
      <c r="M149" s="45"/>
      <c r="N149" s="47"/>
      <c r="O149" s="46"/>
      <c r="P149" s="45"/>
      <c r="Q149" s="46"/>
      <c r="R149" s="46"/>
      <c r="S149" s="47"/>
      <c r="T149" s="48" t="str">
        <f aca="true">IF($J149="","",IF($R149&lt;&gt;"",$R149-$D149,IF($D149="","",TODAY()-$D149)))</f>
        <v/>
      </c>
      <c r="U149" s="49" t="str">
        <f aca="true">IF($J149="","",IF(OR($P149="Closed",$P149="Not a defect"),"",IF($O149="","no target",IF($O149&lt;TODAY(),"OVERDUE "&amp;(TODAY()-$O149)&amp;"d","in "&amp;($O149-TODAY())&amp;"d"))))</f>
        <v/>
      </c>
      <c r="V149" s="50" t="str">
        <f aca="false">IF($J149="","",COUNTIF('Photo Log'!$B$8:$B$107,$B149))</f>
        <v/>
      </c>
      <c r="W149" s="47"/>
    </row>
    <row r="150" customFormat="false" ht="30" hidden="false" customHeight="true" outlineLevel="0" collapsed="false">
      <c r="B150" s="44" t="str">
        <f aca="false">IF($J150="","","PL-"&amp;TEXT(ROW()-8,"000"))</f>
        <v/>
      </c>
      <c r="C150" s="52"/>
      <c r="D150" s="53"/>
      <c r="E150" s="54"/>
      <c r="F150" s="54"/>
      <c r="G150" s="54"/>
      <c r="H150" s="54"/>
      <c r="I150" s="54"/>
      <c r="J150" s="54"/>
      <c r="K150" s="52"/>
      <c r="L150" s="52"/>
      <c r="M150" s="52"/>
      <c r="N150" s="54"/>
      <c r="O150" s="53"/>
      <c r="P150" s="52"/>
      <c r="Q150" s="53"/>
      <c r="R150" s="53"/>
      <c r="S150" s="54"/>
      <c r="T150" s="48" t="str">
        <f aca="true">IF($J150="","",IF($R150&lt;&gt;"",$R150-$D150,IF($D150="","",TODAY()-$D150)))</f>
        <v/>
      </c>
      <c r="U150" s="49" t="str">
        <f aca="true">IF($J150="","",IF(OR($P150="Closed",$P150="Not a defect"),"",IF($O150="","no target",IF($O150&lt;TODAY(),"OVERDUE "&amp;(TODAY()-$O150)&amp;"d","in "&amp;($O150-TODAY())&amp;"d"))))</f>
        <v/>
      </c>
      <c r="V150" s="50" t="str">
        <f aca="false">IF($J150="","",COUNTIF('Photo Log'!$B$8:$B$107,$B150))</f>
        <v/>
      </c>
      <c r="W150" s="54"/>
    </row>
    <row r="151" customFormat="false" ht="30" hidden="false" customHeight="true" outlineLevel="0" collapsed="false">
      <c r="B151" s="44" t="str">
        <f aca="false">IF($J151="","","PL-"&amp;TEXT(ROW()-8,"000"))</f>
        <v/>
      </c>
      <c r="C151" s="45"/>
      <c r="D151" s="46"/>
      <c r="E151" s="47"/>
      <c r="F151" s="47"/>
      <c r="G151" s="47"/>
      <c r="H151" s="47"/>
      <c r="I151" s="47"/>
      <c r="J151" s="47"/>
      <c r="K151" s="45"/>
      <c r="L151" s="45"/>
      <c r="M151" s="45"/>
      <c r="N151" s="47"/>
      <c r="O151" s="46"/>
      <c r="P151" s="45"/>
      <c r="Q151" s="46"/>
      <c r="R151" s="46"/>
      <c r="S151" s="47"/>
      <c r="T151" s="48" t="str">
        <f aca="true">IF($J151="","",IF($R151&lt;&gt;"",$R151-$D151,IF($D151="","",TODAY()-$D151)))</f>
        <v/>
      </c>
      <c r="U151" s="49" t="str">
        <f aca="true">IF($J151="","",IF(OR($P151="Closed",$P151="Not a defect"),"",IF($O151="","no target",IF($O151&lt;TODAY(),"OVERDUE "&amp;(TODAY()-$O151)&amp;"d","in "&amp;($O151-TODAY())&amp;"d"))))</f>
        <v/>
      </c>
      <c r="V151" s="50" t="str">
        <f aca="false">IF($J151="","",COUNTIF('Photo Log'!$B$8:$B$107,$B151))</f>
        <v/>
      </c>
      <c r="W151" s="47"/>
    </row>
    <row r="152" customFormat="false" ht="30" hidden="false" customHeight="true" outlineLevel="0" collapsed="false">
      <c r="B152" s="44" t="str">
        <f aca="false">IF($J152="","","PL-"&amp;TEXT(ROW()-8,"000"))</f>
        <v/>
      </c>
      <c r="C152" s="52"/>
      <c r="D152" s="53"/>
      <c r="E152" s="54"/>
      <c r="F152" s="54"/>
      <c r="G152" s="54"/>
      <c r="H152" s="54"/>
      <c r="I152" s="54"/>
      <c r="J152" s="54"/>
      <c r="K152" s="52"/>
      <c r="L152" s="52"/>
      <c r="M152" s="52"/>
      <c r="N152" s="54"/>
      <c r="O152" s="53"/>
      <c r="P152" s="52"/>
      <c r="Q152" s="53"/>
      <c r="R152" s="53"/>
      <c r="S152" s="54"/>
      <c r="T152" s="48" t="str">
        <f aca="true">IF($J152="","",IF($R152&lt;&gt;"",$R152-$D152,IF($D152="","",TODAY()-$D152)))</f>
        <v/>
      </c>
      <c r="U152" s="49" t="str">
        <f aca="true">IF($J152="","",IF(OR($P152="Closed",$P152="Not a defect"),"",IF($O152="","no target",IF($O152&lt;TODAY(),"OVERDUE "&amp;(TODAY()-$O152)&amp;"d","in "&amp;($O152-TODAY())&amp;"d"))))</f>
        <v/>
      </c>
      <c r="V152" s="50" t="str">
        <f aca="false">IF($J152="","",COUNTIF('Photo Log'!$B$8:$B$107,$B152))</f>
        <v/>
      </c>
      <c r="W152" s="54"/>
    </row>
    <row r="153" customFormat="false" ht="30" hidden="false" customHeight="true" outlineLevel="0" collapsed="false">
      <c r="B153" s="44" t="str">
        <f aca="false">IF($J153="","","PL-"&amp;TEXT(ROW()-8,"000"))</f>
        <v/>
      </c>
      <c r="C153" s="45"/>
      <c r="D153" s="46"/>
      <c r="E153" s="47"/>
      <c r="F153" s="47"/>
      <c r="G153" s="47"/>
      <c r="H153" s="47"/>
      <c r="I153" s="47"/>
      <c r="J153" s="47"/>
      <c r="K153" s="45"/>
      <c r="L153" s="45"/>
      <c r="M153" s="45"/>
      <c r="N153" s="47"/>
      <c r="O153" s="46"/>
      <c r="P153" s="45"/>
      <c r="Q153" s="46"/>
      <c r="R153" s="46"/>
      <c r="S153" s="47"/>
      <c r="T153" s="48" t="str">
        <f aca="true">IF($J153="","",IF($R153&lt;&gt;"",$R153-$D153,IF($D153="","",TODAY()-$D153)))</f>
        <v/>
      </c>
      <c r="U153" s="49" t="str">
        <f aca="true">IF($J153="","",IF(OR($P153="Closed",$P153="Not a defect"),"",IF($O153="","no target",IF($O153&lt;TODAY(),"OVERDUE "&amp;(TODAY()-$O153)&amp;"d","in "&amp;($O153-TODAY())&amp;"d"))))</f>
        <v/>
      </c>
      <c r="V153" s="50" t="str">
        <f aca="false">IF($J153="","",COUNTIF('Photo Log'!$B$8:$B$107,$B153))</f>
        <v/>
      </c>
      <c r="W153" s="47"/>
    </row>
    <row r="154" customFormat="false" ht="30" hidden="false" customHeight="true" outlineLevel="0" collapsed="false">
      <c r="B154" s="44" t="str">
        <f aca="false">IF($J154="","","PL-"&amp;TEXT(ROW()-8,"000"))</f>
        <v/>
      </c>
      <c r="C154" s="52"/>
      <c r="D154" s="53"/>
      <c r="E154" s="54"/>
      <c r="F154" s="54"/>
      <c r="G154" s="54"/>
      <c r="H154" s="54"/>
      <c r="I154" s="54"/>
      <c r="J154" s="54"/>
      <c r="K154" s="52"/>
      <c r="L154" s="52"/>
      <c r="M154" s="52"/>
      <c r="N154" s="54"/>
      <c r="O154" s="53"/>
      <c r="P154" s="52"/>
      <c r="Q154" s="53"/>
      <c r="R154" s="53"/>
      <c r="S154" s="54"/>
      <c r="T154" s="48" t="str">
        <f aca="true">IF($J154="","",IF($R154&lt;&gt;"",$R154-$D154,IF($D154="","",TODAY()-$D154)))</f>
        <v/>
      </c>
      <c r="U154" s="49" t="str">
        <f aca="true">IF($J154="","",IF(OR($P154="Closed",$P154="Not a defect"),"",IF($O154="","no target",IF($O154&lt;TODAY(),"OVERDUE "&amp;(TODAY()-$O154)&amp;"d","in "&amp;($O154-TODAY())&amp;"d"))))</f>
        <v/>
      </c>
      <c r="V154" s="50" t="str">
        <f aca="false">IF($J154="","",COUNTIF('Photo Log'!$B$8:$B$107,$B154))</f>
        <v/>
      </c>
      <c r="W154" s="54"/>
    </row>
    <row r="155" customFormat="false" ht="30" hidden="false" customHeight="true" outlineLevel="0" collapsed="false">
      <c r="B155" s="44" t="str">
        <f aca="false">IF($J155="","","PL-"&amp;TEXT(ROW()-8,"000"))</f>
        <v/>
      </c>
      <c r="C155" s="45"/>
      <c r="D155" s="46"/>
      <c r="E155" s="47"/>
      <c r="F155" s="47"/>
      <c r="G155" s="47"/>
      <c r="H155" s="47"/>
      <c r="I155" s="47"/>
      <c r="J155" s="47"/>
      <c r="K155" s="45"/>
      <c r="L155" s="45"/>
      <c r="M155" s="45"/>
      <c r="N155" s="47"/>
      <c r="O155" s="46"/>
      <c r="P155" s="45"/>
      <c r="Q155" s="46"/>
      <c r="R155" s="46"/>
      <c r="S155" s="47"/>
      <c r="T155" s="48" t="str">
        <f aca="true">IF($J155="","",IF($R155&lt;&gt;"",$R155-$D155,IF($D155="","",TODAY()-$D155)))</f>
        <v/>
      </c>
      <c r="U155" s="49" t="str">
        <f aca="true">IF($J155="","",IF(OR($P155="Closed",$P155="Not a defect"),"",IF($O155="","no target",IF($O155&lt;TODAY(),"OVERDUE "&amp;(TODAY()-$O155)&amp;"d","in "&amp;($O155-TODAY())&amp;"d"))))</f>
        <v/>
      </c>
      <c r="V155" s="50" t="str">
        <f aca="false">IF($J155="","",COUNTIF('Photo Log'!$B$8:$B$107,$B155))</f>
        <v/>
      </c>
      <c r="W155" s="47"/>
    </row>
    <row r="156" customFormat="false" ht="30" hidden="false" customHeight="true" outlineLevel="0" collapsed="false">
      <c r="B156" s="44" t="str">
        <f aca="false">IF($J156="","","PL-"&amp;TEXT(ROW()-8,"000"))</f>
        <v/>
      </c>
      <c r="C156" s="52"/>
      <c r="D156" s="53"/>
      <c r="E156" s="54"/>
      <c r="F156" s="54"/>
      <c r="G156" s="54"/>
      <c r="H156" s="54"/>
      <c r="I156" s="54"/>
      <c r="J156" s="54"/>
      <c r="K156" s="52"/>
      <c r="L156" s="52"/>
      <c r="M156" s="52"/>
      <c r="N156" s="54"/>
      <c r="O156" s="53"/>
      <c r="P156" s="52"/>
      <c r="Q156" s="53"/>
      <c r="R156" s="53"/>
      <c r="S156" s="54"/>
      <c r="T156" s="48" t="str">
        <f aca="true">IF($J156="","",IF($R156&lt;&gt;"",$R156-$D156,IF($D156="","",TODAY()-$D156)))</f>
        <v/>
      </c>
      <c r="U156" s="49" t="str">
        <f aca="true">IF($J156="","",IF(OR($P156="Closed",$P156="Not a defect"),"",IF($O156="","no target",IF($O156&lt;TODAY(),"OVERDUE "&amp;(TODAY()-$O156)&amp;"d","in "&amp;($O156-TODAY())&amp;"d"))))</f>
        <v/>
      </c>
      <c r="V156" s="50" t="str">
        <f aca="false">IF($J156="","",COUNTIF('Photo Log'!$B$8:$B$107,$B156))</f>
        <v/>
      </c>
      <c r="W156" s="54"/>
    </row>
    <row r="157" customFormat="false" ht="30" hidden="false" customHeight="true" outlineLevel="0" collapsed="false">
      <c r="B157" s="44" t="str">
        <f aca="false">IF($J157="","","PL-"&amp;TEXT(ROW()-8,"000"))</f>
        <v/>
      </c>
      <c r="C157" s="45"/>
      <c r="D157" s="46"/>
      <c r="E157" s="47"/>
      <c r="F157" s="47"/>
      <c r="G157" s="47"/>
      <c r="H157" s="47"/>
      <c r="I157" s="47"/>
      <c r="J157" s="47"/>
      <c r="K157" s="45"/>
      <c r="L157" s="45"/>
      <c r="M157" s="45"/>
      <c r="N157" s="47"/>
      <c r="O157" s="46"/>
      <c r="P157" s="45"/>
      <c r="Q157" s="46"/>
      <c r="R157" s="46"/>
      <c r="S157" s="47"/>
      <c r="T157" s="48" t="str">
        <f aca="true">IF($J157="","",IF($R157&lt;&gt;"",$R157-$D157,IF($D157="","",TODAY()-$D157)))</f>
        <v/>
      </c>
      <c r="U157" s="49" t="str">
        <f aca="true">IF($J157="","",IF(OR($P157="Closed",$P157="Not a defect"),"",IF($O157="","no target",IF($O157&lt;TODAY(),"OVERDUE "&amp;(TODAY()-$O157)&amp;"d","in "&amp;($O157-TODAY())&amp;"d"))))</f>
        <v/>
      </c>
      <c r="V157" s="50" t="str">
        <f aca="false">IF($J157="","",COUNTIF('Photo Log'!$B$8:$B$107,$B157))</f>
        <v/>
      </c>
      <c r="W157" s="47"/>
    </row>
    <row r="158" customFormat="false" ht="30" hidden="false" customHeight="true" outlineLevel="0" collapsed="false">
      <c r="B158" s="44" t="str">
        <f aca="false">IF($J158="","","PL-"&amp;TEXT(ROW()-8,"000"))</f>
        <v/>
      </c>
      <c r="C158" s="52"/>
      <c r="D158" s="53"/>
      <c r="E158" s="54"/>
      <c r="F158" s="54"/>
      <c r="G158" s="54"/>
      <c r="H158" s="54"/>
      <c r="I158" s="54"/>
      <c r="J158" s="54"/>
      <c r="K158" s="52"/>
      <c r="L158" s="52"/>
      <c r="M158" s="52"/>
      <c r="N158" s="54"/>
      <c r="O158" s="53"/>
      <c r="P158" s="52"/>
      <c r="Q158" s="53"/>
      <c r="R158" s="53"/>
      <c r="S158" s="54"/>
      <c r="T158" s="48" t="str">
        <f aca="true">IF($J158="","",IF($R158&lt;&gt;"",$R158-$D158,IF($D158="","",TODAY()-$D158)))</f>
        <v/>
      </c>
      <c r="U158" s="49" t="str">
        <f aca="true">IF($J158="","",IF(OR($P158="Closed",$P158="Not a defect"),"",IF($O158="","no target",IF($O158&lt;TODAY(),"OVERDUE "&amp;(TODAY()-$O158)&amp;"d","in "&amp;($O158-TODAY())&amp;"d"))))</f>
        <v/>
      </c>
      <c r="V158" s="50" t="str">
        <f aca="false">IF($J158="","",COUNTIF('Photo Log'!$B$8:$B$107,$B158))</f>
        <v/>
      </c>
      <c r="W158" s="54"/>
    </row>
    <row r="159" customFormat="false" ht="30" hidden="false" customHeight="true" outlineLevel="0" collapsed="false">
      <c r="B159" s="44" t="str">
        <f aca="false">IF($J159="","","PL-"&amp;TEXT(ROW()-8,"000"))</f>
        <v/>
      </c>
      <c r="C159" s="45"/>
      <c r="D159" s="46"/>
      <c r="E159" s="47"/>
      <c r="F159" s="47"/>
      <c r="G159" s="47"/>
      <c r="H159" s="47"/>
      <c r="I159" s="47"/>
      <c r="J159" s="47"/>
      <c r="K159" s="45"/>
      <c r="L159" s="45"/>
      <c r="M159" s="45"/>
      <c r="N159" s="47"/>
      <c r="O159" s="46"/>
      <c r="P159" s="45"/>
      <c r="Q159" s="46"/>
      <c r="R159" s="46"/>
      <c r="S159" s="47"/>
      <c r="T159" s="48" t="str">
        <f aca="true">IF($J159="","",IF($R159&lt;&gt;"",$R159-$D159,IF($D159="","",TODAY()-$D159)))</f>
        <v/>
      </c>
      <c r="U159" s="49" t="str">
        <f aca="true">IF($J159="","",IF(OR($P159="Closed",$P159="Not a defect"),"",IF($O159="","no target",IF($O159&lt;TODAY(),"OVERDUE "&amp;(TODAY()-$O159)&amp;"d","in "&amp;($O159-TODAY())&amp;"d"))))</f>
        <v/>
      </c>
      <c r="V159" s="50" t="str">
        <f aca="false">IF($J159="","",COUNTIF('Photo Log'!$B$8:$B$107,$B159))</f>
        <v/>
      </c>
      <c r="W159" s="47"/>
    </row>
    <row r="160" customFormat="false" ht="30" hidden="false" customHeight="true" outlineLevel="0" collapsed="false">
      <c r="B160" s="44" t="str">
        <f aca="false">IF($J160="","","PL-"&amp;TEXT(ROW()-8,"000"))</f>
        <v/>
      </c>
      <c r="C160" s="52"/>
      <c r="D160" s="53"/>
      <c r="E160" s="54"/>
      <c r="F160" s="54"/>
      <c r="G160" s="54"/>
      <c r="H160" s="54"/>
      <c r="I160" s="54"/>
      <c r="J160" s="54"/>
      <c r="K160" s="52"/>
      <c r="L160" s="52"/>
      <c r="M160" s="52"/>
      <c r="N160" s="54"/>
      <c r="O160" s="53"/>
      <c r="P160" s="52"/>
      <c r="Q160" s="53"/>
      <c r="R160" s="53"/>
      <c r="S160" s="54"/>
      <c r="T160" s="48" t="str">
        <f aca="true">IF($J160="","",IF($R160&lt;&gt;"",$R160-$D160,IF($D160="","",TODAY()-$D160)))</f>
        <v/>
      </c>
      <c r="U160" s="49" t="str">
        <f aca="true">IF($J160="","",IF(OR($P160="Closed",$P160="Not a defect"),"",IF($O160="","no target",IF($O160&lt;TODAY(),"OVERDUE "&amp;(TODAY()-$O160)&amp;"d","in "&amp;($O160-TODAY())&amp;"d"))))</f>
        <v/>
      </c>
      <c r="V160" s="50" t="str">
        <f aca="false">IF($J160="","",COUNTIF('Photo Log'!$B$8:$B$107,$B160))</f>
        <v/>
      </c>
      <c r="W160" s="54"/>
    </row>
    <row r="161" customFormat="false" ht="30" hidden="false" customHeight="true" outlineLevel="0" collapsed="false">
      <c r="B161" s="44" t="str">
        <f aca="false">IF($J161="","","PL-"&amp;TEXT(ROW()-8,"000"))</f>
        <v/>
      </c>
      <c r="C161" s="45"/>
      <c r="D161" s="46"/>
      <c r="E161" s="47"/>
      <c r="F161" s="47"/>
      <c r="G161" s="47"/>
      <c r="H161" s="47"/>
      <c r="I161" s="47"/>
      <c r="J161" s="47"/>
      <c r="K161" s="45"/>
      <c r="L161" s="45"/>
      <c r="M161" s="45"/>
      <c r="N161" s="47"/>
      <c r="O161" s="46"/>
      <c r="P161" s="45"/>
      <c r="Q161" s="46"/>
      <c r="R161" s="46"/>
      <c r="S161" s="47"/>
      <c r="T161" s="48" t="str">
        <f aca="true">IF($J161="","",IF($R161&lt;&gt;"",$R161-$D161,IF($D161="","",TODAY()-$D161)))</f>
        <v/>
      </c>
      <c r="U161" s="49" t="str">
        <f aca="true">IF($J161="","",IF(OR($P161="Closed",$P161="Not a defect"),"",IF($O161="","no target",IF($O161&lt;TODAY(),"OVERDUE "&amp;(TODAY()-$O161)&amp;"d","in "&amp;($O161-TODAY())&amp;"d"))))</f>
        <v/>
      </c>
      <c r="V161" s="50" t="str">
        <f aca="false">IF($J161="","",COUNTIF('Photo Log'!$B$8:$B$107,$B161))</f>
        <v/>
      </c>
      <c r="W161" s="47"/>
    </row>
    <row r="162" customFormat="false" ht="30" hidden="false" customHeight="true" outlineLevel="0" collapsed="false">
      <c r="B162" s="44" t="str">
        <f aca="false">IF($J162="","","PL-"&amp;TEXT(ROW()-8,"000"))</f>
        <v/>
      </c>
      <c r="C162" s="52"/>
      <c r="D162" s="53"/>
      <c r="E162" s="54"/>
      <c r="F162" s="54"/>
      <c r="G162" s="54"/>
      <c r="H162" s="54"/>
      <c r="I162" s="54"/>
      <c r="J162" s="54"/>
      <c r="K162" s="52"/>
      <c r="L162" s="52"/>
      <c r="M162" s="52"/>
      <c r="N162" s="54"/>
      <c r="O162" s="53"/>
      <c r="P162" s="52"/>
      <c r="Q162" s="53"/>
      <c r="R162" s="53"/>
      <c r="S162" s="54"/>
      <c r="T162" s="48" t="str">
        <f aca="true">IF($J162="","",IF($R162&lt;&gt;"",$R162-$D162,IF($D162="","",TODAY()-$D162)))</f>
        <v/>
      </c>
      <c r="U162" s="49" t="str">
        <f aca="true">IF($J162="","",IF(OR($P162="Closed",$P162="Not a defect"),"",IF($O162="","no target",IF($O162&lt;TODAY(),"OVERDUE "&amp;(TODAY()-$O162)&amp;"d","in "&amp;($O162-TODAY())&amp;"d"))))</f>
        <v/>
      </c>
      <c r="V162" s="50" t="str">
        <f aca="false">IF($J162="","",COUNTIF('Photo Log'!$B$8:$B$107,$B162))</f>
        <v/>
      </c>
      <c r="W162" s="54"/>
    </row>
    <row r="163" customFormat="false" ht="30" hidden="false" customHeight="true" outlineLevel="0" collapsed="false">
      <c r="B163" s="44" t="str">
        <f aca="false">IF($J163="","","PL-"&amp;TEXT(ROW()-8,"000"))</f>
        <v/>
      </c>
      <c r="C163" s="45"/>
      <c r="D163" s="46"/>
      <c r="E163" s="47"/>
      <c r="F163" s="47"/>
      <c r="G163" s="47"/>
      <c r="H163" s="47"/>
      <c r="I163" s="47"/>
      <c r="J163" s="47"/>
      <c r="K163" s="45"/>
      <c r="L163" s="45"/>
      <c r="M163" s="45"/>
      <c r="N163" s="47"/>
      <c r="O163" s="46"/>
      <c r="P163" s="45"/>
      <c r="Q163" s="46"/>
      <c r="R163" s="46"/>
      <c r="S163" s="47"/>
      <c r="T163" s="48" t="str">
        <f aca="true">IF($J163="","",IF($R163&lt;&gt;"",$R163-$D163,IF($D163="","",TODAY()-$D163)))</f>
        <v/>
      </c>
      <c r="U163" s="49" t="str">
        <f aca="true">IF($J163="","",IF(OR($P163="Closed",$P163="Not a defect"),"",IF($O163="","no target",IF($O163&lt;TODAY(),"OVERDUE "&amp;(TODAY()-$O163)&amp;"d","in "&amp;($O163-TODAY())&amp;"d"))))</f>
        <v/>
      </c>
      <c r="V163" s="50" t="str">
        <f aca="false">IF($J163="","",COUNTIF('Photo Log'!$B$8:$B$107,$B163))</f>
        <v/>
      </c>
      <c r="W163" s="47"/>
    </row>
    <row r="164" customFormat="false" ht="30" hidden="false" customHeight="true" outlineLevel="0" collapsed="false">
      <c r="B164" s="44" t="str">
        <f aca="false">IF($J164="","","PL-"&amp;TEXT(ROW()-8,"000"))</f>
        <v/>
      </c>
      <c r="C164" s="52"/>
      <c r="D164" s="53"/>
      <c r="E164" s="54"/>
      <c r="F164" s="54"/>
      <c r="G164" s="54"/>
      <c r="H164" s="54"/>
      <c r="I164" s="54"/>
      <c r="J164" s="54"/>
      <c r="K164" s="52"/>
      <c r="L164" s="52"/>
      <c r="M164" s="52"/>
      <c r="N164" s="54"/>
      <c r="O164" s="53"/>
      <c r="P164" s="52"/>
      <c r="Q164" s="53"/>
      <c r="R164" s="53"/>
      <c r="S164" s="54"/>
      <c r="T164" s="48" t="str">
        <f aca="true">IF($J164="","",IF($R164&lt;&gt;"",$R164-$D164,IF($D164="","",TODAY()-$D164)))</f>
        <v/>
      </c>
      <c r="U164" s="49" t="str">
        <f aca="true">IF($J164="","",IF(OR($P164="Closed",$P164="Not a defect"),"",IF($O164="","no target",IF($O164&lt;TODAY(),"OVERDUE "&amp;(TODAY()-$O164)&amp;"d","in "&amp;($O164-TODAY())&amp;"d"))))</f>
        <v/>
      </c>
      <c r="V164" s="50" t="str">
        <f aca="false">IF($J164="","",COUNTIF('Photo Log'!$B$8:$B$107,$B164))</f>
        <v/>
      </c>
      <c r="W164" s="54"/>
    </row>
    <row r="165" customFormat="false" ht="30" hidden="false" customHeight="true" outlineLevel="0" collapsed="false">
      <c r="B165" s="44" t="str">
        <f aca="false">IF($J165="","","PL-"&amp;TEXT(ROW()-8,"000"))</f>
        <v/>
      </c>
      <c r="C165" s="45"/>
      <c r="D165" s="46"/>
      <c r="E165" s="47"/>
      <c r="F165" s="47"/>
      <c r="G165" s="47"/>
      <c r="H165" s="47"/>
      <c r="I165" s="47"/>
      <c r="J165" s="47"/>
      <c r="K165" s="45"/>
      <c r="L165" s="45"/>
      <c r="M165" s="45"/>
      <c r="N165" s="47"/>
      <c r="O165" s="46"/>
      <c r="P165" s="45"/>
      <c r="Q165" s="46"/>
      <c r="R165" s="46"/>
      <c r="S165" s="47"/>
      <c r="T165" s="48" t="str">
        <f aca="true">IF($J165="","",IF($R165&lt;&gt;"",$R165-$D165,IF($D165="","",TODAY()-$D165)))</f>
        <v/>
      </c>
      <c r="U165" s="49" t="str">
        <f aca="true">IF($J165="","",IF(OR($P165="Closed",$P165="Not a defect"),"",IF($O165="","no target",IF($O165&lt;TODAY(),"OVERDUE "&amp;(TODAY()-$O165)&amp;"d","in "&amp;($O165-TODAY())&amp;"d"))))</f>
        <v/>
      </c>
      <c r="V165" s="50" t="str">
        <f aca="false">IF($J165="","",COUNTIF('Photo Log'!$B$8:$B$107,$B165))</f>
        <v/>
      </c>
      <c r="W165" s="47"/>
    </row>
    <row r="166" customFormat="false" ht="30" hidden="false" customHeight="true" outlineLevel="0" collapsed="false">
      <c r="B166" s="44" t="str">
        <f aca="false">IF($J166="","","PL-"&amp;TEXT(ROW()-8,"000"))</f>
        <v/>
      </c>
      <c r="C166" s="52"/>
      <c r="D166" s="53"/>
      <c r="E166" s="54"/>
      <c r="F166" s="54"/>
      <c r="G166" s="54"/>
      <c r="H166" s="54"/>
      <c r="I166" s="54"/>
      <c r="J166" s="54"/>
      <c r="K166" s="52"/>
      <c r="L166" s="52"/>
      <c r="M166" s="52"/>
      <c r="N166" s="54"/>
      <c r="O166" s="53"/>
      <c r="P166" s="52"/>
      <c r="Q166" s="53"/>
      <c r="R166" s="53"/>
      <c r="S166" s="54"/>
      <c r="T166" s="48" t="str">
        <f aca="true">IF($J166="","",IF($R166&lt;&gt;"",$R166-$D166,IF($D166="","",TODAY()-$D166)))</f>
        <v/>
      </c>
      <c r="U166" s="49" t="str">
        <f aca="true">IF($J166="","",IF(OR($P166="Closed",$P166="Not a defect"),"",IF($O166="","no target",IF($O166&lt;TODAY(),"OVERDUE "&amp;(TODAY()-$O166)&amp;"d","in "&amp;($O166-TODAY())&amp;"d"))))</f>
        <v/>
      </c>
      <c r="V166" s="50" t="str">
        <f aca="false">IF($J166="","",COUNTIF('Photo Log'!$B$8:$B$107,$B166))</f>
        <v/>
      </c>
      <c r="W166" s="54"/>
    </row>
    <row r="167" customFormat="false" ht="30" hidden="false" customHeight="true" outlineLevel="0" collapsed="false">
      <c r="B167" s="44" t="str">
        <f aca="false">IF($J167="","","PL-"&amp;TEXT(ROW()-8,"000"))</f>
        <v/>
      </c>
      <c r="C167" s="45"/>
      <c r="D167" s="46"/>
      <c r="E167" s="47"/>
      <c r="F167" s="47"/>
      <c r="G167" s="47"/>
      <c r="H167" s="47"/>
      <c r="I167" s="47"/>
      <c r="J167" s="47"/>
      <c r="K167" s="45"/>
      <c r="L167" s="45"/>
      <c r="M167" s="45"/>
      <c r="N167" s="47"/>
      <c r="O167" s="46"/>
      <c r="P167" s="45"/>
      <c r="Q167" s="46"/>
      <c r="R167" s="46"/>
      <c r="S167" s="47"/>
      <c r="T167" s="48" t="str">
        <f aca="true">IF($J167="","",IF($R167&lt;&gt;"",$R167-$D167,IF($D167="","",TODAY()-$D167)))</f>
        <v/>
      </c>
      <c r="U167" s="49" t="str">
        <f aca="true">IF($J167="","",IF(OR($P167="Closed",$P167="Not a defect"),"",IF($O167="","no target",IF($O167&lt;TODAY(),"OVERDUE "&amp;(TODAY()-$O167)&amp;"d","in "&amp;($O167-TODAY())&amp;"d"))))</f>
        <v/>
      </c>
      <c r="V167" s="50" t="str">
        <f aca="false">IF($J167="","",COUNTIF('Photo Log'!$B$8:$B$107,$B167))</f>
        <v/>
      </c>
      <c r="W167" s="47"/>
    </row>
    <row r="168" customFormat="false" ht="30" hidden="false" customHeight="true" outlineLevel="0" collapsed="false">
      <c r="B168" s="44" t="str">
        <f aca="false">IF($J168="","","PL-"&amp;TEXT(ROW()-8,"000"))</f>
        <v/>
      </c>
      <c r="C168" s="52"/>
      <c r="D168" s="53"/>
      <c r="E168" s="54"/>
      <c r="F168" s="54"/>
      <c r="G168" s="54"/>
      <c r="H168" s="54"/>
      <c r="I168" s="54"/>
      <c r="J168" s="54"/>
      <c r="K168" s="52"/>
      <c r="L168" s="52"/>
      <c r="M168" s="52"/>
      <c r="N168" s="54"/>
      <c r="O168" s="53"/>
      <c r="P168" s="52"/>
      <c r="Q168" s="53"/>
      <c r="R168" s="53"/>
      <c r="S168" s="54"/>
      <c r="T168" s="48" t="str">
        <f aca="true">IF($J168="","",IF($R168&lt;&gt;"",$R168-$D168,IF($D168="","",TODAY()-$D168)))</f>
        <v/>
      </c>
      <c r="U168" s="49" t="str">
        <f aca="true">IF($J168="","",IF(OR($P168="Closed",$P168="Not a defect"),"",IF($O168="","no target",IF($O168&lt;TODAY(),"OVERDUE "&amp;(TODAY()-$O168)&amp;"d","in "&amp;($O168-TODAY())&amp;"d"))))</f>
        <v/>
      </c>
      <c r="V168" s="50" t="str">
        <f aca="false">IF($J168="","",COUNTIF('Photo Log'!$B$8:$B$107,$B168))</f>
        <v/>
      </c>
      <c r="W168" s="54"/>
    </row>
    <row r="169" customFormat="false" ht="30" hidden="false" customHeight="true" outlineLevel="0" collapsed="false">
      <c r="B169" s="44" t="str">
        <f aca="false">IF($J169="","","PL-"&amp;TEXT(ROW()-8,"000"))</f>
        <v/>
      </c>
      <c r="C169" s="45"/>
      <c r="D169" s="46"/>
      <c r="E169" s="47"/>
      <c r="F169" s="47"/>
      <c r="G169" s="47"/>
      <c r="H169" s="47"/>
      <c r="I169" s="47"/>
      <c r="J169" s="47"/>
      <c r="K169" s="45"/>
      <c r="L169" s="45"/>
      <c r="M169" s="45"/>
      <c r="N169" s="47"/>
      <c r="O169" s="46"/>
      <c r="P169" s="45"/>
      <c r="Q169" s="46"/>
      <c r="R169" s="46"/>
      <c r="S169" s="47"/>
      <c r="T169" s="48" t="str">
        <f aca="true">IF($J169="","",IF($R169&lt;&gt;"",$R169-$D169,IF($D169="","",TODAY()-$D169)))</f>
        <v/>
      </c>
      <c r="U169" s="49" t="str">
        <f aca="true">IF($J169="","",IF(OR($P169="Closed",$P169="Not a defect"),"",IF($O169="","no target",IF($O169&lt;TODAY(),"OVERDUE "&amp;(TODAY()-$O169)&amp;"d","in "&amp;($O169-TODAY())&amp;"d"))))</f>
        <v/>
      </c>
      <c r="V169" s="50" t="str">
        <f aca="false">IF($J169="","",COUNTIF('Photo Log'!$B$8:$B$107,$B169))</f>
        <v/>
      </c>
      <c r="W169" s="47"/>
    </row>
    <row r="170" customFormat="false" ht="30" hidden="false" customHeight="true" outlineLevel="0" collapsed="false">
      <c r="B170" s="44" t="str">
        <f aca="false">IF($J170="","","PL-"&amp;TEXT(ROW()-8,"000"))</f>
        <v/>
      </c>
      <c r="C170" s="52"/>
      <c r="D170" s="53"/>
      <c r="E170" s="54"/>
      <c r="F170" s="54"/>
      <c r="G170" s="54"/>
      <c r="H170" s="54"/>
      <c r="I170" s="54"/>
      <c r="J170" s="54"/>
      <c r="K170" s="52"/>
      <c r="L170" s="52"/>
      <c r="M170" s="52"/>
      <c r="N170" s="54"/>
      <c r="O170" s="53"/>
      <c r="P170" s="52"/>
      <c r="Q170" s="53"/>
      <c r="R170" s="53"/>
      <c r="S170" s="54"/>
      <c r="T170" s="48" t="str">
        <f aca="true">IF($J170="","",IF($R170&lt;&gt;"",$R170-$D170,IF($D170="","",TODAY()-$D170)))</f>
        <v/>
      </c>
      <c r="U170" s="49" t="str">
        <f aca="true">IF($J170="","",IF(OR($P170="Closed",$P170="Not a defect"),"",IF($O170="","no target",IF($O170&lt;TODAY(),"OVERDUE "&amp;(TODAY()-$O170)&amp;"d","in "&amp;($O170-TODAY())&amp;"d"))))</f>
        <v/>
      </c>
      <c r="V170" s="50" t="str">
        <f aca="false">IF($J170="","",COUNTIF('Photo Log'!$B$8:$B$107,$B170))</f>
        <v/>
      </c>
      <c r="W170" s="54"/>
    </row>
    <row r="171" customFormat="false" ht="30" hidden="false" customHeight="true" outlineLevel="0" collapsed="false">
      <c r="B171" s="44" t="str">
        <f aca="false">IF($J171="","","PL-"&amp;TEXT(ROW()-8,"000"))</f>
        <v/>
      </c>
      <c r="C171" s="45"/>
      <c r="D171" s="46"/>
      <c r="E171" s="47"/>
      <c r="F171" s="47"/>
      <c r="G171" s="47"/>
      <c r="H171" s="47"/>
      <c r="I171" s="47"/>
      <c r="J171" s="47"/>
      <c r="K171" s="45"/>
      <c r="L171" s="45"/>
      <c r="M171" s="45"/>
      <c r="N171" s="47"/>
      <c r="O171" s="46"/>
      <c r="P171" s="45"/>
      <c r="Q171" s="46"/>
      <c r="R171" s="46"/>
      <c r="S171" s="47"/>
      <c r="T171" s="48" t="str">
        <f aca="true">IF($J171="","",IF($R171&lt;&gt;"",$R171-$D171,IF($D171="","",TODAY()-$D171)))</f>
        <v/>
      </c>
      <c r="U171" s="49" t="str">
        <f aca="true">IF($J171="","",IF(OR($P171="Closed",$P171="Not a defect"),"",IF($O171="","no target",IF($O171&lt;TODAY(),"OVERDUE "&amp;(TODAY()-$O171)&amp;"d","in "&amp;($O171-TODAY())&amp;"d"))))</f>
        <v/>
      </c>
      <c r="V171" s="50" t="str">
        <f aca="false">IF($J171="","",COUNTIF('Photo Log'!$B$8:$B$107,$B171))</f>
        <v/>
      </c>
      <c r="W171" s="47"/>
    </row>
    <row r="172" customFormat="false" ht="30" hidden="false" customHeight="true" outlineLevel="0" collapsed="false">
      <c r="B172" s="44" t="str">
        <f aca="false">IF($J172="","","PL-"&amp;TEXT(ROW()-8,"000"))</f>
        <v/>
      </c>
      <c r="C172" s="52"/>
      <c r="D172" s="53"/>
      <c r="E172" s="54"/>
      <c r="F172" s="54"/>
      <c r="G172" s="54"/>
      <c r="H172" s="54"/>
      <c r="I172" s="54"/>
      <c r="J172" s="54"/>
      <c r="K172" s="52"/>
      <c r="L172" s="52"/>
      <c r="M172" s="52"/>
      <c r="N172" s="54"/>
      <c r="O172" s="53"/>
      <c r="P172" s="52"/>
      <c r="Q172" s="53"/>
      <c r="R172" s="53"/>
      <c r="S172" s="54"/>
      <c r="T172" s="48" t="str">
        <f aca="true">IF($J172="","",IF($R172&lt;&gt;"",$R172-$D172,IF($D172="","",TODAY()-$D172)))</f>
        <v/>
      </c>
      <c r="U172" s="49" t="str">
        <f aca="true">IF($J172="","",IF(OR($P172="Closed",$P172="Not a defect"),"",IF($O172="","no target",IF($O172&lt;TODAY(),"OVERDUE "&amp;(TODAY()-$O172)&amp;"d","in "&amp;($O172-TODAY())&amp;"d"))))</f>
        <v/>
      </c>
      <c r="V172" s="50" t="str">
        <f aca="false">IF($J172="","",COUNTIF('Photo Log'!$B$8:$B$107,$B172))</f>
        <v/>
      </c>
      <c r="W172" s="54"/>
    </row>
    <row r="173" customFormat="false" ht="30" hidden="false" customHeight="true" outlineLevel="0" collapsed="false">
      <c r="B173" s="44" t="str">
        <f aca="false">IF($J173="","","PL-"&amp;TEXT(ROW()-8,"000"))</f>
        <v/>
      </c>
      <c r="C173" s="45"/>
      <c r="D173" s="46"/>
      <c r="E173" s="47"/>
      <c r="F173" s="47"/>
      <c r="G173" s="47"/>
      <c r="H173" s="47"/>
      <c r="I173" s="47"/>
      <c r="J173" s="47"/>
      <c r="K173" s="45"/>
      <c r="L173" s="45"/>
      <c r="M173" s="45"/>
      <c r="N173" s="47"/>
      <c r="O173" s="46"/>
      <c r="P173" s="45"/>
      <c r="Q173" s="46"/>
      <c r="R173" s="46"/>
      <c r="S173" s="47"/>
      <c r="T173" s="48" t="str">
        <f aca="true">IF($J173="","",IF($R173&lt;&gt;"",$R173-$D173,IF($D173="","",TODAY()-$D173)))</f>
        <v/>
      </c>
      <c r="U173" s="49" t="str">
        <f aca="true">IF($J173="","",IF(OR($P173="Closed",$P173="Not a defect"),"",IF($O173="","no target",IF($O173&lt;TODAY(),"OVERDUE "&amp;(TODAY()-$O173)&amp;"d","in "&amp;($O173-TODAY())&amp;"d"))))</f>
        <v/>
      </c>
      <c r="V173" s="50" t="str">
        <f aca="false">IF($J173="","",COUNTIF('Photo Log'!$B$8:$B$107,$B173))</f>
        <v/>
      </c>
      <c r="W173" s="47"/>
    </row>
    <row r="174" customFormat="false" ht="30" hidden="false" customHeight="true" outlineLevel="0" collapsed="false">
      <c r="B174" s="44" t="str">
        <f aca="false">IF($J174="","","PL-"&amp;TEXT(ROW()-8,"000"))</f>
        <v/>
      </c>
      <c r="C174" s="52"/>
      <c r="D174" s="53"/>
      <c r="E174" s="54"/>
      <c r="F174" s="54"/>
      <c r="G174" s="54"/>
      <c r="H174" s="54"/>
      <c r="I174" s="54"/>
      <c r="J174" s="54"/>
      <c r="K174" s="52"/>
      <c r="L174" s="52"/>
      <c r="M174" s="52"/>
      <c r="N174" s="54"/>
      <c r="O174" s="53"/>
      <c r="P174" s="52"/>
      <c r="Q174" s="53"/>
      <c r="R174" s="53"/>
      <c r="S174" s="54"/>
      <c r="T174" s="48" t="str">
        <f aca="true">IF($J174="","",IF($R174&lt;&gt;"",$R174-$D174,IF($D174="","",TODAY()-$D174)))</f>
        <v/>
      </c>
      <c r="U174" s="49" t="str">
        <f aca="true">IF($J174="","",IF(OR($P174="Closed",$P174="Not a defect"),"",IF($O174="","no target",IF($O174&lt;TODAY(),"OVERDUE "&amp;(TODAY()-$O174)&amp;"d","in "&amp;($O174-TODAY())&amp;"d"))))</f>
        <v/>
      </c>
      <c r="V174" s="50" t="str">
        <f aca="false">IF($J174="","",COUNTIF('Photo Log'!$B$8:$B$107,$B174))</f>
        <v/>
      </c>
      <c r="W174" s="54"/>
    </row>
    <row r="175" customFormat="false" ht="30" hidden="false" customHeight="true" outlineLevel="0" collapsed="false">
      <c r="B175" s="44" t="str">
        <f aca="false">IF($J175="","","PL-"&amp;TEXT(ROW()-8,"000"))</f>
        <v/>
      </c>
      <c r="C175" s="45"/>
      <c r="D175" s="46"/>
      <c r="E175" s="47"/>
      <c r="F175" s="47"/>
      <c r="G175" s="47"/>
      <c r="H175" s="47"/>
      <c r="I175" s="47"/>
      <c r="J175" s="47"/>
      <c r="K175" s="45"/>
      <c r="L175" s="45"/>
      <c r="M175" s="45"/>
      <c r="N175" s="47"/>
      <c r="O175" s="46"/>
      <c r="P175" s="45"/>
      <c r="Q175" s="46"/>
      <c r="R175" s="46"/>
      <c r="S175" s="47"/>
      <c r="T175" s="48" t="str">
        <f aca="true">IF($J175="","",IF($R175&lt;&gt;"",$R175-$D175,IF($D175="","",TODAY()-$D175)))</f>
        <v/>
      </c>
      <c r="U175" s="49" t="str">
        <f aca="true">IF($J175="","",IF(OR($P175="Closed",$P175="Not a defect"),"",IF($O175="","no target",IF($O175&lt;TODAY(),"OVERDUE "&amp;(TODAY()-$O175)&amp;"d","in "&amp;($O175-TODAY())&amp;"d"))))</f>
        <v/>
      </c>
      <c r="V175" s="50" t="str">
        <f aca="false">IF($J175="","",COUNTIF('Photo Log'!$B$8:$B$107,$B175))</f>
        <v/>
      </c>
      <c r="W175" s="47"/>
    </row>
    <row r="176" customFormat="false" ht="30" hidden="false" customHeight="true" outlineLevel="0" collapsed="false">
      <c r="B176" s="44" t="str">
        <f aca="false">IF($J176="","","PL-"&amp;TEXT(ROW()-8,"000"))</f>
        <v/>
      </c>
      <c r="C176" s="52"/>
      <c r="D176" s="53"/>
      <c r="E176" s="54"/>
      <c r="F176" s="54"/>
      <c r="G176" s="54"/>
      <c r="H176" s="54"/>
      <c r="I176" s="54"/>
      <c r="J176" s="54"/>
      <c r="K176" s="52"/>
      <c r="L176" s="52"/>
      <c r="M176" s="52"/>
      <c r="N176" s="54"/>
      <c r="O176" s="53"/>
      <c r="P176" s="52"/>
      <c r="Q176" s="53"/>
      <c r="R176" s="53"/>
      <c r="S176" s="54"/>
      <c r="T176" s="48" t="str">
        <f aca="true">IF($J176="","",IF($R176&lt;&gt;"",$R176-$D176,IF($D176="","",TODAY()-$D176)))</f>
        <v/>
      </c>
      <c r="U176" s="49" t="str">
        <f aca="true">IF($J176="","",IF(OR($P176="Closed",$P176="Not a defect"),"",IF($O176="","no target",IF($O176&lt;TODAY(),"OVERDUE "&amp;(TODAY()-$O176)&amp;"d","in "&amp;($O176-TODAY())&amp;"d"))))</f>
        <v/>
      </c>
      <c r="V176" s="50" t="str">
        <f aca="false">IF($J176="","",COUNTIF('Photo Log'!$B$8:$B$107,$B176))</f>
        <v/>
      </c>
      <c r="W176" s="54"/>
    </row>
    <row r="177" customFormat="false" ht="30" hidden="false" customHeight="true" outlineLevel="0" collapsed="false">
      <c r="B177" s="44" t="str">
        <f aca="false">IF($J177="","","PL-"&amp;TEXT(ROW()-8,"000"))</f>
        <v/>
      </c>
      <c r="C177" s="45"/>
      <c r="D177" s="46"/>
      <c r="E177" s="47"/>
      <c r="F177" s="47"/>
      <c r="G177" s="47"/>
      <c r="H177" s="47"/>
      <c r="I177" s="47"/>
      <c r="J177" s="47"/>
      <c r="K177" s="45"/>
      <c r="L177" s="45"/>
      <c r="M177" s="45"/>
      <c r="N177" s="47"/>
      <c r="O177" s="46"/>
      <c r="P177" s="45"/>
      <c r="Q177" s="46"/>
      <c r="R177" s="46"/>
      <c r="S177" s="47"/>
      <c r="T177" s="48" t="str">
        <f aca="true">IF($J177="","",IF($R177&lt;&gt;"",$R177-$D177,IF($D177="","",TODAY()-$D177)))</f>
        <v/>
      </c>
      <c r="U177" s="49" t="str">
        <f aca="true">IF($J177="","",IF(OR($P177="Closed",$P177="Not a defect"),"",IF($O177="","no target",IF($O177&lt;TODAY(),"OVERDUE "&amp;(TODAY()-$O177)&amp;"d","in "&amp;($O177-TODAY())&amp;"d"))))</f>
        <v/>
      </c>
      <c r="V177" s="50" t="str">
        <f aca="false">IF($J177="","",COUNTIF('Photo Log'!$B$8:$B$107,$B177))</f>
        <v/>
      </c>
      <c r="W177" s="47"/>
    </row>
    <row r="178" customFormat="false" ht="30" hidden="false" customHeight="true" outlineLevel="0" collapsed="false">
      <c r="B178" s="44" t="str">
        <f aca="false">IF($J178="","","PL-"&amp;TEXT(ROW()-8,"000"))</f>
        <v/>
      </c>
      <c r="C178" s="52"/>
      <c r="D178" s="53"/>
      <c r="E178" s="54"/>
      <c r="F178" s="54"/>
      <c r="G178" s="54"/>
      <c r="H178" s="54"/>
      <c r="I178" s="54"/>
      <c r="J178" s="54"/>
      <c r="K178" s="52"/>
      <c r="L178" s="52"/>
      <c r="M178" s="52"/>
      <c r="N178" s="54"/>
      <c r="O178" s="53"/>
      <c r="P178" s="52"/>
      <c r="Q178" s="53"/>
      <c r="R178" s="53"/>
      <c r="S178" s="54"/>
      <c r="T178" s="48" t="str">
        <f aca="true">IF($J178="","",IF($R178&lt;&gt;"",$R178-$D178,IF($D178="","",TODAY()-$D178)))</f>
        <v/>
      </c>
      <c r="U178" s="49" t="str">
        <f aca="true">IF($J178="","",IF(OR($P178="Closed",$P178="Not a defect"),"",IF($O178="","no target",IF($O178&lt;TODAY(),"OVERDUE "&amp;(TODAY()-$O178)&amp;"d","in "&amp;($O178-TODAY())&amp;"d"))))</f>
        <v/>
      </c>
      <c r="V178" s="50" t="str">
        <f aca="false">IF($J178="","",COUNTIF('Photo Log'!$B$8:$B$107,$B178))</f>
        <v/>
      </c>
      <c r="W178" s="54"/>
    </row>
    <row r="179" customFormat="false" ht="30" hidden="false" customHeight="true" outlineLevel="0" collapsed="false">
      <c r="B179" s="44" t="str">
        <f aca="false">IF($J179="","","PL-"&amp;TEXT(ROW()-8,"000"))</f>
        <v/>
      </c>
      <c r="C179" s="45"/>
      <c r="D179" s="46"/>
      <c r="E179" s="47"/>
      <c r="F179" s="47"/>
      <c r="G179" s="47"/>
      <c r="H179" s="47"/>
      <c r="I179" s="47"/>
      <c r="J179" s="47"/>
      <c r="K179" s="45"/>
      <c r="L179" s="45"/>
      <c r="M179" s="45"/>
      <c r="N179" s="47"/>
      <c r="O179" s="46"/>
      <c r="P179" s="45"/>
      <c r="Q179" s="46"/>
      <c r="R179" s="46"/>
      <c r="S179" s="47"/>
      <c r="T179" s="48" t="str">
        <f aca="true">IF($J179="","",IF($R179&lt;&gt;"",$R179-$D179,IF($D179="","",TODAY()-$D179)))</f>
        <v/>
      </c>
      <c r="U179" s="49" t="str">
        <f aca="true">IF($J179="","",IF(OR($P179="Closed",$P179="Not a defect"),"",IF($O179="","no target",IF($O179&lt;TODAY(),"OVERDUE "&amp;(TODAY()-$O179)&amp;"d","in "&amp;($O179-TODAY())&amp;"d"))))</f>
        <v/>
      </c>
      <c r="V179" s="50" t="str">
        <f aca="false">IF($J179="","",COUNTIF('Photo Log'!$B$8:$B$107,$B179))</f>
        <v/>
      </c>
      <c r="W179" s="47"/>
    </row>
    <row r="180" customFormat="false" ht="30" hidden="false" customHeight="true" outlineLevel="0" collapsed="false">
      <c r="B180" s="44" t="str">
        <f aca="false">IF($J180="","","PL-"&amp;TEXT(ROW()-8,"000"))</f>
        <v/>
      </c>
      <c r="C180" s="52"/>
      <c r="D180" s="53"/>
      <c r="E180" s="54"/>
      <c r="F180" s="54"/>
      <c r="G180" s="54"/>
      <c r="H180" s="54"/>
      <c r="I180" s="54"/>
      <c r="J180" s="54"/>
      <c r="K180" s="52"/>
      <c r="L180" s="52"/>
      <c r="M180" s="52"/>
      <c r="N180" s="54"/>
      <c r="O180" s="53"/>
      <c r="P180" s="52"/>
      <c r="Q180" s="53"/>
      <c r="R180" s="53"/>
      <c r="S180" s="54"/>
      <c r="T180" s="48" t="str">
        <f aca="true">IF($J180="","",IF($R180&lt;&gt;"",$R180-$D180,IF($D180="","",TODAY()-$D180)))</f>
        <v/>
      </c>
      <c r="U180" s="49" t="str">
        <f aca="true">IF($J180="","",IF(OR($P180="Closed",$P180="Not a defect"),"",IF($O180="","no target",IF($O180&lt;TODAY(),"OVERDUE "&amp;(TODAY()-$O180)&amp;"d","in "&amp;($O180-TODAY())&amp;"d"))))</f>
        <v/>
      </c>
      <c r="V180" s="50" t="str">
        <f aca="false">IF($J180="","",COUNTIF('Photo Log'!$B$8:$B$107,$B180))</f>
        <v/>
      </c>
      <c r="W180" s="54"/>
    </row>
    <row r="181" customFormat="false" ht="30" hidden="false" customHeight="true" outlineLevel="0" collapsed="false">
      <c r="B181" s="44" t="str">
        <f aca="false">IF($J181="","","PL-"&amp;TEXT(ROW()-8,"000"))</f>
        <v/>
      </c>
      <c r="C181" s="45"/>
      <c r="D181" s="46"/>
      <c r="E181" s="47"/>
      <c r="F181" s="47"/>
      <c r="G181" s="47"/>
      <c r="H181" s="47"/>
      <c r="I181" s="47"/>
      <c r="J181" s="47"/>
      <c r="K181" s="45"/>
      <c r="L181" s="45"/>
      <c r="M181" s="45"/>
      <c r="N181" s="47"/>
      <c r="O181" s="46"/>
      <c r="P181" s="45"/>
      <c r="Q181" s="46"/>
      <c r="R181" s="46"/>
      <c r="S181" s="47"/>
      <c r="T181" s="48" t="str">
        <f aca="true">IF($J181="","",IF($R181&lt;&gt;"",$R181-$D181,IF($D181="","",TODAY()-$D181)))</f>
        <v/>
      </c>
      <c r="U181" s="49" t="str">
        <f aca="true">IF($J181="","",IF(OR($P181="Closed",$P181="Not a defect"),"",IF($O181="","no target",IF($O181&lt;TODAY(),"OVERDUE "&amp;(TODAY()-$O181)&amp;"d","in "&amp;($O181-TODAY())&amp;"d"))))</f>
        <v/>
      </c>
      <c r="V181" s="50" t="str">
        <f aca="false">IF($J181="","",COUNTIF('Photo Log'!$B$8:$B$107,$B181))</f>
        <v/>
      </c>
      <c r="W181" s="47"/>
    </row>
    <row r="182" customFormat="false" ht="30" hidden="false" customHeight="true" outlineLevel="0" collapsed="false">
      <c r="B182" s="44" t="str">
        <f aca="false">IF($J182="","","PL-"&amp;TEXT(ROW()-8,"000"))</f>
        <v/>
      </c>
      <c r="C182" s="52"/>
      <c r="D182" s="53"/>
      <c r="E182" s="54"/>
      <c r="F182" s="54"/>
      <c r="G182" s="54"/>
      <c r="H182" s="54"/>
      <c r="I182" s="54"/>
      <c r="J182" s="54"/>
      <c r="K182" s="52"/>
      <c r="L182" s="52"/>
      <c r="M182" s="52"/>
      <c r="N182" s="54"/>
      <c r="O182" s="53"/>
      <c r="P182" s="52"/>
      <c r="Q182" s="53"/>
      <c r="R182" s="53"/>
      <c r="S182" s="54"/>
      <c r="T182" s="48" t="str">
        <f aca="true">IF($J182="","",IF($R182&lt;&gt;"",$R182-$D182,IF($D182="","",TODAY()-$D182)))</f>
        <v/>
      </c>
      <c r="U182" s="49" t="str">
        <f aca="true">IF($J182="","",IF(OR($P182="Closed",$P182="Not a defect"),"",IF($O182="","no target",IF($O182&lt;TODAY(),"OVERDUE "&amp;(TODAY()-$O182)&amp;"d","in "&amp;($O182-TODAY())&amp;"d"))))</f>
        <v/>
      </c>
      <c r="V182" s="50" t="str">
        <f aca="false">IF($J182="","",COUNTIF('Photo Log'!$B$8:$B$107,$B182))</f>
        <v/>
      </c>
      <c r="W182" s="54"/>
    </row>
    <row r="183" customFormat="false" ht="30" hidden="false" customHeight="true" outlineLevel="0" collapsed="false">
      <c r="B183" s="44" t="str">
        <f aca="false">IF($J183="","","PL-"&amp;TEXT(ROW()-8,"000"))</f>
        <v/>
      </c>
      <c r="C183" s="45"/>
      <c r="D183" s="46"/>
      <c r="E183" s="47"/>
      <c r="F183" s="47"/>
      <c r="G183" s="47"/>
      <c r="H183" s="47"/>
      <c r="I183" s="47"/>
      <c r="J183" s="47"/>
      <c r="K183" s="45"/>
      <c r="L183" s="45"/>
      <c r="M183" s="45"/>
      <c r="N183" s="47"/>
      <c r="O183" s="46"/>
      <c r="P183" s="45"/>
      <c r="Q183" s="46"/>
      <c r="R183" s="46"/>
      <c r="S183" s="47"/>
      <c r="T183" s="48" t="str">
        <f aca="true">IF($J183="","",IF($R183&lt;&gt;"",$R183-$D183,IF($D183="","",TODAY()-$D183)))</f>
        <v/>
      </c>
      <c r="U183" s="49" t="str">
        <f aca="true">IF($J183="","",IF(OR($P183="Closed",$P183="Not a defect"),"",IF($O183="","no target",IF($O183&lt;TODAY(),"OVERDUE "&amp;(TODAY()-$O183)&amp;"d","in "&amp;($O183-TODAY())&amp;"d"))))</f>
        <v/>
      </c>
      <c r="V183" s="50" t="str">
        <f aca="false">IF($J183="","",COUNTIF('Photo Log'!$B$8:$B$107,$B183))</f>
        <v/>
      </c>
      <c r="W183" s="47"/>
    </row>
    <row r="184" customFormat="false" ht="30" hidden="false" customHeight="true" outlineLevel="0" collapsed="false">
      <c r="B184" s="44" t="str">
        <f aca="false">IF($J184="","","PL-"&amp;TEXT(ROW()-8,"000"))</f>
        <v/>
      </c>
      <c r="C184" s="52"/>
      <c r="D184" s="53"/>
      <c r="E184" s="54"/>
      <c r="F184" s="54"/>
      <c r="G184" s="54"/>
      <c r="H184" s="54"/>
      <c r="I184" s="54"/>
      <c r="J184" s="54"/>
      <c r="K184" s="52"/>
      <c r="L184" s="52"/>
      <c r="M184" s="52"/>
      <c r="N184" s="54"/>
      <c r="O184" s="53"/>
      <c r="P184" s="52"/>
      <c r="Q184" s="53"/>
      <c r="R184" s="53"/>
      <c r="S184" s="54"/>
      <c r="T184" s="48" t="str">
        <f aca="true">IF($J184="","",IF($R184&lt;&gt;"",$R184-$D184,IF($D184="","",TODAY()-$D184)))</f>
        <v/>
      </c>
      <c r="U184" s="49" t="str">
        <f aca="true">IF($J184="","",IF(OR($P184="Closed",$P184="Not a defect"),"",IF($O184="","no target",IF($O184&lt;TODAY(),"OVERDUE "&amp;(TODAY()-$O184)&amp;"d","in "&amp;($O184-TODAY())&amp;"d"))))</f>
        <v/>
      </c>
      <c r="V184" s="50" t="str">
        <f aca="false">IF($J184="","",COUNTIF('Photo Log'!$B$8:$B$107,$B184))</f>
        <v/>
      </c>
      <c r="W184" s="54"/>
    </row>
    <row r="185" customFormat="false" ht="30" hidden="false" customHeight="true" outlineLevel="0" collapsed="false">
      <c r="B185" s="44" t="str">
        <f aca="false">IF($J185="","","PL-"&amp;TEXT(ROW()-8,"000"))</f>
        <v/>
      </c>
      <c r="C185" s="45"/>
      <c r="D185" s="46"/>
      <c r="E185" s="47"/>
      <c r="F185" s="47"/>
      <c r="G185" s="47"/>
      <c r="H185" s="47"/>
      <c r="I185" s="47"/>
      <c r="J185" s="47"/>
      <c r="K185" s="45"/>
      <c r="L185" s="45"/>
      <c r="M185" s="45"/>
      <c r="N185" s="47"/>
      <c r="O185" s="46"/>
      <c r="P185" s="45"/>
      <c r="Q185" s="46"/>
      <c r="R185" s="46"/>
      <c r="S185" s="47"/>
      <c r="T185" s="48" t="str">
        <f aca="true">IF($J185="","",IF($R185&lt;&gt;"",$R185-$D185,IF($D185="","",TODAY()-$D185)))</f>
        <v/>
      </c>
      <c r="U185" s="49" t="str">
        <f aca="true">IF($J185="","",IF(OR($P185="Closed",$P185="Not a defect"),"",IF($O185="","no target",IF($O185&lt;TODAY(),"OVERDUE "&amp;(TODAY()-$O185)&amp;"d","in "&amp;($O185-TODAY())&amp;"d"))))</f>
        <v/>
      </c>
      <c r="V185" s="50" t="str">
        <f aca="false">IF($J185="","",COUNTIF('Photo Log'!$B$8:$B$107,$B185))</f>
        <v/>
      </c>
      <c r="W185" s="47"/>
    </row>
    <row r="186" customFormat="false" ht="30" hidden="false" customHeight="true" outlineLevel="0" collapsed="false">
      <c r="B186" s="44" t="str">
        <f aca="false">IF($J186="","","PL-"&amp;TEXT(ROW()-8,"000"))</f>
        <v/>
      </c>
      <c r="C186" s="52"/>
      <c r="D186" s="53"/>
      <c r="E186" s="54"/>
      <c r="F186" s="54"/>
      <c r="G186" s="54"/>
      <c r="H186" s="54"/>
      <c r="I186" s="54"/>
      <c r="J186" s="54"/>
      <c r="K186" s="52"/>
      <c r="L186" s="52"/>
      <c r="M186" s="52"/>
      <c r="N186" s="54"/>
      <c r="O186" s="53"/>
      <c r="P186" s="52"/>
      <c r="Q186" s="53"/>
      <c r="R186" s="53"/>
      <c r="S186" s="54"/>
      <c r="T186" s="48" t="str">
        <f aca="true">IF($J186="","",IF($R186&lt;&gt;"",$R186-$D186,IF($D186="","",TODAY()-$D186)))</f>
        <v/>
      </c>
      <c r="U186" s="49" t="str">
        <f aca="true">IF($J186="","",IF(OR($P186="Closed",$P186="Not a defect"),"",IF($O186="","no target",IF($O186&lt;TODAY(),"OVERDUE "&amp;(TODAY()-$O186)&amp;"d","in "&amp;($O186-TODAY())&amp;"d"))))</f>
        <v/>
      </c>
      <c r="V186" s="50" t="str">
        <f aca="false">IF($J186="","",COUNTIF('Photo Log'!$B$8:$B$107,$B186))</f>
        <v/>
      </c>
      <c r="W186" s="54"/>
    </row>
    <row r="187" customFormat="false" ht="30" hidden="false" customHeight="true" outlineLevel="0" collapsed="false">
      <c r="B187" s="44" t="str">
        <f aca="false">IF($J187="","","PL-"&amp;TEXT(ROW()-8,"000"))</f>
        <v/>
      </c>
      <c r="C187" s="45"/>
      <c r="D187" s="46"/>
      <c r="E187" s="47"/>
      <c r="F187" s="47"/>
      <c r="G187" s="47"/>
      <c r="H187" s="47"/>
      <c r="I187" s="47"/>
      <c r="J187" s="47"/>
      <c r="K187" s="45"/>
      <c r="L187" s="45"/>
      <c r="M187" s="45"/>
      <c r="N187" s="47"/>
      <c r="O187" s="46"/>
      <c r="P187" s="45"/>
      <c r="Q187" s="46"/>
      <c r="R187" s="46"/>
      <c r="S187" s="47"/>
      <c r="T187" s="48" t="str">
        <f aca="true">IF($J187="","",IF($R187&lt;&gt;"",$R187-$D187,IF($D187="","",TODAY()-$D187)))</f>
        <v/>
      </c>
      <c r="U187" s="49" t="str">
        <f aca="true">IF($J187="","",IF(OR($P187="Closed",$P187="Not a defect"),"",IF($O187="","no target",IF($O187&lt;TODAY(),"OVERDUE "&amp;(TODAY()-$O187)&amp;"d","in "&amp;($O187-TODAY())&amp;"d"))))</f>
        <v/>
      </c>
      <c r="V187" s="50" t="str">
        <f aca="false">IF($J187="","",COUNTIF('Photo Log'!$B$8:$B$107,$B187))</f>
        <v/>
      </c>
      <c r="W187" s="47"/>
    </row>
    <row r="188" customFormat="false" ht="30" hidden="false" customHeight="true" outlineLevel="0" collapsed="false">
      <c r="B188" s="44" t="str">
        <f aca="false">IF($J188="","","PL-"&amp;TEXT(ROW()-8,"000"))</f>
        <v/>
      </c>
      <c r="C188" s="52"/>
      <c r="D188" s="53"/>
      <c r="E188" s="54"/>
      <c r="F188" s="54"/>
      <c r="G188" s="54"/>
      <c r="H188" s="54"/>
      <c r="I188" s="54"/>
      <c r="J188" s="54"/>
      <c r="K188" s="52"/>
      <c r="L188" s="52"/>
      <c r="M188" s="52"/>
      <c r="N188" s="54"/>
      <c r="O188" s="53"/>
      <c r="P188" s="52"/>
      <c r="Q188" s="53"/>
      <c r="R188" s="53"/>
      <c r="S188" s="54"/>
      <c r="T188" s="48" t="str">
        <f aca="true">IF($J188="","",IF($R188&lt;&gt;"",$R188-$D188,IF($D188="","",TODAY()-$D188)))</f>
        <v/>
      </c>
      <c r="U188" s="49" t="str">
        <f aca="true">IF($J188="","",IF(OR($P188="Closed",$P188="Not a defect"),"",IF($O188="","no target",IF($O188&lt;TODAY(),"OVERDUE "&amp;(TODAY()-$O188)&amp;"d","in "&amp;($O188-TODAY())&amp;"d"))))</f>
        <v/>
      </c>
      <c r="V188" s="50" t="str">
        <f aca="false">IF($J188="","",COUNTIF('Photo Log'!$B$8:$B$107,$B188))</f>
        <v/>
      </c>
      <c r="W188" s="54"/>
    </row>
    <row r="189" customFormat="false" ht="30" hidden="false" customHeight="true" outlineLevel="0" collapsed="false">
      <c r="B189" s="44" t="str">
        <f aca="false">IF($J189="","","PL-"&amp;TEXT(ROW()-8,"000"))</f>
        <v/>
      </c>
      <c r="C189" s="45"/>
      <c r="D189" s="46"/>
      <c r="E189" s="47"/>
      <c r="F189" s="47"/>
      <c r="G189" s="47"/>
      <c r="H189" s="47"/>
      <c r="I189" s="47"/>
      <c r="J189" s="47"/>
      <c r="K189" s="45"/>
      <c r="L189" s="45"/>
      <c r="M189" s="45"/>
      <c r="N189" s="47"/>
      <c r="O189" s="46"/>
      <c r="P189" s="45"/>
      <c r="Q189" s="46"/>
      <c r="R189" s="46"/>
      <c r="S189" s="47"/>
      <c r="T189" s="48" t="str">
        <f aca="true">IF($J189="","",IF($R189&lt;&gt;"",$R189-$D189,IF($D189="","",TODAY()-$D189)))</f>
        <v/>
      </c>
      <c r="U189" s="49" t="str">
        <f aca="true">IF($J189="","",IF(OR($P189="Closed",$P189="Not a defect"),"",IF($O189="","no target",IF($O189&lt;TODAY(),"OVERDUE "&amp;(TODAY()-$O189)&amp;"d","in "&amp;($O189-TODAY())&amp;"d"))))</f>
        <v/>
      </c>
      <c r="V189" s="50" t="str">
        <f aca="false">IF($J189="","",COUNTIF('Photo Log'!$B$8:$B$107,$B189))</f>
        <v/>
      </c>
      <c r="W189" s="47"/>
    </row>
    <row r="190" customFormat="false" ht="30" hidden="false" customHeight="true" outlineLevel="0" collapsed="false">
      <c r="B190" s="44" t="str">
        <f aca="false">IF($J190="","","PL-"&amp;TEXT(ROW()-8,"000"))</f>
        <v/>
      </c>
      <c r="C190" s="52"/>
      <c r="D190" s="53"/>
      <c r="E190" s="54"/>
      <c r="F190" s="54"/>
      <c r="G190" s="54"/>
      <c r="H190" s="54"/>
      <c r="I190" s="54"/>
      <c r="J190" s="54"/>
      <c r="K190" s="52"/>
      <c r="L190" s="52"/>
      <c r="M190" s="52"/>
      <c r="N190" s="54"/>
      <c r="O190" s="53"/>
      <c r="P190" s="52"/>
      <c r="Q190" s="53"/>
      <c r="R190" s="53"/>
      <c r="S190" s="54"/>
      <c r="T190" s="48" t="str">
        <f aca="true">IF($J190="","",IF($R190&lt;&gt;"",$R190-$D190,IF($D190="","",TODAY()-$D190)))</f>
        <v/>
      </c>
      <c r="U190" s="49" t="str">
        <f aca="true">IF($J190="","",IF(OR($P190="Closed",$P190="Not a defect"),"",IF($O190="","no target",IF($O190&lt;TODAY(),"OVERDUE "&amp;(TODAY()-$O190)&amp;"d","in "&amp;($O190-TODAY())&amp;"d"))))</f>
        <v/>
      </c>
      <c r="V190" s="50" t="str">
        <f aca="false">IF($J190="","",COUNTIF('Photo Log'!$B$8:$B$107,$B190))</f>
        <v/>
      </c>
      <c r="W190" s="54"/>
    </row>
    <row r="191" customFormat="false" ht="30" hidden="false" customHeight="true" outlineLevel="0" collapsed="false">
      <c r="B191" s="44" t="str">
        <f aca="false">IF($J191="","","PL-"&amp;TEXT(ROW()-8,"000"))</f>
        <v/>
      </c>
      <c r="C191" s="45"/>
      <c r="D191" s="46"/>
      <c r="E191" s="47"/>
      <c r="F191" s="47"/>
      <c r="G191" s="47"/>
      <c r="H191" s="47"/>
      <c r="I191" s="47"/>
      <c r="J191" s="47"/>
      <c r="K191" s="45"/>
      <c r="L191" s="45"/>
      <c r="M191" s="45"/>
      <c r="N191" s="47"/>
      <c r="O191" s="46"/>
      <c r="P191" s="45"/>
      <c r="Q191" s="46"/>
      <c r="R191" s="46"/>
      <c r="S191" s="47"/>
      <c r="T191" s="48" t="str">
        <f aca="true">IF($J191="","",IF($R191&lt;&gt;"",$R191-$D191,IF($D191="","",TODAY()-$D191)))</f>
        <v/>
      </c>
      <c r="U191" s="49" t="str">
        <f aca="true">IF($J191="","",IF(OR($P191="Closed",$P191="Not a defect"),"",IF($O191="","no target",IF($O191&lt;TODAY(),"OVERDUE "&amp;(TODAY()-$O191)&amp;"d","in "&amp;($O191-TODAY())&amp;"d"))))</f>
        <v/>
      </c>
      <c r="V191" s="50" t="str">
        <f aca="false">IF($J191="","",COUNTIF('Photo Log'!$B$8:$B$107,$B191))</f>
        <v/>
      </c>
      <c r="W191" s="47"/>
    </row>
    <row r="192" customFormat="false" ht="30" hidden="false" customHeight="true" outlineLevel="0" collapsed="false">
      <c r="B192" s="44" t="str">
        <f aca="false">IF($J192="","","PL-"&amp;TEXT(ROW()-8,"000"))</f>
        <v/>
      </c>
      <c r="C192" s="52"/>
      <c r="D192" s="53"/>
      <c r="E192" s="54"/>
      <c r="F192" s="54"/>
      <c r="G192" s="54"/>
      <c r="H192" s="54"/>
      <c r="I192" s="54"/>
      <c r="J192" s="54"/>
      <c r="K192" s="52"/>
      <c r="L192" s="52"/>
      <c r="M192" s="52"/>
      <c r="N192" s="54"/>
      <c r="O192" s="53"/>
      <c r="P192" s="52"/>
      <c r="Q192" s="53"/>
      <c r="R192" s="53"/>
      <c r="S192" s="54"/>
      <c r="T192" s="48" t="str">
        <f aca="true">IF($J192="","",IF($R192&lt;&gt;"",$R192-$D192,IF($D192="","",TODAY()-$D192)))</f>
        <v/>
      </c>
      <c r="U192" s="49" t="str">
        <f aca="true">IF($J192="","",IF(OR($P192="Closed",$P192="Not a defect"),"",IF($O192="","no target",IF($O192&lt;TODAY(),"OVERDUE "&amp;(TODAY()-$O192)&amp;"d","in "&amp;($O192-TODAY())&amp;"d"))))</f>
        <v/>
      </c>
      <c r="V192" s="50" t="str">
        <f aca="false">IF($J192="","",COUNTIF('Photo Log'!$B$8:$B$107,$B192))</f>
        <v/>
      </c>
      <c r="W192" s="54"/>
    </row>
    <row r="193" customFormat="false" ht="30" hidden="false" customHeight="true" outlineLevel="0" collapsed="false">
      <c r="B193" s="44" t="str">
        <f aca="false">IF($J193="","","PL-"&amp;TEXT(ROW()-8,"000"))</f>
        <v/>
      </c>
      <c r="C193" s="45"/>
      <c r="D193" s="46"/>
      <c r="E193" s="47"/>
      <c r="F193" s="47"/>
      <c r="G193" s="47"/>
      <c r="H193" s="47"/>
      <c r="I193" s="47"/>
      <c r="J193" s="47"/>
      <c r="K193" s="45"/>
      <c r="L193" s="45"/>
      <c r="M193" s="45"/>
      <c r="N193" s="47"/>
      <c r="O193" s="46"/>
      <c r="P193" s="45"/>
      <c r="Q193" s="46"/>
      <c r="R193" s="46"/>
      <c r="S193" s="47"/>
      <c r="T193" s="48" t="str">
        <f aca="true">IF($J193="","",IF($R193&lt;&gt;"",$R193-$D193,IF($D193="","",TODAY()-$D193)))</f>
        <v/>
      </c>
      <c r="U193" s="49" t="str">
        <f aca="true">IF($J193="","",IF(OR($P193="Closed",$P193="Not a defect"),"",IF($O193="","no target",IF($O193&lt;TODAY(),"OVERDUE "&amp;(TODAY()-$O193)&amp;"d","in "&amp;($O193-TODAY())&amp;"d"))))</f>
        <v/>
      </c>
      <c r="V193" s="50" t="str">
        <f aca="false">IF($J193="","",COUNTIF('Photo Log'!$B$8:$B$107,$B193))</f>
        <v/>
      </c>
      <c r="W193" s="47"/>
    </row>
    <row r="194" customFormat="false" ht="30" hidden="false" customHeight="true" outlineLevel="0" collapsed="false">
      <c r="B194" s="44" t="str">
        <f aca="false">IF($J194="","","PL-"&amp;TEXT(ROW()-8,"000"))</f>
        <v/>
      </c>
      <c r="C194" s="52"/>
      <c r="D194" s="53"/>
      <c r="E194" s="54"/>
      <c r="F194" s="54"/>
      <c r="G194" s="54"/>
      <c r="H194" s="54"/>
      <c r="I194" s="54"/>
      <c r="J194" s="54"/>
      <c r="K194" s="52"/>
      <c r="L194" s="52"/>
      <c r="M194" s="52"/>
      <c r="N194" s="54"/>
      <c r="O194" s="53"/>
      <c r="P194" s="52"/>
      <c r="Q194" s="53"/>
      <c r="R194" s="53"/>
      <c r="S194" s="54"/>
      <c r="T194" s="48" t="str">
        <f aca="true">IF($J194="","",IF($R194&lt;&gt;"",$R194-$D194,IF($D194="","",TODAY()-$D194)))</f>
        <v/>
      </c>
      <c r="U194" s="49" t="str">
        <f aca="true">IF($J194="","",IF(OR($P194="Closed",$P194="Not a defect"),"",IF($O194="","no target",IF($O194&lt;TODAY(),"OVERDUE "&amp;(TODAY()-$O194)&amp;"d","in "&amp;($O194-TODAY())&amp;"d"))))</f>
        <v/>
      </c>
      <c r="V194" s="50" t="str">
        <f aca="false">IF($J194="","",COUNTIF('Photo Log'!$B$8:$B$107,$B194))</f>
        <v/>
      </c>
      <c r="W194" s="54"/>
    </row>
    <row r="195" customFormat="false" ht="30" hidden="false" customHeight="true" outlineLevel="0" collapsed="false">
      <c r="B195" s="44" t="str">
        <f aca="false">IF($J195="","","PL-"&amp;TEXT(ROW()-8,"000"))</f>
        <v/>
      </c>
      <c r="C195" s="45"/>
      <c r="D195" s="46"/>
      <c r="E195" s="47"/>
      <c r="F195" s="47"/>
      <c r="G195" s="47"/>
      <c r="H195" s="47"/>
      <c r="I195" s="47"/>
      <c r="J195" s="47"/>
      <c r="K195" s="45"/>
      <c r="L195" s="45"/>
      <c r="M195" s="45"/>
      <c r="N195" s="47"/>
      <c r="O195" s="46"/>
      <c r="P195" s="45"/>
      <c r="Q195" s="46"/>
      <c r="R195" s="46"/>
      <c r="S195" s="47"/>
      <c r="T195" s="48" t="str">
        <f aca="true">IF($J195="","",IF($R195&lt;&gt;"",$R195-$D195,IF($D195="","",TODAY()-$D195)))</f>
        <v/>
      </c>
      <c r="U195" s="49" t="str">
        <f aca="true">IF($J195="","",IF(OR($P195="Closed",$P195="Not a defect"),"",IF($O195="","no target",IF($O195&lt;TODAY(),"OVERDUE "&amp;(TODAY()-$O195)&amp;"d","in "&amp;($O195-TODAY())&amp;"d"))))</f>
        <v/>
      </c>
      <c r="V195" s="50" t="str">
        <f aca="false">IF($J195="","",COUNTIF('Photo Log'!$B$8:$B$107,$B195))</f>
        <v/>
      </c>
      <c r="W195" s="47"/>
    </row>
    <row r="196" customFormat="false" ht="30" hidden="false" customHeight="true" outlineLevel="0" collapsed="false">
      <c r="B196" s="44" t="str">
        <f aca="false">IF($J196="","","PL-"&amp;TEXT(ROW()-8,"000"))</f>
        <v/>
      </c>
      <c r="C196" s="52"/>
      <c r="D196" s="53"/>
      <c r="E196" s="54"/>
      <c r="F196" s="54"/>
      <c r="G196" s="54"/>
      <c r="H196" s="54"/>
      <c r="I196" s="54"/>
      <c r="J196" s="54"/>
      <c r="K196" s="52"/>
      <c r="L196" s="52"/>
      <c r="M196" s="52"/>
      <c r="N196" s="54"/>
      <c r="O196" s="53"/>
      <c r="P196" s="52"/>
      <c r="Q196" s="53"/>
      <c r="R196" s="53"/>
      <c r="S196" s="54"/>
      <c r="T196" s="48" t="str">
        <f aca="true">IF($J196="","",IF($R196&lt;&gt;"",$R196-$D196,IF($D196="","",TODAY()-$D196)))</f>
        <v/>
      </c>
      <c r="U196" s="49" t="str">
        <f aca="true">IF($J196="","",IF(OR($P196="Closed",$P196="Not a defect"),"",IF($O196="","no target",IF($O196&lt;TODAY(),"OVERDUE "&amp;(TODAY()-$O196)&amp;"d","in "&amp;($O196-TODAY())&amp;"d"))))</f>
        <v/>
      </c>
      <c r="V196" s="50" t="str">
        <f aca="false">IF($J196="","",COUNTIF('Photo Log'!$B$8:$B$107,$B196))</f>
        <v/>
      </c>
      <c r="W196" s="54"/>
    </row>
    <row r="197" customFormat="false" ht="30" hidden="false" customHeight="true" outlineLevel="0" collapsed="false">
      <c r="B197" s="44" t="str">
        <f aca="false">IF($J197="","","PL-"&amp;TEXT(ROW()-8,"000"))</f>
        <v/>
      </c>
      <c r="C197" s="45"/>
      <c r="D197" s="46"/>
      <c r="E197" s="47"/>
      <c r="F197" s="47"/>
      <c r="G197" s="47"/>
      <c r="H197" s="47"/>
      <c r="I197" s="47"/>
      <c r="J197" s="47"/>
      <c r="K197" s="45"/>
      <c r="L197" s="45"/>
      <c r="M197" s="45"/>
      <c r="N197" s="47"/>
      <c r="O197" s="46"/>
      <c r="P197" s="45"/>
      <c r="Q197" s="46"/>
      <c r="R197" s="46"/>
      <c r="S197" s="47"/>
      <c r="T197" s="48" t="str">
        <f aca="true">IF($J197="","",IF($R197&lt;&gt;"",$R197-$D197,IF($D197="","",TODAY()-$D197)))</f>
        <v/>
      </c>
      <c r="U197" s="49" t="str">
        <f aca="true">IF($J197="","",IF(OR($P197="Closed",$P197="Not a defect"),"",IF($O197="","no target",IF($O197&lt;TODAY(),"OVERDUE "&amp;(TODAY()-$O197)&amp;"d","in "&amp;($O197-TODAY())&amp;"d"))))</f>
        <v/>
      </c>
      <c r="V197" s="50" t="str">
        <f aca="false">IF($J197="","",COUNTIF('Photo Log'!$B$8:$B$107,$B197))</f>
        <v/>
      </c>
      <c r="W197" s="47"/>
    </row>
    <row r="198" customFormat="false" ht="30" hidden="false" customHeight="true" outlineLevel="0" collapsed="false">
      <c r="B198" s="44" t="str">
        <f aca="false">IF($J198="","","PL-"&amp;TEXT(ROW()-8,"000"))</f>
        <v/>
      </c>
      <c r="C198" s="52"/>
      <c r="D198" s="53"/>
      <c r="E198" s="54"/>
      <c r="F198" s="54"/>
      <c r="G198" s="54"/>
      <c r="H198" s="54"/>
      <c r="I198" s="54"/>
      <c r="J198" s="54"/>
      <c r="K198" s="52"/>
      <c r="L198" s="52"/>
      <c r="M198" s="52"/>
      <c r="N198" s="54"/>
      <c r="O198" s="53"/>
      <c r="P198" s="52"/>
      <c r="Q198" s="53"/>
      <c r="R198" s="53"/>
      <c r="S198" s="54"/>
      <c r="T198" s="48" t="str">
        <f aca="true">IF($J198="","",IF($R198&lt;&gt;"",$R198-$D198,IF($D198="","",TODAY()-$D198)))</f>
        <v/>
      </c>
      <c r="U198" s="49" t="str">
        <f aca="true">IF($J198="","",IF(OR($P198="Closed",$P198="Not a defect"),"",IF($O198="","no target",IF($O198&lt;TODAY(),"OVERDUE "&amp;(TODAY()-$O198)&amp;"d","in "&amp;($O198-TODAY())&amp;"d"))))</f>
        <v/>
      </c>
      <c r="V198" s="50" t="str">
        <f aca="false">IF($J198="","",COUNTIF('Photo Log'!$B$8:$B$107,$B198))</f>
        <v/>
      </c>
      <c r="W198" s="54"/>
    </row>
    <row r="199" customFormat="false" ht="30" hidden="false" customHeight="true" outlineLevel="0" collapsed="false">
      <c r="B199" s="44" t="str">
        <f aca="false">IF($J199="","","PL-"&amp;TEXT(ROW()-8,"000"))</f>
        <v/>
      </c>
      <c r="C199" s="45"/>
      <c r="D199" s="46"/>
      <c r="E199" s="47"/>
      <c r="F199" s="47"/>
      <c r="G199" s="47"/>
      <c r="H199" s="47"/>
      <c r="I199" s="47"/>
      <c r="J199" s="47"/>
      <c r="K199" s="45"/>
      <c r="L199" s="45"/>
      <c r="M199" s="45"/>
      <c r="N199" s="47"/>
      <c r="O199" s="46"/>
      <c r="P199" s="45"/>
      <c r="Q199" s="46"/>
      <c r="R199" s="46"/>
      <c r="S199" s="47"/>
      <c r="T199" s="48" t="str">
        <f aca="true">IF($J199="","",IF($R199&lt;&gt;"",$R199-$D199,IF($D199="","",TODAY()-$D199)))</f>
        <v/>
      </c>
      <c r="U199" s="49" t="str">
        <f aca="true">IF($J199="","",IF(OR($P199="Closed",$P199="Not a defect"),"",IF($O199="","no target",IF($O199&lt;TODAY(),"OVERDUE "&amp;(TODAY()-$O199)&amp;"d","in "&amp;($O199-TODAY())&amp;"d"))))</f>
        <v/>
      </c>
      <c r="V199" s="50" t="str">
        <f aca="false">IF($J199="","",COUNTIF('Photo Log'!$B$8:$B$107,$B199))</f>
        <v/>
      </c>
      <c r="W199" s="47"/>
    </row>
    <row r="200" customFormat="false" ht="30" hidden="false" customHeight="true" outlineLevel="0" collapsed="false">
      <c r="B200" s="44" t="str">
        <f aca="false">IF($J200="","","PL-"&amp;TEXT(ROW()-8,"000"))</f>
        <v/>
      </c>
      <c r="C200" s="52"/>
      <c r="D200" s="53"/>
      <c r="E200" s="54"/>
      <c r="F200" s="54"/>
      <c r="G200" s="54"/>
      <c r="H200" s="54"/>
      <c r="I200" s="54"/>
      <c r="J200" s="54"/>
      <c r="K200" s="52"/>
      <c r="L200" s="52"/>
      <c r="M200" s="52"/>
      <c r="N200" s="54"/>
      <c r="O200" s="53"/>
      <c r="P200" s="52"/>
      <c r="Q200" s="53"/>
      <c r="R200" s="53"/>
      <c r="S200" s="54"/>
      <c r="T200" s="48" t="str">
        <f aca="true">IF($J200="","",IF($R200&lt;&gt;"",$R200-$D200,IF($D200="","",TODAY()-$D200)))</f>
        <v/>
      </c>
      <c r="U200" s="49" t="str">
        <f aca="true">IF($J200="","",IF(OR($P200="Closed",$P200="Not a defect"),"",IF($O200="","no target",IF($O200&lt;TODAY(),"OVERDUE "&amp;(TODAY()-$O200)&amp;"d","in "&amp;($O200-TODAY())&amp;"d"))))</f>
        <v/>
      </c>
      <c r="V200" s="50" t="str">
        <f aca="false">IF($J200="","",COUNTIF('Photo Log'!$B$8:$B$107,$B200))</f>
        <v/>
      </c>
      <c r="W200" s="54"/>
    </row>
    <row r="201" customFormat="false" ht="30" hidden="false" customHeight="true" outlineLevel="0" collapsed="false">
      <c r="B201" s="44" t="str">
        <f aca="false">IF($J201="","","PL-"&amp;TEXT(ROW()-8,"000"))</f>
        <v/>
      </c>
      <c r="C201" s="45"/>
      <c r="D201" s="46"/>
      <c r="E201" s="47"/>
      <c r="F201" s="47"/>
      <c r="G201" s="47"/>
      <c r="H201" s="47"/>
      <c r="I201" s="47"/>
      <c r="J201" s="47"/>
      <c r="K201" s="45"/>
      <c r="L201" s="45"/>
      <c r="M201" s="45"/>
      <c r="N201" s="47"/>
      <c r="O201" s="46"/>
      <c r="P201" s="45"/>
      <c r="Q201" s="46"/>
      <c r="R201" s="46"/>
      <c r="S201" s="47"/>
      <c r="T201" s="48" t="str">
        <f aca="true">IF($J201="","",IF($R201&lt;&gt;"",$R201-$D201,IF($D201="","",TODAY()-$D201)))</f>
        <v/>
      </c>
      <c r="U201" s="49" t="str">
        <f aca="true">IF($J201="","",IF(OR($P201="Closed",$P201="Not a defect"),"",IF($O201="","no target",IF($O201&lt;TODAY(),"OVERDUE "&amp;(TODAY()-$O201)&amp;"d","in "&amp;($O201-TODAY())&amp;"d"))))</f>
        <v/>
      </c>
      <c r="V201" s="50" t="str">
        <f aca="false">IF($J201="","",COUNTIF('Photo Log'!$B$8:$B$107,$B201))</f>
        <v/>
      </c>
      <c r="W201" s="47"/>
    </row>
    <row r="202" customFormat="false" ht="30" hidden="false" customHeight="true" outlineLevel="0" collapsed="false">
      <c r="B202" s="44" t="str">
        <f aca="false">IF($J202="","","PL-"&amp;TEXT(ROW()-8,"000"))</f>
        <v/>
      </c>
      <c r="C202" s="52"/>
      <c r="D202" s="53"/>
      <c r="E202" s="54"/>
      <c r="F202" s="54"/>
      <c r="G202" s="54"/>
      <c r="H202" s="54"/>
      <c r="I202" s="54"/>
      <c r="J202" s="54"/>
      <c r="K202" s="52"/>
      <c r="L202" s="52"/>
      <c r="M202" s="52"/>
      <c r="N202" s="54"/>
      <c r="O202" s="53"/>
      <c r="P202" s="52"/>
      <c r="Q202" s="53"/>
      <c r="R202" s="53"/>
      <c r="S202" s="54"/>
      <c r="T202" s="48" t="str">
        <f aca="true">IF($J202="","",IF($R202&lt;&gt;"",$R202-$D202,IF($D202="","",TODAY()-$D202)))</f>
        <v/>
      </c>
      <c r="U202" s="49" t="str">
        <f aca="true">IF($J202="","",IF(OR($P202="Closed",$P202="Not a defect"),"",IF($O202="","no target",IF($O202&lt;TODAY(),"OVERDUE "&amp;(TODAY()-$O202)&amp;"d","in "&amp;($O202-TODAY())&amp;"d"))))</f>
        <v/>
      </c>
      <c r="V202" s="50" t="str">
        <f aca="false">IF($J202="","",COUNTIF('Photo Log'!$B$8:$B$107,$B202))</f>
        <v/>
      </c>
      <c r="W202" s="54"/>
    </row>
    <row r="203" customFormat="false" ht="30" hidden="false" customHeight="true" outlineLevel="0" collapsed="false">
      <c r="B203" s="44" t="str">
        <f aca="false">IF($J203="","","PL-"&amp;TEXT(ROW()-8,"000"))</f>
        <v/>
      </c>
      <c r="C203" s="45"/>
      <c r="D203" s="46"/>
      <c r="E203" s="47"/>
      <c r="F203" s="47"/>
      <c r="G203" s="47"/>
      <c r="H203" s="47"/>
      <c r="I203" s="47"/>
      <c r="J203" s="47"/>
      <c r="K203" s="45"/>
      <c r="L203" s="45"/>
      <c r="M203" s="45"/>
      <c r="N203" s="47"/>
      <c r="O203" s="46"/>
      <c r="P203" s="45"/>
      <c r="Q203" s="46"/>
      <c r="R203" s="46"/>
      <c r="S203" s="47"/>
      <c r="T203" s="48" t="str">
        <f aca="true">IF($J203="","",IF($R203&lt;&gt;"",$R203-$D203,IF($D203="","",TODAY()-$D203)))</f>
        <v/>
      </c>
      <c r="U203" s="49" t="str">
        <f aca="true">IF($J203="","",IF(OR($P203="Closed",$P203="Not a defect"),"",IF($O203="","no target",IF($O203&lt;TODAY(),"OVERDUE "&amp;(TODAY()-$O203)&amp;"d","in "&amp;($O203-TODAY())&amp;"d"))))</f>
        <v/>
      </c>
      <c r="V203" s="50" t="str">
        <f aca="false">IF($J203="","",COUNTIF('Photo Log'!$B$8:$B$107,$B203))</f>
        <v/>
      </c>
      <c r="W203" s="47"/>
    </row>
    <row r="204" customFormat="false" ht="30" hidden="false" customHeight="true" outlineLevel="0" collapsed="false">
      <c r="B204" s="44" t="str">
        <f aca="false">IF($J204="","","PL-"&amp;TEXT(ROW()-8,"000"))</f>
        <v/>
      </c>
      <c r="C204" s="52"/>
      <c r="D204" s="53"/>
      <c r="E204" s="54"/>
      <c r="F204" s="54"/>
      <c r="G204" s="54"/>
      <c r="H204" s="54"/>
      <c r="I204" s="54"/>
      <c r="J204" s="54"/>
      <c r="K204" s="52"/>
      <c r="L204" s="52"/>
      <c r="M204" s="52"/>
      <c r="N204" s="54"/>
      <c r="O204" s="53"/>
      <c r="P204" s="52"/>
      <c r="Q204" s="53"/>
      <c r="R204" s="53"/>
      <c r="S204" s="54"/>
      <c r="T204" s="48" t="str">
        <f aca="true">IF($J204="","",IF($R204&lt;&gt;"",$R204-$D204,IF($D204="","",TODAY()-$D204)))</f>
        <v/>
      </c>
      <c r="U204" s="49" t="str">
        <f aca="true">IF($J204="","",IF(OR($P204="Closed",$P204="Not a defect"),"",IF($O204="","no target",IF($O204&lt;TODAY(),"OVERDUE "&amp;(TODAY()-$O204)&amp;"d","in "&amp;($O204-TODAY())&amp;"d"))))</f>
        <v/>
      </c>
      <c r="V204" s="50" t="str">
        <f aca="false">IF($J204="","",COUNTIF('Photo Log'!$B$8:$B$107,$B204))</f>
        <v/>
      </c>
      <c r="W204" s="54"/>
    </row>
    <row r="205" customFormat="false" ht="30" hidden="false" customHeight="true" outlineLevel="0" collapsed="false">
      <c r="B205" s="44" t="str">
        <f aca="false">IF($J205="","","PL-"&amp;TEXT(ROW()-8,"000"))</f>
        <v/>
      </c>
      <c r="C205" s="45"/>
      <c r="D205" s="46"/>
      <c r="E205" s="47"/>
      <c r="F205" s="47"/>
      <c r="G205" s="47"/>
      <c r="H205" s="47"/>
      <c r="I205" s="47"/>
      <c r="J205" s="47"/>
      <c r="K205" s="45"/>
      <c r="L205" s="45"/>
      <c r="M205" s="45"/>
      <c r="N205" s="47"/>
      <c r="O205" s="46"/>
      <c r="P205" s="45"/>
      <c r="Q205" s="46"/>
      <c r="R205" s="46"/>
      <c r="S205" s="47"/>
      <c r="T205" s="48" t="str">
        <f aca="true">IF($J205="","",IF($R205&lt;&gt;"",$R205-$D205,IF($D205="","",TODAY()-$D205)))</f>
        <v/>
      </c>
      <c r="U205" s="49" t="str">
        <f aca="true">IF($J205="","",IF(OR($P205="Closed",$P205="Not a defect"),"",IF($O205="","no target",IF($O205&lt;TODAY(),"OVERDUE "&amp;(TODAY()-$O205)&amp;"d","in "&amp;($O205-TODAY())&amp;"d"))))</f>
        <v/>
      </c>
      <c r="V205" s="50" t="str">
        <f aca="false">IF($J205="","",COUNTIF('Photo Log'!$B$8:$B$107,$B205))</f>
        <v/>
      </c>
      <c r="W205" s="47"/>
    </row>
    <row r="206" customFormat="false" ht="30" hidden="false" customHeight="true" outlineLevel="0" collapsed="false">
      <c r="B206" s="44" t="str">
        <f aca="false">IF($J206="","","PL-"&amp;TEXT(ROW()-8,"000"))</f>
        <v/>
      </c>
      <c r="C206" s="52"/>
      <c r="D206" s="53"/>
      <c r="E206" s="54"/>
      <c r="F206" s="54"/>
      <c r="G206" s="54"/>
      <c r="H206" s="54"/>
      <c r="I206" s="54"/>
      <c r="J206" s="54"/>
      <c r="K206" s="52"/>
      <c r="L206" s="52"/>
      <c r="M206" s="52"/>
      <c r="N206" s="54"/>
      <c r="O206" s="53"/>
      <c r="P206" s="52"/>
      <c r="Q206" s="53"/>
      <c r="R206" s="53"/>
      <c r="S206" s="54"/>
      <c r="T206" s="48" t="str">
        <f aca="true">IF($J206="","",IF($R206&lt;&gt;"",$R206-$D206,IF($D206="","",TODAY()-$D206)))</f>
        <v/>
      </c>
      <c r="U206" s="49" t="str">
        <f aca="true">IF($J206="","",IF(OR($P206="Closed",$P206="Not a defect"),"",IF($O206="","no target",IF($O206&lt;TODAY(),"OVERDUE "&amp;(TODAY()-$O206)&amp;"d","in "&amp;($O206-TODAY())&amp;"d"))))</f>
        <v/>
      </c>
      <c r="V206" s="50" t="str">
        <f aca="false">IF($J206="","",COUNTIF('Photo Log'!$B$8:$B$107,$B206))</f>
        <v/>
      </c>
      <c r="W206" s="54"/>
    </row>
    <row r="207" customFormat="false" ht="30" hidden="false" customHeight="true" outlineLevel="0" collapsed="false">
      <c r="B207" s="44" t="str">
        <f aca="false">IF($J207="","","PL-"&amp;TEXT(ROW()-8,"000"))</f>
        <v/>
      </c>
      <c r="C207" s="45"/>
      <c r="D207" s="46"/>
      <c r="E207" s="47"/>
      <c r="F207" s="47"/>
      <c r="G207" s="47"/>
      <c r="H207" s="47"/>
      <c r="I207" s="47"/>
      <c r="J207" s="47"/>
      <c r="K207" s="45"/>
      <c r="L207" s="45"/>
      <c r="M207" s="45"/>
      <c r="N207" s="47"/>
      <c r="O207" s="46"/>
      <c r="P207" s="45"/>
      <c r="Q207" s="46"/>
      <c r="R207" s="46"/>
      <c r="S207" s="47"/>
      <c r="T207" s="48" t="str">
        <f aca="true">IF($J207="","",IF($R207&lt;&gt;"",$R207-$D207,IF($D207="","",TODAY()-$D207)))</f>
        <v/>
      </c>
      <c r="U207" s="49" t="str">
        <f aca="true">IF($J207="","",IF(OR($P207="Closed",$P207="Not a defect"),"",IF($O207="","no target",IF($O207&lt;TODAY(),"OVERDUE "&amp;(TODAY()-$O207)&amp;"d","in "&amp;($O207-TODAY())&amp;"d"))))</f>
        <v/>
      </c>
      <c r="V207" s="50" t="str">
        <f aca="false">IF($J207="","",COUNTIF('Photo Log'!$B$8:$B$107,$B207))</f>
        <v/>
      </c>
      <c r="W207" s="47"/>
    </row>
    <row r="208" customFormat="false" ht="30" hidden="false" customHeight="true" outlineLevel="0" collapsed="false">
      <c r="B208" s="44" t="str">
        <f aca="false">IF($J208="","","PL-"&amp;TEXT(ROW()-8,"000"))</f>
        <v/>
      </c>
      <c r="C208" s="52"/>
      <c r="D208" s="53"/>
      <c r="E208" s="54"/>
      <c r="F208" s="54"/>
      <c r="G208" s="54"/>
      <c r="H208" s="54"/>
      <c r="I208" s="54"/>
      <c r="J208" s="54"/>
      <c r="K208" s="52"/>
      <c r="L208" s="52"/>
      <c r="M208" s="52"/>
      <c r="N208" s="54"/>
      <c r="O208" s="53"/>
      <c r="P208" s="52"/>
      <c r="Q208" s="53"/>
      <c r="R208" s="53"/>
      <c r="S208" s="54"/>
      <c r="T208" s="48" t="str">
        <f aca="true">IF($J208="","",IF($R208&lt;&gt;"",$R208-$D208,IF($D208="","",TODAY()-$D208)))</f>
        <v/>
      </c>
      <c r="U208" s="49" t="str">
        <f aca="true">IF($J208="","",IF(OR($P208="Closed",$P208="Not a defect"),"",IF($O208="","no target",IF($O208&lt;TODAY(),"OVERDUE "&amp;(TODAY()-$O208)&amp;"d","in "&amp;($O208-TODAY())&amp;"d"))))</f>
        <v/>
      </c>
      <c r="V208" s="50" t="str">
        <f aca="false">IF($J208="","",COUNTIF('Photo Log'!$B$8:$B$107,$B208))</f>
        <v/>
      </c>
      <c r="W208" s="54"/>
    </row>
    <row r="210" customFormat="false" ht="15" hidden="false" customHeight="true" outlineLevel="0" collapsed="false">
      <c r="B210" s="33" t="s">
        <v>179</v>
      </c>
      <c r="C210" s="33"/>
      <c r="D210" s="33"/>
      <c r="E210" s="33"/>
      <c r="F210" s="33"/>
      <c r="G210" s="33"/>
      <c r="H210" s="33"/>
      <c r="I210" s="33"/>
      <c r="J210" s="33"/>
      <c r="K210" s="33"/>
      <c r="L210" s="33"/>
      <c r="M210" s="33"/>
      <c r="N210" s="33"/>
      <c r="O210" s="33"/>
      <c r="P210" s="33"/>
      <c r="Q210" s="33"/>
      <c r="R210" s="33"/>
      <c r="S210" s="33"/>
      <c r="T210" s="33"/>
      <c r="U210" s="33"/>
      <c r="V210" s="33"/>
      <c r="W210" s="33"/>
    </row>
    <row r="211" customFormat="false" ht="15" hidden="false" customHeight="false" outlineLevel="0" collapsed="false">
      <c r="B211" s="33"/>
      <c r="C211" s="33"/>
      <c r="D211" s="33"/>
      <c r="E211" s="33"/>
      <c r="F211" s="33"/>
      <c r="G211" s="33"/>
      <c r="H211" s="33"/>
      <c r="I211" s="33"/>
      <c r="J211" s="33"/>
      <c r="K211" s="33"/>
      <c r="L211" s="33"/>
      <c r="M211" s="33"/>
      <c r="N211" s="33"/>
      <c r="O211" s="33"/>
      <c r="P211" s="33"/>
      <c r="Q211" s="33"/>
      <c r="R211" s="33"/>
      <c r="S211" s="33"/>
      <c r="T211" s="33"/>
      <c r="U211" s="33"/>
      <c r="V211" s="33"/>
      <c r="W211" s="33"/>
    </row>
    <row r="213" customFormat="false" ht="15" hidden="false" customHeight="false" outlineLevel="0" collapsed="false">
      <c r="B213" s="41" t="s">
        <v>93</v>
      </c>
      <c r="C213" s="41"/>
      <c r="D213" s="41"/>
      <c r="E213" s="41"/>
      <c r="F213" s="41"/>
      <c r="G213" s="41"/>
      <c r="H213" s="41"/>
      <c r="I213" s="41"/>
      <c r="J213" s="41"/>
      <c r="K213" s="41"/>
      <c r="L213" s="41"/>
      <c r="M213" s="41"/>
      <c r="N213" s="41"/>
      <c r="O213" s="41"/>
      <c r="P213" s="41"/>
      <c r="Q213" s="41"/>
      <c r="R213" s="41"/>
      <c r="S213" s="41"/>
      <c r="T213" s="41"/>
      <c r="U213" s="41"/>
      <c r="V213" s="41"/>
      <c r="W213" s="41"/>
    </row>
  </sheetData>
  <autoFilter ref="B8:W208"/>
  <mergeCells count="5">
    <mergeCell ref="D3:W3"/>
    <mergeCell ref="D5:W5"/>
    <mergeCell ref="B7:W7"/>
    <mergeCell ref="B210:W211"/>
    <mergeCell ref="B213:W213"/>
  </mergeCells>
  <conditionalFormatting sqref="B7:W7">
    <cfRule type="expression" priority="2" aboveAverage="0" equalAverage="0" bottom="0" percent="0" rank="0" text="" dxfId="16">
      <formula>LEN($B$7)&gt;0</formula>
    </cfRule>
  </conditionalFormatting>
  <conditionalFormatting sqref="P9:P208">
    <cfRule type="cellIs" priority="3" operator="equal" aboveAverage="0" equalAverage="0" bottom="0" percent="0" rank="0" text="" dxfId="17">
      <formula>"Open"</formula>
    </cfRule>
    <cfRule type="cellIs" priority="4" operator="equal" aboveAverage="0" equalAverage="0" bottom="0" percent="0" rank="0" text="" dxfId="18">
      <formula>"In progress"</formula>
    </cfRule>
    <cfRule type="cellIs" priority="5" operator="equal" aboveAverage="0" equalAverage="0" bottom="0" percent="0" rank="0" text="" dxfId="19">
      <formula>"Ready for inspection"</formula>
    </cfRule>
    <cfRule type="cellIs" priority="6" operator="equal" aboveAverage="0" equalAverage="0" bottom="0" percent="0" rank="0" text="" dxfId="20">
      <formula>"Not accepted"</formula>
    </cfRule>
    <cfRule type="cellIs" priority="7" operator="equal" aboveAverage="0" equalAverage="0" bottom="0" percent="0" rank="0" text="" dxfId="21">
      <formula>"Closed"</formula>
    </cfRule>
    <cfRule type="cellIs" priority="8" operator="equal" aboveAverage="0" equalAverage="0" bottom="0" percent="0" rank="0" text="" dxfId="22">
      <formula>"Not a defect"</formula>
    </cfRule>
    <cfRule type="cellIs" priority="9" operator="equal" aboveAverage="0" equalAverage="0" bottom="0" percent="0" rank="0" text="" dxfId="23">
      <formula>"On hold"</formula>
    </cfRule>
  </conditionalFormatting>
  <conditionalFormatting sqref="K9:K208">
    <cfRule type="cellIs" priority="10" operator="equal" aboveAverage="0" equalAverage="0" bottom="0" percent="0" rank="0" text="" dxfId="24">
      <formula>"Critical"</formula>
    </cfRule>
    <cfRule type="cellIs" priority="11" operator="equal" aboveAverage="0" equalAverage="0" bottom="0" percent="0" rank="0" text="" dxfId="20">
      <formula>"Major"</formula>
    </cfRule>
    <cfRule type="cellIs" priority="12" operator="equal" aboveAverage="0" equalAverage="0" bottom="0" percent="0" rank="0" text="" dxfId="18">
      <formula>"Minor"</formula>
    </cfRule>
  </conditionalFormatting>
  <conditionalFormatting sqref="L9:L208">
    <cfRule type="cellIs" priority="13" operator="equal" aboveAverage="0" equalAverage="0" bottom="0" percent="0" rank="0" text="" dxfId="24">
      <formula>"Yes"</formula>
    </cfRule>
  </conditionalFormatting>
  <conditionalFormatting sqref="U9:U208">
    <cfRule type="expression" priority="14" aboveAverage="0" equalAverage="0" bottom="0" percent="0" rank="0" text="" dxfId="25">
      <formula>ISNUMBER(SEARCH("OVERDUE",$U9))</formula>
    </cfRule>
    <cfRule type="cellIs" priority="15" operator="equal" aboveAverage="0" equalAverage="0" bottom="0" percent="0" rank="0" text="" dxfId="26">
      <formula>"no target"</formula>
    </cfRule>
  </conditionalFormatting>
  <conditionalFormatting sqref="B9:J208">
    <cfRule type="expression" priority="16" aboveAverage="0" equalAverage="0" bottom="0" percent="0" rank="0" text="" dxfId="27">
      <formula>OR($P9="Closed",$P9="Not a defect")</formula>
    </cfRule>
  </conditionalFormatting>
  <dataValidations count="8">
    <dataValidation allowBlank="true" errorStyle="stop" operator="between" showDropDown="false" showErrorMessage="false" showInputMessage="false" sqref="C9:C208" type="list">
      <formula1>Reference!$B$6:$B$7</formula1>
      <formula2>0</formula2>
    </dataValidation>
    <dataValidation allowBlank="true" errorStyle="stop" operator="between" showDropDown="false" showErrorMessage="false" showInputMessage="false" sqref="E9:E208" type="list">
      <formula1>Reference!$H$6:$H$15</formula1>
      <formula2>0</formula2>
    </dataValidation>
    <dataValidation allowBlank="true" errorStyle="stop" operator="between" showDropDown="false" showErrorMessage="false" showInputMessage="false" sqref="H9:H208" type="list">
      <formula1>Reference!$C$6:$C$33</formula1>
      <formula2>0</formula2>
    </dataValidation>
    <dataValidation allowBlank="true" errorStyle="stop" operator="between" showDropDown="false" showErrorMessage="false" showInputMessage="false" sqref="I9:I208" type="list">
      <formula1>Reference!$D$6:$D$12</formula1>
      <formula2>0</formula2>
    </dataValidation>
    <dataValidation allowBlank="true" errorStyle="stop" operator="between" showDropDown="false" showErrorMessage="false" showInputMessage="false" sqref="K9:K208" type="list">
      <formula1>Reference!$E$6:$E$8</formula1>
      <formula2>0</formula2>
    </dataValidation>
    <dataValidation allowBlank="true" errorStyle="stop" operator="between" showDropDown="false" showErrorMessage="false" showInputMessage="false" sqref="L9:L208" type="list">
      <formula1>Reference!$I$6:$I$7</formula1>
      <formula2>0</formula2>
    </dataValidation>
    <dataValidation allowBlank="true" errorStyle="stop" operator="between" showDropDown="false" showErrorMessage="false" showInputMessage="false" sqref="M9:M208" type="list">
      <formula1>Reference!$G$6:$G$11</formula1>
      <formula2>0</formula2>
    </dataValidation>
    <dataValidation allowBlank="true" errorStyle="stop" operator="between" showDropDown="false" showErrorMessage="false" showInputMessage="false" sqref="P9:P208" type="list">
      <formula1>Reference!$F$6:$F$12</formula1>
      <formula2>0</formula2>
    </dataValidation>
  </dataValidations>
  <hyperlinks>
    <hyperlink ref="B213" r:id="rId1" display="Built with Mastt  |  mastt.com"/>
  </hyperlinks>
  <printOptions headings="false" gridLines="false" gridLinesSet="true" horizontalCentered="false" verticalCentered="false"/>
  <pageMargins left="0.3" right="0.3" top="1" bottom="1"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J6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6"/>
    <col collapsed="false" customWidth="true" hidden="false" outlineLevel="0" max="4" min="3" style="0" width="11"/>
    <col collapsed="false" customWidth="true" hidden="false" outlineLevel="0" max="5" min="5" style="0" width="22"/>
    <col collapsed="false" customWidth="true" hidden="false" outlineLevel="0" max="6" min="6" style="0" width="3"/>
    <col collapsed="false" customWidth="true" hidden="false" outlineLevel="0" max="7" min="7" style="0" width="26"/>
    <col collapsed="false" customWidth="true" hidden="false" outlineLevel="0" max="9" min="8" style="0" width="11"/>
    <col collapsed="false" customWidth="true" hidden="false" outlineLevel="0" max="10" min="10" style="0" width="22"/>
    <col collapsed="false" customWidth="true" hidden="false" outlineLevel="0" max="11" min="11" style="0" width="2.2"/>
  </cols>
  <sheetData>
    <row r="1" customFormat="false" ht="7.5" hidden="false" customHeight="true" outlineLevel="0" collapsed="false"/>
    <row r="2" customFormat="false" ht="18.75" hidden="false" customHeight="true" outlineLevel="0" collapsed="false">
      <c r="B2" s="1"/>
      <c r="C2" s="1"/>
      <c r="D2" s="1"/>
      <c r="E2" s="1"/>
      <c r="F2" s="1"/>
      <c r="G2" s="1"/>
      <c r="H2" s="1"/>
      <c r="I2" s="1"/>
      <c r="J2" s="1"/>
    </row>
    <row r="3" customFormat="false" ht="18.75" hidden="false" customHeight="true" outlineLevel="0" collapsed="false">
      <c r="B3" s="1"/>
      <c r="C3" s="1"/>
      <c r="D3" s="31" t="s">
        <v>180</v>
      </c>
      <c r="E3" s="31"/>
      <c r="F3" s="31"/>
      <c r="G3" s="31"/>
      <c r="H3" s="31"/>
      <c r="I3" s="31"/>
      <c r="J3" s="31"/>
    </row>
    <row r="4" customFormat="false" ht="18.75" hidden="false" customHeight="true" outlineLevel="0" collapsed="false">
      <c r="B4" s="1"/>
      <c r="C4" s="1"/>
      <c r="D4" s="32" t="s">
        <v>181</v>
      </c>
      <c r="E4" s="32"/>
      <c r="F4" s="32"/>
      <c r="G4" s="32"/>
      <c r="H4" s="32"/>
      <c r="I4" s="32"/>
      <c r="J4" s="32"/>
    </row>
    <row r="5" customFormat="false" ht="3.75" hidden="false" customHeight="true" outlineLevel="0" collapsed="false">
      <c r="B5" s="3"/>
      <c r="C5" s="3"/>
      <c r="D5" s="3"/>
      <c r="E5" s="3"/>
      <c r="F5" s="3"/>
      <c r="G5" s="3"/>
      <c r="H5" s="3"/>
      <c r="I5" s="3"/>
      <c r="J5" s="3"/>
    </row>
    <row r="6" customFormat="false" ht="15" hidden="false" customHeight="false" outlineLevel="0" collapsed="false">
      <c r="B6" s="43" t="str">
        <f aca="false">IF('Punch List'!$B$7="","","EXAMPLE DATA is still in the register")</f>
        <v>EXAMPLE DATA is still in the register</v>
      </c>
      <c r="C6" s="43"/>
      <c r="D6" s="43"/>
      <c r="E6" s="43"/>
      <c r="F6" s="43"/>
      <c r="G6" s="43"/>
      <c r="H6" s="43"/>
      <c r="I6" s="43"/>
      <c r="J6" s="43"/>
    </row>
    <row r="7" customFormat="false" ht="21.75" hidden="false" customHeight="true" outlineLevel="0" collapsed="false">
      <c r="B7" s="5" t="s">
        <v>182</v>
      </c>
      <c r="C7" s="5"/>
      <c r="D7" s="5"/>
      <c r="E7" s="5"/>
      <c r="F7" s="5"/>
      <c r="G7" s="5"/>
      <c r="H7" s="5"/>
      <c r="I7" s="5"/>
      <c r="J7" s="5"/>
    </row>
    <row r="8" customFormat="false" ht="24" hidden="false" customHeight="true" outlineLevel="0" collapsed="false">
      <c r="B8" s="56" t="s">
        <v>183</v>
      </c>
      <c r="C8" s="56"/>
      <c r="D8" s="57" t="n">
        <f aca="false">COUNTIF('Punch List'!$J$9:$J$208,"?*")</f>
        <v>10</v>
      </c>
      <c r="E8" s="57"/>
      <c r="G8" s="56" t="s">
        <v>184</v>
      </c>
      <c r="H8" s="56"/>
      <c r="I8" s="57" t="n">
        <f aca="true">COUNTIFS('Punch List'!$O$9:$O$208,"&lt;"&amp;TODAY(),'Punch List'!$O$9:$O$208,"&gt;0",'Punch List'!$P$9:$P$208,"&lt;&gt;Closed",'Punch List'!$P$9:$P$208,"&lt;&gt;Not a defect")</f>
        <v>2</v>
      </c>
      <c r="J8" s="57"/>
    </row>
    <row r="9" customFormat="false" ht="24" hidden="false" customHeight="true" outlineLevel="0" collapsed="false">
      <c r="B9" s="56" t="s">
        <v>185</v>
      </c>
      <c r="C9" s="56"/>
      <c r="D9" s="57" t="n">
        <f aca="false">(COUNTIF('Punch List'!$J$9:$J$208,"?*")-COUNTIF('Punch List'!$P$9:$P$208,"Closed")-COUNTIF('Punch List'!$P$9:$P$208,"Not a defect"))</f>
        <v>9</v>
      </c>
      <c r="E9" s="57"/>
      <c r="G9" s="56" t="s">
        <v>186</v>
      </c>
      <c r="H9" s="56"/>
      <c r="I9" s="57" t="n">
        <f aca="false">COUNTIFS('Punch List'!$L$9:$L$208,"Yes",'Punch List'!$P$9:$P$208,"&lt;&gt;Closed",'Punch List'!$P$9:$P$208,"&lt;&gt;Not a defect")</f>
        <v>5</v>
      </c>
      <c r="J9" s="57"/>
    </row>
    <row r="10" customFormat="false" ht="24" hidden="false" customHeight="true" outlineLevel="0" collapsed="false">
      <c r="B10" s="56" t="s">
        <v>187</v>
      </c>
      <c r="C10" s="56"/>
      <c r="D10" s="57" t="n">
        <f aca="false">COUNTIF('Punch List'!$P$9:$P$208,"Closed")</f>
        <v>1</v>
      </c>
      <c r="E10" s="57"/>
      <c r="G10" s="56" t="s">
        <v>188</v>
      </c>
      <c r="H10" s="56"/>
      <c r="I10" s="57" t="n">
        <f aca="false">COUNTIFS('Punch List'!$K$9:$K$208,"Critical",'Punch List'!$P$9:$P$208,"&lt;&gt;Closed",'Punch List'!$P$9:$P$208,"&lt;&gt;Not a defect")</f>
        <v>2</v>
      </c>
      <c r="J10" s="57"/>
    </row>
    <row r="11" customFormat="false" ht="24" hidden="false" customHeight="true" outlineLevel="0" collapsed="false">
      <c r="B11" s="56" t="s">
        <v>189</v>
      </c>
      <c r="C11" s="56"/>
      <c r="D11" s="58" t="n">
        <f aca="false">IFERROR(COUNTIF('Punch List'!$P$9:$P$208,"Closed")/(COUNTIF('Punch List'!$J$9:$J$208,"?*")-COUNTIF('Punch List'!$P$9:$P$208,"Not a defect")),0)</f>
        <v>0.1</v>
      </c>
      <c r="E11" s="58"/>
      <c r="G11" s="56" t="s">
        <v>190</v>
      </c>
      <c r="H11" s="56"/>
      <c r="I11" s="57" t="n">
        <f aca="false">COUNTIFS('Punch List'!$T$9:$T$208,"&gt;30",'Punch List'!$P$9:$P$208,"&lt;&gt;Closed",'Punch List'!$P$9:$P$208,"&lt;&gt;Not a defect")</f>
        <v>0</v>
      </c>
      <c r="J11" s="57"/>
    </row>
    <row r="12" customFormat="false" ht="15" hidden="false" customHeight="true" outlineLevel="0" collapsed="false">
      <c r="G12" s="37" t="s">
        <v>191</v>
      </c>
      <c r="H12" s="37"/>
      <c r="I12" s="37"/>
      <c r="J12" s="37"/>
    </row>
    <row r="13" customFormat="false" ht="19.5" hidden="false" customHeight="true" outlineLevel="0" collapsed="false">
      <c r="B13" s="59" t="s">
        <v>192</v>
      </c>
      <c r="C13" s="59"/>
      <c r="D13" s="59"/>
      <c r="E13" s="59"/>
      <c r="G13" s="59" t="s">
        <v>193</v>
      </c>
      <c r="H13" s="59"/>
      <c r="I13" s="59"/>
      <c r="J13" s="59"/>
    </row>
    <row r="14" customFormat="false" ht="18" hidden="false" customHeight="true" outlineLevel="0" collapsed="false">
      <c r="B14" s="21" t="s">
        <v>25</v>
      </c>
      <c r="C14" s="21" t="s">
        <v>194</v>
      </c>
      <c r="D14" s="21" t="s">
        <v>195</v>
      </c>
      <c r="E14" s="21" t="s">
        <v>196</v>
      </c>
      <c r="G14" s="21" t="s">
        <v>197</v>
      </c>
      <c r="H14" s="21" t="s">
        <v>194</v>
      </c>
      <c r="I14" s="21" t="s">
        <v>195</v>
      </c>
      <c r="J14" s="21" t="s">
        <v>196</v>
      </c>
    </row>
    <row r="15" customFormat="false" ht="15.75" hidden="false" customHeight="true" outlineLevel="0" collapsed="false">
      <c r="B15" s="24" t="s">
        <v>27</v>
      </c>
      <c r="C15" s="60" t="n">
        <f aca="false">COUNTIFS('Punch List'!$P$9:$P$208,"Open")</f>
        <v>5</v>
      </c>
      <c r="D15" s="61" t="n">
        <f aca="false">IFERROR(COUNTIFS('Punch List'!$P$9:$P$208,"Open")/COUNTIF('Punch List'!$J$9:$J$208,"?*"),0)</f>
        <v>0.5</v>
      </c>
      <c r="E15" s="62" t="str">
        <f aca="false">IF(COUNTIFS('Punch List'!$P$9:$P$208,"Open")=0,"",REPT("|",ROUND(IFERROR(COUNTIFS('Punch List'!$P$9:$P$208,"Open")/COUNTIF('Punch List'!$J$9:$J$208,"?*"),0)*26,0)))</f>
        <v>|||||||||||||</v>
      </c>
      <c r="G15" s="24" t="s">
        <v>198</v>
      </c>
      <c r="H15" s="60" t="n">
        <f aca="false">COUNTIFS('Punch List'!$H$9:$H$208,"Demolition",'Punch List'!$P$9:$P$208,"&lt;&gt;Closed",'Punch List'!$P$9:$P$208,"&lt;&gt;Not a defect")</f>
        <v>0</v>
      </c>
      <c r="I15" s="61" t="n">
        <f aca="false">IFERROR(COUNTIFS('Punch List'!$H$9:$H$208,"Demolition",'Punch List'!$P$9:$P$208,"&lt;&gt;Closed",'Punch List'!$P$9:$P$208,"&lt;&gt;Not a defect")/COUNTIF('Punch List'!$J$9:$J$208,"?*"),0)</f>
        <v>0</v>
      </c>
      <c r="J15" s="62" t="str">
        <f aca="false">IF(COUNTIFS('Punch List'!$H$9:$H$208,"Demolition",'Punch List'!$P$9:$P$208,"&lt;&gt;Closed",'Punch List'!$P$9:$P$208,"&lt;&gt;Not a defect")=0,"",REPT("|",ROUND(IFERROR(COUNTIFS('Punch List'!$H$9:$H$208,"Demolition",'Punch List'!$P$9:$P$208,"&lt;&gt;Closed",'Punch List'!$P$9:$P$208,"&lt;&gt;Not a defect")/COUNTIF('Punch List'!$J$9:$J$208,"?*"),0)*26,0)))</f>
        <v/>
      </c>
    </row>
    <row r="16" customFormat="false" ht="15.75" hidden="false" customHeight="true" outlineLevel="0" collapsed="false">
      <c r="B16" s="27" t="s">
        <v>30</v>
      </c>
      <c r="C16" s="63" t="n">
        <f aca="false">COUNTIFS('Punch List'!$P$9:$P$208,"In progress")</f>
        <v>2</v>
      </c>
      <c r="D16" s="64" t="n">
        <f aca="false">IFERROR(COUNTIFS('Punch List'!$P$9:$P$208,"In progress")/COUNTIF('Punch List'!$J$9:$J$208,"?*"),0)</f>
        <v>0.2</v>
      </c>
      <c r="E16" s="65" t="str">
        <f aca="false">IF(COUNTIFS('Punch List'!$P$9:$P$208,"In progress")=0,"",REPT("|",ROUND(IFERROR(COUNTIFS('Punch List'!$P$9:$P$208,"In progress")/COUNTIF('Punch List'!$J$9:$J$208,"?*"),0)*26,0)))</f>
        <v>|||||</v>
      </c>
      <c r="G16" s="27" t="s">
        <v>199</v>
      </c>
      <c r="H16" s="63" t="n">
        <f aca="false">COUNTIFS('Punch List'!$H$9:$H$208,"Earthworks and civil",'Punch List'!$P$9:$P$208,"&lt;&gt;Closed",'Punch List'!$P$9:$P$208,"&lt;&gt;Not a defect")</f>
        <v>0</v>
      </c>
      <c r="I16" s="64" t="n">
        <f aca="false">IFERROR(COUNTIFS('Punch List'!$H$9:$H$208,"Earthworks and civil",'Punch List'!$P$9:$P$208,"&lt;&gt;Closed",'Punch List'!$P$9:$P$208,"&lt;&gt;Not a defect")/COUNTIF('Punch List'!$J$9:$J$208,"?*"),0)</f>
        <v>0</v>
      </c>
      <c r="J16" s="65" t="str">
        <f aca="false">IF(COUNTIFS('Punch List'!$H$9:$H$208,"Earthworks and civil",'Punch List'!$P$9:$P$208,"&lt;&gt;Closed",'Punch List'!$P$9:$P$208,"&lt;&gt;Not a defect")=0,"",REPT("|",ROUND(IFERROR(COUNTIFS('Punch List'!$H$9:$H$208,"Earthworks and civil",'Punch List'!$P$9:$P$208,"&lt;&gt;Closed",'Punch List'!$P$9:$P$208,"&lt;&gt;Not a defect")/COUNTIF('Punch List'!$J$9:$J$208,"?*"),0)*26,0)))</f>
        <v/>
      </c>
    </row>
    <row r="17" customFormat="false" ht="15.75" hidden="false" customHeight="true" outlineLevel="0" collapsed="false">
      <c r="B17" s="24" t="s">
        <v>33</v>
      </c>
      <c r="C17" s="60" t="n">
        <f aca="false">COUNTIFS('Punch List'!$P$9:$P$208,"Ready for inspection")</f>
        <v>1</v>
      </c>
      <c r="D17" s="61" t="n">
        <f aca="false">IFERROR(COUNTIFS('Punch List'!$P$9:$P$208,"Ready for inspection")/COUNTIF('Punch List'!$J$9:$J$208,"?*"),0)</f>
        <v>0.1</v>
      </c>
      <c r="E17" s="62" t="str">
        <f aca="false">IF(COUNTIFS('Punch List'!$P$9:$P$208,"Ready for inspection")=0,"",REPT("|",ROUND(IFERROR(COUNTIFS('Punch List'!$P$9:$P$208,"Ready for inspection")/COUNTIF('Punch List'!$J$9:$J$208,"?*"),0)*26,0)))</f>
        <v>|||</v>
      </c>
      <c r="G17" s="24" t="s">
        <v>200</v>
      </c>
      <c r="H17" s="60" t="n">
        <f aca="false">COUNTIFS('Punch List'!$H$9:$H$208,"Piling and foundations",'Punch List'!$P$9:$P$208,"&lt;&gt;Closed",'Punch List'!$P$9:$P$208,"&lt;&gt;Not a defect")</f>
        <v>0</v>
      </c>
      <c r="I17" s="61" t="n">
        <f aca="false">IFERROR(COUNTIFS('Punch List'!$H$9:$H$208,"Piling and foundations",'Punch List'!$P$9:$P$208,"&lt;&gt;Closed",'Punch List'!$P$9:$P$208,"&lt;&gt;Not a defect")/COUNTIF('Punch List'!$J$9:$J$208,"?*"),0)</f>
        <v>0</v>
      </c>
      <c r="J17" s="62" t="str">
        <f aca="false">IF(COUNTIFS('Punch List'!$H$9:$H$208,"Piling and foundations",'Punch List'!$P$9:$P$208,"&lt;&gt;Closed",'Punch List'!$P$9:$P$208,"&lt;&gt;Not a defect")=0,"",REPT("|",ROUND(IFERROR(COUNTIFS('Punch List'!$H$9:$H$208,"Piling and foundations",'Punch List'!$P$9:$P$208,"&lt;&gt;Closed",'Punch List'!$P$9:$P$208,"&lt;&gt;Not a defect")/COUNTIF('Punch List'!$J$9:$J$208,"?*"),0)*26,0)))</f>
        <v/>
      </c>
    </row>
    <row r="18" customFormat="false" ht="15.75" hidden="false" customHeight="true" outlineLevel="0" collapsed="false">
      <c r="B18" s="27" t="s">
        <v>36</v>
      </c>
      <c r="C18" s="63" t="n">
        <f aca="false">COUNTIFS('Punch List'!$P$9:$P$208,"Not accepted")</f>
        <v>1</v>
      </c>
      <c r="D18" s="64" t="n">
        <f aca="false">IFERROR(COUNTIFS('Punch List'!$P$9:$P$208,"Not accepted")/COUNTIF('Punch List'!$J$9:$J$208,"?*"),0)</f>
        <v>0.1</v>
      </c>
      <c r="E18" s="65" t="str">
        <f aca="false">IF(COUNTIFS('Punch List'!$P$9:$P$208,"Not accepted")=0,"",REPT("|",ROUND(IFERROR(COUNTIFS('Punch List'!$P$9:$P$208,"Not accepted")/COUNTIF('Punch List'!$J$9:$J$208,"?*"),0)*26,0)))</f>
        <v>|||</v>
      </c>
      <c r="G18" s="27" t="s">
        <v>201</v>
      </c>
      <c r="H18" s="63" t="n">
        <f aca="false">COUNTIFS('Punch List'!$H$9:$H$208,"Concrete structure",'Punch List'!$P$9:$P$208,"&lt;&gt;Closed",'Punch List'!$P$9:$P$208,"&lt;&gt;Not a defect")</f>
        <v>0</v>
      </c>
      <c r="I18" s="64" t="n">
        <f aca="false">IFERROR(COUNTIFS('Punch List'!$H$9:$H$208,"Concrete structure",'Punch List'!$P$9:$P$208,"&lt;&gt;Closed",'Punch List'!$P$9:$P$208,"&lt;&gt;Not a defect")/COUNTIF('Punch List'!$J$9:$J$208,"?*"),0)</f>
        <v>0</v>
      </c>
      <c r="J18" s="65" t="str">
        <f aca="false">IF(COUNTIFS('Punch List'!$H$9:$H$208,"Concrete structure",'Punch List'!$P$9:$P$208,"&lt;&gt;Closed",'Punch List'!$P$9:$P$208,"&lt;&gt;Not a defect")=0,"",REPT("|",ROUND(IFERROR(COUNTIFS('Punch List'!$H$9:$H$208,"Concrete structure",'Punch List'!$P$9:$P$208,"&lt;&gt;Closed",'Punch List'!$P$9:$P$208,"&lt;&gt;Not a defect")/COUNTIF('Punch List'!$J$9:$J$208,"?*"),0)*26,0)))</f>
        <v/>
      </c>
    </row>
    <row r="19" customFormat="false" ht="15.75" hidden="false" customHeight="true" outlineLevel="0" collapsed="false">
      <c r="B19" s="24" t="s">
        <v>39</v>
      </c>
      <c r="C19" s="60" t="n">
        <f aca="false">COUNTIFS('Punch List'!$P$9:$P$208,"Closed")</f>
        <v>1</v>
      </c>
      <c r="D19" s="61" t="n">
        <f aca="false">IFERROR(COUNTIFS('Punch List'!$P$9:$P$208,"Closed")/COUNTIF('Punch List'!$J$9:$J$208,"?*"),0)</f>
        <v>0.1</v>
      </c>
      <c r="E19" s="62" t="str">
        <f aca="false">IF(COUNTIFS('Punch List'!$P$9:$P$208,"Closed")=0,"",REPT("|",ROUND(IFERROR(COUNTIFS('Punch List'!$P$9:$P$208,"Closed")/COUNTIF('Punch List'!$J$9:$J$208,"?*"),0)*26,0)))</f>
        <v>|||</v>
      </c>
      <c r="G19" s="24" t="s">
        <v>202</v>
      </c>
      <c r="H19" s="60" t="n">
        <f aca="false">COUNTIFS('Punch List'!$H$9:$H$208,"Structural steel",'Punch List'!$P$9:$P$208,"&lt;&gt;Closed",'Punch List'!$P$9:$P$208,"&lt;&gt;Not a defect")</f>
        <v>0</v>
      </c>
      <c r="I19" s="61" t="n">
        <f aca="false">IFERROR(COUNTIFS('Punch List'!$H$9:$H$208,"Structural steel",'Punch List'!$P$9:$P$208,"&lt;&gt;Closed",'Punch List'!$P$9:$P$208,"&lt;&gt;Not a defect")/COUNTIF('Punch List'!$J$9:$J$208,"?*"),0)</f>
        <v>0</v>
      </c>
      <c r="J19" s="62" t="str">
        <f aca="false">IF(COUNTIFS('Punch List'!$H$9:$H$208,"Structural steel",'Punch List'!$P$9:$P$208,"&lt;&gt;Closed",'Punch List'!$P$9:$P$208,"&lt;&gt;Not a defect")=0,"",REPT("|",ROUND(IFERROR(COUNTIFS('Punch List'!$H$9:$H$208,"Structural steel",'Punch List'!$P$9:$P$208,"&lt;&gt;Closed",'Punch List'!$P$9:$P$208,"&lt;&gt;Not a defect")/COUNTIF('Punch List'!$J$9:$J$208,"?*"),0)*26,0)))</f>
        <v/>
      </c>
    </row>
    <row r="20" customFormat="false" ht="15.75" hidden="false" customHeight="true" outlineLevel="0" collapsed="false">
      <c r="B20" s="27" t="s">
        <v>42</v>
      </c>
      <c r="C20" s="63" t="n">
        <f aca="false">COUNTIFS('Punch List'!$P$9:$P$208,"Not a defect")</f>
        <v>0</v>
      </c>
      <c r="D20" s="64" t="n">
        <f aca="false">IFERROR(COUNTIFS('Punch List'!$P$9:$P$208,"Not a defect")/COUNTIF('Punch List'!$J$9:$J$208,"?*"),0)</f>
        <v>0</v>
      </c>
      <c r="E20" s="65" t="str">
        <f aca="false">IF(COUNTIFS('Punch List'!$P$9:$P$208,"Not a defect")=0,"",REPT("|",ROUND(IFERROR(COUNTIFS('Punch List'!$P$9:$P$208,"Not a defect")/COUNTIF('Punch List'!$J$9:$J$208,"?*"),0)*26,0)))</f>
        <v/>
      </c>
      <c r="G20" s="27" t="s">
        <v>203</v>
      </c>
      <c r="H20" s="63" t="n">
        <f aca="false">COUNTIFS('Punch List'!$H$9:$H$208,"Masonry",'Punch List'!$P$9:$P$208,"&lt;&gt;Closed",'Punch List'!$P$9:$P$208,"&lt;&gt;Not a defect")</f>
        <v>0</v>
      </c>
      <c r="I20" s="64" t="n">
        <f aca="false">IFERROR(COUNTIFS('Punch List'!$H$9:$H$208,"Masonry",'Punch List'!$P$9:$P$208,"&lt;&gt;Closed",'Punch List'!$P$9:$P$208,"&lt;&gt;Not a defect")/COUNTIF('Punch List'!$J$9:$J$208,"?*"),0)</f>
        <v>0</v>
      </c>
      <c r="J20" s="65" t="str">
        <f aca="false">IF(COUNTIFS('Punch List'!$H$9:$H$208,"Masonry",'Punch List'!$P$9:$P$208,"&lt;&gt;Closed",'Punch List'!$P$9:$P$208,"&lt;&gt;Not a defect")=0,"",REPT("|",ROUND(IFERROR(COUNTIFS('Punch List'!$H$9:$H$208,"Masonry",'Punch List'!$P$9:$P$208,"&lt;&gt;Closed",'Punch List'!$P$9:$P$208,"&lt;&gt;Not a defect")/COUNTIF('Punch List'!$J$9:$J$208,"?*"),0)*26,0)))</f>
        <v/>
      </c>
    </row>
    <row r="21" customFormat="false" ht="15.75" hidden="false" customHeight="true" outlineLevel="0" collapsed="false">
      <c r="B21" s="24" t="s">
        <v>43</v>
      </c>
      <c r="C21" s="60" t="n">
        <f aca="false">COUNTIFS('Punch List'!$P$9:$P$208,"On hold")</f>
        <v>0</v>
      </c>
      <c r="D21" s="61" t="n">
        <f aca="false">IFERROR(COUNTIFS('Punch List'!$P$9:$P$208,"On hold")/COUNTIF('Punch List'!$J$9:$J$208,"?*"),0)</f>
        <v>0</v>
      </c>
      <c r="E21" s="62" t="str">
        <f aca="false">IF(COUNTIFS('Punch List'!$P$9:$P$208,"On hold")=0,"",REPT("|",ROUND(IFERROR(COUNTIFS('Punch List'!$P$9:$P$208,"On hold")/COUNTIF('Punch List'!$J$9:$J$208,"?*"),0)*26,0)))</f>
        <v/>
      </c>
      <c r="G21" s="24" t="s">
        <v>204</v>
      </c>
      <c r="H21" s="60" t="n">
        <f aca="false">COUNTIFS('Punch List'!$H$9:$H$208,"Carpentry and joinery",'Punch List'!$P$9:$P$208,"&lt;&gt;Closed",'Punch List'!$P$9:$P$208,"&lt;&gt;Not a defect")</f>
        <v>0</v>
      </c>
      <c r="I21" s="61" t="n">
        <f aca="false">IFERROR(COUNTIFS('Punch List'!$H$9:$H$208,"Carpentry and joinery",'Punch List'!$P$9:$P$208,"&lt;&gt;Closed",'Punch List'!$P$9:$P$208,"&lt;&gt;Not a defect")/COUNTIF('Punch List'!$J$9:$J$208,"?*"),0)</f>
        <v>0</v>
      </c>
      <c r="J21" s="62" t="str">
        <f aca="false">IF(COUNTIFS('Punch List'!$H$9:$H$208,"Carpentry and joinery",'Punch List'!$P$9:$P$208,"&lt;&gt;Closed",'Punch List'!$P$9:$P$208,"&lt;&gt;Not a defect")=0,"",REPT("|",ROUND(IFERROR(COUNTIFS('Punch List'!$H$9:$H$208,"Carpentry and joinery",'Punch List'!$P$9:$P$208,"&lt;&gt;Closed",'Punch List'!$P$9:$P$208,"&lt;&gt;Not a defect")/COUNTIF('Punch List'!$J$9:$J$208,"?*"),0)*26,0)))</f>
        <v/>
      </c>
    </row>
    <row r="22" customFormat="false" ht="15.75" hidden="false" customHeight="true" outlineLevel="0" collapsed="false">
      <c r="G22" s="27" t="s">
        <v>205</v>
      </c>
      <c r="H22" s="63" t="n">
        <f aca="false">COUNTIFS('Punch List'!$H$9:$H$208,"Roofing and cladding",'Punch List'!$P$9:$P$208,"&lt;&gt;Closed",'Punch List'!$P$9:$P$208,"&lt;&gt;Not a defect")</f>
        <v>0</v>
      </c>
      <c r="I22" s="64" t="n">
        <f aca="false">IFERROR(COUNTIFS('Punch List'!$H$9:$H$208,"Roofing and cladding",'Punch List'!$P$9:$P$208,"&lt;&gt;Closed",'Punch List'!$P$9:$P$208,"&lt;&gt;Not a defect")/COUNTIF('Punch List'!$J$9:$J$208,"?*"),0)</f>
        <v>0</v>
      </c>
      <c r="J22" s="65" t="str">
        <f aca="false">IF(COUNTIFS('Punch List'!$H$9:$H$208,"Roofing and cladding",'Punch List'!$P$9:$P$208,"&lt;&gt;Closed",'Punch List'!$P$9:$P$208,"&lt;&gt;Not a defect")=0,"",REPT("|",ROUND(IFERROR(COUNTIFS('Punch List'!$H$9:$H$208,"Roofing and cladding",'Punch List'!$P$9:$P$208,"&lt;&gt;Closed",'Punch List'!$P$9:$P$208,"&lt;&gt;Not a defect")/COUNTIF('Punch List'!$J$9:$J$208,"?*"),0)*26,0)))</f>
        <v/>
      </c>
    </row>
    <row r="23" customFormat="false" ht="15.75" hidden="false" customHeight="true" outlineLevel="0" collapsed="false">
      <c r="B23" s="59" t="s">
        <v>206</v>
      </c>
      <c r="C23" s="59"/>
      <c r="D23" s="59"/>
      <c r="E23" s="59"/>
      <c r="G23" s="24" t="s">
        <v>127</v>
      </c>
      <c r="H23" s="60" t="n">
        <f aca="false">COUNTIFS('Punch List'!$H$9:$H$208,"Facade and glazing",'Punch List'!$P$9:$P$208,"&lt;&gt;Closed",'Punch List'!$P$9:$P$208,"&lt;&gt;Not a defect")</f>
        <v>1</v>
      </c>
      <c r="I23" s="61" t="n">
        <f aca="false">IFERROR(COUNTIFS('Punch List'!$H$9:$H$208,"Facade and glazing",'Punch List'!$P$9:$P$208,"&lt;&gt;Closed",'Punch List'!$P$9:$P$208,"&lt;&gt;Not a defect")/COUNTIF('Punch List'!$J$9:$J$208,"?*"),0)</f>
        <v>0.1</v>
      </c>
      <c r="J23" s="62" t="str">
        <f aca="false">IF(COUNTIFS('Punch List'!$H$9:$H$208,"Facade and glazing",'Punch List'!$P$9:$P$208,"&lt;&gt;Closed",'Punch List'!$P$9:$P$208,"&lt;&gt;Not a defect")=0,"",REPT("|",ROUND(IFERROR(COUNTIFS('Punch List'!$H$9:$H$208,"Facade and glazing",'Punch List'!$P$9:$P$208,"&lt;&gt;Closed",'Punch List'!$P$9:$P$208,"&lt;&gt;Not a defect")/COUNTIF('Punch List'!$J$9:$J$208,"?*"),0)*26,0)))</f>
        <v>|||</v>
      </c>
    </row>
    <row r="24" customFormat="false" ht="15.75" hidden="false" customHeight="true" outlineLevel="0" collapsed="false">
      <c r="B24" s="21" t="s">
        <v>104</v>
      </c>
      <c r="C24" s="21" t="s">
        <v>194</v>
      </c>
      <c r="D24" s="21" t="s">
        <v>195</v>
      </c>
      <c r="E24" s="21" t="s">
        <v>196</v>
      </c>
      <c r="G24" s="27" t="s">
        <v>207</v>
      </c>
      <c r="H24" s="63" t="n">
        <f aca="false">COUNTIFS('Punch List'!$H$9:$H$208,"Windows and doors",'Punch List'!$P$9:$P$208,"&lt;&gt;Closed",'Punch List'!$P$9:$P$208,"&lt;&gt;Not a defect")</f>
        <v>0</v>
      </c>
      <c r="I24" s="64" t="n">
        <f aca="false">IFERROR(COUNTIFS('Punch List'!$H$9:$H$208,"Windows and doors",'Punch List'!$P$9:$P$208,"&lt;&gt;Closed",'Punch List'!$P$9:$P$208,"&lt;&gt;Not a defect")/COUNTIF('Punch List'!$J$9:$J$208,"?*"),0)</f>
        <v>0</v>
      </c>
      <c r="J24" s="65" t="str">
        <f aca="false">IF(COUNTIFS('Punch List'!$H$9:$H$208,"Windows and doors",'Punch List'!$P$9:$P$208,"&lt;&gt;Closed",'Punch List'!$P$9:$P$208,"&lt;&gt;Not a defect")=0,"",REPT("|",ROUND(IFERROR(COUNTIFS('Punch List'!$H$9:$H$208,"Windows and doors",'Punch List'!$P$9:$P$208,"&lt;&gt;Closed",'Punch List'!$P$9:$P$208,"&lt;&gt;Not a defect")/COUNTIF('Punch List'!$J$9:$J$208,"?*"),0)*26,0)))</f>
        <v/>
      </c>
    </row>
    <row r="25" customFormat="false" ht="15.75" hidden="false" customHeight="true" outlineLevel="0" collapsed="false">
      <c r="B25" s="24" t="s">
        <v>28</v>
      </c>
      <c r="C25" s="60" t="n">
        <f aca="false">COUNTIFS('Punch List'!$K$9:$K$208,"Critical")</f>
        <v>2</v>
      </c>
      <c r="D25" s="61" t="n">
        <f aca="false">IFERROR(COUNTIFS('Punch List'!$K$9:$K$208,"Critical")/COUNTIF('Punch List'!$J$9:$J$208,"?*"),0)</f>
        <v>0.2</v>
      </c>
      <c r="E25" s="62" t="str">
        <f aca="false">IF(COUNTIFS('Punch List'!$K$9:$K$208,"Critical")=0,"",REPT("|",ROUND(IFERROR(COUNTIFS('Punch List'!$K$9:$K$208,"Critical")/COUNTIF('Punch List'!$J$9:$J$208,"?*"),0)*26,0)))</f>
        <v>|||||</v>
      </c>
      <c r="G25" s="24" t="s">
        <v>208</v>
      </c>
      <c r="H25" s="60" t="n">
        <f aca="false">COUNTIFS('Punch List'!$H$9:$H$208,"Waterproofing",'Punch List'!$P$9:$P$208,"&lt;&gt;Closed",'Punch List'!$P$9:$P$208,"&lt;&gt;Not a defect")</f>
        <v>0</v>
      </c>
      <c r="I25" s="61" t="n">
        <f aca="false">IFERROR(COUNTIFS('Punch List'!$H$9:$H$208,"Waterproofing",'Punch List'!$P$9:$P$208,"&lt;&gt;Closed",'Punch List'!$P$9:$P$208,"&lt;&gt;Not a defect")/COUNTIF('Punch List'!$J$9:$J$208,"?*"),0)</f>
        <v>0</v>
      </c>
      <c r="J25" s="62" t="str">
        <f aca="false">IF(COUNTIFS('Punch List'!$H$9:$H$208,"Waterproofing",'Punch List'!$P$9:$P$208,"&lt;&gt;Closed",'Punch List'!$P$9:$P$208,"&lt;&gt;Not a defect")=0,"",REPT("|",ROUND(IFERROR(COUNTIFS('Punch List'!$H$9:$H$208,"Waterproofing",'Punch List'!$P$9:$P$208,"&lt;&gt;Closed",'Punch List'!$P$9:$P$208,"&lt;&gt;Not a defect")/COUNTIF('Punch List'!$J$9:$J$208,"?*"),0)*26,0)))</f>
        <v/>
      </c>
    </row>
    <row r="26" customFormat="false" ht="15.75" hidden="false" customHeight="true" outlineLevel="0" collapsed="false">
      <c r="B26" s="27" t="s">
        <v>31</v>
      </c>
      <c r="C26" s="63" t="n">
        <f aca="false">COUNTIFS('Punch List'!$K$9:$K$208,"Major")</f>
        <v>4</v>
      </c>
      <c r="D26" s="64" t="n">
        <f aca="false">IFERROR(COUNTIFS('Punch List'!$K$9:$K$208,"Major")/COUNTIF('Punch List'!$J$9:$J$208,"?*"),0)</f>
        <v>0.4</v>
      </c>
      <c r="E26" s="65" t="str">
        <f aca="false">IF(COUNTIFS('Punch List'!$K$9:$K$208,"Major")=0,"",REPT("|",ROUND(IFERROR(COUNTIFS('Punch List'!$K$9:$K$208,"Major")/COUNTIF('Punch List'!$J$9:$J$208,"?*"),0)*26,0)))</f>
        <v>||||||||||</v>
      </c>
      <c r="G26" s="27" t="s">
        <v>209</v>
      </c>
      <c r="H26" s="63" t="n">
        <f aca="false">COUNTIFS('Punch List'!$H$9:$H$208,"Plastering and linings",'Punch List'!$P$9:$P$208,"&lt;&gt;Closed",'Punch List'!$P$9:$P$208,"&lt;&gt;Not a defect")</f>
        <v>0</v>
      </c>
      <c r="I26" s="64" t="n">
        <f aca="false">IFERROR(COUNTIFS('Punch List'!$H$9:$H$208,"Plastering and linings",'Punch List'!$P$9:$P$208,"&lt;&gt;Closed",'Punch List'!$P$9:$P$208,"&lt;&gt;Not a defect")/COUNTIF('Punch List'!$J$9:$J$208,"?*"),0)</f>
        <v>0</v>
      </c>
      <c r="J26" s="65" t="str">
        <f aca="false">IF(COUNTIFS('Punch List'!$H$9:$H$208,"Plastering and linings",'Punch List'!$P$9:$P$208,"&lt;&gt;Closed",'Punch List'!$P$9:$P$208,"&lt;&gt;Not a defect")=0,"",REPT("|",ROUND(IFERROR(COUNTIFS('Punch List'!$H$9:$H$208,"Plastering and linings",'Punch List'!$P$9:$P$208,"&lt;&gt;Closed",'Punch List'!$P$9:$P$208,"&lt;&gt;Not a defect")/COUNTIF('Punch List'!$J$9:$J$208,"?*"),0)*26,0)))</f>
        <v/>
      </c>
    </row>
    <row r="27" customFormat="false" ht="15.75" hidden="false" customHeight="true" outlineLevel="0" collapsed="false">
      <c r="B27" s="24" t="s">
        <v>34</v>
      </c>
      <c r="C27" s="60" t="n">
        <f aca="false">COUNTIFS('Punch List'!$K$9:$K$208,"Minor")</f>
        <v>4</v>
      </c>
      <c r="D27" s="61" t="n">
        <f aca="false">IFERROR(COUNTIFS('Punch List'!$K$9:$K$208,"Minor")/COUNTIF('Punch List'!$J$9:$J$208,"?*"),0)</f>
        <v>0.4</v>
      </c>
      <c r="E27" s="62" t="str">
        <f aca="false">IF(COUNTIFS('Punch List'!$K$9:$K$208,"Minor")=0,"",REPT("|",ROUND(IFERROR(COUNTIFS('Punch List'!$K$9:$K$208,"Minor")/COUNTIF('Punch List'!$J$9:$J$208,"?*"),0)*26,0)))</f>
        <v>||||||||||</v>
      </c>
      <c r="G27" s="24" t="s">
        <v>210</v>
      </c>
      <c r="H27" s="60" t="n">
        <f aca="false">COUNTIFS('Punch List'!$H$9:$H$208,"Partitions",'Punch List'!$P$9:$P$208,"&lt;&gt;Closed",'Punch List'!$P$9:$P$208,"&lt;&gt;Not a defect")</f>
        <v>0</v>
      </c>
      <c r="I27" s="61" t="n">
        <f aca="false">IFERROR(COUNTIFS('Punch List'!$H$9:$H$208,"Partitions",'Punch List'!$P$9:$P$208,"&lt;&gt;Closed",'Punch List'!$P$9:$P$208,"&lt;&gt;Not a defect")/COUNTIF('Punch List'!$J$9:$J$208,"?*"),0)</f>
        <v>0</v>
      </c>
      <c r="J27" s="62" t="str">
        <f aca="false">IF(COUNTIFS('Punch List'!$H$9:$H$208,"Partitions",'Punch List'!$P$9:$P$208,"&lt;&gt;Closed",'Punch List'!$P$9:$P$208,"&lt;&gt;Not a defect")=0,"",REPT("|",ROUND(IFERROR(COUNTIFS('Punch List'!$H$9:$H$208,"Partitions",'Punch List'!$P$9:$P$208,"&lt;&gt;Closed",'Punch List'!$P$9:$P$208,"&lt;&gt;Not a defect")/COUNTIF('Punch List'!$J$9:$J$208,"?*"),0)*26,0)))</f>
        <v/>
      </c>
    </row>
    <row r="28" customFormat="false" ht="15.75" hidden="false" customHeight="true" outlineLevel="0" collapsed="false">
      <c r="G28" s="27" t="s">
        <v>155</v>
      </c>
      <c r="H28" s="63" t="n">
        <f aca="false">COUNTIFS('Punch List'!$H$9:$H$208,"Ceilings",'Punch List'!$P$9:$P$208,"&lt;&gt;Closed",'Punch List'!$P$9:$P$208,"&lt;&gt;Not a defect")</f>
        <v>0</v>
      </c>
      <c r="I28" s="64" t="n">
        <f aca="false">IFERROR(COUNTIFS('Punch List'!$H$9:$H$208,"Ceilings",'Punch List'!$P$9:$P$208,"&lt;&gt;Closed",'Punch List'!$P$9:$P$208,"&lt;&gt;Not a defect")/COUNTIF('Punch List'!$J$9:$J$208,"?*"),0)</f>
        <v>0</v>
      </c>
      <c r="J28" s="65" t="str">
        <f aca="false">IF(COUNTIFS('Punch List'!$H$9:$H$208,"Ceilings",'Punch List'!$P$9:$P$208,"&lt;&gt;Closed",'Punch List'!$P$9:$P$208,"&lt;&gt;Not a defect")=0,"",REPT("|",ROUND(IFERROR(COUNTIFS('Punch List'!$H$9:$H$208,"Ceilings",'Punch List'!$P$9:$P$208,"&lt;&gt;Closed",'Punch List'!$P$9:$P$208,"&lt;&gt;Not a defect")/COUNTIF('Punch List'!$J$9:$J$208,"?*"),0)*26,0)))</f>
        <v/>
      </c>
    </row>
    <row r="29" customFormat="false" ht="15.75" hidden="false" customHeight="true" outlineLevel="0" collapsed="false">
      <c r="B29" s="59" t="s">
        <v>211</v>
      </c>
      <c r="C29" s="59"/>
      <c r="D29" s="59"/>
      <c r="E29" s="59"/>
      <c r="G29" s="24" t="s">
        <v>119</v>
      </c>
      <c r="H29" s="60" t="n">
        <f aca="false">COUNTIFS('Punch List'!$H$9:$H$208,"Painting",'Punch List'!$P$9:$P$208,"&lt;&gt;Closed",'Punch List'!$P$9:$P$208,"&lt;&gt;Not a defect")</f>
        <v>1</v>
      </c>
      <c r="I29" s="61" t="n">
        <f aca="false">IFERROR(COUNTIFS('Punch List'!$H$9:$H$208,"Painting",'Punch List'!$P$9:$P$208,"&lt;&gt;Closed",'Punch List'!$P$9:$P$208,"&lt;&gt;Not a defect")/COUNTIF('Punch List'!$J$9:$J$208,"?*"),0)</f>
        <v>0.1</v>
      </c>
      <c r="J29" s="62" t="str">
        <f aca="false">IF(COUNTIFS('Punch List'!$H$9:$H$208,"Painting",'Punch List'!$P$9:$P$208,"&lt;&gt;Closed",'Punch List'!$P$9:$P$208,"&lt;&gt;Not a defect")=0,"",REPT("|",ROUND(IFERROR(COUNTIFS('Punch List'!$H$9:$H$208,"Painting",'Punch List'!$P$9:$P$208,"&lt;&gt;Closed",'Punch List'!$P$9:$P$208,"&lt;&gt;Not a defect")/COUNTIF('Punch List'!$J$9:$J$208,"?*"),0)*26,0)))</f>
        <v>|||</v>
      </c>
    </row>
    <row r="30" customFormat="false" ht="15.75" hidden="false" customHeight="true" outlineLevel="0" collapsed="false">
      <c r="B30" s="21" t="s">
        <v>96</v>
      </c>
      <c r="C30" s="21" t="s">
        <v>194</v>
      </c>
      <c r="D30" s="21" t="s">
        <v>195</v>
      </c>
      <c r="E30" s="21" t="s">
        <v>196</v>
      </c>
      <c r="G30" s="27" t="s">
        <v>176</v>
      </c>
      <c r="H30" s="63" t="n">
        <f aca="false">COUNTIFS('Punch List'!$H$9:$H$208,"Floor finishes",'Punch List'!$P$9:$P$208,"&lt;&gt;Closed",'Punch List'!$P$9:$P$208,"&lt;&gt;Not a defect")</f>
        <v>1</v>
      </c>
      <c r="I30" s="64" t="n">
        <f aca="false">IFERROR(COUNTIFS('Punch List'!$H$9:$H$208,"Floor finishes",'Punch List'!$P$9:$P$208,"&lt;&gt;Closed",'Punch List'!$P$9:$P$208,"&lt;&gt;Not a defect")/COUNTIF('Punch List'!$J$9:$J$208,"?*"),0)</f>
        <v>0.1</v>
      </c>
      <c r="J30" s="65" t="str">
        <f aca="false">IF(COUNTIFS('Punch List'!$H$9:$H$208,"Floor finishes",'Punch List'!$P$9:$P$208,"&lt;&gt;Closed",'Punch List'!$P$9:$P$208,"&lt;&gt;Not a defect")=0,"",REPT("|",ROUND(IFERROR(COUNTIFS('Punch List'!$H$9:$H$208,"Floor finishes",'Punch List'!$P$9:$P$208,"&lt;&gt;Closed",'Punch List'!$P$9:$P$208,"&lt;&gt;Not a defect")/COUNTIF('Punch List'!$J$9:$J$208,"?*"),0)*26,0)))</f>
        <v>|||</v>
      </c>
    </row>
    <row r="31" customFormat="false" ht="15.75" hidden="false" customHeight="true" outlineLevel="0" collapsed="false">
      <c r="B31" s="24" t="s">
        <v>115</v>
      </c>
      <c r="C31" s="60" t="n">
        <f aca="false">COUNTIFS('Punch List'!$C$9:$C$208,"Pre-Practical Completion")</f>
        <v>8</v>
      </c>
      <c r="D31" s="61" t="n">
        <f aca="false">IFERROR(COUNTIFS('Punch List'!$C$9:$C$208,"Pre-Practical Completion")/COUNTIF('Punch List'!$J$9:$J$208,"?*"),0)</f>
        <v>0.8</v>
      </c>
      <c r="E31" s="62" t="str">
        <f aca="false">IF(COUNTIFS('Punch List'!$C$9:$C$208,"Pre-Practical Completion")=0,"",REPT("|",ROUND(IFERROR(COUNTIFS('Punch List'!$C$9:$C$208,"Pre-Practical Completion")/COUNTIF('Punch List'!$J$9:$J$208,"?*"),0)*26,0)))</f>
        <v>|||||||||||||||||||||</v>
      </c>
      <c r="G31" s="24" t="s">
        <v>212</v>
      </c>
      <c r="H31" s="60" t="n">
        <f aca="false">COUNTIFS('Punch List'!$H$9:$H$208,"Tiling",'Punch List'!$P$9:$P$208,"&lt;&gt;Closed",'Punch List'!$P$9:$P$208,"&lt;&gt;Not a defect")</f>
        <v>0</v>
      </c>
      <c r="I31" s="61" t="n">
        <f aca="false">IFERROR(COUNTIFS('Punch List'!$H$9:$H$208,"Tiling",'Punch List'!$P$9:$P$208,"&lt;&gt;Closed",'Punch List'!$P$9:$P$208,"&lt;&gt;Not a defect")/COUNTIF('Punch List'!$J$9:$J$208,"?*"),0)</f>
        <v>0</v>
      </c>
      <c r="J31" s="62" t="str">
        <f aca="false">IF(COUNTIFS('Punch List'!$H$9:$H$208,"Tiling",'Punch List'!$P$9:$P$208,"&lt;&gt;Closed",'Punch List'!$P$9:$P$208,"&lt;&gt;Not a defect")=0,"",REPT("|",ROUND(IFERROR(COUNTIFS('Punch List'!$H$9:$H$208,"Tiling",'Punch List'!$P$9:$P$208,"&lt;&gt;Closed",'Punch List'!$P$9:$P$208,"&lt;&gt;Not a defect")/COUNTIF('Punch List'!$J$9:$J$208,"?*"),0)*26,0)))</f>
        <v/>
      </c>
    </row>
    <row r="32" customFormat="false" ht="15.75" hidden="false" customHeight="true" outlineLevel="0" collapsed="false">
      <c r="B32" s="27" t="s">
        <v>170</v>
      </c>
      <c r="C32" s="63" t="n">
        <f aca="false">COUNTIFS('Punch List'!$C$9:$C$208,"Defects Liability Period")</f>
        <v>2</v>
      </c>
      <c r="D32" s="64" t="n">
        <f aca="false">IFERROR(COUNTIFS('Punch List'!$C$9:$C$208,"Defects Liability Period")/COUNTIF('Punch List'!$J$9:$J$208,"?*"),0)</f>
        <v>0.2</v>
      </c>
      <c r="E32" s="65" t="str">
        <f aca="false">IF(COUNTIFS('Punch List'!$C$9:$C$208,"Defects Liability Period")=0,"",REPT("|",ROUND(IFERROR(COUNTIFS('Punch List'!$C$9:$C$208,"Defects Liability Period")/COUNTIF('Punch List'!$J$9:$J$208,"?*"),0)*26,0)))</f>
        <v>|||||</v>
      </c>
      <c r="G32" s="27" t="s">
        <v>172</v>
      </c>
      <c r="H32" s="63" t="n">
        <f aca="false">COUNTIFS('Punch List'!$H$9:$H$208,"Hydraulic services",'Punch List'!$P$9:$P$208,"&lt;&gt;Closed",'Punch List'!$P$9:$P$208,"&lt;&gt;Not a defect")</f>
        <v>1</v>
      </c>
      <c r="I32" s="64" t="n">
        <f aca="false">IFERROR(COUNTIFS('Punch List'!$H$9:$H$208,"Hydraulic services",'Punch List'!$P$9:$P$208,"&lt;&gt;Closed",'Punch List'!$P$9:$P$208,"&lt;&gt;Not a defect")/COUNTIF('Punch List'!$J$9:$J$208,"?*"),0)</f>
        <v>0.1</v>
      </c>
      <c r="J32" s="65" t="str">
        <f aca="false">IF(COUNTIFS('Punch List'!$H$9:$H$208,"Hydraulic services",'Punch List'!$P$9:$P$208,"&lt;&gt;Closed",'Punch List'!$P$9:$P$208,"&lt;&gt;Not a defect")=0,"",REPT("|",ROUND(IFERROR(COUNTIFS('Punch List'!$H$9:$H$208,"Hydraulic services",'Punch List'!$P$9:$P$208,"&lt;&gt;Closed",'Punch List'!$P$9:$P$208,"&lt;&gt;Not a defect")/COUNTIF('Punch List'!$J$9:$J$208,"?*"),0)*26,0)))</f>
        <v>|||</v>
      </c>
    </row>
    <row r="33" customFormat="false" ht="15.75" hidden="false" customHeight="true" outlineLevel="0" collapsed="false">
      <c r="G33" s="24" t="s">
        <v>136</v>
      </c>
      <c r="H33" s="60" t="n">
        <f aca="false">COUNTIFS('Punch List'!$H$9:$H$208,"Mechanical services",'Punch List'!$P$9:$P$208,"&lt;&gt;Closed",'Punch List'!$P$9:$P$208,"&lt;&gt;Not a defect")</f>
        <v>1</v>
      </c>
      <c r="I33" s="61" t="n">
        <f aca="false">IFERROR(COUNTIFS('Punch List'!$H$9:$H$208,"Mechanical services",'Punch List'!$P$9:$P$208,"&lt;&gt;Closed",'Punch List'!$P$9:$P$208,"&lt;&gt;Not a defect")/COUNTIF('Punch List'!$J$9:$J$208,"?*"),0)</f>
        <v>0.1</v>
      </c>
      <c r="J33" s="62" t="str">
        <f aca="false">IF(COUNTIFS('Punch List'!$H$9:$H$208,"Mechanical services",'Punch List'!$P$9:$P$208,"&lt;&gt;Closed",'Punch List'!$P$9:$P$208,"&lt;&gt;Not a defect")=0,"",REPT("|",ROUND(IFERROR(COUNTIFS('Punch List'!$H$9:$H$208,"Mechanical services",'Punch List'!$P$9:$P$208,"&lt;&gt;Closed",'Punch List'!$P$9:$P$208,"&lt;&gt;Not a defect")/COUNTIF('Punch List'!$J$9:$J$208,"?*"),0)*26,0)))</f>
        <v>|||</v>
      </c>
    </row>
    <row r="34" customFormat="false" ht="15.75" hidden="false" customHeight="true" outlineLevel="0" collapsed="false">
      <c r="B34" s="59" t="s">
        <v>213</v>
      </c>
      <c r="C34" s="59"/>
      <c r="D34" s="59"/>
      <c r="E34" s="59"/>
      <c r="G34" s="27" t="s">
        <v>143</v>
      </c>
      <c r="H34" s="63" t="n">
        <f aca="false">COUNTIFS('Punch List'!$H$9:$H$208,"Electrical services",'Punch List'!$P$9:$P$208,"&lt;&gt;Closed",'Punch List'!$P$9:$P$208,"&lt;&gt;Not a defect")</f>
        <v>1</v>
      </c>
      <c r="I34" s="64" t="n">
        <f aca="false">IFERROR(COUNTIFS('Punch List'!$H$9:$H$208,"Electrical services",'Punch List'!$P$9:$P$208,"&lt;&gt;Closed",'Punch List'!$P$9:$P$208,"&lt;&gt;Not a defect")/COUNTIF('Punch List'!$J$9:$J$208,"?*"),0)</f>
        <v>0.1</v>
      </c>
      <c r="J34" s="65" t="str">
        <f aca="false">IF(COUNTIFS('Punch List'!$H$9:$H$208,"Electrical services",'Punch List'!$P$9:$P$208,"&lt;&gt;Closed",'Punch List'!$P$9:$P$208,"&lt;&gt;Not a defect")=0,"",REPT("|",ROUND(IFERROR(COUNTIFS('Punch List'!$H$9:$H$208,"Electrical services",'Punch List'!$P$9:$P$208,"&lt;&gt;Closed",'Punch List'!$P$9:$P$208,"&lt;&gt;Not a defect")/COUNTIF('Punch List'!$J$9:$J$208,"?*"),0)*26,0)))</f>
        <v>|||</v>
      </c>
    </row>
    <row r="35" customFormat="false" ht="15.75" hidden="false" customHeight="true" outlineLevel="0" collapsed="false">
      <c r="B35" s="21" t="s">
        <v>214</v>
      </c>
      <c r="C35" s="21" t="s">
        <v>194</v>
      </c>
      <c r="D35" s="21" t="s">
        <v>215</v>
      </c>
      <c r="E35" s="21" t="s">
        <v>196</v>
      </c>
      <c r="G35" s="24" t="s">
        <v>216</v>
      </c>
      <c r="H35" s="60" t="n">
        <f aca="false">COUNTIFS('Punch List'!$H$9:$H$208,"Fire services",'Punch List'!$P$9:$P$208,"&lt;&gt;Closed",'Punch List'!$P$9:$P$208,"&lt;&gt;Not a defect")</f>
        <v>0</v>
      </c>
      <c r="I35" s="61" t="n">
        <f aca="false">IFERROR(COUNTIFS('Punch List'!$H$9:$H$208,"Fire services",'Punch List'!$P$9:$P$208,"&lt;&gt;Closed",'Punch List'!$P$9:$P$208,"&lt;&gt;Not a defect")/COUNTIF('Punch List'!$J$9:$J$208,"?*"),0)</f>
        <v>0</v>
      </c>
      <c r="J35" s="62" t="str">
        <f aca="false">IF(COUNTIFS('Punch List'!$H$9:$H$208,"Fire services",'Punch List'!$P$9:$P$208,"&lt;&gt;Closed",'Punch List'!$P$9:$P$208,"&lt;&gt;Not a defect")=0,"",REPT("|",ROUND(IFERROR(COUNTIFS('Punch List'!$H$9:$H$208,"Fire services",'Punch List'!$P$9:$P$208,"&lt;&gt;Closed",'Punch List'!$P$9:$P$208,"&lt;&gt;Not a defect")/COUNTIF('Punch List'!$J$9:$J$208,"?*"),0)*26,0)))</f>
        <v/>
      </c>
    </row>
    <row r="36" customFormat="false" ht="15.75" hidden="false" customHeight="true" outlineLevel="0" collapsed="false">
      <c r="B36" s="66" t="s">
        <v>217</v>
      </c>
      <c r="C36" s="60" t="n">
        <f aca="false">COUNTIFS('Punch List'!$T$9:$T$208,"&gt;="&amp;0,'Punch List'!$T$9:$T$208,"&lt;="&amp;7,'Punch List'!$P$9:$P$208,"&lt;&gt;Closed",'Punch List'!$P$9:$P$208,"&lt;&gt;Not a defect",'Punch List'!$J$9:$J$208,"?*")</f>
        <v>2</v>
      </c>
      <c r="D36" s="61" t="n">
        <f aca="false">IFERROR(COUNTIFS('Punch List'!$T$9:$T$208,"&gt;="&amp;0,'Punch List'!$T$9:$T$208,"&lt;="&amp;7,'Punch List'!$P$9:$P$208,"&lt;&gt;Closed",'Punch List'!$P$9:$P$208,"&lt;&gt;Not a defect",'Punch List'!$J$9:$J$208,"?*")/(COUNTIF('Punch List'!$J$9:$J$208,"?*")-COUNTIF('Punch List'!$P$9:$P$208,"Closed")-COUNTIF('Punch List'!$P$9:$P$208,"Not a defect")),0)</f>
        <v>0.222222222222222</v>
      </c>
      <c r="E36" s="67" t="str">
        <f aca="false">IF(COUNTIFS('Punch List'!$T$9:$T$208,"&gt;="&amp;0,'Punch List'!$T$9:$T$208,"&lt;="&amp;7,'Punch List'!$P$9:$P$208,"&lt;&gt;Closed",'Punch List'!$P$9:$P$208,"&lt;&gt;Not a defect",'Punch List'!$J$9:$J$208,"?*")=0,"",REPT("|",ROUND(IFERROR(COUNTIFS('Punch List'!$T$9:$T$208,"&gt;="&amp;0,'Punch List'!$T$9:$T$208,"&lt;="&amp;7,'Punch List'!$P$9:$P$208,"&lt;&gt;Closed",'Punch List'!$P$9:$P$208,"&lt;&gt;Not a defect",'Punch List'!$J$9:$J$208,"?*")/(COUNTIF('Punch List'!$J$9:$J$208,"?*")-COUNTIF('Punch List'!$P$9:$P$208,"Closed")-COUNTIF('Punch List'!$P$9:$P$208,"Not a defect")),0)*26,0)))</f>
        <v>||||||</v>
      </c>
      <c r="G36" s="27" t="s">
        <v>218</v>
      </c>
      <c r="H36" s="63" t="n">
        <f aca="false">COUNTIFS('Punch List'!$H$9:$H$208,"Vertical transport",'Punch List'!$P$9:$P$208,"&lt;&gt;Closed",'Punch List'!$P$9:$P$208,"&lt;&gt;Not a defect")</f>
        <v>0</v>
      </c>
      <c r="I36" s="64" t="n">
        <f aca="false">IFERROR(COUNTIFS('Punch List'!$H$9:$H$208,"Vertical transport",'Punch List'!$P$9:$P$208,"&lt;&gt;Closed",'Punch List'!$P$9:$P$208,"&lt;&gt;Not a defect")/COUNTIF('Punch List'!$J$9:$J$208,"?*"),0)</f>
        <v>0</v>
      </c>
      <c r="J36" s="65" t="str">
        <f aca="false">IF(COUNTIFS('Punch List'!$H$9:$H$208,"Vertical transport",'Punch List'!$P$9:$P$208,"&lt;&gt;Closed",'Punch List'!$P$9:$P$208,"&lt;&gt;Not a defect")=0,"",REPT("|",ROUND(IFERROR(COUNTIFS('Punch List'!$H$9:$H$208,"Vertical transport",'Punch List'!$P$9:$P$208,"&lt;&gt;Closed",'Punch List'!$P$9:$P$208,"&lt;&gt;Not a defect")/COUNTIF('Punch List'!$J$9:$J$208,"?*"),0)*26,0)))</f>
        <v/>
      </c>
    </row>
    <row r="37" customFormat="false" ht="15.75" hidden="false" customHeight="true" outlineLevel="0" collapsed="false">
      <c r="B37" s="68" t="s">
        <v>219</v>
      </c>
      <c r="C37" s="63" t="n">
        <f aca="false">COUNTIFS('Punch List'!$T$9:$T$208,"&gt;="&amp;8,'Punch List'!$T$9:$T$208,"&lt;="&amp;14,'Punch List'!$P$9:$P$208,"&lt;&gt;Closed",'Punch List'!$P$9:$P$208,"&lt;&gt;Not a defect",'Punch List'!$J$9:$J$208,"?*")</f>
        <v>3</v>
      </c>
      <c r="D37" s="64" t="n">
        <f aca="false">IFERROR(COUNTIFS('Punch List'!$T$9:$T$208,"&gt;="&amp;8,'Punch List'!$T$9:$T$208,"&lt;="&amp;14,'Punch List'!$P$9:$P$208,"&lt;&gt;Closed",'Punch List'!$P$9:$P$208,"&lt;&gt;Not a defect",'Punch List'!$J$9:$J$208,"?*")/(COUNTIF('Punch List'!$J$9:$J$208,"?*")-COUNTIF('Punch List'!$P$9:$P$208,"Closed")-COUNTIF('Punch List'!$P$9:$P$208,"Not a defect")),0)</f>
        <v>0.333333333333333</v>
      </c>
      <c r="E37" s="69" t="str">
        <f aca="false">IF(COUNTIFS('Punch List'!$T$9:$T$208,"&gt;="&amp;8,'Punch List'!$T$9:$T$208,"&lt;="&amp;14,'Punch List'!$P$9:$P$208,"&lt;&gt;Closed",'Punch List'!$P$9:$P$208,"&lt;&gt;Not a defect",'Punch List'!$J$9:$J$208,"?*")=0,"",REPT("|",ROUND(IFERROR(COUNTIFS('Punch List'!$T$9:$T$208,"&gt;="&amp;8,'Punch List'!$T$9:$T$208,"&lt;="&amp;14,'Punch List'!$P$9:$P$208,"&lt;&gt;Closed",'Punch List'!$P$9:$P$208,"&lt;&gt;Not a defect",'Punch List'!$J$9:$J$208,"?*")/(COUNTIF('Punch List'!$J$9:$J$208,"?*")-COUNTIF('Punch List'!$P$9:$P$208,"Closed")-COUNTIF('Punch List'!$P$9:$P$208,"Not a defect")),0)*26,0)))</f>
        <v>|||||||||</v>
      </c>
      <c r="G37" s="24" t="s">
        <v>160</v>
      </c>
      <c r="H37" s="60" t="n">
        <f aca="false">COUNTIFS('Punch List'!$H$9:$H$208,"Security and communications",'Punch List'!$P$9:$P$208,"&lt;&gt;Closed",'Punch List'!$P$9:$P$208,"&lt;&gt;Not a defect")</f>
        <v>1</v>
      </c>
      <c r="I37" s="61" t="n">
        <f aca="false">IFERROR(COUNTIFS('Punch List'!$H$9:$H$208,"Security and communications",'Punch List'!$P$9:$P$208,"&lt;&gt;Closed",'Punch List'!$P$9:$P$208,"&lt;&gt;Not a defect")/COUNTIF('Punch List'!$J$9:$J$208,"?*"),0)</f>
        <v>0.1</v>
      </c>
      <c r="J37" s="62" t="str">
        <f aca="false">IF(COUNTIFS('Punch List'!$H$9:$H$208,"Security and communications",'Punch List'!$P$9:$P$208,"&lt;&gt;Closed",'Punch List'!$P$9:$P$208,"&lt;&gt;Not a defect")=0,"",REPT("|",ROUND(IFERROR(COUNTIFS('Punch List'!$H$9:$H$208,"Security and communications",'Punch List'!$P$9:$P$208,"&lt;&gt;Closed",'Punch List'!$P$9:$P$208,"&lt;&gt;Not a defect")/COUNTIF('Punch List'!$J$9:$J$208,"?*"),0)*26,0)))</f>
        <v>|||</v>
      </c>
    </row>
    <row r="38" customFormat="false" ht="15.75" hidden="false" customHeight="true" outlineLevel="0" collapsed="false">
      <c r="B38" s="66" t="s">
        <v>220</v>
      </c>
      <c r="C38" s="60" t="n">
        <f aca="false">COUNTIFS('Punch List'!$T$9:$T$208,"&gt;="&amp;15,'Punch List'!$T$9:$T$208,"&lt;="&amp;30,'Punch List'!$P$9:$P$208,"&lt;&gt;Closed",'Punch List'!$P$9:$P$208,"&lt;&gt;Not a defect",'Punch List'!$J$9:$J$208,"?*")</f>
        <v>4</v>
      </c>
      <c r="D38" s="61" t="n">
        <f aca="false">IFERROR(COUNTIFS('Punch List'!$T$9:$T$208,"&gt;="&amp;15,'Punch List'!$T$9:$T$208,"&lt;="&amp;30,'Punch List'!$P$9:$P$208,"&lt;&gt;Closed",'Punch List'!$P$9:$P$208,"&lt;&gt;Not a defect",'Punch List'!$J$9:$J$208,"?*")/(COUNTIF('Punch List'!$J$9:$J$208,"?*")-COUNTIF('Punch List'!$P$9:$P$208,"Closed")-COUNTIF('Punch List'!$P$9:$P$208,"Not a defect")),0)</f>
        <v>0.444444444444444</v>
      </c>
      <c r="E38" s="70" t="str">
        <f aca="false">IF(COUNTIFS('Punch List'!$T$9:$T$208,"&gt;="&amp;15,'Punch List'!$T$9:$T$208,"&lt;="&amp;30,'Punch List'!$P$9:$P$208,"&lt;&gt;Closed",'Punch List'!$P$9:$P$208,"&lt;&gt;Not a defect",'Punch List'!$J$9:$J$208,"?*")=0,"",REPT("|",ROUND(IFERROR(COUNTIFS('Punch List'!$T$9:$T$208,"&gt;="&amp;15,'Punch List'!$T$9:$T$208,"&lt;="&amp;30,'Punch List'!$P$9:$P$208,"&lt;&gt;Closed",'Punch List'!$P$9:$P$208,"&lt;&gt;Not a defect",'Punch List'!$J$9:$J$208,"?*")/(COUNTIF('Punch List'!$J$9:$J$208,"?*")-COUNTIF('Punch List'!$P$9:$P$208,"Closed")-COUNTIF('Punch List'!$P$9:$P$208,"Not a defect")),0)*26,0)))</f>
        <v>||||||||||||</v>
      </c>
      <c r="G38" s="27" t="s">
        <v>150</v>
      </c>
      <c r="H38" s="63" t="n">
        <f aca="false">COUNTIFS('Punch List'!$H$9:$H$208,"Landscaping and external works",'Punch List'!$P$9:$P$208,"&lt;&gt;Closed",'Punch List'!$P$9:$P$208,"&lt;&gt;Not a defect")</f>
        <v>1</v>
      </c>
      <c r="I38" s="64" t="n">
        <f aca="false">IFERROR(COUNTIFS('Punch List'!$H$9:$H$208,"Landscaping and external works",'Punch List'!$P$9:$P$208,"&lt;&gt;Closed",'Punch List'!$P$9:$P$208,"&lt;&gt;Not a defect")/COUNTIF('Punch List'!$J$9:$J$208,"?*"),0)</f>
        <v>0.1</v>
      </c>
      <c r="J38" s="65" t="str">
        <f aca="false">IF(COUNTIFS('Punch List'!$H$9:$H$208,"Landscaping and external works",'Punch List'!$P$9:$P$208,"&lt;&gt;Closed",'Punch List'!$P$9:$P$208,"&lt;&gt;Not a defect")=0,"",REPT("|",ROUND(IFERROR(COUNTIFS('Punch List'!$H$9:$H$208,"Landscaping and external works",'Punch List'!$P$9:$P$208,"&lt;&gt;Closed",'Punch List'!$P$9:$P$208,"&lt;&gt;Not a defect")/COUNTIF('Punch List'!$J$9:$J$208,"?*"),0)*26,0)))</f>
        <v>|||</v>
      </c>
    </row>
    <row r="39" customFormat="false" ht="15.75" hidden="false" customHeight="true" outlineLevel="0" collapsed="false">
      <c r="B39" s="68" t="s">
        <v>221</v>
      </c>
      <c r="C39" s="63" t="n">
        <f aca="false">COUNTIFS('Punch List'!$T$9:$T$208,"&gt;="&amp;31,'Punch List'!$T$9:$T$208,"&lt;="&amp;60,'Punch List'!$P$9:$P$208,"&lt;&gt;Closed",'Punch List'!$P$9:$P$208,"&lt;&gt;Not a defect",'Punch List'!$J$9:$J$208,"?*")</f>
        <v>0</v>
      </c>
      <c r="D39" s="64" t="n">
        <f aca="false">IFERROR(COUNTIFS('Punch List'!$T$9:$T$208,"&gt;="&amp;31,'Punch List'!$T$9:$T$208,"&lt;="&amp;60,'Punch List'!$P$9:$P$208,"&lt;&gt;Closed",'Punch List'!$P$9:$P$208,"&lt;&gt;Not a defect",'Punch List'!$J$9:$J$208,"?*")/(COUNTIF('Punch List'!$J$9:$J$208,"?*")-COUNTIF('Punch List'!$P$9:$P$208,"Closed")-COUNTIF('Punch List'!$P$9:$P$208,"Not a defect")),0)</f>
        <v>0</v>
      </c>
      <c r="E39" s="71" t="str">
        <f aca="false">IF(COUNTIFS('Punch List'!$T$9:$T$208,"&gt;="&amp;31,'Punch List'!$T$9:$T$208,"&lt;="&amp;60,'Punch List'!$P$9:$P$208,"&lt;&gt;Closed",'Punch List'!$P$9:$P$208,"&lt;&gt;Not a defect",'Punch List'!$J$9:$J$208,"?*")=0,"",REPT("|",ROUND(IFERROR(COUNTIFS('Punch List'!$T$9:$T$208,"&gt;="&amp;31,'Punch List'!$T$9:$T$208,"&lt;="&amp;60,'Punch List'!$P$9:$P$208,"&lt;&gt;Closed",'Punch List'!$P$9:$P$208,"&lt;&gt;Not a defect",'Punch List'!$J$9:$J$208,"?*")/(COUNTIF('Punch List'!$J$9:$J$208,"?*")-COUNTIF('Punch List'!$P$9:$P$208,"Closed")-COUNTIF('Punch List'!$P$9:$P$208,"Not a defect")),0)*26,0)))</f>
        <v/>
      </c>
      <c r="G39" s="24" t="s">
        <v>222</v>
      </c>
      <c r="H39" s="60" t="n">
        <f aca="false">COUNTIFS('Punch List'!$H$9:$H$208,"Signage and wayfinding",'Punch List'!$P$9:$P$208,"&lt;&gt;Closed",'Punch List'!$P$9:$P$208,"&lt;&gt;Not a defect")</f>
        <v>0</v>
      </c>
      <c r="I39" s="61" t="n">
        <f aca="false">IFERROR(COUNTIFS('Punch List'!$H$9:$H$208,"Signage and wayfinding",'Punch List'!$P$9:$P$208,"&lt;&gt;Closed",'Punch List'!$P$9:$P$208,"&lt;&gt;Not a defect")/COUNTIF('Punch List'!$J$9:$J$208,"?*"),0)</f>
        <v>0</v>
      </c>
      <c r="J39" s="62" t="str">
        <f aca="false">IF(COUNTIFS('Punch List'!$H$9:$H$208,"Signage and wayfinding",'Punch List'!$P$9:$P$208,"&lt;&gt;Closed",'Punch List'!$P$9:$P$208,"&lt;&gt;Not a defect")=0,"",REPT("|",ROUND(IFERROR(COUNTIFS('Punch List'!$H$9:$H$208,"Signage and wayfinding",'Punch List'!$P$9:$P$208,"&lt;&gt;Closed",'Punch List'!$P$9:$P$208,"&lt;&gt;Not a defect")/COUNTIF('Punch List'!$J$9:$J$208,"?*"),0)*26,0)))</f>
        <v/>
      </c>
    </row>
    <row r="40" customFormat="false" ht="15.75" hidden="false" customHeight="true" outlineLevel="0" collapsed="false">
      <c r="B40" s="66" t="s">
        <v>223</v>
      </c>
      <c r="C40" s="60" t="n">
        <f aca="false">COUNTIFS('Punch List'!$T$9:$T$208,"&gt;="&amp;61,'Punch List'!$T$9:$T$208,"&lt;="&amp;100000,'Punch List'!$P$9:$P$208,"&lt;&gt;Closed",'Punch List'!$P$9:$P$208,"&lt;&gt;Not a defect",'Punch List'!$J$9:$J$208,"?*")</f>
        <v>0</v>
      </c>
      <c r="D40" s="61" t="n">
        <f aca="false">IFERROR(COUNTIFS('Punch List'!$T$9:$T$208,"&gt;="&amp;61,'Punch List'!$T$9:$T$208,"&lt;="&amp;100000,'Punch List'!$P$9:$P$208,"&lt;&gt;Closed",'Punch List'!$P$9:$P$208,"&lt;&gt;Not a defect",'Punch List'!$J$9:$J$208,"?*")/(COUNTIF('Punch List'!$J$9:$J$208,"?*")-COUNTIF('Punch List'!$P$9:$P$208,"Closed")-COUNTIF('Punch List'!$P$9:$P$208,"Not a defect")),0)</f>
        <v>0</v>
      </c>
      <c r="E40" s="72" t="str">
        <f aca="false">IF(COUNTIFS('Punch List'!$T$9:$T$208,"&gt;="&amp;61,'Punch List'!$T$9:$T$208,"&lt;="&amp;100000,'Punch List'!$P$9:$P$208,"&lt;&gt;Closed",'Punch List'!$P$9:$P$208,"&lt;&gt;Not a defect",'Punch List'!$J$9:$J$208,"?*")=0,"",REPT("|",ROUND(IFERROR(COUNTIFS('Punch List'!$T$9:$T$208,"&gt;="&amp;61,'Punch List'!$T$9:$T$208,"&lt;="&amp;100000,'Punch List'!$P$9:$P$208,"&lt;&gt;Closed",'Punch List'!$P$9:$P$208,"&lt;&gt;Not a defect",'Punch List'!$J$9:$J$208,"?*")/(COUNTIF('Punch List'!$J$9:$J$208,"?*")-COUNTIF('Punch List'!$P$9:$P$208,"Closed")-COUNTIF('Punch List'!$P$9:$P$208,"Not a defect")),0)*26,0)))</f>
        <v/>
      </c>
      <c r="G40" s="27" t="s">
        <v>224</v>
      </c>
      <c r="H40" s="63" t="n">
        <f aca="false">COUNTIFS('Punch List'!$H$9:$H$208,"Loose furniture and equipment",'Punch List'!$P$9:$P$208,"&lt;&gt;Closed",'Punch List'!$P$9:$P$208,"&lt;&gt;Not a defect")</f>
        <v>0</v>
      </c>
      <c r="I40" s="64" t="n">
        <f aca="false">IFERROR(COUNTIFS('Punch List'!$H$9:$H$208,"Loose furniture and equipment",'Punch List'!$P$9:$P$208,"&lt;&gt;Closed",'Punch List'!$P$9:$P$208,"&lt;&gt;Not a defect")/COUNTIF('Punch List'!$J$9:$J$208,"?*"),0)</f>
        <v>0</v>
      </c>
      <c r="J40" s="65" t="str">
        <f aca="false">IF(COUNTIFS('Punch List'!$H$9:$H$208,"Loose furniture and equipment",'Punch List'!$P$9:$P$208,"&lt;&gt;Closed",'Punch List'!$P$9:$P$208,"&lt;&gt;Not a defect")=0,"",REPT("|",ROUND(IFERROR(COUNTIFS('Punch List'!$H$9:$H$208,"Loose furniture and equipment",'Punch List'!$P$9:$P$208,"&lt;&gt;Closed",'Punch List'!$P$9:$P$208,"&lt;&gt;Not a defect")/COUNTIF('Punch List'!$J$9:$J$208,"?*"),0)*26,0)))</f>
        <v/>
      </c>
    </row>
    <row r="41" customFormat="false" ht="15.75" hidden="false" customHeight="true" outlineLevel="0" collapsed="false">
      <c r="G41" s="24" t="s">
        <v>167</v>
      </c>
      <c r="H41" s="60" t="n">
        <f aca="false">COUNTIFS('Punch List'!$H$9:$H$208,"Cleaning",'Punch List'!$P$9:$P$208,"&lt;&gt;Closed",'Punch List'!$P$9:$P$208,"&lt;&gt;Not a defect")</f>
        <v>1</v>
      </c>
      <c r="I41" s="61" t="n">
        <f aca="false">IFERROR(COUNTIFS('Punch List'!$H$9:$H$208,"Cleaning",'Punch List'!$P$9:$P$208,"&lt;&gt;Closed",'Punch List'!$P$9:$P$208,"&lt;&gt;Not a defect")/COUNTIF('Punch List'!$J$9:$J$208,"?*"),0)</f>
        <v>0.1</v>
      </c>
      <c r="J41" s="62" t="str">
        <f aca="false">IF(COUNTIFS('Punch List'!$H$9:$H$208,"Cleaning",'Punch List'!$P$9:$P$208,"&lt;&gt;Closed",'Punch List'!$P$9:$P$208,"&lt;&gt;Not a defect")=0,"",REPT("|",ROUND(IFERROR(COUNTIFS('Punch List'!$H$9:$H$208,"Cleaning",'Punch List'!$P$9:$P$208,"&lt;&gt;Closed",'Punch List'!$P$9:$P$208,"&lt;&gt;Not a defect")/COUNTIF('Punch List'!$J$9:$J$208,"?*"),0)*26,0)))</f>
        <v>|||</v>
      </c>
    </row>
    <row r="42" customFormat="false" ht="15.75" hidden="false" customHeight="true" outlineLevel="0" collapsed="false">
      <c r="G42" s="27" t="s">
        <v>225</v>
      </c>
      <c r="H42" s="63" t="n">
        <f aca="false">COUNTIFS('Punch List'!$H$9:$H$208,"Other",'Punch List'!$P$9:$P$208,"&lt;&gt;Closed",'Punch List'!$P$9:$P$208,"&lt;&gt;Not a defect")</f>
        <v>0</v>
      </c>
      <c r="I42" s="64" t="n">
        <f aca="false">IFERROR(COUNTIFS('Punch List'!$H$9:$H$208,"Other",'Punch List'!$P$9:$P$208,"&lt;&gt;Closed",'Punch List'!$P$9:$P$208,"&lt;&gt;Not a defect")/COUNTIF('Punch List'!$J$9:$J$208,"?*"),0)</f>
        <v>0</v>
      </c>
      <c r="J42" s="65" t="str">
        <f aca="false">IF(COUNTIFS('Punch List'!$H$9:$H$208,"Other",'Punch List'!$P$9:$P$208,"&lt;&gt;Closed",'Punch List'!$P$9:$P$208,"&lt;&gt;Not a defect")=0,"",REPT("|",ROUND(IFERROR(COUNTIFS('Punch List'!$H$9:$H$208,"Other",'Punch List'!$P$9:$P$208,"&lt;&gt;Closed",'Punch List'!$P$9:$P$208,"&lt;&gt;Not a defect")/COUNTIF('Punch List'!$J$9:$J$208,"?*"),0)*26,0)))</f>
        <v/>
      </c>
    </row>
    <row r="44" customFormat="false" ht="19.5" hidden="false" customHeight="true" outlineLevel="0" collapsed="false">
      <c r="G44" s="59" t="s">
        <v>226</v>
      </c>
      <c r="H44" s="59"/>
      <c r="I44" s="59"/>
      <c r="J44" s="59"/>
    </row>
    <row r="45" customFormat="false" ht="18" hidden="false" customHeight="true" outlineLevel="0" collapsed="false">
      <c r="G45" s="21" t="s">
        <v>227</v>
      </c>
      <c r="H45" s="21" t="s">
        <v>194</v>
      </c>
      <c r="I45" s="21" t="s">
        <v>195</v>
      </c>
      <c r="J45" s="21" t="s">
        <v>196</v>
      </c>
    </row>
    <row r="46" customFormat="false" ht="15.75" hidden="false" customHeight="true" outlineLevel="0" collapsed="false">
      <c r="G46" s="24" t="s">
        <v>116</v>
      </c>
      <c r="H46" s="60" t="n">
        <f aca="false">COUNTIFS('Punch List'!$E$9:$E$208,"Building A",'Punch List'!$P$9:$P$208,"&lt;&gt;Closed",'Punch List'!$P$9:$P$208,"&lt;&gt;Not a defect")</f>
        <v>5</v>
      </c>
      <c r="I46" s="61" t="n">
        <f aca="false">IFERROR(COUNTIFS('Punch List'!$E$9:$E$208,"Building A",'Punch List'!$P$9:$P$208,"&lt;&gt;Closed",'Punch List'!$P$9:$P$208,"&lt;&gt;Not a defect")/COUNTIF('Punch List'!$J$9:$J$208,"?*"),0)</f>
        <v>0.5</v>
      </c>
      <c r="J46" s="62" t="str">
        <f aca="false">IF(COUNTIFS('Punch List'!$E$9:$E$208,"Building A",'Punch List'!$P$9:$P$208,"&lt;&gt;Closed",'Punch List'!$P$9:$P$208,"&lt;&gt;Not a defect")=0,"",REPT("|",ROUND(IFERROR(COUNTIFS('Punch List'!$E$9:$E$208,"Building A",'Punch List'!$P$9:$P$208,"&lt;&gt;Closed",'Punch List'!$P$9:$P$208,"&lt;&gt;Not a defect")/COUNTIF('Punch List'!$J$9:$J$208,"?*"),0)*26,0)))</f>
        <v>|||||||||||||</v>
      </c>
    </row>
    <row r="47" customFormat="false" ht="15.75" hidden="false" customHeight="true" outlineLevel="0" collapsed="false">
      <c r="G47" s="27" t="s">
        <v>228</v>
      </c>
      <c r="H47" s="63" t="n">
        <f aca="false">COUNTIFS('Punch List'!$E$9:$E$208,"Building B",'Punch List'!$P$9:$P$208,"&lt;&gt;Closed",'Punch List'!$P$9:$P$208,"&lt;&gt;Not a defect")</f>
        <v>0</v>
      </c>
      <c r="I47" s="64" t="n">
        <f aca="false">IFERROR(COUNTIFS('Punch List'!$E$9:$E$208,"Building B",'Punch List'!$P$9:$P$208,"&lt;&gt;Closed",'Punch List'!$P$9:$P$208,"&lt;&gt;Not a defect")/COUNTIF('Punch List'!$J$9:$J$208,"?*"),0)</f>
        <v>0</v>
      </c>
      <c r="J47" s="65" t="str">
        <f aca="false">IF(COUNTIFS('Punch List'!$E$9:$E$208,"Building B",'Punch List'!$P$9:$P$208,"&lt;&gt;Closed",'Punch List'!$P$9:$P$208,"&lt;&gt;Not a defect")=0,"",REPT("|",ROUND(IFERROR(COUNTIFS('Punch List'!$E$9:$E$208,"Building B",'Punch List'!$P$9:$P$208,"&lt;&gt;Closed",'Punch List'!$P$9:$P$208,"&lt;&gt;Not a defect")/COUNTIF('Punch List'!$J$9:$J$208,"?*"),0)*26,0)))</f>
        <v/>
      </c>
    </row>
    <row r="48" customFormat="false" ht="15.75" hidden="false" customHeight="true" outlineLevel="0" collapsed="false">
      <c r="G48" s="24" t="s">
        <v>140</v>
      </c>
      <c r="H48" s="60" t="n">
        <f aca="false">COUNTIFS('Punch List'!$E$9:$E$208,"Basement",'Punch List'!$P$9:$P$208,"&lt;&gt;Closed",'Punch List'!$P$9:$P$208,"&lt;&gt;Not a defect")</f>
        <v>1</v>
      </c>
      <c r="I48" s="61" t="n">
        <f aca="false">IFERROR(COUNTIFS('Punch List'!$E$9:$E$208,"Basement",'Punch List'!$P$9:$P$208,"&lt;&gt;Closed",'Punch List'!$P$9:$P$208,"&lt;&gt;Not a defect")/COUNTIF('Punch List'!$J$9:$J$208,"?*"),0)</f>
        <v>0.1</v>
      </c>
      <c r="J48" s="62" t="str">
        <f aca="false">IF(COUNTIFS('Punch List'!$E$9:$E$208,"Basement",'Punch List'!$P$9:$P$208,"&lt;&gt;Closed",'Punch List'!$P$9:$P$208,"&lt;&gt;Not a defect")=0,"",REPT("|",ROUND(IFERROR(COUNTIFS('Punch List'!$E$9:$E$208,"Basement",'Punch List'!$P$9:$P$208,"&lt;&gt;Closed",'Punch List'!$P$9:$P$208,"&lt;&gt;Not a defect")/COUNTIF('Punch List'!$J$9:$J$208,"?*"),0)*26,0)))</f>
        <v>|||</v>
      </c>
    </row>
    <row r="49" customFormat="false" ht="15.75" hidden="false" customHeight="true" outlineLevel="0" collapsed="false">
      <c r="G49" s="27" t="s">
        <v>229</v>
      </c>
      <c r="H49" s="63" t="n">
        <f aca="false">COUNTIFS('Punch List'!$E$9:$E$208,"Ground floor",'Punch List'!$P$9:$P$208,"&lt;&gt;Closed",'Punch List'!$P$9:$P$208,"&lt;&gt;Not a defect")</f>
        <v>0</v>
      </c>
      <c r="I49" s="64" t="n">
        <f aca="false">IFERROR(COUNTIFS('Punch List'!$E$9:$E$208,"Ground floor",'Punch List'!$P$9:$P$208,"&lt;&gt;Closed",'Punch List'!$P$9:$P$208,"&lt;&gt;Not a defect")/COUNTIF('Punch List'!$J$9:$J$208,"?*"),0)</f>
        <v>0</v>
      </c>
      <c r="J49" s="65" t="str">
        <f aca="false">IF(COUNTIFS('Punch List'!$E$9:$E$208,"Ground floor",'Punch List'!$P$9:$P$208,"&lt;&gt;Closed",'Punch List'!$P$9:$P$208,"&lt;&gt;Not a defect")=0,"",REPT("|",ROUND(IFERROR(COUNTIFS('Punch List'!$E$9:$E$208,"Ground floor",'Punch List'!$P$9:$P$208,"&lt;&gt;Closed",'Punch List'!$P$9:$P$208,"&lt;&gt;Not a defect")/COUNTIF('Punch List'!$J$9:$J$208,"?*"),0)*26,0)))</f>
        <v/>
      </c>
    </row>
    <row r="50" customFormat="false" ht="15.75" hidden="false" customHeight="true" outlineLevel="0" collapsed="false">
      <c r="G50" s="24" t="s">
        <v>230</v>
      </c>
      <c r="H50" s="60" t="n">
        <f aca="false">COUNTIFS('Punch List'!$E$9:$E$208,"Podium",'Punch List'!$P$9:$P$208,"&lt;&gt;Closed",'Punch List'!$P$9:$P$208,"&lt;&gt;Not a defect")</f>
        <v>0</v>
      </c>
      <c r="I50" s="61" t="n">
        <f aca="false">IFERROR(COUNTIFS('Punch List'!$E$9:$E$208,"Podium",'Punch List'!$P$9:$P$208,"&lt;&gt;Closed",'Punch List'!$P$9:$P$208,"&lt;&gt;Not a defect")/COUNTIF('Punch List'!$J$9:$J$208,"?*"),0)</f>
        <v>0</v>
      </c>
      <c r="J50" s="62" t="str">
        <f aca="false">IF(COUNTIFS('Punch List'!$E$9:$E$208,"Podium",'Punch List'!$P$9:$P$208,"&lt;&gt;Closed",'Punch List'!$P$9:$P$208,"&lt;&gt;Not a defect")=0,"",REPT("|",ROUND(IFERROR(COUNTIFS('Punch List'!$E$9:$E$208,"Podium",'Punch List'!$P$9:$P$208,"&lt;&gt;Closed",'Punch List'!$P$9:$P$208,"&lt;&gt;Not a defect")/COUNTIF('Punch List'!$J$9:$J$208,"?*"),0)*26,0)))</f>
        <v/>
      </c>
    </row>
    <row r="51" customFormat="false" ht="15.75" hidden="false" customHeight="true" outlineLevel="0" collapsed="false">
      <c r="G51" s="27" t="s">
        <v>231</v>
      </c>
      <c r="H51" s="63" t="n">
        <f aca="false">COUNTIFS('Punch List'!$E$9:$E$208,"Tower",'Punch List'!$P$9:$P$208,"&lt;&gt;Closed",'Punch List'!$P$9:$P$208,"&lt;&gt;Not a defect")</f>
        <v>0</v>
      </c>
      <c r="I51" s="64" t="n">
        <f aca="false">IFERROR(COUNTIFS('Punch List'!$E$9:$E$208,"Tower",'Punch List'!$P$9:$P$208,"&lt;&gt;Closed",'Punch List'!$P$9:$P$208,"&lt;&gt;Not a defect")/COUNTIF('Punch List'!$J$9:$J$208,"?*"),0)</f>
        <v>0</v>
      </c>
      <c r="J51" s="65" t="str">
        <f aca="false">IF(COUNTIFS('Punch List'!$E$9:$E$208,"Tower",'Punch List'!$P$9:$P$208,"&lt;&gt;Closed",'Punch List'!$P$9:$P$208,"&lt;&gt;Not a defect")=0,"",REPT("|",ROUND(IFERROR(COUNTIFS('Punch List'!$E$9:$E$208,"Tower",'Punch List'!$P$9:$P$208,"&lt;&gt;Closed",'Punch List'!$P$9:$P$208,"&lt;&gt;Not a defect")/COUNTIF('Punch List'!$J$9:$J$208,"?*"),0)*26,0)))</f>
        <v/>
      </c>
    </row>
    <row r="52" customFormat="false" ht="15.75" hidden="false" customHeight="true" outlineLevel="0" collapsed="false">
      <c r="G52" s="24" t="s">
        <v>133</v>
      </c>
      <c r="H52" s="60" t="n">
        <f aca="false">COUNTIFS('Punch List'!$E$9:$E$208,"Roof and plant",'Punch List'!$P$9:$P$208,"&lt;&gt;Closed",'Punch List'!$P$9:$P$208,"&lt;&gt;Not a defect")</f>
        <v>1</v>
      </c>
      <c r="I52" s="61" t="n">
        <f aca="false">IFERROR(COUNTIFS('Punch List'!$E$9:$E$208,"Roof and plant",'Punch List'!$P$9:$P$208,"&lt;&gt;Closed",'Punch List'!$P$9:$P$208,"&lt;&gt;Not a defect")/COUNTIF('Punch List'!$J$9:$J$208,"?*"),0)</f>
        <v>0.1</v>
      </c>
      <c r="J52" s="62" t="str">
        <f aca="false">IF(COUNTIFS('Punch List'!$E$9:$E$208,"Roof and plant",'Punch List'!$P$9:$P$208,"&lt;&gt;Closed",'Punch List'!$P$9:$P$208,"&lt;&gt;Not a defect")=0,"",REPT("|",ROUND(IFERROR(COUNTIFS('Punch List'!$E$9:$E$208,"Roof and plant",'Punch List'!$P$9:$P$208,"&lt;&gt;Closed",'Punch List'!$P$9:$P$208,"&lt;&gt;Not a defect")/COUNTIF('Punch List'!$J$9:$J$208,"?*"),0)*26,0)))</f>
        <v>|||</v>
      </c>
    </row>
    <row r="53" customFormat="false" ht="15.75" hidden="false" customHeight="true" outlineLevel="0" collapsed="false">
      <c r="G53" s="27" t="s">
        <v>232</v>
      </c>
      <c r="H53" s="63" t="n">
        <f aca="false">COUNTIFS('Punch List'!$E$9:$E$208,"Carpark",'Punch List'!$P$9:$P$208,"&lt;&gt;Closed",'Punch List'!$P$9:$P$208,"&lt;&gt;Not a defect")</f>
        <v>0</v>
      </c>
      <c r="I53" s="64" t="n">
        <f aca="false">IFERROR(COUNTIFS('Punch List'!$E$9:$E$208,"Carpark",'Punch List'!$P$9:$P$208,"&lt;&gt;Closed",'Punch List'!$P$9:$P$208,"&lt;&gt;Not a defect")/COUNTIF('Punch List'!$J$9:$J$208,"?*"),0)</f>
        <v>0</v>
      </c>
      <c r="J53" s="65" t="str">
        <f aca="false">IF(COUNTIFS('Punch List'!$E$9:$E$208,"Carpark",'Punch List'!$P$9:$P$208,"&lt;&gt;Closed",'Punch List'!$P$9:$P$208,"&lt;&gt;Not a defect")=0,"",REPT("|",ROUND(IFERROR(COUNTIFS('Punch List'!$E$9:$E$208,"Carpark",'Punch List'!$P$9:$P$208,"&lt;&gt;Closed",'Punch List'!$P$9:$P$208,"&lt;&gt;Not a defect")/COUNTIF('Punch List'!$J$9:$J$208,"?*"),0)*26,0)))</f>
        <v/>
      </c>
    </row>
    <row r="54" customFormat="false" ht="15.75" hidden="false" customHeight="true" outlineLevel="0" collapsed="false">
      <c r="G54" s="24" t="s">
        <v>147</v>
      </c>
      <c r="H54" s="60" t="n">
        <f aca="false">COUNTIFS('Punch List'!$E$9:$E$208,"External and landscape",'Punch List'!$P$9:$P$208,"&lt;&gt;Closed",'Punch List'!$P$9:$P$208,"&lt;&gt;Not a defect")</f>
        <v>1</v>
      </c>
      <c r="I54" s="61" t="n">
        <f aca="false">IFERROR(COUNTIFS('Punch List'!$E$9:$E$208,"External and landscape",'Punch List'!$P$9:$P$208,"&lt;&gt;Closed",'Punch List'!$P$9:$P$208,"&lt;&gt;Not a defect")/COUNTIF('Punch List'!$J$9:$J$208,"?*"),0)</f>
        <v>0.1</v>
      </c>
      <c r="J54" s="62" t="str">
        <f aca="false">IF(COUNTIFS('Punch List'!$E$9:$E$208,"External and landscape",'Punch List'!$P$9:$P$208,"&lt;&gt;Closed",'Punch List'!$P$9:$P$208,"&lt;&gt;Not a defect")=0,"",REPT("|",ROUND(IFERROR(COUNTIFS('Punch List'!$E$9:$E$208,"External and landscape",'Punch List'!$P$9:$P$208,"&lt;&gt;Closed",'Punch List'!$P$9:$P$208,"&lt;&gt;Not a defect")/COUNTIF('Punch List'!$J$9:$J$208,"?*"),0)*26,0)))</f>
        <v>|||</v>
      </c>
    </row>
    <row r="55" customFormat="false" ht="15.75" hidden="false" customHeight="true" outlineLevel="0" collapsed="false">
      <c r="G55" s="27" t="s">
        <v>164</v>
      </c>
      <c r="H55" s="63" t="n">
        <f aca="false">COUNTIFS('Punch List'!$E$9:$E$208,"Site wide",'Punch List'!$P$9:$P$208,"&lt;&gt;Closed",'Punch List'!$P$9:$P$208,"&lt;&gt;Not a defect")</f>
        <v>1</v>
      </c>
      <c r="I55" s="64" t="n">
        <f aca="false">IFERROR(COUNTIFS('Punch List'!$E$9:$E$208,"Site wide",'Punch List'!$P$9:$P$208,"&lt;&gt;Closed",'Punch List'!$P$9:$P$208,"&lt;&gt;Not a defect")/COUNTIF('Punch List'!$J$9:$J$208,"?*"),0)</f>
        <v>0.1</v>
      </c>
      <c r="J55" s="65" t="str">
        <f aca="false">IF(COUNTIFS('Punch List'!$E$9:$E$208,"Site wide",'Punch List'!$P$9:$P$208,"&lt;&gt;Closed",'Punch List'!$P$9:$P$208,"&lt;&gt;Not a defect")=0,"",REPT("|",ROUND(IFERROR(COUNTIFS('Punch List'!$E$9:$E$208,"Site wide",'Punch List'!$P$9:$P$208,"&lt;&gt;Closed",'Punch List'!$P$9:$P$208,"&lt;&gt;Not a defect")/COUNTIF('Punch List'!$J$9:$J$208,"?*"),0)*26,0)))</f>
        <v>|||</v>
      </c>
    </row>
    <row r="57" customFormat="false" ht="15" hidden="false" customHeight="true" outlineLevel="0" collapsed="false">
      <c r="B57" s="33" t="s">
        <v>233</v>
      </c>
      <c r="C57" s="33"/>
      <c r="D57" s="33"/>
      <c r="E57" s="33"/>
      <c r="F57" s="33"/>
      <c r="G57" s="33"/>
      <c r="H57" s="33"/>
      <c r="I57" s="33"/>
      <c r="J57" s="33"/>
    </row>
    <row r="58" customFormat="false" ht="15" hidden="false" customHeight="false" outlineLevel="0" collapsed="false">
      <c r="B58" s="33"/>
      <c r="C58" s="33"/>
      <c r="D58" s="33"/>
      <c r="E58" s="33"/>
      <c r="F58" s="33"/>
      <c r="G58" s="33"/>
      <c r="H58" s="33"/>
      <c r="I58" s="33"/>
      <c r="J58" s="33"/>
    </row>
    <row r="60" customFormat="false" ht="15" hidden="false" customHeight="false" outlineLevel="0" collapsed="false">
      <c r="B60" s="41" t="s">
        <v>93</v>
      </c>
      <c r="C60" s="41"/>
      <c r="D60" s="41"/>
      <c r="E60" s="41"/>
      <c r="F60" s="41"/>
      <c r="G60" s="41"/>
      <c r="H60" s="41"/>
      <c r="I60" s="41"/>
      <c r="J60" s="41"/>
    </row>
  </sheetData>
  <mergeCells count="29">
    <mergeCell ref="D3:J3"/>
    <mergeCell ref="D4:J4"/>
    <mergeCell ref="B6:J6"/>
    <mergeCell ref="B7:J7"/>
    <mergeCell ref="B8:C8"/>
    <mergeCell ref="D8:E8"/>
    <mergeCell ref="G8:H8"/>
    <mergeCell ref="I8:J8"/>
    <mergeCell ref="B9:C9"/>
    <mergeCell ref="D9:E9"/>
    <mergeCell ref="G9:H9"/>
    <mergeCell ref="I9:J9"/>
    <mergeCell ref="B10:C10"/>
    <mergeCell ref="D10:E10"/>
    <mergeCell ref="G10:H10"/>
    <mergeCell ref="I10:J10"/>
    <mergeCell ref="B11:C11"/>
    <mergeCell ref="D11:E11"/>
    <mergeCell ref="G11:H11"/>
    <mergeCell ref="I11:J11"/>
    <mergeCell ref="G12:J12"/>
    <mergeCell ref="B13:E13"/>
    <mergeCell ref="G13:J13"/>
    <mergeCell ref="B23:E23"/>
    <mergeCell ref="B29:E29"/>
    <mergeCell ref="B34:E34"/>
    <mergeCell ref="G44:J44"/>
    <mergeCell ref="B57:J58"/>
    <mergeCell ref="B60:J60"/>
  </mergeCells>
  <conditionalFormatting sqref="B6:J6">
    <cfRule type="expression" priority="2" aboveAverage="0" equalAverage="0" bottom="0" percent="0" rank="0" text="" dxfId="16">
      <formula>LEN($B$6)&gt;0</formula>
    </cfRule>
  </conditionalFormatting>
  <conditionalFormatting sqref="I8">
    <cfRule type="cellIs" priority="3" operator="greaterThan" aboveAverage="0" equalAverage="0" bottom="0" percent="0" rank="0" text="" dxfId="28">
      <formula>0</formula>
    </cfRule>
  </conditionalFormatting>
  <conditionalFormatting sqref="I9">
    <cfRule type="cellIs" priority="4" operator="greaterThan" aboveAverage="0" equalAverage="0" bottom="0" percent="0" rank="0" text="" dxfId="28">
      <formula>0</formula>
    </cfRule>
  </conditionalFormatting>
  <conditionalFormatting sqref="I10">
    <cfRule type="cellIs" priority="5" operator="greaterThan" aboveAverage="0" equalAverage="0" bottom="0" percent="0" rank="0" text="" dxfId="28">
      <formula>0</formula>
    </cfRule>
  </conditionalFormatting>
  <conditionalFormatting sqref="I11">
    <cfRule type="cellIs" priority="6" operator="greaterThan" aboveAverage="0" equalAverage="0" bottom="0" percent="0" rank="0" text="" dxfId="28">
      <formula>0</formula>
    </cfRule>
  </conditionalFormatting>
  <hyperlinks>
    <hyperlink ref="B60" r:id="rId1" display="Built with Mastt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B1:F5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7"/>
    <col collapsed="false" customWidth="true" hidden="false" outlineLevel="0" max="4" min="4" style="0" width="32"/>
    <col collapsed="false" customWidth="true" hidden="false" outlineLevel="0" max="5" min="5" style="0" width="26"/>
    <col collapsed="false" customWidth="true" hidden="false" outlineLevel="0" max="6" min="6" style="0" width="24"/>
    <col collapsed="false" customWidth="true" hidden="false" outlineLevel="0" max="7" min="7" style="0" width="2.2"/>
  </cols>
  <sheetData>
    <row r="1" customFormat="false" ht="7.5" hidden="false" customHeight="true" outlineLevel="0" collapsed="false"/>
    <row r="2" customFormat="false" ht="18.75" hidden="false" customHeight="true" outlineLevel="0" collapsed="false">
      <c r="B2" s="1"/>
      <c r="C2" s="1"/>
      <c r="D2" s="1"/>
      <c r="E2" s="1"/>
      <c r="F2" s="1"/>
    </row>
    <row r="3" customFormat="false" ht="18.75" hidden="false" customHeight="true" outlineLevel="0" collapsed="false">
      <c r="B3" s="1"/>
      <c r="C3" s="1"/>
      <c r="D3" s="31" t="s">
        <v>234</v>
      </c>
      <c r="E3" s="31"/>
      <c r="F3" s="31"/>
    </row>
    <row r="4" customFormat="false" ht="18.75" hidden="false" customHeight="true" outlineLevel="0" collapsed="false">
      <c r="B4" s="1"/>
      <c r="C4" s="1"/>
      <c r="D4" s="1"/>
      <c r="E4" s="1"/>
      <c r="F4" s="1"/>
    </row>
    <row r="5" customFormat="false" ht="3.75" hidden="false" customHeight="true" outlineLevel="0" collapsed="false">
      <c r="B5" s="3"/>
      <c r="C5" s="3"/>
      <c r="D5" s="3"/>
      <c r="E5" s="3"/>
      <c r="F5" s="3"/>
    </row>
    <row r="7" customFormat="false" ht="21.75" hidden="false" customHeight="true" outlineLevel="0" collapsed="false">
      <c r="B7" s="5" t="s">
        <v>235</v>
      </c>
      <c r="C7" s="5"/>
      <c r="D7" s="5"/>
      <c r="E7" s="5"/>
      <c r="F7" s="5"/>
    </row>
    <row r="8" customFormat="false" ht="18.75" hidden="false" customHeight="true" outlineLevel="0" collapsed="false">
      <c r="B8" s="34" t="s">
        <v>236</v>
      </c>
      <c r="C8" s="34"/>
      <c r="D8" s="35"/>
    </row>
    <row r="9" customFormat="false" ht="18.75" hidden="false" customHeight="true" outlineLevel="0" collapsed="false">
      <c r="B9" s="34" t="s">
        <v>237</v>
      </c>
      <c r="C9" s="34"/>
      <c r="D9" s="36"/>
    </row>
    <row r="10" customFormat="false" ht="18.75" hidden="false" customHeight="true" outlineLevel="0" collapsed="false">
      <c r="B10" s="34" t="s">
        <v>238</v>
      </c>
      <c r="C10" s="34"/>
      <c r="D10" s="35"/>
    </row>
    <row r="11" customFormat="false" ht="18.75" hidden="false" customHeight="true" outlineLevel="0" collapsed="false">
      <c r="B11" s="34" t="s">
        <v>239</v>
      </c>
      <c r="C11" s="34"/>
      <c r="D11" s="35"/>
    </row>
    <row r="12" customFormat="false" ht="18.75" hidden="false" customHeight="true" outlineLevel="0" collapsed="false">
      <c r="B12" s="34" t="s">
        <v>240</v>
      </c>
      <c r="C12" s="34"/>
      <c r="D12" s="35"/>
    </row>
    <row r="13" customFormat="false" ht="18.75" hidden="false" customHeight="true" outlineLevel="0" collapsed="false">
      <c r="B13" s="34" t="s">
        <v>241</v>
      </c>
      <c r="C13" s="34"/>
      <c r="D13" s="35"/>
    </row>
    <row r="14" customFormat="false" ht="18.75" hidden="false" customHeight="true" outlineLevel="0" collapsed="false">
      <c r="B14" s="34" t="s">
        <v>242</v>
      </c>
      <c r="C14" s="34"/>
      <c r="D14" s="35"/>
    </row>
    <row r="16" customFormat="false" ht="21.75" hidden="false" customHeight="true" outlineLevel="0" collapsed="false">
      <c r="B16" s="5" t="s">
        <v>243</v>
      </c>
      <c r="C16" s="5"/>
      <c r="D16" s="5"/>
      <c r="E16" s="5"/>
      <c r="F16" s="5"/>
    </row>
    <row r="17" customFormat="false" ht="18" hidden="false" customHeight="true" outlineLevel="0" collapsed="false">
      <c r="B17" s="21" t="s">
        <v>244</v>
      </c>
      <c r="C17" s="21"/>
      <c r="D17" s="21" t="s">
        <v>245</v>
      </c>
      <c r="E17" s="21" t="s">
        <v>246</v>
      </c>
      <c r="F17" s="21" t="s">
        <v>247</v>
      </c>
    </row>
    <row r="18" customFormat="false" ht="19.5" hidden="false" customHeight="true" outlineLevel="0" collapsed="false">
      <c r="B18" s="73"/>
      <c r="C18" s="73"/>
      <c r="D18" s="73"/>
      <c r="E18" s="73"/>
      <c r="F18" s="74"/>
    </row>
    <row r="19" customFormat="false" ht="19.5" hidden="false" customHeight="true" outlineLevel="0" collapsed="false">
      <c r="B19" s="73"/>
      <c r="C19" s="73"/>
      <c r="D19" s="73"/>
      <c r="E19" s="73"/>
      <c r="F19" s="75"/>
    </row>
    <row r="20" customFormat="false" ht="19.5" hidden="false" customHeight="true" outlineLevel="0" collapsed="false">
      <c r="B20" s="73"/>
      <c r="C20" s="73"/>
      <c r="D20" s="73"/>
      <c r="E20" s="73"/>
      <c r="F20" s="74"/>
    </row>
    <row r="21" customFormat="false" ht="19.5" hidden="false" customHeight="true" outlineLevel="0" collapsed="false">
      <c r="B21" s="73"/>
      <c r="C21" s="73"/>
      <c r="D21" s="73"/>
      <c r="E21" s="73"/>
      <c r="F21" s="75"/>
    </row>
    <row r="22" customFormat="false" ht="19.5" hidden="false" customHeight="true" outlineLevel="0" collapsed="false">
      <c r="B22" s="73"/>
      <c r="C22" s="73"/>
      <c r="D22" s="73"/>
      <c r="E22" s="73"/>
      <c r="F22" s="74"/>
    </row>
    <row r="23" customFormat="false" ht="19.5" hidden="false" customHeight="true" outlineLevel="0" collapsed="false">
      <c r="B23" s="73"/>
      <c r="C23" s="73"/>
      <c r="D23" s="73"/>
      <c r="E23" s="73"/>
      <c r="F23" s="75"/>
    </row>
    <row r="24" customFormat="false" ht="19.5" hidden="false" customHeight="true" outlineLevel="0" collapsed="false">
      <c r="B24" s="73"/>
      <c r="C24" s="73"/>
      <c r="D24" s="73"/>
      <c r="E24" s="73"/>
      <c r="F24" s="74"/>
    </row>
    <row r="25" customFormat="false" ht="19.5" hidden="false" customHeight="true" outlineLevel="0" collapsed="false">
      <c r="B25" s="73"/>
      <c r="C25" s="73"/>
      <c r="D25" s="73"/>
      <c r="E25" s="73"/>
      <c r="F25" s="75"/>
    </row>
    <row r="27" customFormat="false" ht="21.75" hidden="false" customHeight="true" outlineLevel="0" collapsed="false">
      <c r="B27" s="5" t="s">
        <v>248</v>
      </c>
      <c r="C27" s="5"/>
      <c r="D27" s="5"/>
      <c r="E27" s="5"/>
      <c r="F27" s="5"/>
    </row>
    <row r="28" customFormat="false" ht="19.5" hidden="false" customHeight="true" outlineLevel="0" collapsed="false">
      <c r="B28" s="56" t="s">
        <v>249</v>
      </c>
      <c r="C28" s="56"/>
      <c r="D28" s="76" t="n">
        <f aca="false">COUNTIF('Punch List'!$J$9:$J$208,"?*")</f>
        <v>10</v>
      </c>
    </row>
    <row r="29" customFormat="false" ht="19.5" hidden="false" customHeight="true" outlineLevel="0" collapsed="false">
      <c r="B29" s="56" t="s">
        <v>185</v>
      </c>
      <c r="C29" s="56"/>
      <c r="D29" s="76" t="n">
        <f aca="false">COUNTIF('Punch List'!$J$9:$J$208,"?*")-COUNTIF('Punch List'!$P$9:$P$208,"Closed")-COUNTIF('Punch List'!$P$9:$P$208,"Not a defect")</f>
        <v>9</v>
      </c>
    </row>
    <row r="30" customFormat="false" ht="19.5" hidden="false" customHeight="true" outlineLevel="0" collapsed="false">
      <c r="B30" s="56" t="s">
        <v>250</v>
      </c>
      <c r="C30" s="56"/>
      <c r="D30" s="76" t="n">
        <f aca="false">COUNTIFS('Punch List'!$L$9:$L$208,"Yes",'Punch List'!$P$9:$P$208,"&lt;&gt;Closed",'Punch List'!$P$9:$P$208,"&lt;&gt;Not a defect")</f>
        <v>5</v>
      </c>
    </row>
    <row r="31" customFormat="false" ht="19.5" hidden="false" customHeight="true" outlineLevel="0" collapsed="false">
      <c r="B31" s="56" t="s">
        <v>188</v>
      </c>
      <c r="C31" s="56"/>
      <c r="D31" s="76" t="n">
        <f aca="false">COUNTIFS('Punch List'!$K$9:$K$208,"Critical",'Punch List'!$P$9:$P$208,"&lt;&gt;Closed",'Punch List'!$P$9:$P$208,"&lt;&gt;Not a defect")</f>
        <v>2</v>
      </c>
    </row>
    <row r="32" customFormat="false" ht="19.5" hidden="false" customHeight="true" outlineLevel="0" collapsed="false">
      <c r="B32" s="56" t="s">
        <v>184</v>
      </c>
      <c r="C32" s="56"/>
      <c r="D32" s="76" t="n">
        <f aca="true">COUNTIFS('Punch List'!$O$9:$O$208,"&lt;"&amp;TODAY(),'Punch List'!$O$9:$O$208,"&gt;0",'Punch List'!$P$9:$P$208,"&lt;&gt;Closed",'Punch List'!$P$9:$P$208,"&lt;&gt;Not a defect")</f>
        <v>2</v>
      </c>
    </row>
    <row r="34" customFormat="false" ht="21.75" hidden="false" customHeight="true" outlineLevel="0" collapsed="false">
      <c r="B34" s="5" t="s">
        <v>251</v>
      </c>
      <c r="C34" s="5"/>
      <c r="D34" s="5"/>
      <c r="E34" s="5"/>
      <c r="F34" s="5"/>
    </row>
    <row r="35" customFormat="false" ht="18.75" hidden="false" customHeight="true" outlineLevel="0" collapsed="false">
      <c r="B35" s="34" t="s">
        <v>252</v>
      </c>
      <c r="C35" s="34"/>
      <c r="D35" s="35"/>
    </row>
    <row r="36" customFormat="false" ht="15" hidden="false" customHeight="true" outlineLevel="0" collapsed="false">
      <c r="B36" s="77" t="s">
        <v>253</v>
      </c>
      <c r="C36" s="77"/>
      <c r="D36" s="77"/>
      <c r="E36" s="77"/>
      <c r="F36" s="77"/>
    </row>
    <row r="37" customFormat="false" ht="15" hidden="false" customHeight="true" outlineLevel="0" collapsed="false">
      <c r="B37" s="77"/>
      <c r="C37" s="77"/>
      <c r="D37" s="77"/>
      <c r="E37" s="77"/>
      <c r="F37" s="77"/>
    </row>
    <row r="38" customFormat="false" ht="15" hidden="false" customHeight="true" outlineLevel="0" collapsed="false">
      <c r="B38" s="77"/>
      <c r="C38" s="77"/>
      <c r="D38" s="77"/>
      <c r="E38" s="77"/>
      <c r="F38" s="77"/>
    </row>
    <row r="39" customFormat="false" ht="15" hidden="false" customHeight="true" outlineLevel="0" collapsed="false">
      <c r="B39" s="77"/>
      <c r="C39" s="77"/>
      <c r="D39" s="77"/>
      <c r="E39" s="77"/>
      <c r="F39" s="77"/>
    </row>
    <row r="41" customFormat="false" ht="15.75" hidden="false" customHeight="true" outlineLevel="0" collapsed="false">
      <c r="B41" s="78" t="s">
        <v>76</v>
      </c>
      <c r="C41" s="78"/>
      <c r="D41" s="78"/>
      <c r="E41" s="78"/>
      <c r="F41" s="78"/>
    </row>
    <row r="42" customFormat="false" ht="18.75" hidden="false" customHeight="true" outlineLevel="0" collapsed="false">
      <c r="B42" s="34" t="s">
        <v>244</v>
      </c>
      <c r="C42" s="34"/>
      <c r="D42" s="35"/>
      <c r="E42" s="79" t="s">
        <v>254</v>
      </c>
      <c r="F42" s="35"/>
    </row>
    <row r="43" customFormat="false" ht="18.75" hidden="false" customHeight="true" outlineLevel="0" collapsed="false">
      <c r="B43" s="34" t="s">
        <v>247</v>
      </c>
      <c r="C43" s="34"/>
      <c r="D43" s="35"/>
      <c r="E43" s="79" t="s">
        <v>255</v>
      </c>
      <c r="F43" s="36"/>
    </row>
    <row r="45" customFormat="false" ht="15.75" hidden="false" customHeight="true" outlineLevel="0" collapsed="false">
      <c r="B45" s="78" t="s">
        <v>256</v>
      </c>
      <c r="C45" s="78"/>
      <c r="D45" s="78"/>
      <c r="E45" s="78"/>
      <c r="F45" s="78"/>
    </row>
    <row r="46" customFormat="false" ht="18.75" hidden="false" customHeight="true" outlineLevel="0" collapsed="false">
      <c r="B46" s="34" t="s">
        <v>244</v>
      </c>
      <c r="C46" s="34"/>
      <c r="D46" s="35"/>
      <c r="E46" s="79" t="s">
        <v>254</v>
      </c>
      <c r="F46" s="35"/>
    </row>
    <row r="47" customFormat="false" ht="18.75" hidden="false" customHeight="true" outlineLevel="0" collapsed="false">
      <c r="B47" s="34" t="s">
        <v>247</v>
      </c>
      <c r="C47" s="34"/>
      <c r="D47" s="35"/>
      <c r="E47" s="79" t="s">
        <v>255</v>
      </c>
      <c r="F47" s="36"/>
    </row>
    <row r="51" customFormat="false" ht="15" hidden="false" customHeight="false" outlineLevel="0" collapsed="false">
      <c r="B51" s="41" t="s">
        <v>93</v>
      </c>
      <c r="C51" s="41"/>
      <c r="D51" s="41"/>
      <c r="E51" s="41"/>
      <c r="F51" s="41"/>
    </row>
  </sheetData>
  <mergeCells count="35">
    <mergeCell ref="D3:F3"/>
    <mergeCell ref="B7:F7"/>
    <mergeCell ref="B8:C8"/>
    <mergeCell ref="B9:C9"/>
    <mergeCell ref="B10:C10"/>
    <mergeCell ref="B11:C11"/>
    <mergeCell ref="B12:C12"/>
    <mergeCell ref="B13:C13"/>
    <mergeCell ref="B14:C14"/>
    <mergeCell ref="B16:F16"/>
    <mergeCell ref="B17:C17"/>
    <mergeCell ref="B18:C18"/>
    <mergeCell ref="B19:C19"/>
    <mergeCell ref="B20:C20"/>
    <mergeCell ref="B21:C21"/>
    <mergeCell ref="B22:C22"/>
    <mergeCell ref="B23:C23"/>
    <mergeCell ref="B24:C24"/>
    <mergeCell ref="B25:C25"/>
    <mergeCell ref="B27:F27"/>
    <mergeCell ref="B28:C28"/>
    <mergeCell ref="B29:C29"/>
    <mergeCell ref="B30:C30"/>
    <mergeCell ref="B31:C31"/>
    <mergeCell ref="B32:C32"/>
    <mergeCell ref="B34:F34"/>
    <mergeCell ref="B35:C35"/>
    <mergeCell ref="B36:F39"/>
    <mergeCell ref="B41:F41"/>
    <mergeCell ref="B42:C42"/>
    <mergeCell ref="B43:C43"/>
    <mergeCell ref="B45:F45"/>
    <mergeCell ref="B46:C46"/>
    <mergeCell ref="B47:C47"/>
    <mergeCell ref="B51:F51"/>
  </mergeCells>
  <conditionalFormatting sqref="D30:D32">
    <cfRule type="cellIs" priority="2" operator="greaterThan" aboveAverage="0" equalAverage="0" bottom="0" percent="0" rank="0" text="" dxfId="29">
      <formula>0</formula>
    </cfRule>
  </conditionalFormatting>
  <dataValidations count="2">
    <dataValidation allowBlank="true" errorStyle="stop" operator="between" showDropDown="false" showErrorMessage="false" showInputMessage="false" sqref="D8" type="list">
      <formula1>Reference!$K$6:$K$10</formula1>
      <formula2>0</formula2>
    </dataValidation>
    <dataValidation allowBlank="true" errorStyle="stop" operator="between" showDropDown="false" showErrorMessage="false" showInputMessage="false" sqref="D35" type="list">
      <formula1>"Practical Completion recommended,Practical Completion not recommended,Re-inspection required,All items closed,Defects Liability Period continues"</formula1>
      <formula2>0</formula2>
    </dataValidation>
  </dataValidations>
  <hyperlinks>
    <hyperlink ref="B51" r:id="rId1" display="Built with Mastt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4B6F7"/>
    <pageSetUpPr fitToPage="true"/>
  </sheetPr>
  <dimension ref="B1:H112"/>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2"/>
    <col collapsed="false" customWidth="true" hidden="false" outlineLevel="0" max="3" min="3" style="0" width="16"/>
    <col collapsed="false" customWidth="true" hidden="false" outlineLevel="0" max="4" min="4" style="0" width="12"/>
    <col collapsed="false" customWidth="true" hidden="false" outlineLevel="0" max="5" min="5" style="0" width="13"/>
    <col collapsed="false" customWidth="true" hidden="false" outlineLevel="0" max="6" min="6" style="0" width="16"/>
    <col collapsed="false" customWidth="true" hidden="false" outlineLevel="0" max="7" min="7" style="0" width="46"/>
    <col collapsed="false" customWidth="true" hidden="false" outlineLevel="0" max="8" min="8" style="0" width="44"/>
    <col collapsed="false" customWidth="true" hidden="false" outlineLevel="0" max="9" min="9" style="0" width="2.2"/>
  </cols>
  <sheetData>
    <row r="1" customFormat="false" ht="7.5" hidden="false" customHeight="true" outlineLevel="0" collapsed="false"/>
    <row r="2" customFormat="false" ht="18.75" hidden="false" customHeight="true" outlineLevel="0" collapsed="false">
      <c r="B2" s="1"/>
      <c r="C2" s="1"/>
      <c r="D2" s="1"/>
      <c r="E2" s="1"/>
      <c r="F2" s="1"/>
      <c r="G2" s="1"/>
      <c r="H2" s="1"/>
    </row>
    <row r="3" customFormat="false" ht="18.75" hidden="false" customHeight="true" outlineLevel="0" collapsed="false">
      <c r="B3" s="1"/>
      <c r="C3" s="1"/>
      <c r="D3" s="31" t="s">
        <v>257</v>
      </c>
      <c r="E3" s="31"/>
      <c r="F3" s="31"/>
      <c r="G3" s="31"/>
      <c r="H3" s="31"/>
    </row>
    <row r="4" customFormat="false" ht="18.75" hidden="false" customHeight="true" outlineLevel="0" collapsed="false">
      <c r="B4" s="1"/>
      <c r="C4" s="1"/>
      <c r="D4" s="1"/>
      <c r="E4" s="1"/>
      <c r="F4" s="1"/>
      <c r="G4" s="1"/>
      <c r="H4" s="1"/>
    </row>
    <row r="5" customFormat="false" ht="3.75" hidden="false" customHeight="true" outlineLevel="0" collapsed="false">
      <c r="B5" s="3"/>
      <c r="C5" s="3"/>
      <c r="D5" s="3"/>
      <c r="E5" s="3"/>
      <c r="F5" s="3"/>
      <c r="G5" s="3"/>
      <c r="H5" s="3"/>
    </row>
    <row r="6" customFormat="false" ht="15" hidden="false" customHeight="true" outlineLevel="0" collapsed="false">
      <c r="B6" s="33" t="s">
        <v>258</v>
      </c>
      <c r="C6" s="33"/>
      <c r="D6" s="33"/>
      <c r="E6" s="33"/>
      <c r="F6" s="33"/>
      <c r="G6" s="33"/>
      <c r="H6" s="33"/>
    </row>
    <row r="7" customFormat="false" ht="25.5" hidden="false" customHeight="true" outlineLevel="0" collapsed="false">
      <c r="B7" s="21" t="s">
        <v>95</v>
      </c>
      <c r="C7" s="21" t="s">
        <v>259</v>
      </c>
      <c r="D7" s="21" t="s">
        <v>260</v>
      </c>
      <c r="E7" s="21" t="s">
        <v>261</v>
      </c>
      <c r="F7" s="21" t="s">
        <v>262</v>
      </c>
      <c r="G7" s="21" t="s">
        <v>263</v>
      </c>
      <c r="H7" s="21" t="s">
        <v>264</v>
      </c>
    </row>
    <row r="8" customFormat="false" ht="18" hidden="false" customHeight="true" outlineLevel="0" collapsed="false">
      <c r="B8" s="80" t="s">
        <v>265</v>
      </c>
      <c r="C8" s="81" t="s">
        <v>266</v>
      </c>
      <c r="D8" s="80" t="s">
        <v>267</v>
      </c>
      <c r="E8" s="82" t="n">
        <v>46230</v>
      </c>
      <c r="F8" s="81" t="s">
        <v>158</v>
      </c>
      <c r="G8" s="81" t="s">
        <v>268</v>
      </c>
      <c r="H8" s="81" t="s">
        <v>269</v>
      </c>
    </row>
    <row r="9" customFormat="false" ht="18" hidden="false" customHeight="true" outlineLevel="0" collapsed="false">
      <c r="B9" s="80" t="s">
        <v>270</v>
      </c>
      <c r="C9" s="81" t="s">
        <v>271</v>
      </c>
      <c r="D9" s="80" t="s">
        <v>267</v>
      </c>
      <c r="E9" s="82" t="n">
        <v>46225</v>
      </c>
      <c r="F9" s="81" t="s">
        <v>158</v>
      </c>
      <c r="G9" s="81" t="s">
        <v>272</v>
      </c>
      <c r="H9" s="81" t="s">
        <v>273</v>
      </c>
    </row>
    <row r="10" customFormat="false" ht="18" hidden="false" customHeight="true" outlineLevel="0" collapsed="false">
      <c r="B10" s="80" t="s">
        <v>270</v>
      </c>
      <c r="C10" s="81" t="s">
        <v>274</v>
      </c>
      <c r="D10" s="80" t="s">
        <v>275</v>
      </c>
      <c r="E10" s="82" t="n">
        <v>46237</v>
      </c>
      <c r="F10" s="81" t="s">
        <v>276</v>
      </c>
      <c r="G10" s="81" t="s">
        <v>277</v>
      </c>
      <c r="H10" s="81" t="s">
        <v>278</v>
      </c>
    </row>
    <row r="11" customFormat="false" ht="18" hidden="false" customHeight="true" outlineLevel="0" collapsed="false">
      <c r="B11" s="80" t="s">
        <v>279</v>
      </c>
      <c r="C11" s="81" t="s">
        <v>280</v>
      </c>
      <c r="D11" s="80" t="s">
        <v>275</v>
      </c>
      <c r="E11" s="82" t="n">
        <v>46238</v>
      </c>
      <c r="F11" s="81" t="s">
        <v>276</v>
      </c>
      <c r="G11" s="81" t="s">
        <v>281</v>
      </c>
      <c r="H11" s="81" t="s">
        <v>282</v>
      </c>
    </row>
    <row r="12" customFormat="false" ht="18" hidden="false" customHeight="true" outlineLevel="0" collapsed="false">
      <c r="B12" s="80"/>
      <c r="C12" s="81"/>
      <c r="D12" s="80"/>
      <c r="E12" s="82"/>
      <c r="F12" s="81"/>
      <c r="G12" s="81"/>
      <c r="H12" s="81"/>
    </row>
    <row r="13" customFormat="false" ht="18" hidden="false" customHeight="true" outlineLevel="0" collapsed="false">
      <c r="B13" s="80"/>
      <c r="C13" s="81"/>
      <c r="D13" s="80"/>
      <c r="E13" s="82"/>
      <c r="F13" s="81"/>
      <c r="G13" s="81"/>
      <c r="H13" s="81"/>
    </row>
    <row r="14" customFormat="false" ht="18" hidden="false" customHeight="true" outlineLevel="0" collapsed="false">
      <c r="B14" s="80"/>
      <c r="C14" s="81"/>
      <c r="D14" s="80"/>
      <c r="E14" s="82"/>
      <c r="F14" s="81"/>
      <c r="G14" s="81"/>
      <c r="H14" s="81"/>
    </row>
    <row r="15" customFormat="false" ht="18" hidden="false" customHeight="true" outlineLevel="0" collapsed="false">
      <c r="B15" s="80"/>
      <c r="C15" s="81"/>
      <c r="D15" s="80"/>
      <c r="E15" s="82"/>
      <c r="F15" s="81"/>
      <c r="G15" s="81"/>
      <c r="H15" s="81"/>
    </row>
    <row r="16" customFormat="false" ht="18" hidden="false" customHeight="true" outlineLevel="0" collapsed="false">
      <c r="B16" s="80"/>
      <c r="C16" s="81"/>
      <c r="D16" s="80"/>
      <c r="E16" s="82"/>
      <c r="F16" s="81"/>
      <c r="G16" s="81"/>
      <c r="H16" s="81"/>
    </row>
    <row r="17" customFormat="false" ht="18" hidden="false" customHeight="true" outlineLevel="0" collapsed="false">
      <c r="B17" s="80"/>
      <c r="C17" s="81"/>
      <c r="D17" s="80"/>
      <c r="E17" s="82"/>
      <c r="F17" s="81"/>
      <c r="G17" s="81"/>
      <c r="H17" s="81"/>
    </row>
    <row r="18" customFormat="false" ht="18" hidden="false" customHeight="true" outlineLevel="0" collapsed="false">
      <c r="B18" s="80"/>
      <c r="C18" s="81"/>
      <c r="D18" s="80"/>
      <c r="E18" s="82"/>
      <c r="F18" s="81"/>
      <c r="G18" s="81"/>
      <c r="H18" s="81"/>
    </row>
    <row r="19" customFormat="false" ht="18" hidden="false" customHeight="true" outlineLevel="0" collapsed="false">
      <c r="B19" s="80"/>
      <c r="C19" s="81"/>
      <c r="D19" s="80"/>
      <c r="E19" s="82"/>
      <c r="F19" s="81"/>
      <c r="G19" s="81"/>
      <c r="H19" s="81"/>
    </row>
    <row r="20" customFormat="false" ht="18" hidden="false" customHeight="true" outlineLevel="0" collapsed="false">
      <c r="B20" s="80"/>
      <c r="C20" s="81"/>
      <c r="D20" s="80"/>
      <c r="E20" s="82"/>
      <c r="F20" s="81"/>
      <c r="G20" s="81"/>
      <c r="H20" s="81"/>
    </row>
    <row r="21" customFormat="false" ht="18" hidden="false" customHeight="true" outlineLevel="0" collapsed="false">
      <c r="B21" s="80"/>
      <c r="C21" s="81"/>
      <c r="D21" s="80"/>
      <c r="E21" s="82"/>
      <c r="F21" s="81"/>
      <c r="G21" s="81"/>
      <c r="H21" s="81"/>
    </row>
    <row r="22" customFormat="false" ht="18" hidden="false" customHeight="true" outlineLevel="0" collapsed="false">
      <c r="B22" s="80"/>
      <c r="C22" s="81"/>
      <c r="D22" s="80"/>
      <c r="E22" s="82"/>
      <c r="F22" s="81"/>
      <c r="G22" s="81"/>
      <c r="H22" s="81"/>
    </row>
    <row r="23" customFormat="false" ht="18" hidden="false" customHeight="true" outlineLevel="0" collapsed="false">
      <c r="B23" s="80"/>
      <c r="C23" s="81"/>
      <c r="D23" s="80"/>
      <c r="E23" s="82"/>
      <c r="F23" s="81"/>
      <c r="G23" s="81"/>
      <c r="H23" s="81"/>
    </row>
    <row r="24" customFormat="false" ht="18" hidden="false" customHeight="true" outlineLevel="0" collapsed="false">
      <c r="B24" s="80"/>
      <c r="C24" s="81"/>
      <c r="D24" s="80"/>
      <c r="E24" s="82"/>
      <c r="F24" s="81"/>
      <c r="G24" s="81"/>
      <c r="H24" s="81"/>
    </row>
    <row r="25" customFormat="false" ht="18" hidden="false" customHeight="true" outlineLevel="0" collapsed="false">
      <c r="B25" s="80"/>
      <c r="C25" s="81"/>
      <c r="D25" s="80"/>
      <c r="E25" s="82"/>
      <c r="F25" s="81"/>
      <c r="G25" s="81"/>
      <c r="H25" s="81"/>
    </row>
    <row r="26" customFormat="false" ht="18" hidden="false" customHeight="true" outlineLevel="0" collapsed="false">
      <c r="B26" s="80"/>
      <c r="C26" s="81"/>
      <c r="D26" s="80"/>
      <c r="E26" s="82"/>
      <c r="F26" s="81"/>
      <c r="G26" s="81"/>
      <c r="H26" s="81"/>
    </row>
    <row r="27" customFormat="false" ht="18" hidden="false" customHeight="true" outlineLevel="0" collapsed="false">
      <c r="B27" s="80"/>
      <c r="C27" s="81"/>
      <c r="D27" s="80"/>
      <c r="E27" s="82"/>
      <c r="F27" s="81"/>
      <c r="G27" s="81"/>
      <c r="H27" s="81"/>
    </row>
    <row r="28" customFormat="false" ht="18" hidden="false" customHeight="true" outlineLevel="0" collapsed="false">
      <c r="B28" s="80"/>
      <c r="C28" s="81"/>
      <c r="D28" s="80"/>
      <c r="E28" s="82"/>
      <c r="F28" s="81"/>
      <c r="G28" s="81"/>
      <c r="H28" s="81"/>
    </row>
    <row r="29" customFormat="false" ht="18" hidden="false" customHeight="true" outlineLevel="0" collapsed="false">
      <c r="B29" s="80"/>
      <c r="C29" s="81"/>
      <c r="D29" s="80"/>
      <c r="E29" s="82"/>
      <c r="F29" s="81"/>
      <c r="G29" s="81"/>
      <c r="H29" s="81"/>
    </row>
    <row r="30" customFormat="false" ht="18" hidden="false" customHeight="true" outlineLevel="0" collapsed="false">
      <c r="B30" s="80"/>
      <c r="C30" s="81"/>
      <c r="D30" s="80"/>
      <c r="E30" s="82"/>
      <c r="F30" s="81"/>
      <c r="G30" s="81"/>
      <c r="H30" s="81"/>
    </row>
    <row r="31" customFormat="false" ht="18" hidden="false" customHeight="true" outlineLevel="0" collapsed="false">
      <c r="B31" s="80"/>
      <c r="C31" s="81"/>
      <c r="D31" s="80"/>
      <c r="E31" s="82"/>
      <c r="F31" s="81"/>
      <c r="G31" s="81"/>
      <c r="H31" s="81"/>
    </row>
    <row r="32" customFormat="false" ht="18" hidden="false" customHeight="true" outlineLevel="0" collapsed="false">
      <c r="B32" s="80"/>
      <c r="C32" s="81"/>
      <c r="D32" s="80"/>
      <c r="E32" s="82"/>
      <c r="F32" s="81"/>
      <c r="G32" s="81"/>
      <c r="H32" s="81"/>
    </row>
    <row r="33" customFormat="false" ht="18" hidden="false" customHeight="true" outlineLevel="0" collapsed="false">
      <c r="B33" s="80"/>
      <c r="C33" s="81"/>
      <c r="D33" s="80"/>
      <c r="E33" s="82"/>
      <c r="F33" s="81"/>
      <c r="G33" s="81"/>
      <c r="H33" s="81"/>
    </row>
    <row r="34" customFormat="false" ht="18" hidden="false" customHeight="true" outlineLevel="0" collapsed="false">
      <c r="B34" s="80"/>
      <c r="C34" s="81"/>
      <c r="D34" s="80"/>
      <c r="E34" s="82"/>
      <c r="F34" s="81"/>
      <c r="G34" s="81"/>
      <c r="H34" s="81"/>
    </row>
    <row r="35" customFormat="false" ht="18" hidden="false" customHeight="true" outlineLevel="0" collapsed="false">
      <c r="B35" s="80"/>
      <c r="C35" s="81"/>
      <c r="D35" s="80"/>
      <c r="E35" s="82"/>
      <c r="F35" s="81"/>
      <c r="G35" s="81"/>
      <c r="H35" s="81"/>
    </row>
    <row r="36" customFormat="false" ht="18" hidden="false" customHeight="true" outlineLevel="0" collapsed="false">
      <c r="B36" s="80"/>
      <c r="C36" s="81"/>
      <c r="D36" s="80"/>
      <c r="E36" s="82"/>
      <c r="F36" s="81"/>
      <c r="G36" s="81"/>
      <c r="H36" s="81"/>
    </row>
    <row r="37" customFormat="false" ht="18" hidden="false" customHeight="true" outlineLevel="0" collapsed="false">
      <c r="B37" s="80"/>
      <c r="C37" s="81"/>
      <c r="D37" s="80"/>
      <c r="E37" s="82"/>
      <c r="F37" s="81"/>
      <c r="G37" s="81"/>
      <c r="H37" s="81"/>
    </row>
    <row r="38" customFormat="false" ht="18" hidden="false" customHeight="true" outlineLevel="0" collapsed="false">
      <c r="B38" s="80"/>
      <c r="C38" s="81"/>
      <c r="D38" s="80"/>
      <c r="E38" s="82"/>
      <c r="F38" s="81"/>
      <c r="G38" s="81"/>
      <c r="H38" s="81"/>
    </row>
    <row r="39" customFormat="false" ht="18" hidden="false" customHeight="true" outlineLevel="0" collapsed="false">
      <c r="B39" s="80"/>
      <c r="C39" s="81"/>
      <c r="D39" s="80"/>
      <c r="E39" s="82"/>
      <c r="F39" s="81"/>
      <c r="G39" s="81"/>
      <c r="H39" s="81"/>
    </row>
    <row r="40" customFormat="false" ht="18" hidden="false" customHeight="true" outlineLevel="0" collapsed="false">
      <c r="B40" s="80"/>
      <c r="C40" s="81"/>
      <c r="D40" s="80"/>
      <c r="E40" s="82"/>
      <c r="F40" s="81"/>
      <c r="G40" s="81"/>
      <c r="H40" s="81"/>
    </row>
    <row r="41" customFormat="false" ht="18" hidden="false" customHeight="true" outlineLevel="0" collapsed="false">
      <c r="B41" s="80"/>
      <c r="C41" s="81"/>
      <c r="D41" s="80"/>
      <c r="E41" s="82"/>
      <c r="F41" s="81"/>
      <c r="G41" s="81"/>
      <c r="H41" s="81"/>
    </row>
    <row r="42" customFormat="false" ht="18" hidden="false" customHeight="true" outlineLevel="0" collapsed="false">
      <c r="B42" s="80"/>
      <c r="C42" s="81"/>
      <c r="D42" s="80"/>
      <c r="E42" s="82"/>
      <c r="F42" s="81"/>
      <c r="G42" s="81"/>
      <c r="H42" s="81"/>
    </row>
    <row r="43" customFormat="false" ht="18" hidden="false" customHeight="true" outlineLevel="0" collapsed="false">
      <c r="B43" s="80"/>
      <c r="C43" s="81"/>
      <c r="D43" s="80"/>
      <c r="E43" s="82"/>
      <c r="F43" s="81"/>
      <c r="G43" s="81"/>
      <c r="H43" s="81"/>
    </row>
    <row r="44" customFormat="false" ht="18" hidden="false" customHeight="true" outlineLevel="0" collapsed="false">
      <c r="B44" s="80"/>
      <c r="C44" s="81"/>
      <c r="D44" s="80"/>
      <c r="E44" s="82"/>
      <c r="F44" s="81"/>
      <c r="G44" s="81"/>
      <c r="H44" s="81"/>
    </row>
    <row r="45" customFormat="false" ht="18" hidden="false" customHeight="true" outlineLevel="0" collapsed="false">
      <c r="B45" s="80"/>
      <c r="C45" s="81"/>
      <c r="D45" s="80"/>
      <c r="E45" s="82"/>
      <c r="F45" s="81"/>
      <c r="G45" s="81"/>
      <c r="H45" s="81"/>
    </row>
    <row r="46" customFormat="false" ht="18" hidden="false" customHeight="true" outlineLevel="0" collapsed="false">
      <c r="B46" s="80"/>
      <c r="C46" s="81"/>
      <c r="D46" s="80"/>
      <c r="E46" s="82"/>
      <c r="F46" s="81"/>
      <c r="G46" s="81"/>
      <c r="H46" s="81"/>
    </row>
    <row r="47" customFormat="false" ht="18" hidden="false" customHeight="true" outlineLevel="0" collapsed="false">
      <c r="B47" s="80"/>
      <c r="C47" s="81"/>
      <c r="D47" s="80"/>
      <c r="E47" s="82"/>
      <c r="F47" s="81"/>
      <c r="G47" s="81"/>
      <c r="H47" s="81"/>
    </row>
    <row r="48" customFormat="false" ht="18" hidden="false" customHeight="true" outlineLevel="0" collapsed="false">
      <c r="B48" s="80"/>
      <c r="C48" s="81"/>
      <c r="D48" s="80"/>
      <c r="E48" s="82"/>
      <c r="F48" s="81"/>
      <c r="G48" s="81"/>
      <c r="H48" s="81"/>
    </row>
    <row r="49" customFormat="false" ht="18" hidden="false" customHeight="true" outlineLevel="0" collapsed="false">
      <c r="B49" s="80"/>
      <c r="C49" s="81"/>
      <c r="D49" s="80"/>
      <c r="E49" s="82"/>
      <c r="F49" s="81"/>
      <c r="G49" s="81"/>
      <c r="H49" s="81"/>
    </row>
    <row r="50" customFormat="false" ht="18" hidden="false" customHeight="true" outlineLevel="0" collapsed="false">
      <c r="B50" s="80"/>
      <c r="C50" s="81"/>
      <c r="D50" s="80"/>
      <c r="E50" s="82"/>
      <c r="F50" s="81"/>
      <c r="G50" s="81"/>
      <c r="H50" s="81"/>
    </row>
    <row r="51" customFormat="false" ht="18" hidden="false" customHeight="true" outlineLevel="0" collapsed="false">
      <c r="B51" s="80"/>
      <c r="C51" s="81"/>
      <c r="D51" s="80"/>
      <c r="E51" s="82"/>
      <c r="F51" s="81"/>
      <c r="G51" s="81"/>
      <c r="H51" s="81"/>
    </row>
    <row r="52" customFormat="false" ht="18" hidden="false" customHeight="true" outlineLevel="0" collapsed="false">
      <c r="B52" s="80"/>
      <c r="C52" s="81"/>
      <c r="D52" s="80"/>
      <c r="E52" s="82"/>
      <c r="F52" s="81"/>
      <c r="G52" s="81"/>
      <c r="H52" s="81"/>
    </row>
    <row r="53" customFormat="false" ht="18" hidden="false" customHeight="true" outlineLevel="0" collapsed="false">
      <c r="B53" s="80"/>
      <c r="C53" s="81"/>
      <c r="D53" s="80"/>
      <c r="E53" s="82"/>
      <c r="F53" s="81"/>
      <c r="G53" s="81"/>
      <c r="H53" s="81"/>
    </row>
    <row r="54" customFormat="false" ht="18" hidden="false" customHeight="true" outlineLevel="0" collapsed="false">
      <c r="B54" s="80"/>
      <c r="C54" s="81"/>
      <c r="D54" s="80"/>
      <c r="E54" s="82"/>
      <c r="F54" s="81"/>
      <c r="G54" s="81"/>
      <c r="H54" s="81"/>
    </row>
    <row r="55" customFormat="false" ht="18" hidden="false" customHeight="true" outlineLevel="0" collapsed="false">
      <c r="B55" s="80"/>
      <c r="C55" s="81"/>
      <c r="D55" s="80"/>
      <c r="E55" s="82"/>
      <c r="F55" s="81"/>
      <c r="G55" s="81"/>
      <c r="H55" s="81"/>
    </row>
    <row r="56" customFormat="false" ht="18" hidden="false" customHeight="true" outlineLevel="0" collapsed="false">
      <c r="B56" s="80"/>
      <c r="C56" s="81"/>
      <c r="D56" s="80"/>
      <c r="E56" s="82"/>
      <c r="F56" s="81"/>
      <c r="G56" s="81"/>
      <c r="H56" s="81"/>
    </row>
    <row r="57" customFormat="false" ht="18" hidden="false" customHeight="true" outlineLevel="0" collapsed="false">
      <c r="B57" s="80"/>
      <c r="C57" s="81"/>
      <c r="D57" s="80"/>
      <c r="E57" s="82"/>
      <c r="F57" s="81"/>
      <c r="G57" s="81"/>
      <c r="H57" s="81"/>
    </row>
    <row r="58" customFormat="false" ht="18" hidden="false" customHeight="true" outlineLevel="0" collapsed="false">
      <c r="B58" s="80"/>
      <c r="C58" s="81"/>
      <c r="D58" s="80"/>
      <c r="E58" s="82"/>
      <c r="F58" s="81"/>
      <c r="G58" s="81"/>
      <c r="H58" s="81"/>
    </row>
    <row r="59" customFormat="false" ht="18" hidden="false" customHeight="true" outlineLevel="0" collapsed="false">
      <c r="B59" s="80"/>
      <c r="C59" s="81"/>
      <c r="D59" s="80"/>
      <c r="E59" s="82"/>
      <c r="F59" s="81"/>
      <c r="G59" s="81"/>
      <c r="H59" s="81"/>
    </row>
    <row r="60" customFormat="false" ht="18" hidden="false" customHeight="true" outlineLevel="0" collapsed="false">
      <c r="B60" s="80"/>
      <c r="C60" s="81"/>
      <c r="D60" s="80"/>
      <c r="E60" s="82"/>
      <c r="F60" s="81"/>
      <c r="G60" s="81"/>
      <c r="H60" s="81"/>
    </row>
    <row r="61" customFormat="false" ht="18" hidden="false" customHeight="true" outlineLevel="0" collapsed="false">
      <c r="B61" s="80"/>
      <c r="C61" s="81"/>
      <c r="D61" s="80"/>
      <c r="E61" s="82"/>
      <c r="F61" s="81"/>
      <c r="G61" s="81"/>
      <c r="H61" s="81"/>
    </row>
    <row r="62" customFormat="false" ht="18" hidden="false" customHeight="true" outlineLevel="0" collapsed="false">
      <c r="B62" s="80"/>
      <c r="C62" s="81"/>
      <c r="D62" s="80"/>
      <c r="E62" s="82"/>
      <c r="F62" s="81"/>
      <c r="G62" s="81"/>
      <c r="H62" s="81"/>
    </row>
    <row r="63" customFormat="false" ht="18" hidden="false" customHeight="true" outlineLevel="0" collapsed="false">
      <c r="B63" s="80"/>
      <c r="C63" s="81"/>
      <c r="D63" s="80"/>
      <c r="E63" s="82"/>
      <c r="F63" s="81"/>
      <c r="G63" s="81"/>
      <c r="H63" s="81"/>
    </row>
    <row r="64" customFormat="false" ht="18" hidden="false" customHeight="true" outlineLevel="0" collapsed="false">
      <c r="B64" s="80"/>
      <c r="C64" s="81"/>
      <c r="D64" s="80"/>
      <c r="E64" s="82"/>
      <c r="F64" s="81"/>
      <c r="G64" s="81"/>
      <c r="H64" s="81"/>
    </row>
    <row r="65" customFormat="false" ht="18" hidden="false" customHeight="true" outlineLevel="0" collapsed="false">
      <c r="B65" s="80"/>
      <c r="C65" s="81"/>
      <c r="D65" s="80"/>
      <c r="E65" s="82"/>
      <c r="F65" s="81"/>
      <c r="G65" s="81"/>
      <c r="H65" s="81"/>
    </row>
    <row r="66" customFormat="false" ht="18" hidden="false" customHeight="true" outlineLevel="0" collapsed="false">
      <c r="B66" s="80"/>
      <c r="C66" s="81"/>
      <c r="D66" s="80"/>
      <c r="E66" s="82"/>
      <c r="F66" s="81"/>
      <c r="G66" s="81"/>
      <c r="H66" s="81"/>
    </row>
    <row r="67" customFormat="false" ht="18" hidden="false" customHeight="true" outlineLevel="0" collapsed="false">
      <c r="B67" s="80"/>
      <c r="C67" s="81"/>
      <c r="D67" s="80"/>
      <c r="E67" s="82"/>
      <c r="F67" s="81"/>
      <c r="G67" s="81"/>
      <c r="H67" s="81"/>
    </row>
    <row r="68" customFormat="false" ht="18" hidden="false" customHeight="true" outlineLevel="0" collapsed="false">
      <c r="B68" s="80"/>
      <c r="C68" s="81"/>
      <c r="D68" s="80"/>
      <c r="E68" s="82"/>
      <c r="F68" s="81"/>
      <c r="G68" s="81"/>
      <c r="H68" s="81"/>
    </row>
    <row r="69" customFormat="false" ht="18" hidden="false" customHeight="true" outlineLevel="0" collapsed="false">
      <c r="B69" s="80"/>
      <c r="C69" s="81"/>
      <c r="D69" s="80"/>
      <c r="E69" s="82"/>
      <c r="F69" s="81"/>
      <c r="G69" s="81"/>
      <c r="H69" s="81"/>
    </row>
    <row r="70" customFormat="false" ht="18" hidden="false" customHeight="true" outlineLevel="0" collapsed="false">
      <c r="B70" s="80"/>
      <c r="C70" s="81"/>
      <c r="D70" s="80"/>
      <c r="E70" s="82"/>
      <c r="F70" s="81"/>
      <c r="G70" s="81"/>
      <c r="H70" s="81"/>
    </row>
    <row r="71" customFormat="false" ht="18" hidden="false" customHeight="true" outlineLevel="0" collapsed="false">
      <c r="B71" s="80"/>
      <c r="C71" s="81"/>
      <c r="D71" s="80"/>
      <c r="E71" s="82"/>
      <c r="F71" s="81"/>
      <c r="G71" s="81"/>
      <c r="H71" s="81"/>
    </row>
    <row r="72" customFormat="false" ht="18" hidden="false" customHeight="true" outlineLevel="0" collapsed="false">
      <c r="B72" s="80"/>
      <c r="C72" s="81"/>
      <c r="D72" s="80"/>
      <c r="E72" s="82"/>
      <c r="F72" s="81"/>
      <c r="G72" s="81"/>
      <c r="H72" s="81"/>
    </row>
    <row r="73" customFormat="false" ht="18" hidden="false" customHeight="true" outlineLevel="0" collapsed="false">
      <c r="B73" s="80"/>
      <c r="C73" s="81"/>
      <c r="D73" s="80"/>
      <c r="E73" s="82"/>
      <c r="F73" s="81"/>
      <c r="G73" s="81"/>
      <c r="H73" s="81"/>
    </row>
    <row r="74" customFormat="false" ht="18" hidden="false" customHeight="true" outlineLevel="0" collapsed="false">
      <c r="B74" s="80"/>
      <c r="C74" s="81"/>
      <c r="D74" s="80"/>
      <c r="E74" s="82"/>
      <c r="F74" s="81"/>
      <c r="G74" s="81"/>
      <c r="H74" s="81"/>
    </row>
    <row r="75" customFormat="false" ht="18" hidden="false" customHeight="true" outlineLevel="0" collapsed="false">
      <c r="B75" s="80"/>
      <c r="C75" s="81"/>
      <c r="D75" s="80"/>
      <c r="E75" s="82"/>
      <c r="F75" s="81"/>
      <c r="G75" s="81"/>
      <c r="H75" s="81"/>
    </row>
    <row r="76" customFormat="false" ht="18" hidden="false" customHeight="true" outlineLevel="0" collapsed="false">
      <c r="B76" s="80"/>
      <c r="C76" s="81"/>
      <c r="D76" s="80"/>
      <c r="E76" s="82"/>
      <c r="F76" s="81"/>
      <c r="G76" s="81"/>
      <c r="H76" s="81"/>
    </row>
    <row r="77" customFormat="false" ht="18" hidden="false" customHeight="true" outlineLevel="0" collapsed="false">
      <c r="B77" s="80"/>
      <c r="C77" s="81"/>
      <c r="D77" s="80"/>
      <c r="E77" s="82"/>
      <c r="F77" s="81"/>
      <c r="G77" s="81"/>
      <c r="H77" s="81"/>
    </row>
    <row r="78" customFormat="false" ht="18" hidden="false" customHeight="true" outlineLevel="0" collapsed="false">
      <c r="B78" s="80"/>
      <c r="C78" s="81"/>
      <c r="D78" s="80"/>
      <c r="E78" s="82"/>
      <c r="F78" s="81"/>
      <c r="G78" s="81"/>
      <c r="H78" s="81"/>
    </row>
    <row r="79" customFormat="false" ht="18" hidden="false" customHeight="true" outlineLevel="0" collapsed="false">
      <c r="B79" s="80"/>
      <c r="C79" s="81"/>
      <c r="D79" s="80"/>
      <c r="E79" s="82"/>
      <c r="F79" s="81"/>
      <c r="G79" s="81"/>
      <c r="H79" s="81"/>
    </row>
    <row r="80" customFormat="false" ht="18" hidden="false" customHeight="true" outlineLevel="0" collapsed="false">
      <c r="B80" s="80"/>
      <c r="C80" s="81"/>
      <c r="D80" s="80"/>
      <c r="E80" s="82"/>
      <c r="F80" s="81"/>
      <c r="G80" s="81"/>
      <c r="H80" s="81"/>
    </row>
    <row r="81" customFormat="false" ht="18" hidden="false" customHeight="true" outlineLevel="0" collapsed="false">
      <c r="B81" s="80"/>
      <c r="C81" s="81"/>
      <c r="D81" s="80"/>
      <c r="E81" s="82"/>
      <c r="F81" s="81"/>
      <c r="G81" s="81"/>
      <c r="H81" s="81"/>
    </row>
    <row r="82" customFormat="false" ht="18" hidden="false" customHeight="true" outlineLevel="0" collapsed="false">
      <c r="B82" s="80"/>
      <c r="C82" s="81"/>
      <c r="D82" s="80"/>
      <c r="E82" s="82"/>
      <c r="F82" s="81"/>
      <c r="G82" s="81"/>
      <c r="H82" s="81"/>
    </row>
    <row r="83" customFormat="false" ht="18" hidden="false" customHeight="true" outlineLevel="0" collapsed="false">
      <c r="B83" s="80"/>
      <c r="C83" s="81"/>
      <c r="D83" s="80"/>
      <c r="E83" s="82"/>
      <c r="F83" s="81"/>
      <c r="G83" s="81"/>
      <c r="H83" s="81"/>
    </row>
    <row r="84" customFormat="false" ht="18" hidden="false" customHeight="true" outlineLevel="0" collapsed="false">
      <c r="B84" s="80"/>
      <c r="C84" s="81"/>
      <c r="D84" s="80"/>
      <c r="E84" s="82"/>
      <c r="F84" s="81"/>
      <c r="G84" s="81"/>
      <c r="H84" s="81"/>
    </row>
    <row r="85" customFormat="false" ht="18" hidden="false" customHeight="true" outlineLevel="0" collapsed="false">
      <c r="B85" s="80"/>
      <c r="C85" s="81"/>
      <c r="D85" s="80"/>
      <c r="E85" s="82"/>
      <c r="F85" s="81"/>
      <c r="G85" s="81"/>
      <c r="H85" s="81"/>
    </row>
    <row r="86" customFormat="false" ht="18" hidden="false" customHeight="true" outlineLevel="0" collapsed="false">
      <c r="B86" s="80"/>
      <c r="C86" s="81"/>
      <c r="D86" s="80"/>
      <c r="E86" s="82"/>
      <c r="F86" s="81"/>
      <c r="G86" s="81"/>
      <c r="H86" s="81"/>
    </row>
    <row r="87" customFormat="false" ht="18" hidden="false" customHeight="true" outlineLevel="0" collapsed="false">
      <c r="B87" s="80"/>
      <c r="C87" s="81"/>
      <c r="D87" s="80"/>
      <c r="E87" s="82"/>
      <c r="F87" s="81"/>
      <c r="G87" s="81"/>
      <c r="H87" s="81"/>
    </row>
    <row r="88" customFormat="false" ht="18" hidden="false" customHeight="true" outlineLevel="0" collapsed="false">
      <c r="B88" s="80"/>
      <c r="C88" s="81"/>
      <c r="D88" s="80"/>
      <c r="E88" s="82"/>
      <c r="F88" s="81"/>
      <c r="G88" s="81"/>
      <c r="H88" s="81"/>
    </row>
    <row r="89" customFormat="false" ht="18" hidden="false" customHeight="true" outlineLevel="0" collapsed="false">
      <c r="B89" s="80"/>
      <c r="C89" s="81"/>
      <c r="D89" s="80"/>
      <c r="E89" s="82"/>
      <c r="F89" s="81"/>
      <c r="G89" s="81"/>
      <c r="H89" s="81"/>
    </row>
    <row r="90" customFormat="false" ht="18" hidden="false" customHeight="true" outlineLevel="0" collapsed="false">
      <c r="B90" s="80"/>
      <c r="C90" s="81"/>
      <c r="D90" s="80"/>
      <c r="E90" s="82"/>
      <c r="F90" s="81"/>
      <c r="G90" s="81"/>
      <c r="H90" s="81"/>
    </row>
    <row r="91" customFormat="false" ht="18" hidden="false" customHeight="true" outlineLevel="0" collapsed="false">
      <c r="B91" s="80"/>
      <c r="C91" s="81"/>
      <c r="D91" s="80"/>
      <c r="E91" s="82"/>
      <c r="F91" s="81"/>
      <c r="G91" s="81"/>
      <c r="H91" s="81"/>
    </row>
    <row r="92" customFormat="false" ht="18" hidden="false" customHeight="true" outlineLevel="0" collapsed="false">
      <c r="B92" s="80"/>
      <c r="C92" s="81"/>
      <c r="D92" s="80"/>
      <c r="E92" s="82"/>
      <c r="F92" s="81"/>
      <c r="G92" s="81"/>
      <c r="H92" s="81"/>
    </row>
    <row r="93" customFormat="false" ht="18" hidden="false" customHeight="true" outlineLevel="0" collapsed="false">
      <c r="B93" s="80"/>
      <c r="C93" s="81"/>
      <c r="D93" s="80"/>
      <c r="E93" s="82"/>
      <c r="F93" s="81"/>
      <c r="G93" s="81"/>
      <c r="H93" s="81"/>
    </row>
    <row r="94" customFormat="false" ht="18" hidden="false" customHeight="true" outlineLevel="0" collapsed="false">
      <c r="B94" s="80"/>
      <c r="C94" s="81"/>
      <c r="D94" s="80"/>
      <c r="E94" s="82"/>
      <c r="F94" s="81"/>
      <c r="G94" s="81"/>
      <c r="H94" s="81"/>
    </row>
    <row r="95" customFormat="false" ht="18" hidden="false" customHeight="true" outlineLevel="0" collapsed="false">
      <c r="B95" s="80"/>
      <c r="C95" s="81"/>
      <c r="D95" s="80"/>
      <c r="E95" s="82"/>
      <c r="F95" s="81"/>
      <c r="G95" s="81"/>
      <c r="H95" s="81"/>
    </row>
    <row r="96" customFormat="false" ht="18" hidden="false" customHeight="true" outlineLevel="0" collapsed="false">
      <c r="B96" s="80"/>
      <c r="C96" s="81"/>
      <c r="D96" s="80"/>
      <c r="E96" s="82"/>
      <c r="F96" s="81"/>
      <c r="G96" s="81"/>
      <c r="H96" s="81"/>
    </row>
    <row r="97" customFormat="false" ht="18" hidden="false" customHeight="true" outlineLevel="0" collapsed="false">
      <c r="B97" s="80"/>
      <c r="C97" s="81"/>
      <c r="D97" s="80"/>
      <c r="E97" s="82"/>
      <c r="F97" s="81"/>
      <c r="G97" s="81"/>
      <c r="H97" s="81"/>
    </row>
    <row r="98" customFormat="false" ht="18" hidden="false" customHeight="true" outlineLevel="0" collapsed="false">
      <c r="B98" s="80"/>
      <c r="C98" s="81"/>
      <c r="D98" s="80"/>
      <c r="E98" s="82"/>
      <c r="F98" s="81"/>
      <c r="G98" s="81"/>
      <c r="H98" s="81"/>
    </row>
    <row r="99" customFormat="false" ht="18" hidden="false" customHeight="true" outlineLevel="0" collapsed="false">
      <c r="B99" s="80"/>
      <c r="C99" s="81"/>
      <c r="D99" s="80"/>
      <c r="E99" s="82"/>
      <c r="F99" s="81"/>
      <c r="G99" s="81"/>
      <c r="H99" s="81"/>
    </row>
    <row r="100" customFormat="false" ht="18" hidden="false" customHeight="true" outlineLevel="0" collapsed="false">
      <c r="B100" s="80"/>
      <c r="C100" s="81"/>
      <c r="D100" s="80"/>
      <c r="E100" s="82"/>
      <c r="F100" s="81"/>
      <c r="G100" s="81"/>
      <c r="H100" s="81"/>
    </row>
    <row r="101" customFormat="false" ht="18" hidden="false" customHeight="true" outlineLevel="0" collapsed="false">
      <c r="B101" s="80"/>
      <c r="C101" s="81"/>
      <c r="D101" s="80"/>
      <c r="E101" s="82"/>
      <c r="F101" s="81"/>
      <c r="G101" s="81"/>
      <c r="H101" s="81"/>
    </row>
    <row r="102" customFormat="false" ht="18" hidden="false" customHeight="true" outlineLevel="0" collapsed="false">
      <c r="B102" s="80"/>
      <c r="C102" s="81"/>
      <c r="D102" s="80"/>
      <c r="E102" s="82"/>
      <c r="F102" s="81"/>
      <c r="G102" s="81"/>
      <c r="H102" s="81"/>
    </row>
    <row r="103" customFormat="false" ht="18" hidden="false" customHeight="true" outlineLevel="0" collapsed="false">
      <c r="B103" s="80"/>
      <c r="C103" s="81"/>
      <c r="D103" s="80"/>
      <c r="E103" s="82"/>
      <c r="F103" s="81"/>
      <c r="G103" s="81"/>
      <c r="H103" s="81"/>
    </row>
    <row r="104" customFormat="false" ht="18" hidden="false" customHeight="true" outlineLevel="0" collapsed="false">
      <c r="B104" s="80"/>
      <c r="C104" s="81"/>
      <c r="D104" s="80"/>
      <c r="E104" s="82"/>
      <c r="F104" s="81"/>
      <c r="G104" s="81"/>
      <c r="H104" s="81"/>
    </row>
    <row r="105" customFormat="false" ht="18" hidden="false" customHeight="true" outlineLevel="0" collapsed="false">
      <c r="B105" s="80"/>
      <c r="C105" s="81"/>
      <c r="D105" s="80"/>
      <c r="E105" s="82"/>
      <c r="F105" s="81"/>
      <c r="G105" s="81"/>
      <c r="H105" s="81"/>
    </row>
    <row r="106" customFormat="false" ht="18" hidden="false" customHeight="true" outlineLevel="0" collapsed="false">
      <c r="B106" s="80"/>
      <c r="C106" s="81"/>
      <c r="D106" s="80"/>
      <c r="E106" s="82"/>
      <c r="F106" s="81"/>
      <c r="G106" s="81"/>
      <c r="H106" s="81"/>
    </row>
    <row r="107" customFormat="false" ht="18" hidden="false" customHeight="true" outlineLevel="0" collapsed="false">
      <c r="B107" s="80"/>
      <c r="C107" s="81"/>
      <c r="D107" s="80"/>
      <c r="E107" s="82"/>
      <c r="F107" s="81"/>
      <c r="G107" s="81"/>
      <c r="H107" s="81"/>
    </row>
    <row r="109" customFormat="false" ht="15" hidden="false" customHeight="true" outlineLevel="0" collapsed="false">
      <c r="B109" s="33" t="s">
        <v>283</v>
      </c>
      <c r="C109" s="33"/>
      <c r="D109" s="33"/>
      <c r="E109" s="33"/>
      <c r="F109" s="33"/>
      <c r="G109" s="33"/>
      <c r="H109" s="33"/>
    </row>
    <row r="110" customFormat="false" ht="15" hidden="false" customHeight="false" outlineLevel="0" collapsed="false">
      <c r="B110" s="33"/>
      <c r="C110" s="33"/>
      <c r="D110" s="33"/>
      <c r="E110" s="33"/>
      <c r="F110" s="33"/>
      <c r="G110" s="33"/>
      <c r="H110" s="33"/>
    </row>
    <row r="112" customFormat="false" ht="15" hidden="false" customHeight="false" outlineLevel="0" collapsed="false">
      <c r="B112" s="41" t="s">
        <v>93</v>
      </c>
      <c r="C112" s="41"/>
      <c r="D112" s="41"/>
      <c r="E112" s="41"/>
      <c r="F112" s="41"/>
      <c r="G112" s="41"/>
      <c r="H112" s="41"/>
    </row>
  </sheetData>
  <autoFilter ref="B7:H107"/>
  <mergeCells count="4">
    <mergeCell ref="D3:H3"/>
    <mergeCell ref="B6:H6"/>
    <mergeCell ref="B109:H110"/>
    <mergeCell ref="B112:H112"/>
  </mergeCells>
  <dataValidations count="1">
    <dataValidation allowBlank="true" errorStyle="stop" operator="between" showDropDown="false" showErrorMessage="false" showInputMessage="false" sqref="D8:D107" type="list">
      <formula1>Reference!$J$6:$J$9</formula1>
      <formula2>0</formula2>
    </dataValidation>
  </dataValidations>
  <hyperlinks>
    <hyperlink ref="B112" r:id="rId1" display="Built with Mastt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2:K57"/>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6"/>
    <col collapsed="false" customWidth="true" hidden="false" outlineLevel="0" max="3" min="3" style="0" width="28"/>
    <col collapsed="false" customWidth="true" hidden="false" outlineLevel="0" max="4" min="4" style="0" width="22"/>
    <col collapsed="false" customWidth="true" hidden="false" outlineLevel="0" max="5" min="5" style="0" width="12"/>
    <col collapsed="false" customWidth="true" hidden="false" outlineLevel="0" max="6" min="6" style="0" width="20"/>
    <col collapsed="false" customWidth="true" hidden="false" outlineLevel="0" max="7" min="7" style="0" width="28"/>
    <col collapsed="false" customWidth="true" hidden="false" outlineLevel="0" max="8" min="8" style="0" width="22"/>
    <col collapsed="false" customWidth="true" hidden="false" outlineLevel="0" max="9" min="9" style="0" width="10"/>
    <col collapsed="false" customWidth="true" hidden="false" outlineLevel="0" max="10" min="10" style="0" width="12"/>
    <col collapsed="false" customWidth="true" hidden="false" outlineLevel="0" max="11" min="11" style="0" width="32"/>
    <col collapsed="false" customWidth="true" hidden="false" outlineLevel="0" max="12" min="12" style="0" width="2.2"/>
  </cols>
  <sheetData>
    <row r="2" customFormat="false" ht="25.5" hidden="false" customHeight="true" outlineLevel="0" collapsed="false">
      <c r="B2" s="83" t="s">
        <v>284</v>
      </c>
      <c r="C2" s="83"/>
      <c r="D2" s="83"/>
      <c r="E2" s="83"/>
      <c r="F2" s="83"/>
      <c r="G2" s="83"/>
      <c r="H2" s="83"/>
      <c r="I2" s="83"/>
      <c r="J2" s="83"/>
      <c r="K2" s="83"/>
    </row>
    <row r="3" customFormat="false" ht="15" hidden="false" customHeight="true" outlineLevel="0" collapsed="false">
      <c r="B3" s="33" t="s">
        <v>285</v>
      </c>
      <c r="C3" s="33"/>
      <c r="D3" s="33"/>
      <c r="E3" s="33"/>
      <c r="F3" s="33"/>
      <c r="G3" s="33"/>
      <c r="H3" s="33"/>
      <c r="I3" s="33"/>
      <c r="J3" s="33"/>
      <c r="K3" s="33"/>
    </row>
    <row r="5" customFormat="false" ht="25.5" hidden="false" customHeight="true" outlineLevel="0" collapsed="false">
      <c r="B5" s="21" t="s">
        <v>96</v>
      </c>
      <c r="C5" s="21" t="s">
        <v>101</v>
      </c>
      <c r="D5" s="21" t="s">
        <v>102</v>
      </c>
      <c r="E5" s="21" t="s">
        <v>104</v>
      </c>
      <c r="F5" s="21" t="s">
        <v>25</v>
      </c>
      <c r="G5" s="21" t="s">
        <v>286</v>
      </c>
      <c r="H5" s="21" t="s">
        <v>98</v>
      </c>
      <c r="I5" s="21" t="s">
        <v>287</v>
      </c>
      <c r="J5" s="21" t="s">
        <v>288</v>
      </c>
      <c r="K5" s="21" t="s">
        <v>236</v>
      </c>
    </row>
    <row r="6" customFormat="false" ht="15" hidden="false" customHeight="false" outlineLevel="0" collapsed="false">
      <c r="B6" s="84" t="s">
        <v>115</v>
      </c>
      <c r="C6" s="84" t="s">
        <v>198</v>
      </c>
      <c r="D6" s="84" t="s">
        <v>120</v>
      </c>
      <c r="E6" s="84" t="s">
        <v>28</v>
      </c>
      <c r="F6" s="84" t="s">
        <v>27</v>
      </c>
      <c r="G6" s="84" t="s">
        <v>74</v>
      </c>
      <c r="H6" s="84" t="s">
        <v>116</v>
      </c>
      <c r="I6" s="84" t="s">
        <v>130</v>
      </c>
      <c r="J6" s="84" t="s">
        <v>267</v>
      </c>
      <c r="K6" s="84" t="s">
        <v>289</v>
      </c>
    </row>
    <row r="7" customFormat="false" ht="15" hidden="false" customHeight="false" outlineLevel="0" collapsed="false">
      <c r="B7" s="84" t="s">
        <v>170</v>
      </c>
      <c r="C7" s="84" t="s">
        <v>199</v>
      </c>
      <c r="D7" s="84" t="s">
        <v>137</v>
      </c>
      <c r="E7" s="84" t="s">
        <v>31</v>
      </c>
      <c r="F7" s="84" t="s">
        <v>30</v>
      </c>
      <c r="G7" s="84" t="s">
        <v>290</v>
      </c>
      <c r="H7" s="84" t="s">
        <v>228</v>
      </c>
      <c r="I7" s="84" t="s">
        <v>122</v>
      </c>
      <c r="J7" s="84" t="s">
        <v>275</v>
      </c>
      <c r="K7" s="84" t="s">
        <v>291</v>
      </c>
    </row>
    <row r="8" customFormat="false" ht="15" hidden="false" customHeight="false" outlineLevel="0" collapsed="false">
      <c r="C8" s="84" t="s">
        <v>200</v>
      </c>
      <c r="D8" s="84" t="s">
        <v>144</v>
      </c>
      <c r="E8" s="84" t="s">
        <v>34</v>
      </c>
      <c r="F8" s="84" t="s">
        <v>33</v>
      </c>
      <c r="G8" s="84" t="s">
        <v>292</v>
      </c>
      <c r="H8" s="84" t="s">
        <v>140</v>
      </c>
      <c r="J8" s="84" t="s">
        <v>293</v>
      </c>
      <c r="K8" s="84" t="s">
        <v>294</v>
      </c>
    </row>
    <row r="9" customFormat="false" ht="15" hidden="false" customHeight="false" outlineLevel="0" collapsed="false">
      <c r="C9" s="84" t="s">
        <v>201</v>
      </c>
      <c r="D9" s="84" t="s">
        <v>128</v>
      </c>
      <c r="F9" s="84" t="s">
        <v>36</v>
      </c>
      <c r="G9" s="84" t="s">
        <v>295</v>
      </c>
      <c r="H9" s="84" t="s">
        <v>229</v>
      </c>
      <c r="J9" s="84" t="s">
        <v>296</v>
      </c>
      <c r="K9" s="84" t="s">
        <v>297</v>
      </c>
    </row>
    <row r="10" customFormat="false" ht="15" hidden="false" customHeight="false" outlineLevel="0" collapsed="false">
      <c r="C10" s="84" t="s">
        <v>202</v>
      </c>
      <c r="D10" s="84" t="s">
        <v>161</v>
      </c>
      <c r="F10" s="84" t="s">
        <v>39</v>
      </c>
      <c r="G10" s="84" t="s">
        <v>298</v>
      </c>
      <c r="H10" s="84" t="s">
        <v>230</v>
      </c>
      <c r="K10" s="84" t="s">
        <v>299</v>
      </c>
    </row>
    <row r="11" customFormat="false" ht="15" hidden="false" customHeight="false" outlineLevel="0" collapsed="false">
      <c r="C11" s="84" t="s">
        <v>203</v>
      </c>
      <c r="D11" s="84" t="s">
        <v>167</v>
      </c>
      <c r="F11" s="84" t="s">
        <v>42</v>
      </c>
      <c r="G11" s="84" t="s">
        <v>300</v>
      </c>
      <c r="H11" s="84" t="s">
        <v>231</v>
      </c>
    </row>
    <row r="12" customFormat="false" ht="15" hidden="false" customHeight="false" outlineLevel="0" collapsed="false">
      <c r="C12" s="84" t="s">
        <v>204</v>
      </c>
      <c r="D12" s="84" t="s">
        <v>301</v>
      </c>
      <c r="F12" s="84" t="s">
        <v>43</v>
      </c>
      <c r="H12" s="84" t="s">
        <v>133</v>
      </c>
    </row>
    <row r="13" customFormat="false" ht="15" hidden="false" customHeight="false" outlineLevel="0" collapsed="false">
      <c r="C13" s="84" t="s">
        <v>205</v>
      </c>
      <c r="H13" s="84" t="s">
        <v>232</v>
      </c>
    </row>
    <row r="14" customFormat="false" ht="15" hidden="false" customHeight="false" outlineLevel="0" collapsed="false">
      <c r="C14" s="84" t="s">
        <v>127</v>
      </c>
      <c r="H14" s="84" t="s">
        <v>147</v>
      </c>
    </row>
    <row r="15" customFormat="false" ht="15" hidden="false" customHeight="false" outlineLevel="0" collapsed="false">
      <c r="C15" s="84" t="s">
        <v>207</v>
      </c>
      <c r="H15" s="84" t="s">
        <v>164</v>
      </c>
    </row>
    <row r="16" customFormat="false" ht="15" hidden="false" customHeight="false" outlineLevel="0" collapsed="false">
      <c r="C16" s="84" t="s">
        <v>208</v>
      </c>
    </row>
    <row r="17" customFormat="false" ht="15" hidden="false" customHeight="false" outlineLevel="0" collapsed="false">
      <c r="C17" s="84" t="s">
        <v>209</v>
      </c>
    </row>
    <row r="18" customFormat="false" ht="15" hidden="false" customHeight="false" outlineLevel="0" collapsed="false">
      <c r="C18" s="84" t="s">
        <v>210</v>
      </c>
    </row>
    <row r="19" customFormat="false" ht="15" hidden="false" customHeight="false" outlineLevel="0" collapsed="false">
      <c r="C19" s="84" t="s">
        <v>155</v>
      </c>
    </row>
    <row r="20" customFormat="false" ht="15" hidden="false" customHeight="false" outlineLevel="0" collapsed="false">
      <c r="C20" s="84" t="s">
        <v>119</v>
      </c>
    </row>
    <row r="21" customFormat="false" ht="15" hidden="false" customHeight="false" outlineLevel="0" collapsed="false">
      <c r="C21" s="84" t="s">
        <v>176</v>
      </c>
    </row>
    <row r="22" customFormat="false" ht="15" hidden="false" customHeight="false" outlineLevel="0" collapsed="false">
      <c r="C22" s="84" t="s">
        <v>212</v>
      </c>
    </row>
    <row r="23" customFormat="false" ht="15" hidden="false" customHeight="false" outlineLevel="0" collapsed="false">
      <c r="C23" s="84" t="s">
        <v>172</v>
      </c>
    </row>
    <row r="24" customFormat="false" ht="15" hidden="false" customHeight="false" outlineLevel="0" collapsed="false">
      <c r="C24" s="84" t="s">
        <v>136</v>
      </c>
    </row>
    <row r="25" customFormat="false" ht="15" hidden="false" customHeight="false" outlineLevel="0" collapsed="false">
      <c r="C25" s="84" t="s">
        <v>143</v>
      </c>
    </row>
    <row r="26" customFormat="false" ht="15" hidden="false" customHeight="false" outlineLevel="0" collapsed="false">
      <c r="C26" s="84" t="s">
        <v>216</v>
      </c>
    </row>
    <row r="27" customFormat="false" ht="15" hidden="false" customHeight="false" outlineLevel="0" collapsed="false">
      <c r="C27" s="84" t="s">
        <v>218</v>
      </c>
    </row>
    <row r="28" customFormat="false" ht="15" hidden="false" customHeight="false" outlineLevel="0" collapsed="false">
      <c r="C28" s="84" t="s">
        <v>160</v>
      </c>
    </row>
    <row r="29" customFormat="false" ht="15" hidden="false" customHeight="false" outlineLevel="0" collapsed="false">
      <c r="C29" s="84" t="s">
        <v>150</v>
      </c>
    </row>
    <row r="30" customFormat="false" ht="15" hidden="false" customHeight="false" outlineLevel="0" collapsed="false">
      <c r="C30" s="84" t="s">
        <v>222</v>
      </c>
    </row>
    <row r="31" customFormat="false" ht="15" hidden="false" customHeight="false" outlineLevel="0" collapsed="false">
      <c r="C31" s="84" t="s">
        <v>224</v>
      </c>
    </row>
    <row r="32" customFormat="false" ht="15" hidden="false" customHeight="false" outlineLevel="0" collapsed="false">
      <c r="C32" s="84" t="s">
        <v>167</v>
      </c>
    </row>
    <row r="33" customFormat="false" ht="15" hidden="false" customHeight="false" outlineLevel="0" collapsed="false">
      <c r="C33" s="84" t="s">
        <v>225</v>
      </c>
    </row>
    <row r="36" customFormat="false" ht="19.5" hidden="false" customHeight="true" outlineLevel="0" collapsed="false">
      <c r="B36" s="59" t="s">
        <v>302</v>
      </c>
      <c r="C36" s="59"/>
      <c r="D36" s="59"/>
      <c r="E36" s="59"/>
      <c r="F36" s="59"/>
      <c r="G36" s="59"/>
      <c r="H36" s="59"/>
      <c r="I36" s="59"/>
      <c r="J36" s="59"/>
      <c r="K36" s="59"/>
    </row>
    <row r="37" customFormat="false" ht="16.5" hidden="false" customHeight="true" outlineLevel="0" collapsed="false">
      <c r="B37" s="11" t="s">
        <v>27</v>
      </c>
      <c r="C37" s="85" t="s">
        <v>303</v>
      </c>
      <c r="D37" s="85"/>
      <c r="E37" s="85"/>
      <c r="F37" s="85"/>
      <c r="G37" s="85"/>
      <c r="H37" s="85"/>
      <c r="I37" s="85"/>
      <c r="J37" s="85"/>
      <c r="K37" s="85"/>
    </row>
    <row r="38" customFormat="false" ht="16.5" hidden="false" customHeight="true" outlineLevel="0" collapsed="false">
      <c r="B38" s="15" t="s">
        <v>30</v>
      </c>
      <c r="C38" s="85" t="s">
        <v>304</v>
      </c>
      <c r="D38" s="85"/>
      <c r="E38" s="85"/>
      <c r="F38" s="85"/>
      <c r="G38" s="85"/>
      <c r="H38" s="85"/>
      <c r="I38" s="85"/>
      <c r="J38" s="85"/>
      <c r="K38" s="85"/>
    </row>
    <row r="39" customFormat="false" ht="16.5" hidden="false" customHeight="true" outlineLevel="0" collapsed="false">
      <c r="B39" s="17" t="s">
        <v>33</v>
      </c>
      <c r="C39" s="85" t="s">
        <v>305</v>
      </c>
      <c r="D39" s="85"/>
      <c r="E39" s="85"/>
      <c r="F39" s="85"/>
      <c r="G39" s="85"/>
      <c r="H39" s="85"/>
      <c r="I39" s="85"/>
      <c r="J39" s="85"/>
      <c r="K39" s="85"/>
    </row>
    <row r="40" customFormat="false" ht="16.5" hidden="false" customHeight="true" outlineLevel="0" collapsed="false">
      <c r="B40" s="16" t="s">
        <v>36</v>
      </c>
      <c r="C40" s="85" t="s">
        <v>306</v>
      </c>
      <c r="D40" s="85"/>
      <c r="E40" s="85"/>
      <c r="F40" s="85"/>
      <c r="G40" s="85"/>
      <c r="H40" s="85"/>
      <c r="I40" s="85"/>
      <c r="J40" s="85"/>
      <c r="K40" s="85"/>
    </row>
    <row r="41" customFormat="false" ht="16.5" hidden="false" customHeight="true" outlineLevel="0" collapsed="false">
      <c r="B41" s="18" t="s">
        <v>39</v>
      </c>
      <c r="C41" s="85" t="s">
        <v>307</v>
      </c>
      <c r="D41" s="85"/>
      <c r="E41" s="85"/>
      <c r="F41" s="85"/>
      <c r="G41" s="85"/>
      <c r="H41" s="85"/>
      <c r="I41" s="85"/>
      <c r="J41" s="85"/>
      <c r="K41" s="85"/>
    </row>
    <row r="42" customFormat="false" ht="16.5" hidden="false" customHeight="true" outlineLevel="0" collapsed="false">
      <c r="B42" s="19" t="s">
        <v>42</v>
      </c>
      <c r="C42" s="85" t="s">
        <v>308</v>
      </c>
      <c r="D42" s="85"/>
      <c r="E42" s="85"/>
      <c r="F42" s="85"/>
      <c r="G42" s="85"/>
      <c r="H42" s="85"/>
      <c r="I42" s="85"/>
      <c r="J42" s="85"/>
      <c r="K42" s="85"/>
    </row>
    <row r="43" customFormat="false" ht="16.5" hidden="false" customHeight="true" outlineLevel="0" collapsed="false">
      <c r="B43" s="20" t="s">
        <v>43</v>
      </c>
      <c r="C43" s="85" t="s">
        <v>309</v>
      </c>
      <c r="D43" s="85"/>
      <c r="E43" s="85"/>
      <c r="F43" s="85"/>
      <c r="G43" s="85"/>
      <c r="H43" s="85"/>
      <c r="I43" s="85"/>
      <c r="J43" s="85"/>
      <c r="K43" s="85"/>
    </row>
    <row r="45" customFormat="false" ht="19.5" hidden="false" customHeight="true" outlineLevel="0" collapsed="false">
      <c r="B45" s="59" t="s">
        <v>310</v>
      </c>
      <c r="C45" s="59"/>
      <c r="D45" s="59"/>
      <c r="E45" s="59"/>
      <c r="F45" s="59"/>
      <c r="G45" s="59"/>
      <c r="H45" s="59"/>
      <c r="I45" s="59"/>
      <c r="J45" s="59"/>
      <c r="K45" s="59"/>
    </row>
    <row r="46" customFormat="false" ht="16.5" hidden="false" customHeight="true" outlineLevel="0" collapsed="false">
      <c r="B46" s="13" t="s">
        <v>28</v>
      </c>
      <c r="C46" s="85" t="s">
        <v>311</v>
      </c>
      <c r="D46" s="85"/>
      <c r="E46" s="85"/>
      <c r="F46" s="85"/>
      <c r="G46" s="85"/>
      <c r="H46" s="85"/>
      <c r="I46" s="85"/>
      <c r="J46" s="85"/>
      <c r="K46" s="85"/>
    </row>
    <row r="47" customFormat="false" ht="16.5" hidden="false" customHeight="true" outlineLevel="0" collapsed="false">
      <c r="B47" s="16" t="s">
        <v>31</v>
      </c>
      <c r="C47" s="85" t="s">
        <v>312</v>
      </c>
      <c r="D47" s="85"/>
      <c r="E47" s="85"/>
      <c r="F47" s="85"/>
      <c r="G47" s="85"/>
      <c r="H47" s="85"/>
      <c r="I47" s="85"/>
      <c r="J47" s="85"/>
      <c r="K47" s="85"/>
    </row>
    <row r="48" customFormat="false" ht="16.5" hidden="false" customHeight="true" outlineLevel="0" collapsed="false">
      <c r="B48" s="15" t="s">
        <v>34</v>
      </c>
      <c r="C48" s="85" t="s">
        <v>313</v>
      </c>
      <c r="D48" s="85"/>
      <c r="E48" s="85"/>
      <c r="F48" s="85"/>
      <c r="G48" s="85"/>
      <c r="H48" s="85"/>
      <c r="I48" s="85"/>
      <c r="J48" s="85"/>
      <c r="K48" s="85"/>
    </row>
    <row r="50" customFormat="false" ht="19.5" hidden="false" customHeight="true" outlineLevel="0" collapsed="false">
      <c r="B50" s="59" t="s">
        <v>314</v>
      </c>
      <c r="C50" s="59"/>
      <c r="D50" s="59"/>
      <c r="E50" s="59"/>
      <c r="F50" s="59"/>
      <c r="G50" s="59"/>
      <c r="H50" s="59"/>
      <c r="I50" s="59"/>
      <c r="J50" s="59"/>
      <c r="K50" s="59"/>
    </row>
    <row r="51" customFormat="false" ht="18" hidden="false" customHeight="true" outlineLevel="0" collapsed="false">
      <c r="B51" s="86" t="s">
        <v>315</v>
      </c>
      <c r="C51" s="87" t="s">
        <v>316</v>
      </c>
      <c r="D51" s="87"/>
      <c r="E51" s="87"/>
      <c r="F51" s="87"/>
      <c r="G51" s="87"/>
      <c r="H51" s="87"/>
      <c r="I51" s="87"/>
      <c r="J51" s="87"/>
      <c r="K51" s="87"/>
    </row>
    <row r="52" customFormat="false" ht="18" hidden="false" customHeight="true" outlineLevel="0" collapsed="false">
      <c r="B52" s="88" t="s">
        <v>317</v>
      </c>
      <c r="C52" s="87" t="s">
        <v>318</v>
      </c>
      <c r="D52" s="87"/>
      <c r="E52" s="87"/>
      <c r="F52" s="87"/>
      <c r="G52" s="87"/>
      <c r="H52" s="87"/>
      <c r="I52" s="87"/>
      <c r="J52" s="87"/>
      <c r="K52" s="87"/>
    </row>
    <row r="53" customFormat="false" ht="18" hidden="false" customHeight="true" outlineLevel="0" collapsed="false">
      <c r="B53" s="89" t="s">
        <v>319</v>
      </c>
      <c r="C53" s="87" t="s">
        <v>320</v>
      </c>
      <c r="D53" s="87"/>
      <c r="E53" s="87"/>
      <c r="F53" s="87"/>
      <c r="G53" s="87"/>
      <c r="H53" s="87"/>
      <c r="I53" s="87"/>
      <c r="J53" s="87"/>
      <c r="K53" s="87"/>
    </row>
    <row r="54" customFormat="false" ht="18" hidden="false" customHeight="true" outlineLevel="0" collapsed="false">
      <c r="B54" s="90" t="s">
        <v>321</v>
      </c>
      <c r="C54" s="87" t="s">
        <v>322</v>
      </c>
      <c r="D54" s="87"/>
      <c r="E54" s="87"/>
      <c r="F54" s="87"/>
      <c r="G54" s="87"/>
      <c r="H54" s="87"/>
      <c r="I54" s="87"/>
      <c r="J54" s="87"/>
      <c r="K54" s="87"/>
    </row>
    <row r="57" customFormat="false" ht="15" hidden="false" customHeight="false" outlineLevel="0" collapsed="false">
      <c r="B57" s="41" t="s">
        <v>93</v>
      </c>
      <c r="C57" s="41"/>
      <c r="D57" s="41"/>
      <c r="E57" s="41"/>
      <c r="F57" s="41"/>
      <c r="G57" s="41"/>
      <c r="H57" s="41"/>
      <c r="I57" s="41"/>
      <c r="J57" s="41"/>
      <c r="K57" s="41"/>
    </row>
  </sheetData>
  <mergeCells count="20">
    <mergeCell ref="B2:K2"/>
    <mergeCell ref="B3:K3"/>
    <mergeCell ref="B36:K36"/>
    <mergeCell ref="C37:K37"/>
    <mergeCell ref="C38:K38"/>
    <mergeCell ref="C39:K39"/>
    <mergeCell ref="C40:K40"/>
    <mergeCell ref="C41:K41"/>
    <mergeCell ref="C42:K42"/>
    <mergeCell ref="C43:K43"/>
    <mergeCell ref="B45:K45"/>
    <mergeCell ref="C46:K46"/>
    <mergeCell ref="C47:K47"/>
    <mergeCell ref="C48:K48"/>
    <mergeCell ref="B50:K50"/>
    <mergeCell ref="C51:K51"/>
    <mergeCell ref="C52:K52"/>
    <mergeCell ref="C53:K53"/>
    <mergeCell ref="C54:K54"/>
    <mergeCell ref="B57:K57"/>
  </mergeCells>
  <hyperlinks>
    <hyperlink ref="B57" r:id="rId1" display="Built with Mastt  |  mastt.com"/>
  </hyperlink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2026-08-11T04:27:59Z</dcterms:created>
  <dc:creator>Mastt</dc:creator>
  <dc:description>Client-side punch list and defects register for Australian construction projects. mastt.com</dc:description>
  <cp:keywords>punch list defects register snagging practical completion defects liability period construction Australia Mastt</cp:keywords>
  <dc:language>en-US</dc:language>
  <cp:lastModifiedBy/>
  <dcterms:modified xsi:type="dcterms:W3CDTF">2026-08-11T04:28:00Z</dcterms:modified>
  <cp:revision>0</cp:revision>
  <dc:subject/>
  <dc:title>Punch List Template (Australia)</dc:title>
</cp:coreProperties>
</file>

<file path=docProps/custom.xml><?xml version="1.0" encoding="utf-8"?>
<Properties xmlns="http://schemas.openxmlformats.org/officeDocument/2006/custom-properties" xmlns:vt="http://schemas.openxmlformats.org/officeDocument/2006/docPropsVTypes"/>
</file>