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EC5187A7-124C-4338-86AC-C618C88FDA46}" xr6:coauthVersionLast="47" xr6:coauthVersionMax="47" xr10:uidLastSave="{00000000-0000-0000-0000-000000000000}"/>
  <bookViews>
    <workbookView xWindow="1515" yWindow="1515" windowWidth="25215" windowHeight="18420" xr2:uid="{00000000-000D-0000-FFFF-FFFF00000000}"/>
  </bookViews>
  <sheets>
    <sheet name="Cover" sheetId="1" r:id="rId1"/>
    <sheet name="Instructions" sheetId="2" r:id="rId2"/>
    <sheet name="Dashboard" sheetId="3" r:id="rId3"/>
    <sheet name="PC Checklist" sheetId="4" r:id="rId4"/>
    <sheet name="Defects Register" sheetId="5" r:id="rId5"/>
    <sheet name="Handover Register" sheetId="6" r:id="rId6"/>
    <sheet name="Commissioning Register" sheetId="7" r:id="rId7"/>
    <sheet name="Certificates Register" sheetId="8" r:id="rId8"/>
    <sheet name="Warranties Register" sheetId="9" r:id="rId9"/>
    <sheet name="PC Sign-Off" sheetId="10" r:id="rId10"/>
    <sheet name="Lists" sheetId="11" state="hidden" r:id="rId11"/>
  </sheets>
  <definedNames>
    <definedName name="_xlnm._FilterDatabase" localSheetId="7" hidden="1">'Certificates Register'!$A$8:$L$45</definedName>
    <definedName name="_xlnm._FilterDatabase" localSheetId="6" hidden="1">'Commissioning Register'!$A$8:$M$56</definedName>
    <definedName name="_xlnm._FilterDatabase" localSheetId="4" hidden="1">'Defects Register'!$A$8:$Q$80</definedName>
    <definedName name="_xlnm._FilterDatabase" localSheetId="5" hidden="1">'Handover Register'!$A$8:$N$78</definedName>
    <definedName name="_xlnm._FilterDatabase" localSheetId="3" hidden="1">'PC Checklist'!$A$8:$N$239</definedName>
    <definedName name="_xlnm._FilterDatabase" localSheetId="8" hidden="1">'Warranties Register'!$A$8:$K$48</definedName>
    <definedName name="ContractForm">Lists!$L$2:$L$11</definedName>
    <definedName name="DefectCategory">Lists!$F$2:$F$4</definedName>
    <definedName name="DefectStatus">Lists!$G$2:$G$7</definedName>
    <definedName name="Discipline">Lists!$H$2:$H$21</definedName>
    <definedName name="_xlnm.Print_Titles" localSheetId="7">'Certificates Register'!$1:$8</definedName>
    <definedName name="_xlnm.Print_Titles" localSheetId="6">'Commissioning Register'!$1:$8</definedName>
    <definedName name="_xlnm.Print_Titles" localSheetId="2">Dashboard!$1:$4</definedName>
    <definedName name="_xlnm.Print_Titles" localSheetId="4">'Defects Register'!$1:$8</definedName>
    <definedName name="_xlnm.Print_Titles" localSheetId="5">'Handover Register'!$1:$8</definedName>
    <definedName name="_xlnm.Print_Titles" localSheetId="1">Instructions!$1:$4</definedName>
    <definedName name="_xlnm.Print_Titles" localSheetId="3">'PC Checklist'!$1:$8</definedName>
    <definedName name="_xlnm.Print_Titles" localSheetId="9">'PC Sign-Off'!$1:$4</definedName>
    <definedName name="_xlnm.Print_Titles" localSheetId="8">'Warranties Register'!$1:$8</definedName>
    <definedName name="RAG">Lists!$D$2:$D$4</definedName>
    <definedName name="Responsible">Lists!$E$2:$E$11</definedName>
    <definedName name="ReviewOutcome">Lists!$I$2:$I$5</definedName>
    <definedName name="State">Lists!$K$2:$K$9</definedName>
    <definedName name="Status">Lists!$A$2:$A$6</definedName>
    <definedName name="TestResult">Lists!$J$2:$J$5</definedName>
    <definedName name="YesNo">Lists!$B$2:$B$3</definedName>
    <definedName name="YesNoNA">Lists!$C$2:$C$4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0" l="1"/>
  <c r="C17" i="10"/>
  <c r="C15" i="10"/>
  <c r="C14" i="10"/>
  <c r="C13" i="10"/>
  <c r="C12" i="10"/>
  <c r="C11" i="10"/>
  <c r="C10" i="10"/>
  <c r="C9" i="10"/>
  <c r="K48" i="9"/>
  <c r="F48" i="9"/>
  <c r="G48" i="9" s="1"/>
  <c r="K47" i="9"/>
  <c r="F47" i="9"/>
  <c r="G47" i="9" s="1"/>
  <c r="K46" i="9"/>
  <c r="F46" i="9"/>
  <c r="G46" i="9" s="1"/>
  <c r="K45" i="9"/>
  <c r="F45" i="9"/>
  <c r="G45" i="9" s="1"/>
  <c r="K44" i="9"/>
  <c r="G44" i="9"/>
  <c r="F44" i="9"/>
  <c r="K43" i="9"/>
  <c r="G43" i="9"/>
  <c r="F43" i="9"/>
  <c r="K42" i="9"/>
  <c r="F42" i="9"/>
  <c r="G42" i="9" s="1"/>
  <c r="K41" i="9"/>
  <c r="G41" i="9"/>
  <c r="F41" i="9"/>
  <c r="K40" i="9"/>
  <c r="G40" i="9"/>
  <c r="F40" i="9"/>
  <c r="K39" i="9"/>
  <c r="F39" i="9"/>
  <c r="G39" i="9" s="1"/>
  <c r="K38" i="9"/>
  <c r="G38" i="9"/>
  <c r="F38" i="9"/>
  <c r="K37" i="9"/>
  <c r="G37" i="9"/>
  <c r="F37" i="9"/>
  <c r="K36" i="9"/>
  <c r="F36" i="9"/>
  <c r="G36" i="9" s="1"/>
  <c r="F35" i="9"/>
  <c r="K35" i="9" s="1"/>
  <c r="K34" i="9"/>
  <c r="G34" i="9"/>
  <c r="F34" i="9"/>
  <c r="F33" i="9"/>
  <c r="K33" i="9" s="1"/>
  <c r="F32" i="9"/>
  <c r="K32" i="9" s="1"/>
  <c r="K31" i="9"/>
  <c r="G31" i="9"/>
  <c r="F31" i="9"/>
  <c r="K30" i="9"/>
  <c r="F30" i="9"/>
  <c r="G30" i="9" s="1"/>
  <c r="F29" i="9"/>
  <c r="K29" i="9" s="1"/>
  <c r="K28" i="9"/>
  <c r="G28" i="9"/>
  <c r="F28" i="9"/>
  <c r="K27" i="9"/>
  <c r="G27" i="9"/>
  <c r="F27" i="9"/>
  <c r="F26" i="9"/>
  <c r="K26" i="9" s="1"/>
  <c r="K25" i="9"/>
  <c r="G25" i="9"/>
  <c r="F25" i="9"/>
  <c r="K24" i="9"/>
  <c r="G24" i="9"/>
  <c r="F24" i="9"/>
  <c r="K23" i="9"/>
  <c r="F23" i="9"/>
  <c r="G23" i="9" s="1"/>
  <c r="G22" i="9"/>
  <c r="F22" i="9"/>
  <c r="K22" i="9" s="1"/>
  <c r="G21" i="9"/>
  <c r="F21" i="9"/>
  <c r="K21" i="9" s="1"/>
  <c r="K20" i="9"/>
  <c r="F20" i="9"/>
  <c r="G20" i="9" s="1"/>
  <c r="F19" i="9"/>
  <c r="K19" i="9" s="1"/>
  <c r="G18" i="9"/>
  <c r="F18" i="9"/>
  <c r="K18" i="9" s="1"/>
  <c r="F17" i="9"/>
  <c r="K17" i="9" s="1"/>
  <c r="F16" i="9"/>
  <c r="K16" i="9" s="1"/>
  <c r="K15" i="9"/>
  <c r="G15" i="9"/>
  <c r="F15" i="9"/>
  <c r="K14" i="9"/>
  <c r="F14" i="9"/>
  <c r="G14" i="9" s="1"/>
  <c r="F13" i="9"/>
  <c r="K13" i="9" s="1"/>
  <c r="K12" i="9"/>
  <c r="G12" i="9"/>
  <c r="F12" i="9"/>
  <c r="K11" i="9"/>
  <c r="G11" i="9"/>
  <c r="F11" i="9"/>
  <c r="F10" i="9"/>
  <c r="K10" i="9" s="1"/>
  <c r="B49" i="9" s="1"/>
  <c r="K9" i="9"/>
  <c r="G9" i="9"/>
  <c r="F9" i="9"/>
  <c r="K45" i="8"/>
  <c r="H45" i="8"/>
  <c r="K44" i="8"/>
  <c r="H44" i="8"/>
  <c r="K43" i="8"/>
  <c r="H43" i="8"/>
  <c r="K42" i="8"/>
  <c r="H42" i="8"/>
  <c r="K41" i="8"/>
  <c r="H41" i="8"/>
  <c r="K40" i="8"/>
  <c r="H40" i="8"/>
  <c r="K39" i="8"/>
  <c r="H39" i="8"/>
  <c r="K38" i="8"/>
  <c r="H38" i="8"/>
  <c r="K37" i="8"/>
  <c r="H37" i="8"/>
  <c r="K36" i="8"/>
  <c r="H36" i="8"/>
  <c r="K35" i="8"/>
  <c r="H35" i="8"/>
  <c r="K34" i="8"/>
  <c r="H34" i="8"/>
  <c r="K33" i="8"/>
  <c r="H33" i="8"/>
  <c r="K32" i="8"/>
  <c r="H32" i="8"/>
  <c r="K31" i="8"/>
  <c r="H31" i="8"/>
  <c r="K30" i="8"/>
  <c r="H30" i="8"/>
  <c r="K29" i="8"/>
  <c r="H29" i="8"/>
  <c r="K28" i="8"/>
  <c r="H28" i="8"/>
  <c r="K27" i="8"/>
  <c r="H27" i="8"/>
  <c r="K26" i="8"/>
  <c r="H26" i="8"/>
  <c r="K25" i="8"/>
  <c r="H25" i="8"/>
  <c r="K24" i="8"/>
  <c r="H24" i="8"/>
  <c r="K23" i="8"/>
  <c r="H23" i="8"/>
  <c r="K22" i="8"/>
  <c r="H22" i="8"/>
  <c r="K21" i="8"/>
  <c r="H21" i="8"/>
  <c r="K20" i="8"/>
  <c r="H20" i="8"/>
  <c r="K19" i="8"/>
  <c r="H19" i="8"/>
  <c r="K18" i="8"/>
  <c r="H18" i="8"/>
  <c r="K17" i="8"/>
  <c r="H17" i="8"/>
  <c r="K16" i="8"/>
  <c r="H16" i="8"/>
  <c r="K15" i="8"/>
  <c r="H15" i="8"/>
  <c r="K14" i="8"/>
  <c r="H14" i="8"/>
  <c r="K13" i="8"/>
  <c r="H13" i="8"/>
  <c r="K12" i="8"/>
  <c r="H12" i="8"/>
  <c r="K11" i="8"/>
  <c r="H11" i="8"/>
  <c r="K10" i="8"/>
  <c r="B46" i="8" s="1"/>
  <c r="H10" i="8"/>
  <c r="K9" i="8"/>
  <c r="F33" i="10" s="1"/>
  <c r="H9" i="8"/>
  <c r="D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N78" i="6"/>
  <c r="M78" i="6"/>
  <c r="M77" i="6"/>
  <c r="N77" i="6" s="1"/>
  <c r="M76" i="6"/>
  <c r="N76" i="6" s="1"/>
  <c r="M75" i="6"/>
  <c r="N75" i="6" s="1"/>
  <c r="M74" i="6"/>
  <c r="N74" i="6" s="1"/>
  <c r="N73" i="6"/>
  <c r="M73" i="6"/>
  <c r="N72" i="6"/>
  <c r="M72" i="6"/>
  <c r="N71" i="6"/>
  <c r="M71" i="6"/>
  <c r="N70" i="6"/>
  <c r="M70" i="6"/>
  <c r="M69" i="6"/>
  <c r="N69" i="6" s="1"/>
  <c r="M68" i="6"/>
  <c r="N68" i="6" s="1"/>
  <c r="M67" i="6"/>
  <c r="N67" i="6" s="1"/>
  <c r="M66" i="6"/>
  <c r="N66" i="6" s="1"/>
  <c r="N65" i="6"/>
  <c r="M65" i="6"/>
  <c r="N64" i="6"/>
  <c r="M64" i="6"/>
  <c r="N63" i="6"/>
  <c r="M63" i="6"/>
  <c r="N62" i="6"/>
  <c r="M62" i="6"/>
  <c r="M61" i="6"/>
  <c r="N61" i="6" s="1"/>
  <c r="M60" i="6"/>
  <c r="N60" i="6" s="1"/>
  <c r="M59" i="6"/>
  <c r="N59" i="6" s="1"/>
  <c r="M58" i="6"/>
  <c r="N58" i="6" s="1"/>
  <c r="N57" i="6"/>
  <c r="M57" i="6"/>
  <c r="N56" i="6"/>
  <c r="M56" i="6"/>
  <c r="N55" i="6"/>
  <c r="M55" i="6"/>
  <c r="N54" i="6"/>
  <c r="M54" i="6"/>
  <c r="M53" i="6"/>
  <c r="N53" i="6" s="1"/>
  <c r="M52" i="6"/>
  <c r="N52" i="6" s="1"/>
  <c r="M51" i="6"/>
  <c r="N51" i="6" s="1"/>
  <c r="M50" i="6"/>
  <c r="N50" i="6" s="1"/>
  <c r="N49" i="6"/>
  <c r="M49" i="6"/>
  <c r="N48" i="6"/>
  <c r="M48" i="6"/>
  <c r="N47" i="6"/>
  <c r="M47" i="6"/>
  <c r="N46" i="6"/>
  <c r="M46" i="6"/>
  <c r="M45" i="6"/>
  <c r="N45" i="6" s="1"/>
  <c r="M44" i="6"/>
  <c r="N44" i="6" s="1"/>
  <c r="M43" i="6"/>
  <c r="N43" i="6" s="1"/>
  <c r="M42" i="6"/>
  <c r="N42" i="6" s="1"/>
  <c r="N41" i="6"/>
  <c r="M41" i="6"/>
  <c r="N40" i="6"/>
  <c r="M40" i="6"/>
  <c r="N39" i="6"/>
  <c r="M39" i="6"/>
  <c r="N38" i="6"/>
  <c r="M38" i="6"/>
  <c r="M37" i="6"/>
  <c r="N37" i="6" s="1"/>
  <c r="M36" i="6"/>
  <c r="N36" i="6" s="1"/>
  <c r="M35" i="6"/>
  <c r="N35" i="6" s="1"/>
  <c r="M34" i="6"/>
  <c r="N34" i="6" s="1"/>
  <c r="N33" i="6"/>
  <c r="M33" i="6"/>
  <c r="N32" i="6"/>
  <c r="M32" i="6"/>
  <c r="N31" i="6"/>
  <c r="M31" i="6"/>
  <c r="N30" i="6"/>
  <c r="M30" i="6"/>
  <c r="M29" i="6"/>
  <c r="N29" i="6" s="1"/>
  <c r="M28" i="6"/>
  <c r="N28" i="6" s="1"/>
  <c r="M27" i="6"/>
  <c r="N27" i="6" s="1"/>
  <c r="M26" i="6"/>
  <c r="N26" i="6" s="1"/>
  <c r="N25" i="6"/>
  <c r="M25" i="6"/>
  <c r="N24" i="6"/>
  <c r="M24" i="6"/>
  <c r="N23" i="6"/>
  <c r="M23" i="6"/>
  <c r="N22" i="6"/>
  <c r="M22" i="6"/>
  <c r="M21" i="6"/>
  <c r="N21" i="6" s="1"/>
  <c r="M20" i="6"/>
  <c r="N20" i="6" s="1"/>
  <c r="M19" i="6"/>
  <c r="N19" i="6" s="1"/>
  <c r="M18" i="6"/>
  <c r="N18" i="6" s="1"/>
  <c r="N17" i="6"/>
  <c r="M17" i="6"/>
  <c r="N16" i="6"/>
  <c r="M16" i="6"/>
  <c r="N15" i="6"/>
  <c r="M15" i="6"/>
  <c r="N14" i="6"/>
  <c r="M14" i="6"/>
  <c r="M13" i="6"/>
  <c r="N13" i="6" s="1"/>
  <c r="M12" i="6"/>
  <c r="N12" i="6" s="1"/>
  <c r="M11" i="6"/>
  <c r="N11" i="6" s="1"/>
  <c r="M10" i="6"/>
  <c r="N10" i="6" s="1"/>
  <c r="N9" i="6"/>
  <c r="M9" i="6"/>
  <c r="Q81" i="5"/>
  <c r="P81" i="5"/>
  <c r="E81"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M20" i="5"/>
  <c r="K20" i="5"/>
  <c r="J20" i="5"/>
  <c r="I20" i="5"/>
  <c r="F36" i="3" s="1"/>
  <c r="H20" i="5"/>
  <c r="I19" i="5"/>
  <c r="H19" i="5"/>
  <c r="J19" i="5" s="1"/>
  <c r="I18" i="5"/>
  <c r="H18" i="5"/>
  <c r="J18" i="5" s="1"/>
  <c r="I17" i="5"/>
  <c r="H17" i="5"/>
  <c r="J17" i="5" s="1"/>
  <c r="I16" i="5"/>
  <c r="H16" i="5"/>
  <c r="J16" i="5" s="1"/>
  <c r="J15" i="5"/>
  <c r="I15" i="5"/>
  <c r="F37" i="3" s="1"/>
  <c r="H15" i="5"/>
  <c r="K14" i="5"/>
  <c r="I14" i="5"/>
  <c r="H14" i="5"/>
  <c r="J14" i="5" s="1"/>
  <c r="I13" i="5"/>
  <c r="H13" i="5"/>
  <c r="J13" i="5" s="1"/>
  <c r="I12" i="5"/>
  <c r="H12" i="5"/>
  <c r="J12" i="5" s="1"/>
  <c r="I11" i="5"/>
  <c r="H11" i="5"/>
  <c r="J11" i="5" s="1"/>
  <c r="J10" i="5"/>
  <c r="I10" i="5"/>
  <c r="F35" i="3" s="1"/>
  <c r="H10" i="5"/>
  <c r="J9" i="5"/>
  <c r="I9" i="5"/>
  <c r="H9" i="5"/>
  <c r="M239" i="4"/>
  <c r="M238" i="4"/>
  <c r="M237" i="4"/>
  <c r="M236" i="4"/>
  <c r="M235" i="4"/>
  <c r="M234" i="4"/>
  <c r="M233" i="4"/>
  <c r="M232" i="4"/>
  <c r="M231" i="4"/>
  <c r="M230" i="4"/>
  <c r="M229" i="4"/>
  <c r="M228" i="4"/>
  <c r="M227" i="4"/>
  <c r="M226" i="4"/>
  <c r="M225" i="4"/>
  <c r="M224" i="4"/>
  <c r="M223" i="4"/>
  <c r="M222" i="4"/>
  <c r="M220" i="4"/>
  <c r="M219" i="4"/>
  <c r="M218" i="4"/>
  <c r="M217" i="4"/>
  <c r="M216" i="4"/>
  <c r="M215" i="4"/>
  <c r="M214" i="4"/>
  <c r="M213" i="4"/>
  <c r="M212" i="4"/>
  <c r="M211" i="4"/>
  <c r="M210" i="4"/>
  <c r="M209" i="4"/>
  <c r="M208" i="4"/>
  <c r="M207" i="4"/>
  <c r="M206" i="4"/>
  <c r="M205" i="4"/>
  <c r="M204" i="4"/>
  <c r="M203" i="4"/>
  <c r="M202" i="4"/>
  <c r="M201" i="4"/>
  <c r="M200" i="4"/>
  <c r="M198" i="4"/>
  <c r="M197" i="4"/>
  <c r="M196" i="4"/>
  <c r="M195" i="4"/>
  <c r="M194" i="4"/>
  <c r="M193" i="4"/>
  <c r="M192" i="4"/>
  <c r="M191" i="4"/>
  <c r="M190" i="4"/>
  <c r="M189" i="4"/>
  <c r="M188" i="4"/>
  <c r="M187" i="4"/>
  <c r="M186" i="4"/>
  <c r="M185" i="4"/>
  <c r="M184" i="4"/>
  <c r="M183" i="4"/>
  <c r="M182" i="4"/>
  <c r="M181" i="4"/>
  <c r="M180" i="4"/>
  <c r="M179" i="4"/>
  <c r="M178" i="4"/>
  <c r="M177" i="4"/>
  <c r="M175" i="4"/>
  <c r="M174" i="4"/>
  <c r="M173" i="4"/>
  <c r="M172" i="4"/>
  <c r="M171" i="4"/>
  <c r="M170" i="4"/>
  <c r="M169" i="4"/>
  <c r="M168" i="4"/>
  <c r="M167" i="4"/>
  <c r="M166" i="4"/>
  <c r="M165" i="4"/>
  <c r="M164" i="4"/>
  <c r="M163" i="4"/>
  <c r="M162" i="4"/>
  <c r="M161" i="4"/>
  <c r="M160" i="4"/>
  <c r="M159" i="4"/>
  <c r="M157" i="4"/>
  <c r="M156" i="4"/>
  <c r="M155" i="4"/>
  <c r="M154" i="4"/>
  <c r="M153" i="4"/>
  <c r="M152" i="4"/>
  <c r="M151" i="4"/>
  <c r="M150" i="4"/>
  <c r="M149" i="4"/>
  <c r="M148" i="4"/>
  <c r="M147" i="4"/>
  <c r="M146" i="4"/>
  <c r="M145" i="4"/>
  <c r="M144" i="4"/>
  <c r="M143" i="4"/>
  <c r="M142" i="4"/>
  <c r="M141" i="4"/>
  <c r="M140" i="4"/>
  <c r="M139" i="4"/>
  <c r="M138" i="4"/>
  <c r="M137" i="4"/>
  <c r="M136" i="4"/>
  <c r="M135" i="4"/>
  <c r="M134" i="4"/>
  <c r="M133" i="4"/>
  <c r="M131" i="4"/>
  <c r="M130" i="4"/>
  <c r="M129" i="4"/>
  <c r="M128" i="4"/>
  <c r="M127" i="4"/>
  <c r="M126" i="4"/>
  <c r="M125" i="4"/>
  <c r="M124" i="4"/>
  <c r="M123" i="4"/>
  <c r="M122" i="4"/>
  <c r="M121" i="4"/>
  <c r="M120" i="4"/>
  <c r="M119" i="4"/>
  <c r="M118" i="4"/>
  <c r="M117" i="4"/>
  <c r="M116" i="4"/>
  <c r="M115" i="4"/>
  <c r="M114"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8" i="4"/>
  <c r="M77" i="4"/>
  <c r="M76" i="4"/>
  <c r="M75" i="4"/>
  <c r="M74" i="4"/>
  <c r="M73" i="4"/>
  <c r="M72" i="4"/>
  <c r="M71" i="4"/>
  <c r="M70" i="4"/>
  <c r="M69" i="4"/>
  <c r="M68" i="4"/>
  <c r="M67" i="4"/>
  <c r="M66" i="4"/>
  <c r="M65" i="4"/>
  <c r="M64" i="4"/>
  <c r="M63" i="4"/>
  <c r="M62" i="4"/>
  <c r="M61" i="4"/>
  <c r="M60" i="4"/>
  <c r="M59" i="4"/>
  <c r="M58" i="4"/>
  <c r="M57" i="4"/>
  <c r="M56" i="4"/>
  <c r="M55" i="4"/>
  <c r="M54" i="4"/>
  <c r="M53" i="4"/>
  <c r="M52" i="4"/>
  <c r="M50" i="4"/>
  <c r="M49" i="4"/>
  <c r="M48" i="4"/>
  <c r="M47" i="4"/>
  <c r="M46" i="4"/>
  <c r="M45" i="4"/>
  <c r="M44" i="4"/>
  <c r="M43" i="4"/>
  <c r="M42" i="4"/>
  <c r="M41" i="4"/>
  <c r="M40" i="4"/>
  <c r="M39" i="4"/>
  <c r="M38" i="4"/>
  <c r="M37" i="4"/>
  <c r="M36" i="4"/>
  <c r="M35" i="4"/>
  <c r="M34" i="4"/>
  <c r="M33" i="4"/>
  <c r="M32" i="4"/>
  <c r="M31" i="4"/>
  <c r="M30" i="4"/>
  <c r="M29" i="4"/>
  <c r="M28" i="4"/>
  <c r="M27" i="4"/>
  <c r="M26" i="4"/>
  <c r="M24" i="4"/>
  <c r="M23" i="4"/>
  <c r="M22" i="4"/>
  <c r="M21" i="4"/>
  <c r="M20" i="4"/>
  <c r="M19" i="4"/>
  <c r="M18" i="4"/>
  <c r="M17" i="4"/>
  <c r="M16" i="4"/>
  <c r="M15" i="4"/>
  <c r="M14" i="4"/>
  <c r="M13" i="4"/>
  <c r="M12" i="4"/>
  <c r="M11" i="4"/>
  <c r="M10" i="4"/>
  <c r="M46" i="3"/>
  <c r="L46" i="3"/>
  <c r="K46" i="3"/>
  <c r="J46" i="3"/>
  <c r="M45" i="3"/>
  <c r="L45" i="3"/>
  <c r="K45" i="3"/>
  <c r="J45" i="3"/>
  <c r="M44" i="3"/>
  <c r="L44" i="3"/>
  <c r="K44" i="3"/>
  <c r="J44" i="3"/>
  <c r="M43" i="3"/>
  <c r="L43" i="3"/>
  <c r="K43" i="3"/>
  <c r="J43" i="3"/>
  <c r="M42" i="3"/>
  <c r="L42" i="3"/>
  <c r="K42" i="3"/>
  <c r="J42" i="3"/>
  <c r="M41" i="3"/>
  <c r="L41" i="3"/>
  <c r="K41" i="3"/>
  <c r="J41" i="3"/>
  <c r="M40" i="3"/>
  <c r="L40" i="3"/>
  <c r="K40" i="3"/>
  <c r="J40" i="3"/>
  <c r="M39" i="3"/>
  <c r="M47" i="3" s="1"/>
  <c r="L39" i="3"/>
  <c r="K39" i="3"/>
  <c r="K47" i="3" s="1"/>
  <c r="J39" i="3"/>
  <c r="M38" i="3"/>
  <c r="L38" i="3"/>
  <c r="K38" i="3"/>
  <c r="J38" i="3"/>
  <c r="M37" i="3"/>
  <c r="L37" i="3"/>
  <c r="K37" i="3"/>
  <c r="J37" i="3"/>
  <c r="G37" i="3"/>
  <c r="E37" i="3"/>
  <c r="D37" i="3"/>
  <c r="C37" i="3"/>
  <c r="M36" i="3"/>
  <c r="L36" i="3"/>
  <c r="K36" i="3"/>
  <c r="J36" i="3"/>
  <c r="G36" i="3"/>
  <c r="E36" i="3"/>
  <c r="D36" i="3"/>
  <c r="C36" i="3"/>
  <c r="C38" i="3" s="1"/>
  <c r="M35" i="3"/>
  <c r="L35" i="3"/>
  <c r="L47" i="3" s="1"/>
  <c r="K35" i="3"/>
  <c r="J35" i="3"/>
  <c r="J47" i="3" s="1"/>
  <c r="G35" i="3"/>
  <c r="G38" i="3" s="1"/>
  <c r="E35" i="3"/>
  <c r="E38" i="3" s="1"/>
  <c r="D35" i="3"/>
  <c r="D38" i="3" s="1"/>
  <c r="C35" i="3"/>
  <c r="L30" i="3"/>
  <c r="K30" i="3"/>
  <c r="M30" i="3" s="1"/>
  <c r="H30" i="3"/>
  <c r="G30" i="3"/>
  <c r="F30" i="3"/>
  <c r="E30" i="3"/>
  <c r="D30" i="3"/>
  <c r="I30" i="3" s="1"/>
  <c r="C30" i="3"/>
  <c r="J30" i="3" s="1"/>
  <c r="L29" i="3"/>
  <c r="K29" i="3"/>
  <c r="J29" i="3" s="1"/>
  <c r="H29" i="3"/>
  <c r="I29" i="3" s="1"/>
  <c r="G29" i="3"/>
  <c r="F29" i="3"/>
  <c r="E29" i="3"/>
  <c r="D29" i="3"/>
  <c r="C29" i="3"/>
  <c r="M28" i="3"/>
  <c r="L28" i="3"/>
  <c r="K28" i="3"/>
  <c r="J28" i="3"/>
  <c r="H28" i="3"/>
  <c r="G28" i="3"/>
  <c r="F28" i="3"/>
  <c r="E28" i="3"/>
  <c r="D28" i="3"/>
  <c r="I28" i="3" s="1"/>
  <c r="C28" i="3"/>
  <c r="M27" i="3"/>
  <c r="L27" i="3"/>
  <c r="K27" i="3"/>
  <c r="H27" i="3"/>
  <c r="G27" i="3"/>
  <c r="F27" i="3"/>
  <c r="E27" i="3"/>
  <c r="D27" i="3"/>
  <c r="I27" i="3" s="1"/>
  <c r="C27" i="3"/>
  <c r="J27" i="3" s="1"/>
  <c r="L26" i="3"/>
  <c r="K26" i="3"/>
  <c r="M26" i="3" s="1"/>
  <c r="H26" i="3"/>
  <c r="G26" i="3"/>
  <c r="F26" i="3"/>
  <c r="E26" i="3"/>
  <c r="D26" i="3"/>
  <c r="C26" i="3"/>
  <c r="J26" i="3" s="1"/>
  <c r="L25" i="3"/>
  <c r="K25" i="3"/>
  <c r="M25" i="3" s="1"/>
  <c r="I25" i="3"/>
  <c r="H25" i="3"/>
  <c r="G25" i="3"/>
  <c r="G31" i="3" s="1"/>
  <c r="F25" i="3"/>
  <c r="E25" i="3"/>
  <c r="D25" i="3"/>
  <c r="C25" i="3"/>
  <c r="M24" i="3"/>
  <c r="L24" i="3"/>
  <c r="K24" i="3"/>
  <c r="H24" i="3"/>
  <c r="G24" i="3"/>
  <c r="F24" i="3"/>
  <c r="E24" i="3"/>
  <c r="D24" i="3"/>
  <c r="I24" i="3" s="1"/>
  <c r="C24" i="3"/>
  <c r="J24" i="3" s="1"/>
  <c r="M23" i="3"/>
  <c r="L23" i="3"/>
  <c r="K23" i="3"/>
  <c r="J23" i="3" s="1"/>
  <c r="H23" i="3"/>
  <c r="G23" i="3"/>
  <c r="F23" i="3"/>
  <c r="E23" i="3"/>
  <c r="D23" i="3"/>
  <c r="I23" i="3" s="1"/>
  <c r="C23" i="3"/>
  <c r="L22" i="3"/>
  <c r="L31" i="3" s="1"/>
  <c r="K22" i="3"/>
  <c r="M22" i="3" s="1"/>
  <c r="J22" i="3"/>
  <c r="H22" i="3"/>
  <c r="G22" i="3"/>
  <c r="F22" i="3"/>
  <c r="E22" i="3"/>
  <c r="D22" i="3"/>
  <c r="C22" i="3"/>
  <c r="I22" i="3" s="1"/>
  <c r="L21" i="3"/>
  <c r="K21" i="3"/>
  <c r="M21" i="3" s="1"/>
  <c r="H21" i="3"/>
  <c r="H31" i="3" s="1"/>
  <c r="G21" i="3"/>
  <c r="F21" i="3"/>
  <c r="F31" i="3" s="1"/>
  <c r="E21" i="3"/>
  <c r="E31" i="3" s="1"/>
  <c r="D21" i="3"/>
  <c r="I21" i="3" s="1"/>
  <c r="C21" i="3"/>
  <c r="J21" i="3" s="1"/>
  <c r="B17" i="3"/>
  <c r="B15" i="3"/>
  <c r="B20" i="10" s="1"/>
  <c r="K11" i="3"/>
  <c r="B11" i="3"/>
  <c r="F29" i="10" s="1"/>
  <c r="K7" i="3"/>
  <c r="F28" i="10" s="1"/>
  <c r="H7" i="3"/>
  <c r="F27" i="10" s="1"/>
  <c r="E7" i="3"/>
  <c r="F26" i="10" s="1"/>
  <c r="B7" i="3"/>
  <c r="F25" i="10" s="1"/>
  <c r="C55" i="1"/>
  <c r="C16" i="10" s="1"/>
  <c r="H11" i="3" l="1"/>
  <c r="F31" i="10" s="1"/>
  <c r="N79" i="6"/>
  <c r="F38" i="3"/>
  <c r="J81" i="5"/>
  <c r="E11" i="3"/>
  <c r="F30" i="10" s="1"/>
  <c r="G13" i="9"/>
  <c r="G29" i="9"/>
  <c r="M29" i="3"/>
  <c r="I26" i="3"/>
  <c r="C31" i="3"/>
  <c r="G19" i="9"/>
  <c r="G35" i="9"/>
  <c r="D31" i="3"/>
  <c r="I31" i="3" s="1"/>
  <c r="M31" i="3" s="1"/>
  <c r="B79" i="6"/>
  <c r="J25" i="3"/>
  <c r="G10" i="9"/>
  <c r="G26" i="9"/>
  <c r="G16" i="9"/>
  <c r="G32" i="9"/>
  <c r="K31" i="3"/>
  <c r="J31" i="3" s="1"/>
  <c r="G17" i="9"/>
  <c r="G33" i="9"/>
</calcChain>
</file>

<file path=xl/sharedStrings.xml><?xml version="1.0" encoding="utf-8"?>
<sst xmlns="http://schemas.openxmlformats.org/spreadsheetml/2006/main" count="2718" uniqueCount="1509">
  <si>
    <t xml:space="preserve"> </t>
  </si>
  <si>
    <t>Practical Completion Checklist</t>
  </si>
  <si>
    <t>Handover, statutory sign-off and defects close-out</t>
  </si>
  <si>
    <t>A comprehensive, contract-agnostic Practical Completion and handover checklist for Australian capital projects. It describes what has to be done and evidenced, and gives you a column to record your own contract's clause reference against each obligation.</t>
  </si>
  <si>
    <t>Jurisdiction: Australia — all states and territories    ·    Template version 1.0</t>
  </si>
  <si>
    <t>DOCUMENT CONTROL</t>
  </si>
  <si>
    <t>Project name</t>
  </si>
  <si>
    <t>Project number</t>
  </si>
  <si>
    <t>Client / Owner</t>
  </si>
  <si>
    <t>Prepared by</t>
  </si>
  <si>
    <t>Position / Role</t>
  </si>
  <si>
    <t>Date prepared</t>
  </si>
  <si>
    <t>Reviewed by</t>
  </si>
  <si>
    <t>Approved by</t>
  </si>
  <si>
    <t>Revision</t>
  </si>
  <si>
    <t>A</t>
  </si>
  <si>
    <t>Next review date</t>
  </si>
  <si>
    <t>WHAT'S IN THIS WORKBOOK</t>
  </si>
  <si>
    <t>Instructions</t>
  </si>
  <si>
    <t>How to use the workbook, and how the contract-agnostic approach works</t>
  </si>
  <si>
    <t>Dashboard</t>
  </si>
  <si>
    <t>KPI tiles, section roll-up, defects analysis and the PC recommendation</t>
  </si>
  <si>
    <t>PC Checklist</t>
  </si>
  <si>
    <t>The main checklist — sections A to J covering the full path to Practical Completion</t>
  </si>
  <si>
    <t>Defects Register</t>
  </si>
  <si>
    <t>Defect log by category A / B / C with ageing, cost and back-charge tracking</t>
  </si>
  <si>
    <t>Handover Register</t>
  </si>
  <si>
    <t>Handover and O&amp;M documentation submission, review and acceptance tracking</t>
  </si>
  <si>
    <t>Commissioning Register</t>
  </si>
  <si>
    <t>Commissioning and testing activities, witnessing, results and retests</t>
  </si>
  <si>
    <t>Certificates Register</t>
  </si>
  <si>
    <t>Statutory approvals and certificates, with a field for your state's terminology</t>
  </si>
  <si>
    <t>Warranties Register</t>
  </si>
  <si>
    <t>Warranties and guarantees with automatic expiry and days-remaining calculation</t>
  </si>
  <si>
    <t>PC Sign-Off</t>
  </si>
  <si>
    <t>One-page, print-ready recommendation and signature sheet</t>
  </si>
  <si>
    <t>HOW TO USE</t>
  </si>
  <si>
    <t>•  Fill in the Cover, including State / Territory and Contract form, before you start.</t>
  </si>
  <si>
    <t>•  This template is deliberately contract-agnostic: it describes the obligation, and you record your own clause reference against it.</t>
  </si>
  <si>
    <t>•  Work the PC Checklist; the Dashboard and the PC Sign-Off sheet update themselves from it.</t>
  </si>
  <si>
    <t>•  Anything marked 'PC blocker? = Yes' must be Complete before Practical Completion can be recommended.</t>
  </si>
  <si>
    <t>•  Category A defects prevent Practical Completion. Category B and C are managed through the defects liability period.</t>
  </si>
  <si>
    <t>PROJECT &amp; CONTRACT CONTEXT</t>
  </si>
  <si>
    <t>State / Territory</t>
  </si>
  <si>
    <t>Occupancy approval — term used in your state</t>
  </si>
  <si>
    <t>e.g. Occupation Certificate (NSW) / Occupancy Permit (VIC) / Certificate of Classification, Form 21 (QLD)</t>
  </si>
  <si>
    <t>Contract form</t>
  </si>
  <si>
    <t>Contract number / reference</t>
  </si>
  <si>
    <t>Superintendent / Contract Administrator</t>
  </si>
  <si>
    <t>Principal certifier / certifying authority</t>
  </si>
  <si>
    <t>Target date for Practical Completion</t>
  </si>
  <si>
    <t>Practical Completion date achieved (determined)</t>
  </si>
  <si>
    <t>Defects liability period (months)</t>
  </si>
  <si>
    <t>Defects liability period end date (calculated)</t>
  </si>
  <si>
    <t>Separable portions / staged PC apply?</t>
  </si>
  <si>
    <t>Currency</t>
  </si>
  <si>
    <t>AUD</t>
  </si>
  <si>
    <t>This template is provided by Mastt as general good-practice guidance. It is not legal advice — adapt it to your project, contract and jurisdiction before use.</t>
  </si>
  <si>
    <t>Capital project controls, simplified  ·  mastt.com</t>
  </si>
  <si>
    <t>How to use this template</t>
  </si>
  <si>
    <t>Practical Completion Checklist — Australia</t>
  </si>
  <si>
    <t>1.  Set up the Cover</t>
  </si>
  <si>
    <t>Complete document control, then the Project &amp; Contract Context block: State / Territory, the occupancy approval term used in your state, contract form, target Practical Completion date, the determined PC date once achieved, and the defects liability period in months. The DLP end date calculates itself, and the Dashboard counts down to your target PC date from these fields.</t>
  </si>
  <si>
    <t>2.  Understand the contract-agnostic approach — and the 'Contract clause ref' column</t>
  </si>
  <si>
    <t>This workbook deliberately does not cite clause numbers from any standard form of contract, and it does not tell you what your contract requires. Each line item describes the obligation in practical terms. Column D on the PC Checklist — 'Contract clause ref' — is yours to complete: open your executed contract, find the clause that deals with that obligation, and record it (for example 'Cl 34.6' or 'Sch 2, item 14'). Do this once at the start with your contract administrator and the checklist becomes specific to your project. Where an item has no equivalent in your contract, write 'N/A - good practice' so the team knows it is discretionary.</t>
  </si>
  <si>
    <t>3.  Work the checklist</t>
  </si>
  <si>
    <t>Assign a Responsible party and a Due date to every item, set Status as you go, and record the Evidence / document reference. Verified by and Verification date exist so that someone other than the person who did the work confirms it — for anything a certifier or the client will rely on, that second signature matters.</t>
  </si>
  <si>
    <t>4.  Flag and manage PC blockers</t>
  </si>
  <si>
    <t>Column E, 'PC blocker?', marks the items that must be Complete before Practical Completion can be recommended. Defaults are set for you based on good practice; adjust them to your project and contract. The Dashboard counts open blockers and drives the PC recommendation from them.</t>
  </si>
  <si>
    <t>5.  Run the registers</t>
  </si>
  <si>
    <t>Log every defect on the Defects Register with a category — A prevents PC, B is rectified before the end of the DLP, C is minor or monitor only. Track documentation on the Handover Register, tests on the Commissioning Register, approvals on the Certificates Register and warranties on the Warranties Register. Twelve worked example defects are included and clearly marked EXAMPLE — delete them before you issue the workbook.</t>
  </si>
  <si>
    <t>6.  Read the Dashboard</t>
  </si>
  <si>
    <t>The Dashboard rolls up completion by section, counts open and overdue defects by category and by trade, and produces a single formula-driven PC RECOMMENDATION: it reads NOT READY FOR PC while any 'PC blocker' item is outstanding or any Category A defect is open, and READY TO RECOMMEND PC when both are clear. It is an aid to judgement, not a substitute for the superintendent's or certifier's assessment.</t>
  </si>
  <si>
    <t>7.  Sign off</t>
  </si>
  <si>
    <t>The PC Sign-Off sheet is a single printable page. It pulls the recommendation and the key counts from the Dashboard, and provides signature blocks for the contractor's representative, the superintendent or principal's representative, the client / principal and the certifier. Practical Completion is recommended subject to the attached defects schedule — print the Defects Register and attach it.</t>
  </si>
  <si>
    <t>8.  Manage the defects liability period</t>
  </si>
  <si>
    <t>Section J of the checklist covers the post-PC obligations: defect notification and response times, seasonal re-commissioning at 6 and 12 months, warranty management, the final inspection before the end of the DLP, the final certificate, lessons learned and post-occupancy evaluation. Keep the workbook open through the DLP — it is not finished at Practical Completion.</t>
  </si>
  <si>
    <t>CONVENTIONS USED IN THIS WORKBOOK</t>
  </si>
  <si>
    <t>Status</t>
  </si>
  <si>
    <t>Not Started · In Progress · Complete · N/A · Blocked. Colour is applied automatically. Items set to N/A are excluded from the completion percentage.</t>
  </si>
  <si>
    <t>PC blocker?</t>
  </si>
  <si>
    <t>Yes means the item must be Complete before Practical Completion is recommended. These items drive the PC RECOMMENDATION cell on the Dashboard.</t>
  </si>
  <si>
    <t>Contract clause ref</t>
  </si>
  <si>
    <t>Yours to fill in. This workbook describes obligations; it does not assert what any particular contract requires.</t>
  </si>
  <si>
    <t>Days to due</t>
  </si>
  <si>
    <t>Calculated. Blank when the item is Complete, N/A or has no due date. Red when negative.</t>
  </si>
  <si>
    <t>Defect category</t>
  </si>
  <si>
    <t>A = prevents Practical Completion · B = rectify before the end of the DLP · C = minor, monitor only.</t>
  </si>
  <si>
    <t>RAG</t>
  </si>
  <si>
    <t>Green = section complete · Amber = on track but not finished · Red = blocked, overdue or a PC blocker is open.</t>
  </si>
  <si>
    <t>State terminology</t>
  </si>
  <si>
    <t>Statutory document names differ between states and territories. Where that is the case the workbook says so and gives you a field to record the term that applies to you, rather than asserting a single national name.</t>
  </si>
  <si>
    <t>Standards references</t>
  </si>
  <si>
    <t>Any standard referenced on the Commissioning Register is indicative only. Confirm the applicable standard and edition against your project specification before use.</t>
  </si>
  <si>
    <t>Timeframes</t>
  </si>
  <si>
    <t>Where a period is contract- or state-specific the workbook says 'per contract / per applicable state legislation' and gives you a field. No statutory timeframes are asserted.</t>
  </si>
  <si>
    <t>Dates &amp; amounts</t>
  </si>
  <si>
    <t>Dates are dd-mmm-yy. Money columns are 'Amount (local currency)' formatted #,##0.00 — set the currency on the Cover.</t>
  </si>
  <si>
    <t>Example rows</t>
  </si>
  <si>
    <t>Rows prefixed EXAMPLE are illustrative only. Delete them before issuing the workbook.</t>
  </si>
  <si>
    <t>Built with Mastt  ·  mastt.com</t>
  </si>
  <si>
    <t>Practical Completion Dashboard</t>
  </si>
  <si>
    <t>Live from the checklist and registers</t>
  </si>
  <si>
    <t>PC READINESS</t>
  </si>
  <si>
    <t>ITEMS COMPLETE / TOTAL</t>
  </si>
  <si>
    <t>PC BLOCKERS OUTSTANDING</t>
  </si>
  <si>
    <t>CATEGORY A DEFECTS OPEN</t>
  </si>
  <si>
    <t>Complete / applicable checklist items</t>
  </si>
  <si>
    <t>All sections A to J</t>
  </si>
  <si>
    <t>Flagged 'Yes' and not yet Complete</t>
  </si>
  <si>
    <t>Defects that prevent Practical Completion</t>
  </si>
  <si>
    <t>TOTAL OPEN DEFECTS</t>
  </si>
  <si>
    <t>OVERDUE DEFECTS</t>
  </si>
  <si>
    <t>DOCUMENTS OUTSTANDING</t>
  </si>
  <si>
    <t>DAYS TO TARGET PC DATE</t>
  </si>
  <si>
    <t>All categories, not yet verified closed</t>
  </si>
  <si>
    <t>Past target rectification date, not rectified</t>
  </si>
  <si>
    <t>Handover Register items not yet accepted</t>
  </si>
  <si>
    <t>Set the target date on the Cover sheet</t>
  </si>
  <si>
    <t>PRACTICAL COMPLETION RECOMMENDATION</t>
  </si>
  <si>
    <t>SECTION ROLL-UP</t>
  </si>
  <si>
    <t>Section</t>
  </si>
  <si>
    <t>Items</t>
  </si>
  <si>
    <t>Complete</t>
  </si>
  <si>
    <t>In progress</t>
  </si>
  <si>
    <t>Not started</t>
  </si>
  <si>
    <t>Blocked</t>
  </si>
  <si>
    <t>N/A</t>
  </si>
  <si>
    <t>% complete</t>
  </si>
  <si>
    <t>PC blockers open</t>
  </si>
  <si>
    <t>Overdue</t>
  </si>
  <si>
    <t>Comment</t>
  </si>
  <si>
    <t>A. Definition &amp; Notice of Practical Completion</t>
  </si>
  <si>
    <t>B. Statutory &amp; Regulatory Sign-Off</t>
  </si>
  <si>
    <t>C. Building Fabric &amp; Trades Inspection</t>
  </si>
  <si>
    <t>D. Services Commissioning &amp; Performance</t>
  </si>
  <si>
    <t>E. Defects, Incomplete Works &amp; Minor Omissions</t>
  </si>
  <si>
    <t>F. Handover Documentation &amp; O&amp;M</t>
  </si>
  <si>
    <t>G. Cleaning, Security &amp; Site Demobilisation</t>
  </si>
  <si>
    <t>H. Client Readiness, Occupancy &amp; Operational Transition</t>
  </si>
  <si>
    <t>I. Commercial, Contractual &amp; Financial Close</t>
  </si>
  <si>
    <t>J. Post-PC Obligations &amp; DLP Management</t>
  </si>
  <si>
    <t>ALL SECTIONS</t>
  </si>
  <si>
    <t>DEFECTS BY CATEGORY</t>
  </si>
  <si>
    <t>DEFECTS BY TRADE</t>
  </si>
  <si>
    <t>Category</t>
  </si>
  <si>
    <t>Logged</t>
  </si>
  <si>
    <t>Open</t>
  </si>
  <si>
    <t>Closed</t>
  </si>
  <si>
    <t>Cost (local currency)</t>
  </si>
  <si>
    <t>Trade / discipline</t>
  </si>
  <si>
    <t>Cat A open</t>
  </si>
  <si>
    <t>A - prevents PC</t>
  </si>
  <si>
    <t>Architectural / builder's work</t>
  </si>
  <si>
    <t>B - rectify before end of DLP</t>
  </si>
  <si>
    <t>Facade / glazing</t>
  </si>
  <si>
    <t>C - minor / monitor</t>
  </si>
  <si>
    <t>Roofing</t>
  </si>
  <si>
    <t>ALL DEFECTS</t>
  </si>
  <si>
    <t>Waterproofing</t>
  </si>
  <si>
    <t>Mechanical / HVAC</t>
  </si>
  <si>
    <t>Electrical</t>
  </si>
  <si>
    <t>Hydraulic / plumbing</t>
  </si>
  <si>
    <t>Fire services</t>
  </si>
  <si>
    <t>Vertical transport</t>
  </si>
  <si>
    <t>Civil / external works</t>
  </si>
  <si>
    <t>Flooring</t>
  </si>
  <si>
    <t>Painting</t>
  </si>
  <si>
    <t>LISTED TRADES</t>
  </si>
  <si>
    <t>The PC recommendation above is a decision aid built from this workbook's data. It does not replace the assessment of the superintendent, principal's representative or certifier, and it does not determine anything under your contract.</t>
  </si>
  <si>
    <t>Australia  ·  contract-agnostic</t>
  </si>
  <si>
    <t>Record your own contract's clause reference in column D against each obligation. This checklist describes what has to be done and evidenced — it does not assert what any particular contract requires. Items marked 'PC blocker? = Yes' must be Complete before Practical Completion is recommended.</t>
  </si>
  <si>
    <t>Ref</t>
  </si>
  <si>
    <t>Item / Check</t>
  </si>
  <si>
    <t>Why it matters (guidance)</t>
  </si>
  <si>
    <t>Responsible</t>
  </si>
  <si>
    <t>Due date</t>
  </si>
  <si>
    <t>Date completed</t>
  </si>
  <si>
    <t>Evidence / document ref</t>
  </si>
  <si>
    <t>Verified by</t>
  </si>
  <si>
    <t>Verification date</t>
  </si>
  <si>
    <t>Notes</t>
  </si>
  <si>
    <t>A. Definition &amp; Notice of Practical Completion    ·    15 checks</t>
  </si>
  <si>
    <t>PC-A.01</t>
  </si>
  <si>
    <t>Record the project-specific definition of Practical Completion from your contract in the 'Contract clause ref' column and circulate it to all parties.</t>
  </si>
  <si>
    <t>Most PC disputes start with parties working from different definitions. Write down the one that actually applies.</t>
  </si>
  <si>
    <t>Yes</t>
  </si>
  <si>
    <t>PM / PMO</t>
  </si>
  <si>
    <t>Not Started</t>
  </si>
  <si>
    <t>PC-A.02</t>
  </si>
  <si>
    <t>Translate the contract definition into an agreed, objective PC criteria list (works complete except minor defects/omissions, fit for intended use, approvals for occupation obtained, specified tests passed).</t>
  </si>
  <si>
    <t>Turns a legal test into something the site team can actually work to and evidence.</t>
  </si>
  <si>
    <t>PC-A.03</t>
  </si>
  <si>
    <t>Confirm whether separable portions or staged Practical Completion apply; list each portion with its scope boundary, date, damages rate and defects liability period.</t>
  </si>
  <si>
    <t>Separable portions run independent clocks. Missing one causes double-counted damages and the wrong DLP end date.</t>
  </si>
  <si>
    <t>No</t>
  </si>
  <si>
    <t>PC-A.04</t>
  </si>
  <si>
    <t>Record the target Practical Completion date on the Cover sheet and reconcile it with the current approved programme.</t>
  </si>
  <si>
    <t>Every countdown, damages calculation and mobilisation date in this workbook keys off this one field.</t>
  </si>
  <si>
    <t>Contractor</t>
  </si>
  <si>
    <t>PC-A.05</t>
  </si>
  <si>
    <t>Confirm all extension of time claims lodged to date have been determined in writing so PC is measured against the correct adjusted date.</t>
  </si>
  <si>
    <t>An undetermined EOT makes any damages assessment provisional and highly disputable.</t>
  </si>
  <si>
    <t>PC-A.06</t>
  </si>
  <si>
    <t>Issue the contractor's notice that the works have reached (or will reach) Practical Completion, in the form, to the person and at the address the contract requires.</t>
  </si>
  <si>
    <t>Notice validity is a common technical failure — wrong recipient or wrong form can restart the clock.</t>
  </si>
  <si>
    <t>PC-A.07</t>
  </si>
  <si>
    <t>Diarise the period allowed for the superintendent / principal's representative to respond to the PC notice and record the response due date.</t>
  </si>
  <si>
    <t>Silence or a late response can have contractual consequences for both sides. Know the window.</t>
  </si>
  <si>
    <t>PC-A.08</t>
  </si>
  <si>
    <t>Arrange the PC inspection: date, attendees, access, isolations and any certifier or authority attendance required.</t>
  </si>
  <si>
    <t>Getting every discipline on site once avoids weeks of serial re-inspection.</t>
  </si>
  <si>
    <t>PC-A.09</t>
  </si>
  <si>
    <t>Carry out the joint PC inspection walk to an agreed route and discipline coverage, with a signed attendance record.</t>
  </si>
  <si>
    <t>An agreed route means nothing is skipped, and the attendance record is the evidence trail if the date is later challenged.</t>
  </si>
  <si>
    <t>PC-A.10</t>
  </si>
  <si>
    <t>Produce the PC inspection report listing every item observed, each marked as a PC blocker or a defects-liability-period item, and issue it to all parties.</t>
  </si>
  <si>
    <t>This single document becomes the reference point for the whole PC decision.</t>
  </si>
  <si>
    <t>PC-A.11</t>
  </si>
  <si>
    <t>Determine and record the date Practical Completion was actually achieved (which may differ from the date the certificate is issued).</t>
  </si>
  <si>
    <t>DLP, damages, insurance, care of the works and security release all run from the achieved date, not the paperwork date.</t>
  </si>
  <si>
    <t>PC-A.12</t>
  </si>
  <si>
    <t>Record the effect of PC on liquidated / delay damages: the date they cease to accrue, the period assessed and the amount (if any).</t>
  </si>
  <si>
    <t>The damages position must be settled and communicated in writing, not left implied.</t>
  </si>
  <si>
    <t>PC-A.13</t>
  </si>
  <si>
    <t>Confirm the insurance transfer at PC in writing from both brokers — contract works cover ceasing and the principal's material damage and liability cover commencing.</t>
  </si>
  <si>
    <t>An uninsured gap of even one day across handover is a serious and entirely avoidable exposure.</t>
  </si>
  <si>
    <t>Client / Principal</t>
  </si>
  <si>
    <t>PC-A.14</t>
  </si>
  <si>
    <t>Confirm transfer of care, custody and control of the works at PC, including site security, access control, keys and site rules from that date.</t>
  </si>
  <si>
    <t>Risk of loss or damage moves with care of the works. Document the exact moment it changes hands.</t>
  </si>
  <si>
    <t>PC-A.15</t>
  </si>
  <si>
    <t>Record the defects liability period start date, duration and end date (and for each separable portion) on the Cover sheet and section J.</t>
  </si>
  <si>
    <t>The DLP end date drives the final inspection, the final certificate and release of the balance of security.</t>
  </si>
  <si>
    <t>B. Statutory &amp; Regulatory Sign-Off    ·    25 checks</t>
  </si>
  <si>
    <t>PC-B.01</t>
  </si>
  <si>
    <t>Record the term your state or territory uses for the occupancy approval on the Certificates Register (for example Occupation Certificate in NSW, Occupancy Permit in Victoria, Certificate of Classification / Form 21 in Queensland) and use it consistently.</t>
  </si>
  <si>
    <t>Terminology, issuing party and process differ by jurisdiction; the wrong term causes confusion with authorities, insurers and tenants.</t>
  </si>
  <si>
    <t>Certifier / PCA</t>
  </si>
  <si>
    <t>PC-B.02</t>
  </si>
  <si>
    <t>Obtain the occupancy approval for the whole building, or for each part being occupied, and file the original.</t>
  </si>
  <si>
    <t>Occupying without it exposes the owner to enforcement action and can prejudice insurance cover.</t>
  </si>
  <si>
    <t>PC-B.03</t>
  </si>
  <si>
    <t>If the occupancy approval is interim, record every condition, its currency period and the actions and dates needed to convert it to final.</t>
  </si>
  <si>
    <t>Interim approvals lapse. The obligation to convert is routinely forgotten once the building is occupied.</t>
  </si>
  <si>
    <t>PC-B.04</t>
  </si>
  <si>
    <t>Obtain written sign-off from the certifier / principal certifying authority (title varies by state) confirming mandatory inspections were carried out and satisfied.</t>
  </si>
  <si>
    <t>Missing a mandatory inspection can stop the occupancy approval outright, and is very expensive to remedy after close-up.</t>
  </si>
  <si>
    <t>PC-B.05</t>
  </si>
  <si>
    <t>Assemble the NCC compliance documentation pack: design and construction compliance statements, product substantiation and all performance solution reports.</t>
  </si>
  <si>
    <t>The certifier cannot issue without it, and the client needs it for future alterations and due diligence.</t>
  </si>
  <si>
    <t>Design consultant</t>
  </si>
  <si>
    <t>PC-B.06</t>
  </si>
  <si>
    <t>Confirm every performance solution (fire, access, acoustic, energy, structural) has a performance-based design brief, final report and sign-off by the relevant expert.</t>
  </si>
  <si>
    <t>Performance solutions carry operational assumptions and maintenance obligations that must be handed to whoever runs the building.</t>
  </si>
  <si>
    <t>PC-B.07</t>
  </si>
  <si>
    <t>Obtain the final revision fire engineering report plus a written statement that the as-built works comply with it, with every deviation formally closed out.</t>
  </si>
  <si>
    <t>Fire engineering deviations found after occupation are the single most common cause of a withheld occupancy approval.</t>
  </si>
  <si>
    <t>PC-B.08</t>
  </si>
  <si>
    <t>Obtain the fire safety measures schedule (title varies by state) listing each installed measure and the performance standard it was designed and installed to.</t>
  </si>
  <si>
    <t>This schedule drives the annual statement, the maintenance contract scope and the operator's legal obligations.</t>
  </si>
  <si>
    <t>PC-B.09</t>
  </si>
  <si>
    <t>Obtain the fire safety statement / certificate of essential safety measures required in your state before occupation, and diarise the annual renewal.</t>
  </si>
  <si>
    <t>Annual renewal becomes an owner obligation from day one; the first renewal is the one most often missed.</t>
  </si>
  <si>
    <t>PC-B.10</t>
  </si>
  <si>
    <t>Confirm the essential safety measures maintenance schedule and baseline maintenance records have been handed to the client's facilities team.</t>
  </si>
  <si>
    <t>Without the baseline, the incoming maintenance contractor cannot demonstrate continuity of compliance.</t>
  </si>
  <si>
    <t>PC-B.11</t>
  </si>
  <si>
    <t>Obtain disability access compliance certification, including any access performance solution and the access consultant's sign-off.</t>
  </si>
  <si>
    <t>Access non-compliance is discoverable years later and is expensive and disruptive to retrofit.</t>
  </si>
  <si>
    <t>PC-B.12</t>
  </si>
  <si>
    <t>Confirm energy efficiency compliance evidence: design certification, installed plant performance data, insulation and glazing substantiation, and any rating scheme commitment.</t>
  </si>
  <si>
    <t>Rating commitments (for example a NABERS commitment agreement) can carry contractual liability if not achieved.</t>
  </si>
  <si>
    <t>PC-B.13</t>
  </si>
  <si>
    <t>Obtain the plumbing compliance certificate(s) from the licensed plumber and confirm lodgement with the relevant water authority or regulator.</t>
  </si>
  <si>
    <t>Unlodged plumbing work can block connection, occupancy or later sale.</t>
  </si>
  <si>
    <t>PC-B.14</t>
  </si>
  <si>
    <t>Obtain backflow prevention device test and registration records for every device, with the annual test regime handed to facilities.</t>
  </si>
  <si>
    <t>Backflow testing is an annual statutory obligation in most jurisdictions and the register must start at handover.</t>
  </si>
  <si>
    <t>PC-B.15</t>
  </si>
  <si>
    <t>Obtain the electrical compliance documentation from the licensed electrical contractor (certificate of compliance / certificate of electrical safety — the name varies by state) covering all installed electrical work.</t>
  </si>
  <si>
    <t>Without it the installation is not demonstrably safe or lawful, and insurers will ask for it after any incident.</t>
  </si>
  <si>
    <t>PC-B.16</t>
  </si>
  <si>
    <t>Obtain gas compliance certification and gas fitting sign-off where gas services are installed, including appliance commissioning records.</t>
  </si>
  <si>
    <t>Gas work is separately regulated and separately certified from general plumbing.</t>
  </si>
  <si>
    <t>PC-B.17</t>
  </si>
  <si>
    <t>Obtain lift, escalator and moving walk registration and the regulator's notice permitting use, plus the ongoing inspection regime.</t>
  </si>
  <si>
    <t>Lifts cannot lawfully carry passengers before registration, and this is a hard occupancy blocker.</t>
  </si>
  <si>
    <t>PC-B.18</t>
  </si>
  <si>
    <t>Register plant requiring registration with the WHS regulator (pressure vessels, boilers, cranes, gantries, prescribed plant) and record registration numbers.</t>
  </si>
  <si>
    <t>Plant registration sits with the owner/operator after handover; the numbers must be captured before demobilisation.</t>
  </si>
  <si>
    <t>PC-B.19</t>
  </si>
  <si>
    <t>Confirm all WHS regulator notifications for the site are closed and no improvement, prohibition or infringement notices remain open.</t>
  </si>
  <si>
    <t>An open notice can prevent handover and transfers unresolved liability to the incoming occupier.</t>
  </si>
  <si>
    <t>PC-B.20</t>
  </si>
  <si>
    <t>Confirm environmental licence, EPA approval and permit conditions are discharged, including monitoring records, validation reports and any site audit statement.</t>
  </si>
  <si>
    <t>Contaminated land and environmental conditions attach to the site, not the contractor, once they leave.</t>
  </si>
  <si>
    <t>PC-B.21</t>
  </si>
  <si>
    <t>Obtain planning / development consent condition compliance sign-off as a condition-by-condition schedule with evidence against each condition.</t>
  </si>
  <si>
    <t>Councils increasingly require this schedule before releasing occupancy; assembling it late is slow and painful.</t>
  </si>
  <si>
    <t>PC-B.22</t>
  </si>
  <si>
    <t>Confirm developer contributions, authority headworks charges, bonds and securities lodged with councils and authorities are paid, and record which are refundable and when.</t>
  </si>
  <si>
    <t>Refundable bonds are frequently written off simply because nobody recorded the release trigger.</t>
  </si>
  <si>
    <t>PC-B.23</t>
  </si>
  <si>
    <t>Confirm authority and service provider asset handovers (water, sewer, roads, drainage, public domain, electrical network) are accepted, with any maintenance or defects bond period recorded.</t>
  </si>
  <si>
    <t>Authority defects periods often run longer than the contract DLP and are missed at close-out.</t>
  </si>
  <si>
    <t>PC-B.24</t>
  </si>
  <si>
    <t>Confirm survey and title matters are complete: final identification survey, easements created, and strata / community plan registration or subdivision certificate where applicable.</t>
  </si>
  <si>
    <t>Title and survey issues block settlement, leasing and sale even when the building itself is finished.</t>
  </si>
  <si>
    <t>PC-B.25</t>
  </si>
  <si>
    <t>Obtain registration or approval for on-site sewage management, trade waste, dangerous goods and chemical storage installations where present.</t>
  </si>
  <si>
    <t>These are separate approvals with separate renewals and are easy to overlook in the main approvals pack.</t>
  </si>
  <si>
    <t>C. Building Fabric &amp; Trades Inspection    ·    27 checks</t>
  </si>
  <si>
    <t>PC-C.01</t>
  </si>
  <si>
    <t>Structural completion inspection carried out and the structural engineer's certification obtained that the structure is built in accordance with the design.</t>
  </si>
  <si>
    <t>Structural certification underpins the occupancy approval and any future alteration.</t>
  </si>
  <si>
    <t>PC-C.02</t>
  </si>
  <si>
    <t>Confirm all structural hold points, inspection and test plans and non-conformance reports are closed out with evidence.</t>
  </si>
  <si>
    <t>An open NCR on concealed structural work is almost impossible to resolve after handover.</t>
  </si>
  <si>
    <t>PC-C.03</t>
  </si>
  <si>
    <t>Facade inspection: alignment, sealant and movement joints, sealing at penetrations, fixings and the facade access / maintenance system.</t>
  </si>
  <si>
    <t>Facade rectification after occupation needs access equipment and disrupts tenants — find it now.</t>
  </si>
  <si>
    <t>PC-C.04</t>
  </si>
  <si>
    <t>Facade water penetration testing completed to an agreed method with results recorded and any failures rectified and retested.</t>
  </si>
  <si>
    <t>Water ingress is the highest-frequency and highest-cost defect category in Australian commercial and residential projects.</t>
  </si>
  <si>
    <t>PC-C.05</t>
  </si>
  <si>
    <t>Glazing: confirm glass type, safety glazing marking, energy performance, and that manuals and warranties for the installed units are on file.</t>
  </si>
  <si>
    <t>Substituted glass with different performance is a common and difficult-to-detect substitution.</t>
  </si>
  <si>
    <t>PC-C.06</t>
  </si>
  <si>
    <t>Cladding compliance: confirm installed cladding is compliant and non-combustible where required, with test evidence, and record products for any state cladding notification obligation.</t>
  </si>
  <si>
    <t>Combustible cladding carries state-level registration, rectification and disclosure obligations and severe insurance consequences.</t>
  </si>
  <si>
    <t>PC-C.07</t>
  </si>
  <si>
    <t>Waterproofing: confirm wet area, balcony, planter box, podium and roof membrane installations with flood test records and installer warranties.</t>
  </si>
  <si>
    <t>A membrane failure means removing everything above it. Verify before finishes cover it.</t>
  </si>
  <si>
    <t>PC-C.08</t>
  </si>
  <si>
    <t>Confirm falls to drainage in wet areas, balconies, roofs, podiums and pavements are correct and there is no ponding.</t>
  </si>
  <si>
    <t>Falls cannot be fixed by maintenance — they are a construction defect that gets worse with time.</t>
  </si>
  <si>
    <t>PC-C.09</t>
  </si>
  <si>
    <t>Roof inspection: sheeting or membrane, flashings, penetrations, gutters, downpipes, overflow provisions and rainwater goods.</t>
  </si>
  <si>
    <t>Roof access after handover requires permits and disruption; inspect while scaffold and access are still available.</t>
  </si>
  <si>
    <t>PC-C.10</t>
  </si>
  <si>
    <t>Roof safety systems: anchor points, static lines, walkways and guardrails installed, certified and load tested, with a height safety register and user manual handed over.</t>
  </si>
  <si>
    <t>Without certification the client cannot lawfully send anyone onto the roof to maintain it.</t>
  </si>
  <si>
    <t>PC-C.11</t>
  </si>
  <si>
    <t>Confirm gutter and downpipe capacity and demonstrate the overflow and discharge path (flood test or sign-off of the calculation).</t>
  </si>
  <si>
    <t>Overflow failures cause internal flooding in the first big storm after handover.</t>
  </si>
  <si>
    <t>PC-C.12</t>
  </si>
  <si>
    <t>External works: pavements, kerbs, ramps, stairs, tactile ground surface indicators, thresholds and level transitions inspected for compliance and finish.</t>
  </si>
  <si>
    <t>Level transitions and TGSIs are a frequent access-compliance failure found at final certification.</t>
  </si>
  <si>
    <t>PC-C.13</t>
  </si>
  <si>
    <t>Joinery: alignment, function, hardware, edge finishes, sealing at wet areas, and shop drawings marked up as-built.</t>
  </si>
  <si>
    <t>Joinery is high-visibility to the client and drives their perception of overall quality.</t>
  </si>
  <si>
    <t>PC-C.14</t>
  </si>
  <si>
    <t>Internal finishes: walls, plasterboard, junctions, set finishes and shadow lines inspected against the agreed benchmark or sample.</t>
  </si>
  <si>
    <t>Agreeing a benchmark room early prevents an unresolvable argument about acceptable finish at PC.</t>
  </si>
  <si>
    <t>PC-C.15</t>
  </si>
  <si>
    <t>Doors and hardware: operation, closing force, seals, thresholds, and the door hardware schedule verified as installed.</t>
  </si>
  <si>
    <t>Door closing force and clearances are both an access-compliance and a fire-compliance issue.</t>
  </si>
  <si>
    <t>PC-C.16</t>
  </si>
  <si>
    <t>Fire and smoke doors: installation inspected and certified by a competent person, with the door schedule and tag register handed over.</t>
  </si>
  <si>
    <t>Uncertified fire doors will stop the occupancy approval and are a recurring annual compliance item afterwards.</t>
  </si>
  <si>
    <t>PC-C.17</t>
  </si>
  <si>
    <t>Ceilings: grid alignment, tile finish, set ceiling junctions, and access panels installed where they are actually needed and reachable.</t>
  </si>
  <si>
    <t>Missing or inaccessible access panels make services maintenance impossible and are costly to add later.</t>
  </si>
  <si>
    <t>PC-C.18</t>
  </si>
  <si>
    <t>Floor coverings: carpet, vinyl, timber, epoxy and stone installed to specification, with adhesives, transitions, sealing and skirtings complete.</t>
  </si>
  <si>
    <t>Substrate moisture failures show up weeks after occupation — check the substrate test records.</t>
  </si>
  <si>
    <t>PC-C.19</t>
  </si>
  <si>
    <t>Painting: coverage, finish, colour and sheen verified against the approved schedule, with touch-up completed after all other trades.</t>
  </si>
  <si>
    <t>Touching up before other trades finish guarantees a second touch-up round during occupation.</t>
  </si>
  <si>
    <t>PC-C.20</t>
  </si>
  <si>
    <t>Tiling: setout, falls, grout, movement joints, sealing and cut quality inspected, including drummy tile check.</t>
  </si>
  <si>
    <t>Drummy and debonding tiles are a latent defect that surfaces well into the DLP.</t>
  </si>
  <si>
    <t>PC-C.21</t>
  </si>
  <si>
    <t>Balustrades and handrails: height, gap, loading and fixing verified, with structural certification where required.</t>
  </si>
  <si>
    <t>Balustrade load certification is a life-safety item routinely missing from the handover pack.</t>
  </si>
  <si>
    <t>PC-C.22</t>
  </si>
  <si>
    <t>Statutory and wayfinding signage installed per the approved schedule: exit, fire, electrical, plant, accessible facilities, room numbering and directories.</t>
  </si>
  <si>
    <t>Missing statutory signage is a straightforward but very common occupancy blocker.</t>
  </si>
  <si>
    <t>PC-C.23</t>
  </si>
  <si>
    <t>Landscaping: planting, soil, mulch and staking complete, with the establishment and maintenance period start and end dates recorded.</t>
  </si>
  <si>
    <t>Landscape establishment periods run past PC and need an owner and a budget.</t>
  </si>
  <si>
    <t>PC-C.24</t>
  </si>
  <si>
    <t>Irrigation: system commissioned, controller programmed, zones tested, backflow protected, and the operation manual handed over.</t>
  </si>
  <si>
    <t>An unprogrammed controller kills the planting and the warranty within one summer.</t>
  </si>
  <si>
    <t>PC-C.25</t>
  </si>
  <si>
    <t>Car park: line marking, wheel stops, bollards, height clearance bars and signage installed; accessible bays, shared areas and bicycle facilities set out correctly.</t>
  </si>
  <si>
    <t>Accessible parking setout is a compliance item, not a finishing item.</t>
  </si>
  <si>
    <t>PC-C.26</t>
  </si>
  <si>
    <t>Fencing, gates and boundary treatments complete, including gate hardware, locks keyed to the client's system and any automated gate commissioning.</t>
  </si>
  <si>
    <t>Security perimeter gaps at handover are an immediate operational risk.</t>
  </si>
  <si>
    <t>PC-C.27</t>
  </si>
  <si>
    <t>Confirm specified acoustic performance has been verified by test where required (party walls, plantrooms, services penetrations, floor impact).</t>
  </si>
  <si>
    <t>Acoustic failures need construction rectification, not adjustment, and are near-impossible to fix in an occupied building.</t>
  </si>
  <si>
    <t>D. Services Commissioning &amp; Performance    ·    33 checks</t>
  </si>
  <si>
    <t>PC-D.01</t>
  </si>
  <si>
    <t>Confirm the commissioning plan, programme and responsibility matrix is agreed and being tracked line by line on the Commissioning Register.</t>
  </si>
  <si>
    <t>Commissioning is the most common cause of PC slipping. It needs its own programme, not a single bar on the master.</t>
  </si>
  <si>
    <t>PC-D.02</t>
  </si>
  <si>
    <t>Mechanical / HVAC pre-commissioning complete: cleanliness, static checks, motor rotation, safeties, and pipework flushing certificates.</t>
  </si>
  <si>
    <t>Skipping pre-commissioning damages plant and invalidates the manufacturer warranty.</t>
  </si>
  <si>
    <t>PC-D.03</t>
  </si>
  <si>
    <t>Air balance report issued showing measured versus design flow rates for every zone, with variances inside the specified tolerance.</t>
  </si>
  <si>
    <t>Out-of-tolerance zones become permanent comfort complaints the client will never stop reporting.</t>
  </si>
  <si>
    <t>PC-D.04</t>
  </si>
  <si>
    <t>Hydronic / water balance report issued for chilled water, heating water and condenser water circuits.</t>
  </si>
  <si>
    <t>An unbalanced system consumes far more energy and undermines any rating commitment.</t>
  </si>
  <si>
    <t>PC-D.05</t>
  </si>
  <si>
    <t>Plant performance verified under load: chillers, boilers, cooling towers, air handling units, fan coils and heat pumps.</t>
  </si>
  <si>
    <t>Static commissioning proves the plant runs; only load testing proves it performs.</t>
  </si>
  <si>
    <t>PC-D.06</t>
  </si>
  <si>
    <t>Smoke exhaust, stair pressurisation and car park ventilation commissioned and measured against the fire engineering design intent.</t>
  </si>
  <si>
    <t>These are life-safety systems and a direct occupancy blocker if not proven.</t>
  </si>
  <si>
    <t>PC-D.07</t>
  </si>
  <si>
    <t>Filters replaced or verified clean at handover, and the filter schedule (sizes, grades, quantities) recorded for the maintenance regime.</t>
  </si>
  <si>
    <t>Construction dust destroys filters; handing over dirty filters starts the client's maintenance on the back foot.</t>
  </si>
  <si>
    <t>PC-D.08</t>
  </si>
  <si>
    <t>Hydraulic: pressure testing, disinfection and potable water sampling completed, using a NATA-accredited laboratory, with results on file.</t>
  </si>
  <si>
    <t>Water quality results are a health obligation and are commonly requested by the incoming operator.</t>
  </si>
  <si>
    <t>PC-D.09</t>
  </si>
  <si>
    <t>Backflow prevention devices commissioned, tested, tagged and registered with the water authority.</t>
  </si>
  <si>
    <t>Untested devices are an immediate compliance breach on day one of occupation.</t>
  </si>
  <si>
    <t>PC-D.10</t>
  </si>
  <si>
    <t>Hot water systems commissioned, delivery temperatures verified, and thermostatic mixing valves tested, tagged and scheduled for recurring service.</t>
  </si>
  <si>
    <t>TMV performance is a scald-risk and legionella-risk control with a statutory service frequency.</t>
  </si>
  <si>
    <t>PC-D.11</t>
  </si>
  <si>
    <t>Drainage CCTV survey completed and any pump stations commissioned with high-level alarms proven.</t>
  </si>
  <si>
    <t>Blocked or damaged in-ground drainage is invisible until it fails, and the contractor is gone by then.</t>
  </si>
  <si>
    <t>PC-D.12</t>
  </si>
  <si>
    <t>Fire detection commissioned and tested: detection devices, fire indicator panel, occupant warning and intercommunication system, and sub-indicator panels.</t>
  </si>
  <si>
    <t>Detection commissioning underpins the whole integrated fire test and the occupancy approval.</t>
  </si>
  <si>
    <t>PC-D.13</t>
  </si>
  <si>
    <t>Fire suppression tested: sprinklers, hydrants, hose reels, pumps and any special hazard systems, with flow, pressure and pump start records.</t>
  </si>
  <si>
    <t>Flow and pressure records are the evidence the system will actually perform in a fire.</t>
  </si>
  <si>
    <t>PC-D.14</t>
  </si>
  <si>
    <t>Fire brigade booster, block plan and site access proven, and brigade familiarisation or attendance completed and recorded.</t>
  </si>
  <si>
    <t>Brigade familiarisation is often the last item booked and can hold up the occupancy approval by weeks.</t>
  </si>
  <si>
    <t>PC-D.15</t>
  </si>
  <si>
    <t>Alarm monitoring connection proven end to end to the monitoring provider, and the monitoring account transferred to the client.</t>
  </si>
  <si>
    <t>A commissioned panel with no live monitoring account leaves the building effectively unmonitored at handover.</t>
  </si>
  <si>
    <t>PC-D.16</t>
  </si>
  <si>
    <t>Electrical: switchboard testing complete — thermographic scan, torque checks, phase rotation, insulation resistance and earth continuity — with results recorded.</t>
  </si>
  <si>
    <t>The thermographic baseline is what the client's maintenance regime compares against for the life of the board.</t>
  </si>
  <si>
    <t>PC-D.17</t>
  </si>
  <si>
    <t>Main switchboard and distribution board schedules verified as-installed, with labelling, circuit identification and arc flash / safety signage complete.</t>
  </si>
  <si>
    <t>Wrong board schedules make every future isolation dangerous and slow.</t>
  </si>
  <si>
    <t>PC-D.18</t>
  </si>
  <si>
    <t>RCD testing completed for all applicable circuits and results recorded as the maintenance baseline.</t>
  </si>
  <si>
    <t>RCD testing is a recurring statutory obligation and needs a starting record.</t>
  </si>
  <si>
    <t>PC-D.19</t>
  </si>
  <si>
    <t>Emergency and exit lighting installed, discharge tested for the required duration, and the logbook handed over.</t>
  </si>
  <si>
    <t>The discharge test, not the installation, is what proves egress lighting will work in an outage.</t>
  </si>
  <si>
    <t>PC-D.20</t>
  </si>
  <si>
    <t>Lightning protection and earthing / equipotential bonding tested and certified where installed.</t>
  </si>
  <si>
    <t>Retrofitting or retesting a lightning protection system after handover requires roof access and shutdowns.</t>
  </si>
  <si>
    <t>PC-D.21</t>
  </si>
  <si>
    <t>Vertical transport commissioned, load tested, ride quality verified, and registration obtained from the state regulator.</t>
  </si>
  <si>
    <t>Lift registration is a hard legal gate on occupation, and lead times are frequently underestimated.</t>
  </si>
  <si>
    <t>PC-D.22</t>
  </si>
  <si>
    <t>Lift emergency communication, fire service operation, lift lobby interfaces and access control integration proven.</t>
  </si>
  <si>
    <t>Fire service lift operation must be demonstrated as part of the integrated fire test, not in isolation.</t>
  </si>
  <si>
    <t>PC-D.23</t>
  </si>
  <si>
    <t>BMS / BMCS points list verified point by point against the as-built schedule, with graphics, alarms, trends and setpoints demonstrated live.</t>
  </si>
  <si>
    <t>An unverified points list means the client's building analytics and fault detection will be wrong from day one.</t>
  </si>
  <si>
    <t>PC-D.24</t>
  </si>
  <si>
    <t>BMS remote access, user accounts, licences, source code and passwords handed to the client, with the ongoing vendor support arrangement confirmed.</t>
  </si>
  <si>
    <t>Withheld passwords and licences are a well-known way clients get locked into a single service provider.</t>
  </si>
  <si>
    <t>PC-D.25</t>
  </si>
  <si>
    <t>Security and access control commissioned: CCTV, intruder detection, door hardware interfaces, and access levels; credential system handed to the client's administrator.</t>
  </si>
  <si>
    <t>The client must be able to issue and revoke access from the first day of occupation.</t>
  </si>
  <si>
    <t>PC-D.26</t>
  </si>
  <si>
    <t>Communications and data: structured cabling channel-tested and certified, racks labelled, patch schedules issued and the carrier service active.</t>
  </si>
  <si>
    <t>Certification test results are the basis of the cabling warranty and are hard to obtain after demobilisation.</t>
  </si>
  <si>
    <t>PC-D.27</t>
  </si>
  <si>
    <t>Audio visual systems commissioned, room presets configured, and control system source code and configuration backups handed over.</t>
  </si>
  <si>
    <t>AV control code held only by the installer prevents any future change without them.</t>
  </si>
  <si>
    <t>PC-D.28</t>
  </si>
  <si>
    <t>Metering and sub-metering commissioned, registered, mapped to tenancies and systems, and the data feed proven through to the reporting platform.</t>
  </si>
  <si>
    <t>Incorrect meter mapping means incorrect tenant billing and invalid energy reporting from day one.</t>
  </si>
  <si>
    <t>PC-D.29</t>
  </si>
  <si>
    <t>Solar, battery and other renewables commissioned, grid connection agreement executed, export limits configured and monitoring proven.</t>
  </si>
  <si>
    <t>Network connection approval is a separate process with its own lead time and can lag PC.</t>
  </si>
  <si>
    <t>PC-D.30</t>
  </si>
  <si>
    <t>Generators and UPS load bank tested at the specified load and duration, with fuel supply, batteries and automatic transfer proven and run-time records issued.</t>
  </si>
  <si>
    <t>Standby power that has never been tested under real load will fail on the day it is needed.</t>
  </si>
  <si>
    <t>PC-D.31</t>
  </si>
  <si>
    <t>Integrated fire and services testing completed end to end against the full cause-and-effect matrix (detection, HVAC shutdown, smoke control, lifts, doors, access control, warning systems).</t>
  </si>
  <si>
    <t>The integrated test is the single most important pre-PC activity and typically needs at least two attempts — programme for it.</t>
  </si>
  <si>
    <t>PC-D.32</t>
  </si>
  <si>
    <t>Confirm each nominated test was witnessed by the specified party and that signed witness records are held for every witnessed activity.</t>
  </si>
  <si>
    <t>Unwitnessed tests are routinely rejected by certifiers and clients and have to be repeated.</t>
  </si>
  <si>
    <t>PC-D.33</t>
  </si>
  <si>
    <t>Confirm every commissioning result outside tolerance is logged as a defect or non-conformance with a rectification method, owner and retest date.</t>
  </si>
  <si>
    <t>Commissioning failures that live only in the commissioning agent's spreadsheet never get closed.</t>
  </si>
  <si>
    <t>E. Defects, Incomplete Works &amp; Minor Omissions    ·    18 checks</t>
  </si>
  <si>
    <t>PC-E.01</t>
  </si>
  <si>
    <t>Complete discipline-by-discipline defect identification walks (architectural, structural, mechanical, electrical, hydraulic, fire, vertical transport, landscape) with dated records.</t>
  </si>
  <si>
    <t>One generalist walk misses the majority of services defects. Use the specialists while they are still engaged.</t>
  </si>
  <si>
    <t>PC-E.02</t>
  </si>
  <si>
    <t>Complete the client and end-user walk-through and capture their observations in the same register — never run a parallel list.</t>
  </si>
  <si>
    <t>Parallel lists guarantee items are closed in one register and still open in another.</t>
  </si>
  <si>
    <t>PC-E.03</t>
  </si>
  <si>
    <t>Agree and apply the defect categorisation convention consistently: A prevents PC, B rectify before the end of the DLP, C minor / monitor.</t>
  </si>
  <si>
    <t>Category drives the PC recommendation. Inconsistent categorisation makes the recommendation meaningless.</t>
  </si>
  <si>
    <t>PC-E.04</t>
  </si>
  <si>
    <t>Confirm every Category A defect has a named owner, a rectification method and a date, and is tracked daily until closed.</t>
  </si>
  <si>
    <t>Category A items are, by definition, the only things standing between the project and PC.</t>
  </si>
  <si>
    <t>PC-E.05</t>
  </si>
  <si>
    <t>Agree in writing which items prevent Practical Completion and which will be rectified during the defects liability period, and have the list countersigned.</t>
  </si>
  <si>
    <t>This is the negotiation that decides the PC date. Get it signed rather than assumed.</t>
  </si>
  <si>
    <t>PC-E.06</t>
  </si>
  <si>
    <t>Issue the agreed defects schedule as an attachment to the PC recommendation so the certificate and the list are inseparable.</t>
  </si>
  <si>
    <t>A certificate issued without an attached schedule invites argument about what was and was not accepted.</t>
  </si>
  <si>
    <t>PC-E.07</t>
  </si>
  <si>
    <t>Prepare the incomplete works schedule with a description, reason, agreed completion date and assessed value for each item.</t>
  </si>
  <si>
    <t>Incomplete works are different from defects and need a separate commercial treatment.</t>
  </si>
  <si>
    <t>PC-E.08</t>
  </si>
  <si>
    <t>Confirm the commercial treatment of incomplete works is agreed and recorded — withholding, valuation deduction, or additional security.</t>
  </si>
  <si>
    <t>Without an agreed mechanism the client has no leverage once the contractor has demobilised.</t>
  </si>
  <si>
    <t>PC-E.09</t>
  </si>
  <si>
    <t>Agree the rectification programme, including sequencing, out-of-hours restrictions, isolations and any decanting of occupants required.</t>
  </si>
  <si>
    <t>Rectification in an occupied building takes several times longer than the same work before handover.</t>
  </si>
  <si>
    <t>PC-E.10</t>
  </si>
  <si>
    <t>Agree access arrangements for the DLP: notice periods, induction, escorts, permits, working hours and after-hours access.</t>
  </si>
  <si>
    <t>Access disputes are the most common reason DLP defects sit unrectified for months.</t>
  </si>
  <si>
    <t>PC-E.11</t>
  </si>
  <si>
    <t>Confirm the operational impact of rectification is agreed with the occupier: noise, hot works, isolations, shutdowns and system outages.</t>
  </si>
  <si>
    <t>An unplanned isolation in a live building can trip alarms, stop trading or endanger occupants.</t>
  </si>
  <si>
    <t>PC-E.12</t>
  </si>
  <si>
    <t>Confirm retention or security implications of outstanding defects are recorded and the release trigger is unambiguous.</t>
  </si>
  <si>
    <t>Ambiguity here is what turns a defects argument into a payment dispute.</t>
  </si>
  <si>
    <t>PC-E.13</t>
  </si>
  <si>
    <t>Arrange independent verification of rectification for high-risk items: waterproofing, fire separation, structural, facade and acoustics.</t>
  </si>
  <si>
    <t>Self-certified rectification of concealed high-risk work is not evidence.</t>
  </si>
  <si>
    <t>PC-E.14</t>
  </si>
  <si>
    <t>Confirm re-inspection and close-out evidence (before and after photographs, test results, sign-off) is captured against every defect.</t>
  </si>
  <si>
    <t>Without close-out evidence you cannot prove at final certificate stage that the defect was actually fixed.</t>
  </si>
  <si>
    <t>PC-E.15</t>
  </si>
  <si>
    <t>Confirm rectification methods do not void product or system warranties, and that warranty providers have approved the method where required.</t>
  </si>
  <si>
    <t>A quick fix by the wrong trade can void a fifteen-year membrane or facade warranty.</t>
  </si>
  <si>
    <t>PC-E.16</t>
  </si>
  <si>
    <t>Reconcile the defects register against consultant inspection reports and the certifier's list so nothing is tracked in only one place.</t>
  </si>
  <si>
    <t>Items known only to a consultant reappear at final inspection when the team has moved on.</t>
  </si>
  <si>
    <t>PC-E.17</t>
  </si>
  <si>
    <t>Record back-charges: defects rectified by others at the contractor's cost, with supporting evidence and notification.</t>
  </si>
  <si>
    <t>Back-charges without contemporaneous notice and evidence are rarely recoverable.</t>
  </si>
  <si>
    <t>PC-E.18</t>
  </si>
  <si>
    <t>Confirm concealed work has been sampled and inspected before close-up (above ceilings, in risers, behind facade linings, under floors).</t>
  </si>
  <si>
    <t>Latent defects in concealed work are the most expensive category to discover after handover.</t>
  </si>
  <si>
    <t>F. Handover Documentation &amp; O&amp;M    ·    25 checks</t>
  </si>
  <si>
    <t>PC-F.01</t>
  </si>
  <si>
    <t>Agree the handover documentation index and structure against the specification before any submission is made.</t>
  </si>
  <si>
    <t>Rework of a 40-volume O&amp;M pack because the structure was wrong costs weeks at exactly the wrong time.</t>
  </si>
  <si>
    <t>PC-F.02</t>
  </si>
  <si>
    <t>Operation and maintenance manuals submitted for every system, in the required format, media and number of copies.</t>
  </si>
  <si>
    <t>O&amp;M manuals are almost always the last thing to arrive and the first thing to hold up the final certificate.</t>
  </si>
  <si>
    <t>PC-F.03</t>
  </si>
  <si>
    <t>O&amp;M manuals reviewed by the designer and the client's facilities team, with review comments issued and closed out.</t>
  </si>
  <si>
    <t>An unreviewed manual is usually a manufacturer brochure dump, not an operating document.</t>
  </si>
  <si>
    <t>PC-F.04</t>
  </si>
  <si>
    <t>As-built drawings issued for all disciplines in the required formats (PDF and native), stamped as-built and signed.</t>
  </si>
  <si>
    <t>Inaccurate as-builts cause every future project on the site to over-run.</t>
  </si>
  <si>
    <t>PC-F.05</t>
  </si>
  <si>
    <t>As-built information model delivered at the specified level of information, with the model verified against the field.</t>
  </si>
  <si>
    <t>A model that does not match reality is worse than no model, because it will be trusted.</t>
  </si>
  <si>
    <t>PC-F.06</t>
  </si>
  <si>
    <t>Digital handover data delivered in the specified schema (COBie or the client's equivalent) and validated on import to the client's system.</t>
  </si>
  <si>
    <t>Validate by importing, not by inspecting the spreadsheet — schema errors only appear on load.</t>
  </si>
  <si>
    <t>PC-F.07</t>
  </si>
  <si>
    <t>Warranties and guarantees register complete, with original certificates, start dates, durations and conditions recorded.</t>
  </si>
  <si>
    <t>A warranty with no recorded start date is effectively unenforceable.</t>
  </si>
  <si>
    <t>PC-F.08</t>
  </si>
  <si>
    <t>Confirm warranties are assigned or assignable to the client, and that any manufacturer registration has been completed in the client's name.</t>
  </si>
  <si>
    <t>Unregistered extended warranties simply do not exist when the claim is made.</t>
  </si>
  <si>
    <t>PC-F.09</t>
  </si>
  <si>
    <t>Spare parts delivered per the specified schedule, itemised, labelled and receipted by the client.</t>
  </si>
  <si>
    <t>Spares specified but not delivered are usually discovered during the first breakdown.</t>
  </si>
  <si>
    <t>PC-F.10</t>
  </si>
  <si>
    <t>Attic stock delivered (tiles, carpet, paint, cladding panels, ceiling tiles), labelled with product codes and stored where the client directs.</t>
  </si>
  <si>
    <t>Matching discontinued finishes years later is impossible without labelled attic stock.</t>
  </si>
  <si>
    <t>PC-F.11</t>
  </si>
  <si>
    <t>Keys and access devices register complete: keys, cores, fobs, cards, the master key system chart and the restricted key authority transferred.</t>
  </si>
  <si>
    <t>Restricted key authority left with the contractor means the client cannot cut keys for their own building.</t>
  </si>
  <si>
    <t>PC-F.12</t>
  </si>
  <si>
    <t>Asset register delivered in the client's required format and fields, with unique asset IDs matching the physical labelling on site.</t>
  </si>
  <si>
    <t>Asset IDs that do not match the labels make the client's maintenance system unusable.</t>
  </si>
  <si>
    <t>PC-F.13</t>
  </si>
  <si>
    <t>Asset data validated by sampling on site — a sample of assets located, labelled and matching the register.</t>
  </si>
  <si>
    <t>Sample verification is the only practical way to detect a copied-and-pasted asset register.</t>
  </si>
  <si>
    <t>PC-F.14</t>
  </si>
  <si>
    <t>Maintenance schedules delivered with recommended frequencies, and statutory maintenance items clearly identified and separated.</t>
  </si>
  <si>
    <t>The client needs to know which maintenance is legally required and which is merely recommended.</t>
  </si>
  <si>
    <t>PC-F.15</t>
  </si>
  <si>
    <t>Service and maintenance contracts identified: which are novated, which are new, who holds them and the start date for each.</t>
  </si>
  <si>
    <t>A gap between the contractor's defects obligations and the client's maintenance contract leaves plant unserviced.</t>
  </si>
  <si>
    <t>PC-F.16</t>
  </si>
  <si>
    <t>Confirm warranty-linked maintenance obligations are captured so the client does not void cover by missing a scheduled service.</t>
  </si>
  <si>
    <t>Most equipment warranties are conditional on documented servicing at set intervals.</t>
  </si>
  <si>
    <t>PC-F.17</t>
  </si>
  <si>
    <t>Training and demonstration sessions delivered for each system, with agendas, attendance records and recordings where agreed.</t>
  </si>
  <si>
    <t>Staff turnover means recorded training is worth far more than a one-off session.</t>
  </si>
  <si>
    <t>PC-F.18</t>
  </si>
  <si>
    <t>Confirm training covered normal operation, alarm response, isolation and shutdown, and after-hours support arrangements.</t>
  </si>
  <si>
    <t>Operators need to know how to safely shut things down at 2am, not just how to run them.</t>
  </si>
  <si>
    <t>PC-F.19</t>
  </si>
  <si>
    <t>Test and commissioning certificates compiled into the handover pack and cross-referenced to the Commissioning Register.</t>
  </si>
  <si>
    <t>Certificates that cannot be traced to the test they came from are of little value in a dispute.</t>
  </si>
  <si>
    <t>PC-F.20</t>
  </si>
  <si>
    <t>Statutory certificates pack compiled and cross-referenced to the Certificates Register, with originals filed securely.</t>
  </si>
  <si>
    <t>Originals are needed for insurance, sale and any regulatory audit.</t>
  </si>
  <si>
    <t>PC-F.21</t>
  </si>
  <si>
    <t>Structural certification collated, including post-tensioning, connection, remedial and temporary works certification.</t>
  </si>
  <si>
    <t>Structural certification is requested for every future fitout and alteration.</t>
  </si>
  <si>
    <t>PC-F.22</t>
  </si>
  <si>
    <t>Waterproofing warranties and installer certification collated by area, with the applicable durations and conditions.</t>
  </si>
  <si>
    <t>Waterproofing warranties are area-specific; a single global certificate usually covers nothing useful.</t>
  </si>
  <si>
    <t>PC-F.23</t>
  </si>
  <si>
    <t>Product certification and conformance evidence collated for key products (CodeMark, WaterMark, test reports, supplier declarations).</t>
  </si>
  <si>
    <t>Non-conforming building products are a known Australian problem and evidence must be gathered while suppliers respond.</t>
  </si>
  <si>
    <t>PC-F.24</t>
  </si>
  <si>
    <t>Handover documentation uploaded to the client's CDE or asset system with correct metadata, naming and access permissions.</t>
  </si>
  <si>
    <t>A handover pack that only exists on a hard drive in a drawer is lost within a year.</t>
  </si>
  <si>
    <t>PC-F.25</t>
  </si>
  <si>
    <t>Emergency contact list and after-hours escalation path for every system included and current at the date of handover.</t>
  </si>
  <si>
    <t>The client will need this in the first week, not the first year.</t>
  </si>
  <si>
    <t>G. Cleaning, Security &amp; Site Demobilisation    ·    17 checks</t>
  </si>
  <si>
    <t>PC-G.01</t>
  </si>
  <si>
    <t>Builders clean complete throughout, including above ceilings, in risers, plantrooms and service cupboards.</t>
  </si>
  <si>
    <t>Concealed construction debris is a fire load and a services fault waiting to happen.</t>
  </si>
  <si>
    <t>PC-G.02</t>
  </si>
  <si>
    <t>Final detail clean completed after all trades, with a re-clean allowance held for the period between clean and occupation.</t>
  </si>
  <si>
    <t>Cleaning before the last trade finishes simply means cleaning twice.</t>
  </si>
  <si>
    <t>PC-G.03</t>
  </si>
  <si>
    <t>Glazing cleaned internally and externally, with any specialist coatings cleaned strictly to the manufacturer's instructions.</t>
  </si>
  <si>
    <t>The wrong cleaning method on coated glass causes permanent damage and voids the warranty.</t>
  </si>
  <si>
    <t>PC-G.04</t>
  </si>
  <si>
    <t>External areas cleaned: pavements, awnings, entries, loading dock, car park and stormwater pits.</t>
  </si>
  <si>
    <t>First impressions at handover are formed outside the front door.</t>
  </si>
  <si>
    <t>PC-G.05</t>
  </si>
  <si>
    <t>Plantrooms, switch rooms, communications rooms and risers cleaned, cleared of materials and free of stored goods.</t>
  </si>
  <si>
    <t>Storing materials in electrical and comms rooms is both a fire risk and a compliance breach.</t>
  </si>
  <si>
    <t>PC-G.06</t>
  </si>
  <si>
    <t>Ductwork, ceiling voids and filters clean before occupation, with cleanliness verification where specified.</t>
  </si>
  <si>
    <t>Construction dust in ductwork becomes an indoor air quality complaint in week one.</t>
  </si>
  <si>
    <t>PC-G.07</t>
  </si>
  <si>
    <t>Waste and surplus material removed, with recycling and disposal records collated for any reporting or rating commitment.</t>
  </si>
  <si>
    <t>Waste diversion evidence is needed for rating schemes and cannot be reconstructed later.</t>
  </si>
  <si>
    <t>PC-G.08</t>
  </si>
  <si>
    <t>Temporary works removed: props, scaffolding, protection, temporary lighting, temporary power and temporary services.</t>
  </si>
  <si>
    <t>Temporary works left in place are often load-bearing by accident and are a safety risk.</t>
  </si>
  <si>
    <t>PC-G.09</t>
  </si>
  <si>
    <t>Hoarding, gantries, site sheds, amenities and site signage removed and the public domain fully reinstated.</t>
  </si>
  <si>
    <t>Councils will not release bonds until the public domain is reinstated and inspected.</t>
  </si>
  <si>
    <t>PC-G.10</t>
  </si>
  <si>
    <t>Council and authority permits surrendered (road occupation, hoarding, crane over-sail, works zones) and refunds claimed.</t>
  </si>
  <si>
    <t>Permit fees continue to accrue until surrendered, and bonds are forfeited if never claimed.</t>
  </si>
  <si>
    <t>PC-G.11</t>
  </si>
  <si>
    <t>Make good of adjoining properties completed, with written acknowledgement from each affected owner.</t>
  </si>
  <si>
    <t>Unresolved neighbour damage becomes the client's problem the moment the contractor leaves.</t>
  </si>
  <si>
    <t>PC-G.12</t>
  </si>
  <si>
    <t>Dilapidation close-out survey completed for adjoining properties and public assets and compared against the pre-construction survey.</t>
  </si>
  <si>
    <t>The comparison, not the survey alone, is what resolves a damage claim.</t>
  </si>
  <si>
    <t>PC-G.13</t>
  </si>
  <si>
    <t>Locks and cores changed over to the client's restricted key system, with construction keying decommissioned and recorded.</t>
  </si>
  <si>
    <t>Every subcontractor who held a construction key can still enter the building until this is done.</t>
  </si>
  <si>
    <t>PC-G.14</t>
  </si>
  <si>
    <t>Security handover completed: guards, alarm monitoring, CCTV monitoring and access control administration transferred at a documented cutover time.</t>
  </si>
  <si>
    <t>Security gaps happen in the handover window itself — define the exact cutover moment.</t>
  </si>
  <si>
    <t>PC-G.15</t>
  </si>
  <si>
    <t>Site services accounts (power, water, gas, communications, waste) transferred to the client with meter readings recorded on the transfer date.</t>
  </si>
  <si>
    <t>Without a recorded meter reading the split of construction and operating costs is guesswork.</t>
  </si>
  <si>
    <t>PC-G.16</t>
  </si>
  <si>
    <t>Temporary certifications, temporary fire measures and interim safety arrangements cancelled only once the permanent systems are proven and accepted.</t>
  </si>
  <si>
    <t>Cancelling interim fire measures before the permanent system is proven creates an uncovered period.</t>
  </si>
  <si>
    <t>PC-G.17</t>
  </si>
  <si>
    <t>Confirm the site is left in the condition the contract requires, with a dated photographic record taken on the day of handover.</t>
  </si>
  <si>
    <t>The photographic record settles most later arguments about condition at handover.</t>
  </si>
  <si>
    <t>H. Client Readiness, Occupancy &amp; Operational Transition    ·    22 checks</t>
  </si>
  <si>
    <t>PC-H.01</t>
  </si>
  <si>
    <t>Confirm the client fit-out and tenant works interface is agreed, with responsibilities, dates and base build dependencies closed out.</t>
  </si>
  <si>
    <t>Base build and fitout interfaces are where handover programmes most often collide.</t>
  </si>
  <si>
    <t>PC-H.02</t>
  </si>
  <si>
    <t>Confirm base building services capacity and connection points for tenant works are proven and documented.</t>
  </si>
  <si>
    <t>Tenants will design to the documented capacity; if it is wrong, the client wears the rectification.</t>
  </si>
  <si>
    <t>PC-H.03</t>
  </si>
  <si>
    <t>FF&amp;E delivered, installed and inspected, with damage and shortfalls recorded before occupation.</t>
  </si>
  <si>
    <t>Damage found after occupation cannot be attributed to the installer.</t>
  </si>
  <si>
    <t>PC-H.04</t>
  </si>
  <si>
    <t>Loose furniture, equipment and specialist plant (medical, laboratory, industrial, kitchen) installed and commissioned by the supplier.</t>
  </si>
  <si>
    <t>Specialist equipment commissioning often needs base building services that must be live and stable first.</t>
  </si>
  <si>
    <t>PC-H.05</t>
  </si>
  <si>
    <t>Operational commissioning / soft landings sessions held with the operator, covering seasonal behaviour and control strategies.</t>
  </si>
  <si>
    <t>Soft landings is what converts a technically complete building into one that actually performs.</t>
  </si>
  <si>
    <t>PC-H.06</t>
  </si>
  <si>
    <t>Agree the aftercare period: who attends site, how often, for how long after occupation, and at whose cost.</t>
  </si>
  <si>
    <t>Aftercare with no defined scope quietly disappears in the first month.</t>
  </si>
  <si>
    <t>PC-H.07</t>
  </si>
  <si>
    <t>IT and communications cutover planned and executed: network live, Wi-Fi surveyed, telephony and DECT tested.</t>
  </si>
  <si>
    <t>IT cutover is usually on the client's critical path and outside the contractor's control.</t>
  </si>
  <si>
    <t>PC-H.08</t>
  </si>
  <si>
    <t>Confirm the client's business systems are live and supported (BMS integration, property management, nurse call, point of sale, digital signage).</t>
  </si>
  <si>
    <t>A physically complete building the business cannot trade from is not operationally complete.</t>
  </si>
  <si>
    <t>PC-H.09</t>
  </si>
  <si>
    <t>Cleaning contract mobilised with a start date aligned to occupation and a specification matched to the installed finishes.</t>
  </si>
  <si>
    <t>Wrong cleaning products on new finishes cause immediate and permanent damage.</t>
  </si>
  <si>
    <t>PC-H.10</t>
  </si>
  <si>
    <t>Facilities management contract mobilised, with the asset register loaded into the CMMS and planned maintenance schedules built.</t>
  </si>
  <si>
    <t>Assets not loaded into the CMMS are assets that never get maintained.</t>
  </si>
  <si>
    <t>PC-H.11</t>
  </si>
  <si>
    <t>Waste management and loading dock procedures agreed: bin storage, collection times, vehicle access and swept-path constraints.</t>
  </si>
  <si>
    <t>Loading dock and waste failures are the most visible early operational problems.</t>
  </si>
  <si>
    <t>PC-H.12</t>
  </si>
  <si>
    <t>Occupant and tenant induction delivered: building operation, access, security, emergency procedures and how to report faults.</t>
  </si>
  <si>
    <t>Occupants who do not know how to report a fault will report it to the wrong person, or not at all.</t>
  </si>
  <si>
    <t>PC-H.13</t>
  </si>
  <si>
    <t>Emergency management plan prepared for the occupied building and issued to occupants.</t>
  </si>
  <si>
    <t>The construction phase emergency plan does not cover an occupied building.</t>
  </si>
  <si>
    <t>PC-H.14</t>
  </si>
  <si>
    <t>Emergency control organisation appointed and warden training delivered, with training records retained.</t>
  </si>
  <si>
    <t>Warden appointment and training is an occupier obligation from the first day of occupation.</t>
  </si>
  <si>
    <t>PC-H.15</t>
  </si>
  <si>
    <t>Evacuation diagrams installed at the required locations and matching the as-built layout, exits and assembly areas.</t>
  </si>
  <si>
    <t>Diagrams drawn from design drawings frequently show doors that were never built.</t>
  </si>
  <si>
    <t>PC-H.16</t>
  </si>
  <si>
    <t>Trial evacuation planned or completed as required, with debrief actions recorded and closed.</t>
  </si>
  <si>
    <t>The trial evacuation regularly exposes signage, door hardware and warning system defects.</t>
  </si>
  <si>
    <t>PC-H.17</t>
  </si>
  <si>
    <t>First aid equipment, defibrillators, spill kits and emergency equipment provided, located and registered for maintenance.</t>
  </si>
  <si>
    <t>Emergency equipment has expiry dates and needs to enter the maintenance system at handover.</t>
  </si>
  <si>
    <t>PC-H.18</t>
  </si>
  <si>
    <t>Insurance transferred: client's material damage, public liability, business interruption and any operational covers effective from the PC date.</t>
  </si>
  <si>
    <t>Cover must start the moment care of the works transfers, not when the paperwork is processed.</t>
  </si>
  <si>
    <t>PC-H.19</t>
  </si>
  <si>
    <t>Utilities accounts transferred to the client, with final construction-period invoices reconciled against recorded meter readings.</t>
  </si>
  <si>
    <t>Unreconciled construction utility costs are almost impossible to recover later.</t>
  </si>
  <si>
    <t>PC-H.20</t>
  </si>
  <si>
    <t>Statutory registers handed over: fire safety, essential safety measures, plant registration, height safety, chemicals and dangerous goods, confined spaces.</t>
  </si>
  <si>
    <t>These registers are the operator's evidence of compliance and must be current at handover.</t>
  </si>
  <si>
    <t>PC-H.21</t>
  </si>
  <si>
    <t>Confirm the client's helpdesk and fault reporting process is live and communicated to occupants from day one.</t>
  </si>
  <si>
    <t>Faults reported informally in the first weeks never reach the defects register.</t>
  </si>
  <si>
    <t>PC-H.22</t>
  </si>
  <si>
    <t>Confirm signage, room numbering and asset labelling match the client's operational naming convention, not the construction one.</t>
  </si>
  <si>
    <t>Renumbering an occupied building after handover is disruptive and expensive.</t>
  </si>
  <si>
    <t>I. Commercial, Contractual &amp; Financial Close    ·    21 checks</t>
  </si>
  <si>
    <t>PC-I.01</t>
  </si>
  <si>
    <t>All variations assessed, agreed and included in the final account, with no open variation requests or unpriced directions.</t>
  </si>
  <si>
    <t>Open variations at PC almost always settle less favourably once the leverage of the works has gone.</t>
  </si>
  <si>
    <t>PC-I.02</t>
  </si>
  <si>
    <t>All extension of time claims determined in writing, with the adjusted date for Practical Completion recorded.</t>
  </si>
  <si>
    <t>Undetermined EOTs undermine any damages assessment and the certified PC date.</t>
  </si>
  <si>
    <t>PC-I.03</t>
  </si>
  <si>
    <t>Delay cost and prolongation claims assessed and either resolved or formally recorded as unresolved with quantum and status.</t>
  </si>
  <si>
    <t>Undocumented claims survive the project team and resurface without context.</t>
  </si>
  <si>
    <t>PC-I.04</t>
  </si>
  <si>
    <t>Provisional sums adjusted, with the basis of each adjustment documented and supported.</t>
  </si>
  <si>
    <t>Provisional sum adjustments are a frequent source of final account disagreement.</t>
  </si>
  <si>
    <t>PC-I.05</t>
  </si>
  <si>
    <t>Prime cost sums adjusted and reconciled against what was actually supplied and installed.</t>
  </si>
  <si>
    <t>PC sum items are often substituted on site without the commercial adjustment following.</t>
  </si>
  <si>
    <t>PC-I.06</t>
  </si>
  <si>
    <t>Final progress claim submitted and assessed within the periods that apply under the contract and the security of payment legislation applicable in your state.</t>
  </si>
  <si>
    <t>Security of payment timeframes are statutory and strict; record the reference date and diarise every deadline.</t>
  </si>
  <si>
    <t>PC-I.07</t>
  </si>
  <si>
    <t>Confirm the security of payment position is understood: reference dates, payment schedule timing, and any adjudication exposure, all diarised.</t>
  </si>
  <si>
    <t>Missing a payment schedule deadline can create an immediate and non-negotiable liability.</t>
  </si>
  <si>
    <t>PC-I.08</t>
  </si>
  <si>
    <t>Payment certificate or payment schedule for the final claim issued, with reasons for any amount withheld clearly stated.</t>
  </si>
  <si>
    <t>Unreasoned withholding is the most common ground on which a payment schedule is defeated.</t>
  </si>
  <si>
    <t>PC-I.09</t>
  </si>
  <si>
    <t>Retention or security release trigger identified and the amount calculated (release at PC with the balance at end of DLP is common — confirm against your contract).</t>
  </si>
  <si>
    <t>Releasing the wrong amount at the wrong time removes the client's only real leverage over defects.</t>
  </si>
  <si>
    <t>PC-I.10</t>
  </si>
  <si>
    <t>Bank guarantees and insurance bonds: confirm the correct instruments are held, record expiry dates, and confirm the process for partial release and return of originals.</t>
  </si>
  <si>
    <t>Unreturned original guarantees continue to cost the contractor money and expose the client to claims.</t>
  </si>
  <si>
    <t>PC-I.11</t>
  </si>
  <si>
    <t>Liquidated / delay damages position determined, showing the calculation, the period, the rate and any set-off applied.</t>
  </si>
  <si>
    <t>Damages applied without a transparent calculation invite immediate challenge.</t>
  </si>
  <si>
    <t>PC-I.12</t>
  </si>
  <si>
    <t>Unresolved claims and disputes recorded with quantum, status, position of each party and the agreed next step.</t>
  </si>
  <si>
    <t>This record is what allows a new team to pick up a dispute after demobilisation.</t>
  </si>
  <si>
    <t>PC-I.13</t>
  </si>
  <si>
    <t>Subcontractor and supplier payment statements or statutory declarations obtained in support of the final claim.</t>
  </si>
  <si>
    <t>These are commonly a precondition to the final payment and to release of security.</t>
  </si>
  <si>
    <t>PC-I.14</t>
  </si>
  <si>
    <t>Confirm subcontractor retentions, security and any retention trust account obligations are addressed and reconciled.</t>
  </si>
  <si>
    <t>Retention trust obligations differ by state and carry penalties for non-compliance.</t>
  </si>
  <si>
    <t>PC-I.15</t>
  </si>
  <si>
    <t>Confirm there are no outstanding subcontractor charges, payment claims or liens capable of attaching to the works.</t>
  </si>
  <si>
    <t>An unpaid subcontractor can disrupt an occupied building and complicate settlement.</t>
  </si>
  <si>
    <t>PC-I.16</t>
  </si>
  <si>
    <t>Final account reconciliation completed and signed by both parties, reconciling contract sum, variations, adjustments, damages and payments made.</t>
  </si>
  <si>
    <t>A signed reconciliation is what converts a commercial position into a closed matter.</t>
  </si>
  <si>
    <t>PC-I.17</t>
  </si>
  <si>
    <t>Contract deliverables checklist reconciled: every contractual deliverable identified, delivered and formally accepted.</t>
  </si>
  <si>
    <t>Deliverables buried in the specification are the ones nobody tracks and everybody forgets.</t>
  </si>
  <si>
    <t>PC-I.18</t>
  </si>
  <si>
    <t>Assignment or novation of warranties, licences, software and support agreements to the client executed.</t>
  </si>
  <si>
    <t>Software and support agreements in the contractor's name stop working the day they close the project.</t>
  </si>
  <si>
    <t>PC-I.19</t>
  </si>
  <si>
    <t>Intellectual property, design licence and model use rights transferred or licensed as the contract requires.</t>
  </si>
  <si>
    <t>Without a licence the client may not lawfully use the design documents for future works.</t>
  </si>
  <si>
    <t>PC-I.20</t>
  </si>
  <si>
    <t>Insurance run-off and latent defect obligations confirmed, including professional indemnity run-off for the design team and any latent defects insurance.</t>
  </si>
  <si>
    <t>Latent defects surface long after the DLP; cover must survive the project team.</t>
  </si>
  <si>
    <t>PC-I.21</t>
  </si>
  <si>
    <t>Project records, final account, sign-offs and correspondence archived to the client's document retention requirements.</t>
  </si>
  <si>
    <t>Retention periods for construction records are long, and the records are needed for any later claim.</t>
  </si>
  <si>
    <t>J. Post-PC Obligations &amp; DLP Management    ·    18 checks</t>
  </si>
  <si>
    <t>PC-J.01</t>
  </si>
  <si>
    <t>Defects liability period start and end dates recorded for the whole of the works and for each separable portion.</t>
  </si>
  <si>
    <t>The end date is the deadline for the final inspection and the release of the balance of security.</t>
  </si>
  <si>
    <t>PC-J.02</t>
  </si>
  <si>
    <t>Defect notification process agreed and issued: who reports, to whom, in what format, and with what acknowledgement.</t>
  </si>
  <si>
    <t>An undefined process means defects are reported by phone and never recorded.</t>
  </si>
  <si>
    <t>PC-J.03</t>
  </si>
  <si>
    <t>Response and rectification times agreed by severity (make safe, urgent, routine) and monitored against actual performance.</t>
  </si>
  <si>
    <t>Without agreed response times there is no basis to escalate slow rectification.</t>
  </si>
  <si>
    <t>PC-J.04</t>
  </si>
  <si>
    <t>Emergency and after-hours response arrangements in place for the DLP, with named contacts and an escalation path.</t>
  </si>
  <si>
    <t>A burst pipe at midnight in month two is the real test of the handover arrangements.</t>
  </si>
  <si>
    <t>PC-J.05</t>
  </si>
  <si>
    <t>Confirm the treatment of defects raised late in the DLP and whether the liability period extends for rectified items.</t>
  </si>
  <si>
    <t>Whether the DLP restarts on rectified work is a common and avoidable point of dispute.</t>
  </si>
  <si>
    <t>PC-J.06</t>
  </si>
  <si>
    <t>Seasonal commissioning planned and diarised: re-commissioning in the opposite season and fine tuning at 6 and 12 months.</t>
  </si>
  <si>
    <t>A building commissioned in winter has never been proven in summer, and vice versa.</t>
  </si>
  <si>
    <t>PC-J.07</t>
  </si>
  <si>
    <t>Confirm who pays for seasonal commissioning and fine tuning, and that the scope and attendance are defined.</t>
  </si>
  <si>
    <t>If it is not scoped and funded it will not happen, and performance will drift.</t>
  </si>
  <si>
    <t>PC-J.08</t>
  </si>
  <si>
    <t>Energy and water performance monitored against design intent, with a formal review at 12 months.</t>
  </si>
  <si>
    <t>Performance drift is invisible without monitoring, and rating commitments depend on it.</t>
  </si>
  <si>
    <t>PC-J.09</t>
  </si>
  <si>
    <t>Warranty claim process documented: how the client claims, what evidence is required and expected turnaround.</t>
  </si>
  <si>
    <t>Clients frequently pay for repairs that were covered by a warranty they did not know how to claim.</t>
  </si>
  <si>
    <t>PC-J.10</t>
  </si>
  <si>
    <t>Warranty expiry monitoring in place, with alerts raised before major warranties lapse.</t>
  </si>
  <si>
    <t>The most valuable warranties are the long ones nobody remembers to check.</t>
  </si>
  <si>
    <t>PC-J.11</t>
  </si>
  <si>
    <t>Confirm maintenance is being performed to the required schedule so warranties remain valid, with evidence retained.</t>
  </si>
  <si>
    <t>Most warranty rejections cite missed or undocumented maintenance.</t>
  </si>
  <si>
    <t>PC-J.12</t>
  </si>
  <si>
    <t>Final inspection scheduled before the end of the DLP, with enough time left to rectify anything found.</t>
  </si>
  <si>
    <t>An inspection held on the last day of the DLP leaves no time to fix what it finds.</t>
  </si>
  <si>
    <t>PC-J.13</t>
  </si>
  <si>
    <t>Final certificate criteria understood and evidenced: all defects rectified, all documentation delivered, final account agreed.</t>
  </si>
  <si>
    <t>Each criterion needs its own evidence; the certificate is the sum of them.</t>
  </si>
  <si>
    <t>PC-J.14</t>
  </si>
  <si>
    <t>Final certificate issued and the balance of retention or security released and originals returned.</t>
  </si>
  <si>
    <t>Unreleased security after final certificate is a live commercial liability for the client.</t>
  </si>
  <si>
    <t>PC-J.15</t>
  </si>
  <si>
    <t>Lessons learned workshop held with client, designers, contractor and operator, and the record issued to the business.</t>
  </si>
  <si>
    <t>Lessons captured only in the project team's memory are lost at demobilisation.</t>
  </si>
  <si>
    <t>PC-J.16</t>
  </si>
  <si>
    <t>Post-occupancy evaluation planned at 6 to 12 months covering occupant satisfaction, comfort, functionality and operating cost.</t>
  </si>
  <si>
    <t>POE is the only objective evidence of whether the building actually works for its users.</t>
  </si>
  <si>
    <t>PC-J.17</t>
  </si>
  <si>
    <t>Benefits realisation handed to the client's business owner, with measures, baseline and reporting cadence agreed.</t>
  </si>
  <si>
    <t>Capital business cases are approved on benefits that nobody measures unless someone owns them.</t>
  </si>
  <si>
    <t>PC-J.18</t>
  </si>
  <si>
    <t>Project archive completed and transferred, including the CDE export, models, records and the retention schedule.</t>
  </si>
  <si>
    <t>CDE licences lapse and hosted data disappears; export before the subscription ends.</t>
  </si>
  <si>
    <t>Category A prevents Practical Completion</t>
  </si>
  <si>
    <t>Category A = prevents Practical Completion  ·  Category B = rectify before the end of the defects liability period  ·  Category C = minor, monitor only. Rows marked EXAMPLE are illustrative — delete them before issuing. 'Days open' counts from Date raised to today, or to the Rectified date once closed.</t>
  </si>
  <si>
    <t>Defect ID</t>
  </si>
  <si>
    <t>Location / level / room</t>
  </si>
  <si>
    <t>Discipline / trade</t>
  </si>
  <si>
    <t>Responsible subcontractor</t>
  </si>
  <si>
    <t>Description</t>
  </si>
  <si>
    <t>Raised by</t>
  </si>
  <si>
    <t>Date raised</t>
  </si>
  <si>
    <t>Target rectification date</t>
  </si>
  <si>
    <t>Days open</t>
  </si>
  <si>
    <t>Rectified date</t>
  </si>
  <si>
    <t>Photo ref</t>
  </si>
  <si>
    <t>Cost to rectify (Amount, local currency)</t>
  </si>
  <si>
    <t>Back-charge?</t>
  </si>
  <si>
    <t>DEF-001</t>
  </si>
  <si>
    <t>L03 / Room 3.14 — east facade</t>
  </si>
  <si>
    <t>EXAMPLE — Apex Facades P/L</t>
  </si>
  <si>
    <t>Water ingress at head of curtain wall unit CW-312 observed during spray test; sealant discontinuous over approx. 1.2 m.</t>
  </si>
  <si>
    <t>Superintendent</t>
  </si>
  <si>
    <t>PH-0142</t>
  </si>
  <si>
    <t>DEF-002</t>
  </si>
  <si>
    <t>Level 1 plantroom — AHU-01</t>
  </si>
  <si>
    <t>EXAMPLE — Clearflow Mechanical</t>
  </si>
  <si>
    <t>Supply air flow to zones 1-4 measured 18% below design; balancing dampers at limit. Requires fan pulley change and re-balance.</t>
  </si>
  <si>
    <t>Commissioning agent</t>
  </si>
  <si>
    <t>PH-0157</t>
  </si>
  <si>
    <t>DEF-003</t>
  </si>
  <si>
    <t>Basement B1 — fire pump room</t>
  </si>
  <si>
    <t>EXAMPLE — Sentinel Fire Systems</t>
  </si>
  <si>
    <t>Hydrant pump fails to auto-start on pressure drop; pressure switch setpoint incorrect. Retest required with brigade witness.</t>
  </si>
  <si>
    <t>Certifier</t>
  </si>
  <si>
    <t>PH-0161</t>
  </si>
  <si>
    <t>DEF-004</t>
  </si>
  <si>
    <t>Ground floor lobby</t>
  </si>
  <si>
    <t>EXAMPLE — Stonecraft Interiors</t>
  </si>
  <si>
    <t>Six stone floor tiles drummy at main entry threshold; lift and relay on full bed required.</t>
  </si>
  <si>
    <t>PH-0119</t>
  </si>
  <si>
    <t>DEF-005</t>
  </si>
  <si>
    <t>L05 — accessible WC 5.02</t>
  </si>
  <si>
    <t>EXAMPLE — Metro Hydraulics</t>
  </si>
  <si>
    <t>TMV outlet temperature recorded at 47.5 degC, above the specified maximum. Valve to be re-set, retested and tagged.</t>
  </si>
  <si>
    <t>PH-0168</t>
  </si>
  <si>
    <t>DEF-006</t>
  </si>
  <si>
    <t>Roof level — north walkway</t>
  </si>
  <si>
    <t>EXAMPLE — Summit Roofing</t>
  </si>
  <si>
    <t>Two height-safety anchor points installed but not load tested; certification and register entry outstanding.</t>
  </si>
  <si>
    <t>Rectified - awaiting verification</t>
  </si>
  <si>
    <t>PH-0133</t>
  </si>
  <si>
    <t>DEF-007</t>
  </si>
  <si>
    <t>L02 open office — grid F/7</t>
  </si>
  <si>
    <t>EXAMPLE — Interiors Group</t>
  </si>
  <si>
    <t>Ceiling tile grid out of level by 9 mm over 3 m; visible step at bulkhead junction.</t>
  </si>
  <si>
    <t>PH-0121</t>
  </si>
  <si>
    <t>DEF-008</t>
  </si>
  <si>
    <t>Car park level B2</t>
  </si>
  <si>
    <t>EXAMPLE — Precision Linemarking</t>
  </si>
  <si>
    <t>Accessible bay shared area line marking narrower than the approved setout; remark required.</t>
  </si>
  <si>
    <t>PH-0150</t>
  </si>
  <si>
    <t>DEF-009</t>
  </si>
  <si>
    <t>Lift 2 — all levels</t>
  </si>
  <si>
    <t>EXAMPLE — Vertex Lifts</t>
  </si>
  <si>
    <t>Levelling tolerance exceeded at levels 4 and 7 (measured 12 mm). Adjustment and re-verification required.</t>
  </si>
  <si>
    <t>PH-0170</t>
  </si>
  <si>
    <t>DEF-010</t>
  </si>
  <si>
    <t>L04 — meeting room 4.06</t>
  </si>
  <si>
    <t>EXAMPLE — Coat &amp; Co</t>
  </si>
  <si>
    <t>Patch repairs visible under raking light on west wall; full wall re-coat required.</t>
  </si>
  <si>
    <t>PH-0126</t>
  </si>
  <si>
    <t>DEF-011</t>
  </si>
  <si>
    <t>Main switchroom — MSB</t>
  </si>
  <si>
    <t>EXAMPLE — Voltex Electrical</t>
  </si>
  <si>
    <t>Thermographic scan identified elevated temperature at MSB busbar connection B12; retorque and rescan required.</t>
  </si>
  <si>
    <t>Independent verifier</t>
  </si>
  <si>
    <t>PH-0173</t>
  </si>
  <si>
    <t>DEF-012</t>
  </si>
  <si>
    <t>Level 6 terrace</t>
  </si>
  <si>
    <t>EXAMPLE — Hydroseal Membranes</t>
  </si>
  <si>
    <t>Flood test held 48 h; minor seepage at planter box upstand. Membrane made good and successfully re-tested.</t>
  </si>
  <si>
    <t>EXAMPLE — R. Nguyen</t>
  </si>
  <si>
    <t>Verified closed</t>
  </si>
  <si>
    <t>PH-0108</t>
  </si>
  <si>
    <t>TOTALS</t>
  </si>
  <si>
    <t>Handover Documentation Register</t>
  </si>
  <si>
    <t>O&amp;M, as-builts, certificates and asset data</t>
  </si>
  <si>
    <t>Set 'Required?' to No for anything not applicable to your project — it is then excluded from the outstanding count. A document is Outstanding until an Accepted date is recorded. The Dashboard counts outstanding documents from column N.</t>
  </si>
  <si>
    <t>Document type</t>
  </si>
  <si>
    <t>Discipline</t>
  </si>
  <si>
    <t>Document reference</t>
  </si>
  <si>
    <t>Required?</t>
  </si>
  <si>
    <t>Submitted date</t>
  </si>
  <si>
    <t>Review outcome</t>
  </si>
  <si>
    <t>Resubmission date</t>
  </si>
  <si>
    <t>Accepted date</t>
  </si>
  <si>
    <t>Location / CDE link</t>
  </si>
  <si>
    <t>Outstanding?</t>
  </si>
  <si>
    <t>HD-001</t>
  </si>
  <si>
    <t>Operation &amp; maintenance manual</t>
  </si>
  <si>
    <t>HD-002</t>
  </si>
  <si>
    <t>HD-003</t>
  </si>
  <si>
    <t>HD-004</t>
  </si>
  <si>
    <t>HD-005</t>
  </si>
  <si>
    <t>HD-006</t>
  </si>
  <si>
    <t>Security / access control</t>
  </si>
  <si>
    <t>HD-007</t>
  </si>
  <si>
    <t>Communications / data</t>
  </si>
  <si>
    <t>HD-008</t>
  </si>
  <si>
    <t>BMS / controls</t>
  </si>
  <si>
    <t>HD-009</t>
  </si>
  <si>
    <t>Architectural fabric &amp; finishes</t>
  </si>
  <si>
    <t>HD-010</t>
  </si>
  <si>
    <t>Landscape / irrigation</t>
  </si>
  <si>
    <t>HD-011</t>
  </si>
  <si>
    <t>As-built drawings (PDF + native)</t>
  </si>
  <si>
    <t>Architectural</t>
  </si>
  <si>
    <t>HD-012</t>
  </si>
  <si>
    <t>Structural</t>
  </si>
  <si>
    <t>HD-013</t>
  </si>
  <si>
    <t>HD-014</t>
  </si>
  <si>
    <t>HD-015</t>
  </si>
  <si>
    <t>HD-016</t>
  </si>
  <si>
    <t>HD-017</t>
  </si>
  <si>
    <t>HD-018</t>
  </si>
  <si>
    <t>HD-019</t>
  </si>
  <si>
    <t>As-built federated model (native + IFC)</t>
  </si>
  <si>
    <t>Multi-discipline</t>
  </si>
  <si>
    <t>HD-020</t>
  </si>
  <si>
    <t>Digital asset data (COBie or client schema)</t>
  </si>
  <si>
    <t>HD-021</t>
  </si>
  <si>
    <t>Asset register in client format with unique asset IDs</t>
  </si>
  <si>
    <t>HD-022</t>
  </si>
  <si>
    <t>Maintenance schedule &amp; planned maintenance frequencies</t>
  </si>
  <si>
    <t>HD-023</t>
  </si>
  <si>
    <t>Warranties &amp; guarantees register plus original certificates</t>
  </si>
  <si>
    <t>HD-024</t>
  </si>
  <si>
    <t>Structural engineer's certification (incl. post-tensioning &amp; connections)</t>
  </si>
  <si>
    <t>HD-025</t>
  </si>
  <si>
    <t>Waterproofing installer warranties &amp; certification by area</t>
  </si>
  <si>
    <t>HD-026</t>
  </si>
  <si>
    <t>Facade &amp; glazing certification, warranties and maintenance manual</t>
  </si>
  <si>
    <t>HD-027</t>
  </si>
  <si>
    <t>Cladding product conformance evidence &amp; product register</t>
  </si>
  <si>
    <t>HD-028</t>
  </si>
  <si>
    <t>Fire engineering report (final) &amp; as-built compliance statement</t>
  </si>
  <si>
    <t>HD-029</t>
  </si>
  <si>
    <t>Fire safety measures schedule (state term varies)</t>
  </si>
  <si>
    <t>HD-030</t>
  </si>
  <si>
    <t>Fire safety statement / essential safety measures certificate</t>
  </si>
  <si>
    <t>HD-031</t>
  </si>
  <si>
    <t>Essential safety measures maintenance determination &amp; baseline records</t>
  </si>
  <si>
    <t>HD-032</t>
  </si>
  <si>
    <t>Fire &amp; smoke door installation certification and tag register</t>
  </si>
  <si>
    <t>HD-033</t>
  </si>
  <si>
    <t>Electrical compliance certificate (state term varies)</t>
  </si>
  <si>
    <t>HD-034</t>
  </si>
  <si>
    <t>Switchboard test results &amp; thermographic scan report</t>
  </si>
  <si>
    <t>HD-035</t>
  </si>
  <si>
    <t>Emergency &amp; exit lighting discharge test results and logbook</t>
  </si>
  <si>
    <t>HD-036</t>
  </si>
  <si>
    <t>Plumbing compliance certificate &amp; authority lodgement evidence</t>
  </si>
  <si>
    <t>HD-037</t>
  </si>
  <si>
    <t>Gas compliance certificate &amp; appliance commissioning records</t>
  </si>
  <si>
    <t>HD-038</t>
  </si>
  <si>
    <t>Backflow prevention device test &amp; registration records</t>
  </si>
  <si>
    <t>HD-039</t>
  </si>
  <si>
    <t>Potable water disinfection &amp; NATA-accredited water test results</t>
  </si>
  <si>
    <t>HD-040</t>
  </si>
  <si>
    <t>Air balance report (measured v design)</t>
  </si>
  <si>
    <t>HD-041</t>
  </si>
  <si>
    <t>Hydronic / water balance report</t>
  </si>
  <si>
    <t>HD-042</t>
  </si>
  <si>
    <t>Smoke control &amp; stair pressurisation commissioning results</t>
  </si>
  <si>
    <t>HD-043</t>
  </si>
  <si>
    <t>Integrated fire &amp; services test records (cause &amp; effect matrix)</t>
  </si>
  <si>
    <t>HD-044</t>
  </si>
  <si>
    <t>BMS points list verification, graphics, licences &amp; passwords</t>
  </si>
  <si>
    <t>HD-045</t>
  </si>
  <si>
    <t>Structured cabling channel test certification &amp; patch schedules</t>
  </si>
  <si>
    <t>HD-046</t>
  </si>
  <si>
    <t>Lift registration, regulator notice &amp; commissioning records</t>
  </si>
  <si>
    <t>HD-047</t>
  </si>
  <si>
    <t>Plant registration records (pressure vessels / prescribed plant)</t>
  </si>
  <si>
    <t>HD-048</t>
  </si>
  <si>
    <t>Height safety system certification, load test &amp; register</t>
  </si>
  <si>
    <t>HD-049</t>
  </si>
  <si>
    <t>Access (disability) compliance certification &amp; performance solutions</t>
  </si>
  <si>
    <t>HD-050</t>
  </si>
  <si>
    <t>NCC compliance documentation pack &amp; performance solution reports</t>
  </si>
  <si>
    <t>HD-051</t>
  </si>
  <si>
    <t>Occupancy approval (state term varies) — interim and/or final</t>
  </si>
  <si>
    <t>Statutory</t>
  </si>
  <si>
    <t>HD-052</t>
  </si>
  <si>
    <t>Planning / development consent condition compliance schedule</t>
  </si>
  <si>
    <t>HD-053</t>
  </si>
  <si>
    <t>Keys, cores &amp; access device register plus master key system chart</t>
  </si>
  <si>
    <t>HD-054</t>
  </si>
  <si>
    <t>Spare parts &amp; attic stock schedule with delivery receipts</t>
  </si>
  <si>
    <t>HD-055</t>
  </si>
  <si>
    <t>Training &amp; demonstration records with attendance registers</t>
  </si>
  <si>
    <t>HD-056</t>
  </si>
  <si>
    <t>Emergency management plan &amp; evacuation diagrams</t>
  </si>
  <si>
    <t>HD-057</t>
  </si>
  <si>
    <t>Dilapidation close-out survey &amp; comparison report</t>
  </si>
  <si>
    <t>HD-058</t>
  </si>
  <si>
    <t>Final survey / subdivision or strata registration evidence</t>
  </si>
  <si>
    <t>Commissioning &amp; Testing Register</t>
  </si>
  <si>
    <t>Witnessing, results and retests</t>
  </si>
  <si>
    <t>Standards named in the 'Standard or method' column are indicative only — confirm the applicable standard and edition against your project specification and the approved commissioning plan. Any result outside tolerance should also be raised on the Defects Register.</t>
  </si>
  <si>
    <t>System</t>
  </si>
  <si>
    <t>Sub-system</t>
  </si>
  <si>
    <t>Test / commissioning activity</t>
  </si>
  <si>
    <t>Standard or method</t>
  </si>
  <si>
    <t>Witnessed by</t>
  </si>
  <si>
    <t>Scheduled date</t>
  </si>
  <si>
    <t>Completed date</t>
  </si>
  <si>
    <t>Result</t>
  </si>
  <si>
    <t>Certificate ref</t>
  </si>
  <si>
    <t>Retest date</t>
  </si>
  <si>
    <t>CX-001</t>
  </si>
  <si>
    <t>Chilled water plant</t>
  </si>
  <si>
    <t>Chiller performance test under load</t>
  </si>
  <si>
    <t>Manufacturer procedure + project commissioning specification</t>
  </si>
  <si>
    <t>CX-002</t>
  </si>
  <si>
    <t>Air handling units</t>
  </si>
  <si>
    <t>Air balance — measured v design flow rates</t>
  </si>
  <si>
    <t>Project specification / recognised balancing procedure</t>
  </si>
  <si>
    <t>CX-003</t>
  </si>
  <si>
    <t>Hydronic circuits</t>
  </si>
  <si>
    <t>Water balance — chilled, heating and condenser water</t>
  </si>
  <si>
    <t>CX-004</t>
  </si>
  <si>
    <t>Ventilation</t>
  </si>
  <si>
    <t>Mechanical ventilation performance verification</t>
  </si>
  <si>
    <t>AS 1668.2 (confirm edition per project specification)</t>
  </si>
  <si>
    <t>CX-005</t>
  </si>
  <si>
    <t>Smoke control</t>
  </si>
  <si>
    <t>Smoke exhaust &amp; stair pressurisation measurement</t>
  </si>
  <si>
    <t>Fire engineering report + AS 1668.1 (confirm edition)</t>
  </si>
  <si>
    <t>CX-006</t>
  </si>
  <si>
    <t>Car park ventilation</t>
  </si>
  <si>
    <t>CO monitoring and fan staging demonstration</t>
  </si>
  <si>
    <t>Project specification / fire engineering report</t>
  </si>
  <si>
    <t>CX-007</t>
  </si>
  <si>
    <t>Potable water</t>
  </si>
  <si>
    <t>Pressure test, disinfection and water sampling</t>
  </si>
  <si>
    <t>NATA-accredited laboratory analysis</t>
  </si>
  <si>
    <t>CX-008</t>
  </si>
  <si>
    <t>Backflow prevention</t>
  </si>
  <si>
    <t>Device commissioning, test and registration</t>
  </si>
  <si>
    <t>AS 2845 series (confirm edition) + water authority requirement</t>
  </si>
  <si>
    <t>CX-009</t>
  </si>
  <si>
    <t>Hot water &amp; TMVs</t>
  </si>
  <si>
    <t>Delivery temperature verification and TMV test and tag</t>
  </si>
  <si>
    <t>AS 4032 series (confirm edition) / project specification</t>
  </si>
  <si>
    <t>CX-010</t>
  </si>
  <si>
    <t>Sanitary &amp; stormwater drainage</t>
  </si>
  <si>
    <t>CCTV survey and pump station commissioning</t>
  </si>
  <si>
    <t>AS/NZS 3500 series (confirm edition)</t>
  </si>
  <si>
    <t>CX-011</t>
  </si>
  <si>
    <t>Fire detection &amp; alarm</t>
  </si>
  <si>
    <t>Detection, FIP and occupant warning commissioning</t>
  </si>
  <si>
    <t>AS 1670 series (confirm edition)</t>
  </si>
  <si>
    <t>CX-012</t>
  </si>
  <si>
    <t>Sprinkler system</t>
  </si>
  <si>
    <t>Flow, pressure and pump start test</t>
  </si>
  <si>
    <t>AS 2118 series (confirm edition)</t>
  </si>
  <si>
    <t>CX-013</t>
  </si>
  <si>
    <t>Hydrants &amp; hose reels</t>
  </si>
  <si>
    <t>Flow and pressure test at most disadvantaged outlet</t>
  </si>
  <si>
    <t>AS 2419 / AS 2441 (confirm editions)</t>
  </si>
  <si>
    <t>CX-014</t>
  </si>
  <si>
    <t>Fire brigade interface</t>
  </si>
  <si>
    <t>Booster, block plan and brigade familiarisation</t>
  </si>
  <si>
    <t>Fire authority requirement</t>
  </si>
  <si>
    <t>CX-015</t>
  </si>
  <si>
    <t>Alarm monitoring</t>
  </si>
  <si>
    <t>End-to-end signal test to monitoring provider</t>
  </si>
  <si>
    <t>Monitoring provider procedure</t>
  </si>
  <si>
    <t>CX-016</t>
  </si>
  <si>
    <t>Fire &amp; smoke doors</t>
  </si>
  <si>
    <t>Installation inspection and certification</t>
  </si>
  <si>
    <t>AS 1905 series (confirm edition)</t>
  </si>
  <si>
    <t>CX-017</t>
  </si>
  <si>
    <t>Main switchboard</t>
  </si>
  <si>
    <t>Insulation resistance, earth continuity, phase rotation</t>
  </si>
  <si>
    <t>AS/NZS 3000 wiring rules (confirm edition)</t>
  </si>
  <si>
    <t>CX-018</t>
  </si>
  <si>
    <t>Switchboards</t>
  </si>
  <si>
    <t>Thermographic scan and torque verification</t>
  </si>
  <si>
    <t>Project specification / manufacturer procedure</t>
  </si>
  <si>
    <t>CX-019</t>
  </si>
  <si>
    <t>Final subcircuits</t>
  </si>
  <si>
    <t>RCD operation testing and results record</t>
  </si>
  <si>
    <t>CX-020</t>
  </si>
  <si>
    <t>Emergency &amp; exit lighting</t>
  </si>
  <si>
    <t>Discharge test for specified duration and logbook</t>
  </si>
  <si>
    <t>AS/NZS 2293 series (confirm edition)</t>
  </si>
  <si>
    <t>CX-021</t>
  </si>
  <si>
    <t>Lightning protection &amp; earthing</t>
  </si>
  <si>
    <t>Continuity and resistance testing</t>
  </si>
  <si>
    <t>AS 1768 (confirm edition) / project specification</t>
  </si>
  <si>
    <t>CX-022</t>
  </si>
  <si>
    <t>Standby generator</t>
  </si>
  <si>
    <t>Load bank test at specified load and duration</t>
  </si>
  <si>
    <t>CX-023</t>
  </si>
  <si>
    <t>UPS</t>
  </si>
  <si>
    <t>Battery autonomy and automatic transfer test</t>
  </si>
  <si>
    <t>Manufacturer procedure</t>
  </si>
  <si>
    <t>CX-024</t>
  </si>
  <si>
    <t>Solar PV &amp; battery</t>
  </si>
  <si>
    <t>Grid connection, export limit and monitoring verification</t>
  </si>
  <si>
    <t>AS/NZS 4777 series (confirm edition) + network agreement</t>
  </si>
  <si>
    <t>CX-025</t>
  </si>
  <si>
    <t>Passenger lifts</t>
  </si>
  <si>
    <t>Load test, ride quality and safety circuit verification</t>
  </si>
  <si>
    <t>AS 1735 series (confirm edition) + regulator requirement</t>
  </si>
  <si>
    <t>CX-026</t>
  </si>
  <si>
    <t>Fire service operation and emergency communication test</t>
  </si>
  <si>
    <t>AS 1735 series (confirm edition) + fire engineering report</t>
  </si>
  <si>
    <t>CX-027</t>
  </si>
  <si>
    <t>Head end &amp; field devices</t>
  </si>
  <si>
    <t>Point-by-point verification against as-built points list</t>
  </si>
  <si>
    <t>Project specification / commissioning plan</t>
  </si>
  <si>
    <t>CX-028</t>
  </si>
  <si>
    <t>Graphics, trends &amp; alarms</t>
  </si>
  <si>
    <t>Demonstration of graphics, alarms, trends and setpoints</t>
  </si>
  <si>
    <t>CX-029</t>
  </si>
  <si>
    <t>Access control &amp; CCTV</t>
  </si>
  <si>
    <t>Device commissioning, access levels and camera verification</t>
  </si>
  <si>
    <t>Project specification / client security standard</t>
  </si>
  <si>
    <t>CX-030</t>
  </si>
  <si>
    <t>Structured cabling</t>
  </si>
  <si>
    <t>Channel certification testing of all links</t>
  </si>
  <si>
    <t>Cabling manufacturer warranty programme</t>
  </si>
  <si>
    <t>CX-031</t>
  </si>
  <si>
    <t>Carrier services</t>
  </si>
  <si>
    <t>Service activation and end-to-end connectivity test</t>
  </si>
  <si>
    <t>Carrier acceptance procedure</t>
  </si>
  <si>
    <t>CX-032</t>
  </si>
  <si>
    <t>Metering</t>
  </si>
  <si>
    <t>Electrical &amp; water sub-metering</t>
  </si>
  <si>
    <t>Meter commissioning, mapping and data feed verification</t>
  </si>
  <si>
    <t>Project specification / reporting platform requirement</t>
  </si>
  <si>
    <t>CX-033</t>
  </si>
  <si>
    <t>Integrated systems</t>
  </si>
  <si>
    <t>Integrated fire &amp; services test — full cause and effect matrix</t>
  </si>
  <si>
    <t>Fire engineering report + approved cause &amp; effect matrix</t>
  </si>
  <si>
    <t>CX-034</t>
  </si>
  <si>
    <t>Repeat integrated test after rectification (allow for at least one)</t>
  </si>
  <si>
    <t>CX-035</t>
  </si>
  <si>
    <t>Acoustics</t>
  </si>
  <si>
    <t>Party walls &amp; plantrooms</t>
  </si>
  <si>
    <t>Field acoustic performance testing</t>
  </si>
  <si>
    <t>Project specification / acoustic consultant method</t>
  </si>
  <si>
    <t>CX-036</t>
  </si>
  <si>
    <t>Curtain wall &amp; windows</t>
  </si>
  <si>
    <t>Site water penetration (spray) testing</t>
  </si>
  <si>
    <t>AS/NZS 4284 or agreed site test method (confirm)</t>
  </si>
  <si>
    <t>Certificates &amp; Statutory Approvals</t>
  </si>
  <si>
    <t>Terminology varies by state and territory</t>
  </si>
  <si>
    <t>Statutory document names differ between states and territories. Column B describes the approval generically; use column C to record the exact term that applies in your jurisdiction, and column L for the naming guidance. No statutory timeframes are asserted anywhere in this workbook — record the period that applies per your contract and the applicable state legislation.</t>
  </si>
  <si>
    <t>Certificate / approval</t>
  </si>
  <si>
    <t>Applicable state term (record yours)</t>
  </si>
  <si>
    <t>Issuing party</t>
  </si>
  <si>
    <t>Reference no.</t>
  </si>
  <si>
    <t>Date issued</t>
  </si>
  <si>
    <t>Expiry (if any)</t>
  </si>
  <si>
    <t>Days to expiry</t>
  </si>
  <si>
    <t>Received?</t>
  </si>
  <si>
    <t>Filed location</t>
  </si>
  <si>
    <t>State naming notes / guidance</t>
  </si>
  <si>
    <t>CE-001</t>
  </si>
  <si>
    <t>Occupancy approval — interim / partial</t>
  </si>
  <si>
    <t>Certifier / PCA or relevant authority</t>
  </si>
  <si>
    <t>Name varies: NSW Interim Occupation Certificate; VIC Occupancy Permit (may be staged); QLD Certificate of Classification (Form 21). Record your state's term in column C.</t>
  </si>
  <si>
    <t>CE-002</t>
  </si>
  <si>
    <t>Occupancy approval — final / whole of building</t>
  </si>
  <si>
    <t>Name varies: NSW Final Occupation Certificate; VIC Occupancy Permit; QLD Certificate of Classification (Form 21). Confirm the issuing party for your state.</t>
  </si>
  <si>
    <t>CE-003</t>
  </si>
  <si>
    <t>Certifier / PCA mandatory inspection record and sign-off</t>
  </si>
  <si>
    <t>Title of the certifying role varies by state (e.g. principal certifier, building surveyor, certifier).</t>
  </si>
  <si>
    <t>CE-004</t>
  </si>
  <si>
    <t>NCC compliance documentation pack</t>
  </si>
  <si>
    <t>Design consultants / contractor</t>
  </si>
  <si>
    <t>Includes design and construction compliance statements and product substantiation.</t>
  </si>
  <si>
    <t>CE-005</t>
  </si>
  <si>
    <t>Performance solution reports and sign-offs</t>
  </si>
  <si>
    <t>Specialist consultants</t>
  </si>
  <si>
    <t>One per performance solution — fire, access, acoustic, energy, structural.</t>
  </si>
  <si>
    <t>CE-006</t>
  </si>
  <si>
    <t>Fire engineering report — final revision &amp; as-built compliance statement</t>
  </si>
  <si>
    <t>Fire engineer</t>
  </si>
  <si>
    <t>Deviations must be formally closed out before sign-off.</t>
  </si>
  <si>
    <t>CE-007</t>
  </si>
  <si>
    <t>Fire safety measures schedule</t>
  </si>
  <si>
    <t>Contractor / certifier</t>
  </si>
  <si>
    <t>Name varies: NSW Fire Safety Schedule; VIC essential safety measures schedule; QLD occupier's statement regime. Record your state's term.</t>
  </si>
  <si>
    <t>CE-008</t>
  </si>
  <si>
    <t>Owner / competent fire safety practitioner</t>
  </si>
  <si>
    <t>Name and renewal regime vary by state; annual renewal typically becomes an owner obligation from occupation.</t>
  </si>
  <si>
    <t>CE-009</t>
  </si>
  <si>
    <t>Fire &amp; smoke door installation certification</t>
  </si>
  <si>
    <t>Competent person / installer</t>
  </si>
  <si>
    <t>Include the door schedule and tag register.</t>
  </si>
  <si>
    <t>CE-010</t>
  </si>
  <si>
    <t>Access (disability) compliance certification</t>
  </si>
  <si>
    <t>Access consultant</t>
  </si>
  <si>
    <t>Include any access performance solution and its assumptions.</t>
  </si>
  <si>
    <t>CE-011</t>
  </si>
  <si>
    <t>Energy efficiency compliance certification</t>
  </si>
  <si>
    <t>Design consultant / assessor</t>
  </si>
  <si>
    <t>Include any rating scheme commitment agreement and its obligations.</t>
  </si>
  <si>
    <t>CE-012</t>
  </si>
  <si>
    <t>Plumbing compliance certificate</t>
  </si>
  <si>
    <t>Licensed plumber</t>
  </si>
  <si>
    <t>Name and lodgement process vary by state and water authority. Record your state's term and the lodgement reference.</t>
  </si>
  <si>
    <t>CE-013</t>
  </si>
  <si>
    <t>Backflow prevention device test &amp; registration</t>
  </si>
  <si>
    <t>Licensed plumber / water authority</t>
  </si>
  <si>
    <t>One per device; annual testing generally required thereafter.</t>
  </si>
  <si>
    <t>CE-014</t>
  </si>
  <si>
    <t>Electrical compliance documentation</t>
  </si>
  <si>
    <t>Licensed electrical contractor</t>
  </si>
  <si>
    <t>Name varies: e.g. Certificate of Compliance - Electrical Work (NSW); Certificate of Electrical Safety (VIC); Form 3 / Electrical Safety Certificate (QLD). Record your state's term.</t>
  </si>
  <si>
    <t>CE-015</t>
  </si>
  <si>
    <t>Gas compliance certificate</t>
  </si>
  <si>
    <t>Licensed gasfitter</t>
  </si>
  <si>
    <t>Required where gas services or appliances are installed.</t>
  </si>
  <si>
    <t>CE-016</t>
  </si>
  <si>
    <t>Lift / escalator registration and notice permitting use</t>
  </si>
  <si>
    <t>State WHS or transport regulator</t>
  </si>
  <si>
    <t>Registration is generally required before the lift may carry passengers.</t>
  </si>
  <si>
    <t>CE-017</t>
  </si>
  <si>
    <t>Plant registration (pressure vessels, boilers, cranes, prescribed plant)</t>
  </si>
  <si>
    <t>State WHS regulator</t>
  </si>
  <si>
    <t>Registration transfers to the owner/operator; record all registration numbers.</t>
  </si>
  <si>
    <t>CE-018</t>
  </si>
  <si>
    <t>Height safety / anchor point certification and register</t>
  </si>
  <si>
    <t>Certified installer / engineer</t>
  </si>
  <si>
    <t>Load test certification is required before the client may access the roof.</t>
  </si>
  <si>
    <t>CE-019</t>
  </si>
  <si>
    <t>Structural engineer's certification</t>
  </si>
  <si>
    <t>Structural engineer</t>
  </si>
  <si>
    <t>Include post-tensioning, connection and remedial certification.</t>
  </si>
  <si>
    <t>CE-020</t>
  </si>
  <si>
    <t>Waterproofing certification and installer warranties</t>
  </si>
  <si>
    <t>Waterproofing installer</t>
  </si>
  <si>
    <t>Area-by-area; include flood test records.</t>
  </si>
  <si>
    <t>CE-021</t>
  </si>
  <si>
    <t>Cladding product conformance evidence / cladding register</t>
  </si>
  <si>
    <t>Contractor / consultant</t>
  </si>
  <si>
    <t>Some states operate cladding registration or notification schemes — confirm what applies.</t>
  </si>
  <si>
    <t>CE-022</t>
  </si>
  <si>
    <t>Environmental licence / EPA approval condition discharge</t>
  </si>
  <si>
    <t>Environmental regulator</t>
  </si>
  <si>
    <t>Include validation reports and any site audit statement.</t>
  </si>
  <si>
    <t>CE-023</t>
  </si>
  <si>
    <t>Planning / development consent condition compliance sign-off</t>
  </si>
  <si>
    <t>Consent authority / certifier</t>
  </si>
  <si>
    <t>Provide a condition-by-condition schedule with evidence.</t>
  </si>
  <si>
    <t>CE-024</t>
  </si>
  <si>
    <t>Developer contributions, headworks charges and bond receipts</t>
  </si>
  <si>
    <t>Council / authority</t>
  </si>
  <si>
    <t>Record which bonds are refundable and the release trigger.</t>
  </si>
  <si>
    <t>CE-025</t>
  </si>
  <si>
    <t>Authority asset handover acceptance (water, sewer, roads, drainage, network)</t>
  </si>
  <si>
    <t>Relevant authority</t>
  </si>
  <si>
    <t>Authority defects/maintenance periods often differ from the contract DLP.</t>
  </si>
  <si>
    <t>CE-026</t>
  </si>
  <si>
    <t>Trade waste / on-site sewage / dangerous goods approvals</t>
  </si>
  <si>
    <t>Authority / regulator</t>
  </si>
  <si>
    <t>Separate approvals with separate renewal cycles.</t>
  </si>
  <si>
    <t>CE-027</t>
  </si>
  <si>
    <t>Final survey, easements and subdivision / strata registration</t>
  </si>
  <si>
    <t>Registered surveyor / land registry</t>
  </si>
  <si>
    <t>Required before settlement, leasing or sale in many cases.</t>
  </si>
  <si>
    <t>Warranties &amp; Guarantees Register</t>
  </si>
  <si>
    <t>Expiry and days remaining calculate automatically</t>
  </si>
  <si>
    <t>Warranty periods shown are common market durations for illustration only — replace each one with the period actually offered and accepted for your project. Expiry date calculates from the start date and the period in months; days remaining and status update against today's date.</t>
  </si>
  <si>
    <t>Item / system</t>
  </si>
  <si>
    <t>Supplier / installer</t>
  </si>
  <si>
    <t>Warranty period (months)</t>
  </si>
  <si>
    <t>Start date</t>
  </si>
  <si>
    <t>Expiry date</t>
  </si>
  <si>
    <t>Days remaining</t>
  </si>
  <si>
    <t>Certificate on file</t>
  </si>
  <si>
    <t>Conditions / maintenance obligations</t>
  </si>
  <si>
    <t>Contact</t>
  </si>
  <si>
    <t>WT-001</t>
  </si>
  <si>
    <t>General contractor's defects liability</t>
  </si>
  <si>
    <t>Per contract — record the agreed period and any extended periods for specific items.</t>
  </si>
  <si>
    <t>WT-002</t>
  </si>
  <si>
    <t>Waterproofing membrane — wet areas</t>
  </si>
  <si>
    <t>Conditional on no penetration of the membrane and documented inspection.</t>
  </si>
  <si>
    <t>WT-003</t>
  </si>
  <si>
    <t>Waterproofing membrane — roof / podium / planters</t>
  </si>
  <si>
    <t>Conditional on annual inspection and drainage maintenance.</t>
  </si>
  <si>
    <t>WT-004</t>
  </si>
  <si>
    <t>Roof sheeting / membrane system</t>
  </si>
  <si>
    <t>Conditional on approved fixings, no unauthorised penetrations and periodic cleaning.</t>
  </si>
  <si>
    <t>WT-005</t>
  </si>
  <si>
    <t>Facade / curtain wall system</t>
  </si>
  <si>
    <t>Conditional on documented facade cleaning and sealant inspection regime.</t>
  </si>
  <si>
    <t>WT-006</t>
  </si>
  <si>
    <t>Structural glazing sealant</t>
  </si>
  <si>
    <t>Manufacturer warranty — registration usually required.</t>
  </si>
  <si>
    <t>WT-007</t>
  </si>
  <si>
    <t>Glazing units (IGU seal)</t>
  </si>
  <si>
    <t>Excludes breakage; conditional on approved cleaning method.</t>
  </si>
  <si>
    <t>WT-008</t>
  </si>
  <si>
    <t>Cladding panels</t>
  </si>
  <si>
    <t>Retain product conformance evidence with the warranty.</t>
  </si>
  <si>
    <t>WT-009</t>
  </si>
  <si>
    <t>Chillers</t>
  </si>
  <si>
    <t>Conditional on manufacturer-approved servicing at specified intervals.</t>
  </si>
  <si>
    <t>WT-010</t>
  </si>
  <si>
    <t>Boilers / heat pumps</t>
  </si>
  <si>
    <t>Conditional on documented water treatment and servicing.</t>
  </si>
  <si>
    <t>WT-011</t>
  </si>
  <si>
    <t>Air handling units &amp; fans</t>
  </si>
  <si>
    <t>Conditional on filter replacement per schedule.</t>
  </si>
  <si>
    <t>WT-012</t>
  </si>
  <si>
    <t>BMS / controls hardware and software</t>
  </si>
  <si>
    <t>Confirm software licence term and support agreement separately.</t>
  </si>
  <si>
    <t>WT-013</t>
  </si>
  <si>
    <t>Lifts / vertical transport</t>
  </si>
  <si>
    <t>Conditional on the maintenance contract commencing at PC.</t>
  </si>
  <si>
    <t>WT-014</t>
  </si>
  <si>
    <t>Conditional on thermographic scanning and torque checks per schedule.</t>
  </si>
  <si>
    <t>WT-015</t>
  </si>
  <si>
    <t>Conditional on run testing and fuel quality management.</t>
  </si>
  <si>
    <t>WT-016</t>
  </si>
  <si>
    <t>UPS and batteries</t>
  </si>
  <si>
    <t>Battery warranty often pro-rata — record the pro-rata basis.</t>
  </si>
  <si>
    <t>WT-017</t>
  </si>
  <si>
    <t>Solar PV panels (performance)</t>
  </si>
  <si>
    <t>Performance warranty differs from product warranty — record both.</t>
  </si>
  <si>
    <t>WT-018</t>
  </si>
  <si>
    <t>Solar PV inverters</t>
  </si>
  <si>
    <t>Registration with the manufacturer is usually required.</t>
  </si>
  <si>
    <t>WT-019</t>
  </si>
  <si>
    <t>Fire detection &amp; suppression equipment</t>
  </si>
  <si>
    <t>Conditional on routine servicing to the applicable maintenance standard.</t>
  </si>
  <si>
    <t>WT-020</t>
  </si>
  <si>
    <t>Hot water plant</t>
  </si>
  <si>
    <t>Conditional on water quality and anode maintenance where applicable.</t>
  </si>
  <si>
    <t>WT-021</t>
  </si>
  <si>
    <t>Floor coverings — carpet</t>
  </si>
  <si>
    <t>Wear warranty; conditional on approved cleaning regime.</t>
  </si>
  <si>
    <t>WT-022</t>
  </si>
  <si>
    <t>Floor coverings — vinyl / resilient</t>
  </si>
  <si>
    <t>Conditional on approved maintenance products.</t>
  </si>
  <si>
    <t>WT-023</t>
  </si>
  <si>
    <t>Paint system</t>
  </si>
  <si>
    <t>Conditional on the specified system and substrate preparation.</t>
  </si>
  <si>
    <t>WT-024</t>
  </si>
  <si>
    <t>Joinery and benchtops</t>
  </si>
  <si>
    <t>Excludes damage from unapproved cleaning products.</t>
  </si>
  <si>
    <t>WT-025</t>
  </si>
  <si>
    <t>Door hardware and closers</t>
  </si>
  <si>
    <t>Conditional on periodic adjustment and lubrication.</t>
  </si>
  <si>
    <t>WT-026</t>
  </si>
  <si>
    <t>Landscape establishment / plant guarantee</t>
  </si>
  <si>
    <t>Conditional on the agreed watering and maintenance regime.</t>
  </si>
  <si>
    <t>WT-027</t>
  </si>
  <si>
    <t>Irrigation system</t>
  </si>
  <si>
    <t>Conditional on winterisation and controller maintenance.</t>
  </si>
  <si>
    <t>WT-028</t>
  </si>
  <si>
    <t>Line marking and traffic coatings</t>
  </si>
  <si>
    <t>Record the wear exclusion basis.</t>
  </si>
  <si>
    <t>Practical Completion Sign-Off</t>
  </si>
  <si>
    <t>Recommendation and signatures</t>
  </si>
  <si>
    <t>RECOMMENDATION FOR PRACTICAL COMPLETION</t>
  </si>
  <si>
    <t>This sheet summarises the position recorded in the accompanying workbook at the date of printing.</t>
  </si>
  <si>
    <t>Project</t>
  </si>
  <si>
    <t>Target date for PC</t>
  </si>
  <si>
    <t>PC date determined</t>
  </si>
  <si>
    <t>DLP end date</t>
  </si>
  <si>
    <t>Date of this assessment</t>
  </si>
  <si>
    <t>RECOMMENDATION</t>
  </si>
  <si>
    <t>POSITION AT DATE OF ASSESSMENT</t>
  </si>
  <si>
    <t>Measure</t>
  </si>
  <si>
    <t>Value</t>
  </si>
  <si>
    <t>Checklist readiness (complete / applicable items)</t>
  </si>
  <si>
    <t>Checklist items complete</t>
  </si>
  <si>
    <t>PC blocker items outstanding</t>
  </si>
  <si>
    <t>Category A defects open (prevent Practical Completion)</t>
  </si>
  <si>
    <t>Total open defects (all categories)</t>
  </si>
  <si>
    <t>Defects past target rectification date</t>
  </si>
  <si>
    <t>Handover documents outstanding</t>
  </si>
  <si>
    <t>Commissioning activities not yet passed</t>
  </si>
  <si>
    <t>Statutory certificates outstanding</t>
  </si>
  <si>
    <t>Practical Completion is recommended subject to the attached defects schedule. The defects schedule printed from the Defects Register forms part of this recommendation, and the items listed on it remain the responsibility of the contractor to rectify in accordance with the contract. Nothing in this sheet varies the parties' rights or obligations under the contract, and the determination of Practical Completion remains that of the person empowered to make it under the contract.</t>
  </si>
  <si>
    <t>SIGNATURES</t>
  </si>
  <si>
    <t>Contractor's representative</t>
  </si>
  <si>
    <t>Superintendent / Principal's representative</t>
  </si>
  <si>
    <t>Name</t>
  </si>
  <si>
    <t>Position / organisation</t>
  </si>
  <si>
    <t>Signature</t>
  </si>
  <si>
    <t>Date</t>
  </si>
  <si>
    <t>Certifier / principal certifying authority</t>
  </si>
  <si>
    <t>Attach: defects schedule (Defects Register)  ·  incomplete works schedule  ·  statutory certificates pack  ·  commissioning certificates  ·  handover documentation index.</t>
  </si>
  <si>
    <t>YesNo</t>
  </si>
  <si>
    <t>YesNoNA</t>
  </si>
  <si>
    <t>DefectCategory</t>
  </si>
  <si>
    <t>DefectStatus</t>
  </si>
  <si>
    <t>ReviewOutcome</t>
  </si>
  <si>
    <t>TestResult</t>
  </si>
  <si>
    <t>State</t>
  </si>
  <si>
    <t>ContractForm</t>
  </si>
  <si>
    <t>Green</t>
  </si>
  <si>
    <t>Accepted</t>
  </si>
  <si>
    <t>Pass</t>
  </si>
  <si>
    <t>NSW</t>
  </si>
  <si>
    <t>AS 4000</t>
  </si>
  <si>
    <t>In Progress</t>
  </si>
  <si>
    <t>Amber</t>
  </si>
  <si>
    <t>Subcontractor</t>
  </si>
  <si>
    <t>Accepted with conditions</t>
  </si>
  <si>
    <t>Fail</t>
  </si>
  <si>
    <t>VIC</t>
  </si>
  <si>
    <t>AS 4902</t>
  </si>
  <si>
    <t>Red</t>
  </si>
  <si>
    <t>Rejected - resubmit</t>
  </si>
  <si>
    <t>Conditional</t>
  </si>
  <si>
    <t>QLD</t>
  </si>
  <si>
    <t>AS 2124</t>
  </si>
  <si>
    <t>Under review</t>
  </si>
  <si>
    <t>Not yet tested</t>
  </si>
  <si>
    <t>WA</t>
  </si>
  <si>
    <t>AS 4300</t>
  </si>
  <si>
    <t>Rejected - not a defect</t>
  </si>
  <si>
    <t>SA</t>
  </si>
  <si>
    <t>GC21</t>
  </si>
  <si>
    <t>Deferred to DLP</t>
  </si>
  <si>
    <t>TAS</t>
  </si>
  <si>
    <t>MW21</t>
  </si>
  <si>
    <t>Joinery</t>
  </si>
  <si>
    <t>ACT</t>
  </si>
  <si>
    <t>PC-1</t>
  </si>
  <si>
    <t>Facilities manager</t>
  </si>
  <si>
    <t>NT</t>
  </si>
  <si>
    <t>NEC4</t>
  </si>
  <si>
    <t>FIDIC</t>
  </si>
  <si>
    <t>Tiling</t>
  </si>
  <si>
    <t>Bespoke / other</t>
  </si>
  <si>
    <t>Signage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</si>
</sst>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9.5"/>
      <color rgb="FFFFFFFF"/>
      <name val="Segoe UI Semibold"/>
    </font>
    <font>
      <sz val="9.5"/>
      <color rgb="FF1D3245"/>
      <name val="Segoe UI"/>
    </font>
    <font>
      <sz val="8"/>
      <color rgb="FF0C1628"/>
      <name val="Segoe UI"/>
    </font>
    <font>
      <b/>
      <sz val="26"/>
      <color rgb="FFFFFFFF"/>
      <name val="Segoe UI Semibold"/>
    </font>
    <font>
      <sz val="12"/>
      <color rgb="FF3480BC"/>
      <name val="Segoe UI"/>
    </font>
    <font>
      <sz val="10"/>
      <color rgb="FF8E98A2"/>
      <name val="Segoe UI"/>
    </font>
    <font>
      <sz val="9"/>
      <color rgb="FF8E98A2"/>
      <name val="Segoe UI"/>
    </font>
    <font>
      <b/>
      <sz val="10"/>
      <color rgb="FF0D3C61"/>
      <name val="Segoe UI Semibold"/>
    </font>
    <font>
      <b/>
      <sz val="9.5"/>
      <color rgb="FF1D3245"/>
      <name val="Segoe UI"/>
    </font>
    <font>
      <b/>
      <sz val="9.5"/>
      <color rgb="FF0D3C61"/>
      <name val="Segoe UI"/>
    </font>
    <font>
      <sz val="9"/>
      <color rgb="FF1D3245"/>
      <name val="Segoe UI"/>
    </font>
    <font>
      <i/>
      <sz val="8"/>
      <color rgb="FF8E98A2"/>
      <name val="Segoe UI"/>
    </font>
    <font>
      <u/>
      <sz val="8.5"/>
      <color rgb="FF3480BC"/>
      <name val="Segoe UI"/>
    </font>
    <font>
      <b/>
      <sz val="15"/>
      <color rgb="FFFFFFFF"/>
      <name val="Segoe UI Semibold"/>
    </font>
    <font>
      <b/>
      <sz val="11"/>
      <color rgb="FF0D3C61"/>
      <name val="Segoe UI Semibold"/>
    </font>
    <font>
      <i/>
      <sz val="9"/>
      <color rgb="FF8E98A2"/>
      <name val="Segoe UI"/>
    </font>
    <font>
      <b/>
      <sz val="10.5"/>
      <color rgb="FFFFFFFF"/>
      <name val="Segoe UI Semibold"/>
    </font>
    <font>
      <b/>
      <sz val="9"/>
      <color rgb="FF0D3C61"/>
      <name val="Segoe UI"/>
    </font>
    <font>
      <b/>
      <sz val="9.5"/>
      <color rgb="FFB3261E"/>
      <name val="Segoe UI"/>
    </font>
    <font>
      <sz val="8"/>
      <color rgb="FF8E98A2"/>
      <name val="Segoe UI"/>
    </font>
    <font>
      <sz val="9.5"/>
      <color rgb="FF8E98A2"/>
      <name val="Segoe UI"/>
    </font>
    <font>
      <sz val="8.5"/>
      <color rgb="FF8E98A2"/>
      <name val="Segoe UI"/>
    </font>
    <font>
      <b/>
      <sz val="8"/>
      <color rgb="FF3480BC"/>
      <name val="Segoe UI"/>
    </font>
    <font>
      <b/>
      <sz val="22"/>
      <color rgb="FFFFFFFF"/>
      <name val="Segoe UI Semibold"/>
    </font>
    <font>
      <b/>
      <sz val="8"/>
      <color rgb="FF0D3C61"/>
      <name val="Segoe UI"/>
    </font>
    <font>
      <b/>
      <sz val="22"/>
      <color rgb="FF1D3245"/>
      <name val="Segoe UI Semibold"/>
    </font>
    <font>
      <b/>
      <sz val="9"/>
      <color rgb="FF3480BC"/>
      <name val="Segoe UI Semibold"/>
    </font>
    <font>
      <b/>
      <sz val="28"/>
      <color rgb="FFFFFFFF"/>
      <name val="Segoe UI Semibold"/>
    </font>
    <font>
      <b/>
      <sz val="9"/>
      <color rgb="FF1D3245"/>
      <name val="Segoe UI"/>
    </font>
    <font>
      <i/>
      <sz val="8.5"/>
      <color rgb="FF8E98A2"/>
      <name val="Segoe UI"/>
    </font>
    <font>
      <b/>
      <sz val="16"/>
      <color rgb="FF0D3C61"/>
      <name val="Segoe UI Semibold"/>
    </font>
    <font>
      <b/>
      <sz val="24"/>
      <color rgb="FFFFFFFF"/>
      <name val="Segoe UI Semibold"/>
    </font>
    <font>
      <b/>
      <sz val="10"/>
      <color rgb="FF0D3C61"/>
      <name val="Segoe UI"/>
    </font>
  </fonts>
  <fills count="10">
    <fill>
      <patternFill patternType="none"/>
    </fill>
    <fill>
      <patternFill patternType="gray125"/>
    </fill>
    <fill>
      <patternFill patternType="solid">
        <fgColor rgb="FF0D3C61"/>
      </patternFill>
    </fill>
    <fill>
      <patternFill patternType="solid">
        <fgColor rgb="FF0C1628"/>
      </patternFill>
    </fill>
    <fill>
      <patternFill patternType="solid">
        <fgColor rgb="FF3480BC"/>
      </patternFill>
    </fill>
    <fill>
      <patternFill patternType="solid">
        <fgColor rgb="FFF6F9FC"/>
      </patternFill>
    </fill>
    <fill>
      <patternFill patternType="solid">
        <fgColor rgb="FF1D3245"/>
      </patternFill>
    </fill>
    <fill>
      <patternFill patternType="solid">
        <fgColor rgb="FFEAF0F7"/>
      </patternFill>
    </fill>
    <fill>
      <patternFill patternType="solid">
        <fgColor rgb="FFFFFFFF"/>
      </patternFill>
    </fill>
    <fill>
      <patternFill patternType="solid">
        <fgColor rgb="FFE6EFF7"/>
      </patternFill>
    </fill>
  </fills>
  <borders count="12">
    <border>
      <left/>
      <right/>
      <top/>
      <bottom/>
      <diagonal/>
    </border>
    <border>
      <left style="thin">
        <color rgb="FFDCE3EC"/>
      </left>
      <right style="thin">
        <color rgb="FFDCE3EC"/>
      </right>
      <top style="thin">
        <color rgb="FFDCE3EC"/>
      </top>
      <bottom style="thin">
        <color rgb="FFDCE3EC"/>
      </bottom>
      <diagonal/>
    </border>
    <border>
      <left style="thin">
        <color rgb="FFDCE3EC"/>
      </left>
      <right style="thin">
        <color rgb="FFDCE3EC"/>
      </right>
      <top style="thin">
        <color rgb="FFDCE3EC"/>
      </top>
      <bottom style="medium">
        <color rgb="FF3480BC"/>
      </bottom>
      <diagonal/>
    </border>
    <border>
      <left/>
      <right/>
      <top/>
      <bottom style="thin">
        <color rgb="FFDCE3EC"/>
      </bottom>
      <diagonal/>
    </border>
    <border>
      <left/>
      <right/>
      <top style="thin">
        <color rgb="FFDCE3EC"/>
      </top>
      <bottom/>
      <diagonal/>
    </border>
    <border>
      <left/>
      <right/>
      <top/>
      <bottom/>
      <diagonal/>
    </border>
    <border>
      <left style="thin">
        <color rgb="FF0D3C61"/>
      </left>
      <right style="thin">
        <color rgb="FF0D3C61"/>
      </right>
      <top style="thin">
        <color rgb="FF0D3C61"/>
      </top>
      <bottom style="medium">
        <color rgb="FF3480BC"/>
      </bottom>
      <diagonal/>
    </border>
    <border>
      <left/>
      <right style="thin">
        <color rgb="FF0D3C61"/>
      </right>
      <top style="thin">
        <color rgb="FF0D3C61"/>
      </top>
      <bottom style="medium">
        <color rgb="FF3480BC"/>
      </bottom>
      <diagonal/>
    </border>
    <border>
      <left/>
      <right style="thin">
        <color rgb="FFDCE3EC"/>
      </right>
      <top style="thin">
        <color rgb="FFDCE3EC"/>
      </top>
      <bottom style="thin">
        <color rgb="FFDCE3EC"/>
      </bottom>
      <diagonal/>
    </border>
    <border>
      <left/>
      <right/>
      <top style="thin">
        <color rgb="FF0D3C61"/>
      </top>
      <bottom style="medium">
        <color rgb="FF3480BC"/>
      </bottom>
      <diagonal/>
    </border>
    <border>
      <left/>
      <right/>
      <top style="thin">
        <color rgb="FFDCE3EC"/>
      </top>
      <bottom style="thin">
        <color rgb="FFDCE3EC"/>
      </bottom>
      <diagonal/>
    </border>
    <border>
      <left/>
      <right/>
      <top/>
      <bottom style="thin">
        <color rgb="FF3480BC"/>
      </bottom>
      <diagonal/>
    </border>
  </borders>
  <cellStyleXfs count="1">
    <xf numFmtId="0" fontId="0" fillId="0" borderId="0"/>
  </cellStyleXfs>
  <cellXfs count="136">
    <xf numFmtId="0" fontId="0" fillId="0" borderId="0" xfId="0"/>
    <xf numFmtId="0" fontId="0" fillId="3" borderId="0" xfId="0" applyFill="1"/>
    <xf numFmtId="0" fontId="3" fillId="3" borderId="0" xfId="0" applyFont="1" applyFill="1"/>
    <xf numFmtId="0" fontId="0" fillId="4" borderId="0" xfId="0" applyFill="1"/>
    <xf numFmtId="0" fontId="9" fillId="5" borderId="1" xfId="0" applyFont="1" applyFill="1" applyBorder="1" applyAlignment="1">
      <alignment vertical="center" indent="1"/>
    </xf>
    <xf numFmtId="0" fontId="10" fillId="0" borderId="3" xfId="0" applyFont="1" applyBorder="1" applyAlignment="1">
      <alignment vertical="center" indent="1"/>
    </xf>
    <xf numFmtId="0" fontId="0" fillId="0" borderId="5" xfId="0" applyBorder="1"/>
    <xf numFmtId="0" fontId="9" fillId="5" borderId="1" xfId="0" applyFont="1" applyFill="1" applyBorder="1" applyAlignment="1">
      <alignment vertical="center" wrapText="1" indent="1"/>
    </xf>
    <xf numFmtId="0" fontId="13" fillId="0" borderId="5" xfId="0" applyFont="1" applyBorder="1" applyAlignment="1">
      <alignment horizontal="right" vertical="center"/>
    </xf>
    <xf numFmtId="0" fontId="15" fillId="0" borderId="0" xfId="0" applyFont="1" applyAlignment="1">
      <alignment vertical="center"/>
    </xf>
    <xf numFmtId="0" fontId="1" fillId="2" borderId="6" xfId="0" applyFont="1" applyFill="1" applyBorder="1" applyAlignment="1">
      <alignment horizontal="center" vertical="center" wrapText="1"/>
    </xf>
    <xf numFmtId="0" fontId="29" fillId="0" borderId="1" xfId="0" applyFont="1" applyBorder="1" applyAlignment="1">
      <alignment horizontal="left" vertical="top" wrapText="1"/>
    </xf>
    <xf numFmtId="1"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2" fillId="0" borderId="1" xfId="0" applyFont="1" applyBorder="1" applyAlignment="1">
      <alignment horizontal="left" vertical="center"/>
    </xf>
    <xf numFmtId="0" fontId="29" fillId="5" borderId="1" xfId="0" applyFont="1" applyFill="1" applyBorder="1" applyAlignment="1">
      <alignment horizontal="left" vertical="top" wrapText="1"/>
    </xf>
    <xf numFmtId="1" fontId="2" fillId="5" borderId="1" xfId="0" applyNumberFormat="1" applyFont="1" applyFill="1" applyBorder="1" applyAlignment="1">
      <alignment horizontal="center" vertical="center"/>
    </xf>
    <xf numFmtId="9"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22" fillId="5" borderId="1" xfId="0" applyFont="1" applyFill="1" applyBorder="1" applyAlignment="1">
      <alignment horizontal="left" vertical="center"/>
    </xf>
    <xf numFmtId="0" fontId="10" fillId="7" borderId="1" xfId="0" applyFont="1" applyFill="1" applyBorder="1" applyAlignment="1">
      <alignment horizontal="left" vertical="center"/>
    </xf>
    <xf numFmtId="1" fontId="10" fillId="7" borderId="1" xfId="0" applyNumberFormat="1" applyFont="1" applyFill="1" applyBorder="1" applyAlignment="1">
      <alignment horizontal="center" vertical="center"/>
    </xf>
    <xf numFmtId="9"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 fontId="2" fillId="0" borderId="1" xfId="0" applyNumberFormat="1" applyFont="1" applyBorder="1" applyAlignment="1">
      <alignment horizontal="right" vertical="center"/>
    </xf>
    <xf numFmtId="0" fontId="11" fillId="0" borderId="1" xfId="0" applyFont="1" applyBorder="1" applyAlignment="1">
      <alignment horizontal="left" vertical="top" wrapText="1"/>
    </xf>
    <xf numFmtId="1" fontId="11" fillId="0" borderId="1" xfId="0" applyNumberFormat="1" applyFont="1" applyBorder="1" applyAlignment="1">
      <alignment horizontal="center" vertical="center"/>
    </xf>
    <xf numFmtId="4" fontId="11" fillId="0" borderId="1" xfId="0" applyNumberFormat="1" applyFont="1" applyBorder="1" applyAlignment="1">
      <alignment horizontal="right" vertical="center"/>
    </xf>
    <xf numFmtId="4" fontId="2" fillId="5" borderId="1" xfId="0" applyNumberFormat="1" applyFont="1" applyFill="1" applyBorder="1" applyAlignment="1">
      <alignment horizontal="right" vertical="center"/>
    </xf>
    <xf numFmtId="0" fontId="11" fillId="5" borderId="1" xfId="0" applyFont="1" applyFill="1" applyBorder="1" applyAlignment="1">
      <alignment horizontal="left" vertical="top" wrapText="1"/>
    </xf>
    <xf numFmtId="1" fontId="11" fillId="5" borderId="1" xfId="0" applyNumberFormat="1" applyFont="1" applyFill="1" applyBorder="1" applyAlignment="1">
      <alignment horizontal="center" vertical="center"/>
    </xf>
    <xf numFmtId="4" fontId="11" fillId="5" borderId="1" xfId="0" applyNumberFormat="1" applyFont="1" applyFill="1" applyBorder="1" applyAlignment="1">
      <alignment horizontal="right" vertical="center"/>
    </xf>
    <xf numFmtId="4" fontId="10" fillId="7" borderId="1" xfId="0" applyNumberFormat="1" applyFont="1" applyFill="1" applyBorder="1" applyAlignment="1">
      <alignment horizontal="right" vertical="center"/>
    </xf>
    <xf numFmtId="0" fontId="18" fillId="5" borderId="1" xfId="0" applyFont="1" applyFill="1" applyBorder="1" applyAlignment="1">
      <alignment horizontal="left" vertical="center"/>
    </xf>
    <xf numFmtId="0" fontId="2" fillId="5"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19" fillId="5" borderId="1" xfId="0" applyFont="1" applyFill="1" applyBorder="1" applyAlignment="1">
      <alignment horizontal="center" vertical="center"/>
    </xf>
    <xf numFmtId="15" fontId="2" fillId="5" borderId="1" xfId="0" applyNumberFormat="1" applyFont="1" applyFill="1" applyBorder="1" applyAlignment="1">
      <alignment horizontal="center" vertical="center"/>
    </xf>
    <xf numFmtId="0" fontId="2" fillId="5" borderId="1" xfId="0" applyFont="1" applyFill="1" applyBorder="1" applyAlignment="1">
      <alignment horizontal="left" vertical="center"/>
    </xf>
    <xf numFmtId="0" fontId="20" fillId="5" borderId="1" xfId="0" applyFont="1" applyFill="1" applyBorder="1" applyAlignment="1">
      <alignment horizontal="left" vertical="top" wrapText="1"/>
    </xf>
    <xf numFmtId="0" fontId="18" fillId="0" borderId="1" xfId="0" applyFont="1" applyBorder="1" applyAlignment="1">
      <alignment horizontal="left" vertical="center"/>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19" fillId="0" borderId="1" xfId="0" applyFont="1" applyBorder="1" applyAlignment="1">
      <alignment horizontal="center" vertical="center"/>
    </xf>
    <xf numFmtId="15"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0" fillId="0" borderId="1" xfId="0" applyFont="1" applyBorder="1" applyAlignment="1">
      <alignment horizontal="left" vertical="top" wrapText="1"/>
    </xf>
    <xf numFmtId="0" fontId="21" fillId="5" borderId="1" xfId="0" applyFont="1" applyFill="1" applyBorder="1" applyAlignment="1">
      <alignment horizontal="center" vertical="center"/>
    </xf>
    <xf numFmtId="0" fontId="21" fillId="0" borderId="1" xfId="0" applyFont="1" applyBorder="1" applyAlignment="1">
      <alignment horizontal="center" vertical="center"/>
    </xf>
    <xf numFmtId="0" fontId="11" fillId="0" borderId="1" xfId="0" applyFont="1" applyBorder="1" applyAlignment="1">
      <alignment horizontal="center" vertical="top" wrapText="1"/>
    </xf>
    <xf numFmtId="0" fontId="11" fillId="0" borderId="1" xfId="0" applyFont="1" applyBorder="1" applyAlignment="1">
      <alignment horizontal="left" vertical="center"/>
    </xf>
    <xf numFmtId="0" fontId="11" fillId="0" borderId="1" xfId="0" applyFont="1" applyBorder="1" applyAlignment="1">
      <alignment horizontal="center" vertical="center"/>
    </xf>
    <xf numFmtId="0" fontId="11" fillId="5" borderId="1" xfId="0" applyFont="1" applyFill="1" applyBorder="1" applyAlignment="1">
      <alignment horizontal="center" vertical="top" wrapText="1"/>
    </xf>
    <xf numFmtId="0" fontId="11" fillId="5" borderId="1" xfId="0" applyFont="1" applyFill="1" applyBorder="1" applyAlignment="1">
      <alignment horizontal="left" vertical="center"/>
    </xf>
    <xf numFmtId="0" fontId="11" fillId="5" borderId="1" xfId="0" applyFont="1" applyFill="1" applyBorder="1" applyAlignment="1">
      <alignment horizontal="center" vertical="center"/>
    </xf>
    <xf numFmtId="0" fontId="2" fillId="0" borderId="1" xfId="0" applyFont="1" applyBorder="1" applyAlignment="1">
      <alignment horizontal="center" vertical="top" wrapText="1"/>
    </xf>
    <xf numFmtId="0" fontId="2" fillId="5" borderId="1" xfId="0" applyFont="1" applyFill="1" applyBorder="1" applyAlignment="1">
      <alignment horizontal="center" vertical="top" wrapText="1"/>
    </xf>
    <xf numFmtId="1" fontId="10" fillId="7" borderId="1" xfId="0" applyNumberFormat="1" applyFont="1" applyFill="1" applyBorder="1" applyAlignment="1">
      <alignment horizontal="right" vertical="center"/>
    </xf>
    <xf numFmtId="0" fontId="2" fillId="8" borderId="2" xfId="0" applyFont="1" applyFill="1" applyBorder="1" applyAlignment="1">
      <alignment horizontal="left" vertical="top" wrapText="1"/>
    </xf>
    <xf numFmtId="0" fontId="22" fillId="0" borderId="1" xfId="0" applyFont="1" applyBorder="1" applyAlignment="1">
      <alignment horizontal="left" vertical="top" wrapText="1"/>
    </xf>
    <xf numFmtId="0" fontId="22" fillId="5" borderId="1" xfId="0" applyFont="1" applyFill="1" applyBorder="1" applyAlignment="1">
      <alignment horizontal="left" vertical="top" wrapText="1"/>
    </xf>
    <xf numFmtId="15" fontId="2" fillId="8" borderId="2" xfId="0" applyNumberFormat="1" applyFont="1" applyFill="1" applyBorder="1" applyAlignment="1">
      <alignment horizontal="left" vertical="center"/>
    </xf>
    <xf numFmtId="0" fontId="22" fillId="0" borderId="3" xfId="0" applyFont="1" applyBorder="1" applyAlignment="1">
      <alignment vertical="center" indent="1"/>
    </xf>
    <xf numFmtId="0" fontId="1" fillId="2" borderId="0" xfId="0" applyFont="1" applyFill="1" applyAlignment="1">
      <alignment horizontal="center"/>
    </xf>
    <xf numFmtId="0" fontId="2" fillId="0" borderId="0" xfId="0" applyFont="1"/>
    <xf numFmtId="0" fontId="2" fillId="0" borderId="2" xfId="0" applyFont="1" applyBorder="1" applyAlignment="1">
      <alignment vertical="center" indent="1"/>
    </xf>
    <xf numFmtId="0" fontId="0" fillId="0" borderId="2" xfId="0" applyBorder="1"/>
    <xf numFmtId="0" fontId="11" fillId="0" borderId="3" xfId="0" applyFont="1" applyBorder="1" applyAlignment="1">
      <alignment vertical="center" wrapText="1" indent="1"/>
    </xf>
    <xf numFmtId="0" fontId="0" fillId="0" borderId="3" xfId="0" applyBorder="1"/>
    <xf numFmtId="0" fontId="11" fillId="0" borderId="0" xfId="0" applyFont="1" applyAlignment="1">
      <alignment horizontal="left" vertical="center" wrapText="1"/>
    </xf>
    <xf numFmtId="0" fontId="0" fillId="0" borderId="0" xfId="0"/>
    <xf numFmtId="0" fontId="13" fillId="0" borderId="4" xfId="0" applyFont="1" applyBorder="1" applyAlignment="1">
      <alignment horizontal="right" vertical="center"/>
    </xf>
    <xf numFmtId="0" fontId="0" fillId="0" borderId="4" xfId="0" applyBorder="1"/>
    <xf numFmtId="0" fontId="8" fillId="0" borderId="0" xfId="0" applyFont="1" applyAlignment="1">
      <alignment horizontal="left" vertical="center"/>
    </xf>
    <xf numFmtId="1" fontId="2" fillId="0" borderId="2" xfId="0" applyNumberFormat="1" applyFont="1" applyBorder="1" applyAlignment="1">
      <alignment vertical="center" indent="1"/>
    </xf>
    <xf numFmtId="15" fontId="2" fillId="0" borderId="2" xfId="0" applyNumberFormat="1" applyFont="1" applyBorder="1" applyAlignment="1">
      <alignment vertical="center" indent="1"/>
    </xf>
    <xf numFmtId="0" fontId="5" fillId="3" borderId="0" xfId="0" applyFont="1" applyFill="1" applyAlignment="1">
      <alignment horizontal="left" vertical="center"/>
    </xf>
    <xf numFmtId="0" fontId="6" fillId="3" borderId="0" xfId="0" applyFont="1" applyFill="1" applyAlignment="1">
      <alignment horizontal="left" vertical="center" wrapText="1"/>
    </xf>
    <xf numFmtId="0" fontId="4" fillId="3" borderId="0" xfId="0" applyFont="1" applyFill="1" applyAlignment="1">
      <alignment horizontal="left" vertical="center"/>
    </xf>
    <xf numFmtId="0" fontId="8" fillId="0" borderId="5" xfId="0" applyFont="1" applyBorder="1" applyAlignment="1">
      <alignment horizontal="left" vertical="center"/>
    </xf>
    <xf numFmtId="0" fontId="12" fillId="0" borderId="0" xfId="0" applyFont="1" applyAlignment="1">
      <alignment horizontal="left" vertical="center" wrapText="1"/>
    </xf>
    <xf numFmtId="0" fontId="7" fillId="3" borderId="0" xfId="0" applyFont="1" applyFill="1" applyAlignment="1">
      <alignment horizontal="left" vertical="center"/>
    </xf>
    <xf numFmtId="0" fontId="11" fillId="0" borderId="1" xfId="0" applyFont="1" applyBorder="1" applyAlignment="1">
      <alignment horizontal="left" vertical="center" wrapText="1"/>
    </xf>
    <xf numFmtId="0" fontId="0" fillId="0" borderId="1" xfId="0" applyBorder="1"/>
    <xf numFmtId="0" fontId="7" fillId="3" borderId="0" xfId="0" applyFont="1" applyFill="1" applyAlignment="1">
      <alignment horizontal="right" vertical="center" indent="1"/>
    </xf>
    <xf numFmtId="0" fontId="14" fillId="3" borderId="0" xfId="0" applyFont="1" applyFill="1" applyAlignment="1">
      <alignment horizontal="left" vertical="center" indent="10"/>
    </xf>
    <xf numFmtId="0" fontId="2" fillId="0" borderId="0" xfId="0" applyFont="1" applyAlignment="1">
      <alignment horizontal="left" vertical="center" wrapText="1"/>
    </xf>
    <xf numFmtId="0" fontId="0" fillId="4" borderId="0" xfId="0" applyFill="1"/>
    <xf numFmtId="1" fontId="26" fillId="5" borderId="0" xfId="0" applyNumberFormat="1" applyFont="1" applyFill="1" applyAlignment="1">
      <alignment horizontal="left" vertical="center" indent="1"/>
    </xf>
    <xf numFmtId="0" fontId="0" fillId="5" borderId="0" xfId="0" applyFill="1"/>
    <xf numFmtId="0" fontId="25" fillId="5" borderId="0" xfId="0" applyFont="1" applyFill="1" applyAlignment="1">
      <alignment horizontal="left" vertical="center" indent="1"/>
    </xf>
    <xf numFmtId="0" fontId="11" fillId="0" borderId="1" xfId="0" applyFont="1" applyBorder="1" applyAlignment="1">
      <alignment horizontal="left" vertical="top" wrapText="1"/>
    </xf>
    <xf numFmtId="0" fontId="0" fillId="0" borderId="8" xfId="0" applyBorder="1"/>
    <xf numFmtId="0" fontId="11" fillId="5" borderId="1" xfId="0" applyFont="1" applyFill="1" applyBorder="1" applyAlignment="1">
      <alignment horizontal="left" vertical="top" wrapText="1"/>
    </xf>
    <xf numFmtId="0" fontId="0" fillId="5" borderId="8" xfId="0" applyFill="1" applyBorder="1"/>
    <xf numFmtId="0" fontId="20" fillId="3" borderId="0" xfId="0" applyFont="1" applyFill="1" applyAlignment="1">
      <alignment horizontal="left" vertical="top" indent="1"/>
    </xf>
    <xf numFmtId="0" fontId="0" fillId="3" borderId="0" xfId="0" applyFill="1"/>
    <xf numFmtId="0" fontId="7" fillId="3" borderId="0" xfId="0" applyFont="1" applyFill="1" applyAlignment="1">
      <alignment horizontal="right" vertical="center"/>
    </xf>
    <xf numFmtId="0" fontId="27" fillId="3" borderId="0" xfId="0" applyFont="1" applyFill="1" applyAlignment="1">
      <alignment horizontal="left" vertical="center" indent="1"/>
    </xf>
    <xf numFmtId="0" fontId="16" fillId="0" borderId="0" xfId="0" applyFont="1" applyAlignment="1">
      <alignment horizontal="left" vertical="center" wrapText="1"/>
    </xf>
    <xf numFmtId="0" fontId="20" fillId="5" borderId="0" xfId="0" applyFont="1" applyFill="1" applyAlignment="1">
      <alignment horizontal="left" vertical="top" indent="1"/>
    </xf>
    <xf numFmtId="1" fontId="24" fillId="3" borderId="0" xfId="0" applyNumberFormat="1" applyFont="1" applyFill="1" applyAlignment="1">
      <alignment horizontal="left" vertical="center" indent="1"/>
    </xf>
    <xf numFmtId="0" fontId="23" fillId="3" borderId="0" xfId="0" applyFont="1" applyFill="1" applyAlignment="1">
      <alignment horizontal="left" vertical="center" indent="1"/>
    </xf>
    <xf numFmtId="0" fontId="1" fillId="2" borderId="6" xfId="0" applyFont="1" applyFill="1" applyBorder="1" applyAlignment="1">
      <alignment horizontal="center" vertical="center" wrapText="1"/>
    </xf>
    <xf numFmtId="0" fontId="0" fillId="0" borderId="7" xfId="0" applyBorder="1"/>
    <xf numFmtId="0" fontId="30" fillId="0" borderId="0" xfId="0" applyFont="1" applyAlignment="1">
      <alignment horizontal="left" vertical="center" wrapText="1"/>
    </xf>
    <xf numFmtId="0" fontId="24" fillId="3" borderId="0" xfId="0" applyFont="1" applyFill="1" applyAlignment="1">
      <alignment horizontal="left" vertical="center" indent="1"/>
    </xf>
    <xf numFmtId="0" fontId="14" fillId="3" borderId="0" xfId="0" applyFont="1" applyFill="1" applyAlignment="1">
      <alignment horizontal="left" vertical="center" indent="11"/>
    </xf>
    <xf numFmtId="0" fontId="10" fillId="7" borderId="1" xfId="0" applyFont="1" applyFill="1" applyBorder="1" applyAlignment="1">
      <alignment horizontal="left" vertical="center"/>
    </xf>
    <xf numFmtId="9" fontId="24" fillId="3" borderId="0" xfId="0" applyNumberFormat="1" applyFont="1" applyFill="1" applyAlignment="1">
      <alignment horizontal="left" vertical="center" indent="1"/>
    </xf>
    <xf numFmtId="0" fontId="28" fillId="3" borderId="0" xfId="0" applyFont="1" applyFill="1" applyAlignment="1">
      <alignment horizontal="center" vertical="center"/>
    </xf>
    <xf numFmtId="0" fontId="17" fillId="6" borderId="5" xfId="0" applyFont="1" applyFill="1" applyBorder="1" applyAlignment="1">
      <alignment horizontal="left" vertical="center" indent="1"/>
    </xf>
    <xf numFmtId="0" fontId="0" fillId="6" borderId="5" xfId="0" applyFill="1" applyBorder="1"/>
    <xf numFmtId="0" fontId="14" fillId="3" borderId="0" xfId="0" applyFont="1" applyFill="1" applyAlignment="1">
      <alignment horizontal="left" vertical="center" indent="6"/>
    </xf>
    <xf numFmtId="0" fontId="14" fillId="3" borderId="0" xfId="0" applyFont="1" applyFill="1" applyAlignment="1">
      <alignment horizontal="left" vertical="center" indent="5"/>
    </xf>
    <xf numFmtId="0" fontId="32" fillId="3" borderId="0" xfId="0" applyFont="1" applyFill="1" applyAlignment="1">
      <alignment horizontal="center" vertical="center"/>
    </xf>
    <xf numFmtId="1"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xf>
    <xf numFmtId="0" fontId="1" fillId="6" borderId="0" xfId="0" applyFont="1" applyFill="1" applyAlignment="1">
      <alignment horizontal="left" vertical="center" indent="1"/>
    </xf>
    <xf numFmtId="0" fontId="0" fillId="6" borderId="0" xfId="0" applyFill="1"/>
    <xf numFmtId="0" fontId="1" fillId="2" borderId="6" xfId="0" applyFont="1" applyFill="1" applyBorder="1" applyAlignment="1">
      <alignment horizontal="left" vertical="center" indent="1"/>
    </xf>
    <xf numFmtId="0" fontId="1" fillId="2" borderId="9" xfId="0" applyFont="1" applyFill="1" applyBorder="1" applyAlignment="1">
      <alignment horizontal="left" vertical="center" indent="1"/>
    </xf>
    <xf numFmtId="0" fontId="1" fillId="2" borderId="7" xfId="0" applyFont="1" applyFill="1" applyBorder="1" applyAlignment="1">
      <alignment horizontal="left" vertical="center" indent="1"/>
    </xf>
    <xf numFmtId="0" fontId="0" fillId="0" borderId="11" xfId="0" applyBorder="1"/>
    <xf numFmtId="0" fontId="9" fillId="0" borderId="2" xfId="0" applyFont="1" applyBorder="1" applyAlignment="1">
      <alignment vertical="center" indent="1"/>
    </xf>
    <xf numFmtId="0" fontId="2" fillId="0" borderId="1" xfId="0" applyFont="1" applyBorder="1" applyAlignment="1">
      <alignment vertical="center" indent="1"/>
    </xf>
    <xf numFmtId="0" fontId="0" fillId="0" borderId="10" xfId="0" applyBorder="1"/>
    <xf numFmtId="0" fontId="11" fillId="9" borderId="1" xfId="0" applyFont="1" applyFill="1" applyBorder="1" applyAlignment="1">
      <alignment horizontal="left" vertical="center" wrapText="1"/>
    </xf>
    <xf numFmtId="0" fontId="0" fillId="9" borderId="1" xfId="0" applyFill="1" applyBorder="1"/>
    <xf numFmtId="0" fontId="16" fillId="0" borderId="0" xfId="0" applyFont="1" applyAlignment="1">
      <alignment horizontal="left" vertical="center"/>
    </xf>
    <xf numFmtId="0" fontId="2" fillId="5" borderId="1" xfId="0" applyFont="1" applyFill="1" applyBorder="1" applyAlignment="1">
      <alignment vertical="center" indent="1"/>
    </xf>
    <xf numFmtId="0" fontId="1" fillId="2" borderId="0" xfId="0" applyFont="1" applyFill="1" applyAlignment="1">
      <alignment horizontal="center" vertical="center" indent="1"/>
    </xf>
    <xf numFmtId="1" fontId="33" fillId="5" borderId="1" xfId="0" applyNumberFormat="1" applyFont="1" applyFill="1" applyBorder="1" applyAlignment="1">
      <alignment horizontal="center" vertical="center"/>
    </xf>
    <xf numFmtId="0" fontId="33" fillId="5" borderId="1" xfId="0" applyFont="1" applyFill="1" applyBorder="1" applyAlignment="1">
      <alignment horizontal="center" vertical="center"/>
    </xf>
    <xf numFmtId="0" fontId="31" fillId="0" borderId="0" xfId="0" applyFont="1" applyAlignment="1">
      <alignment horizontal="left" vertical="center"/>
    </xf>
  </cellXfs>
  <cellStyles count="1">
    <cellStyle name="Normal" xfId="0" builtinId="0"/>
  </cellStyles>
  <dxfs count="41">
    <dxf>
      <font>
        <b/>
        <sz val="24"/>
        <color rgb="FF1E7A5A"/>
        <name val="Segoe UI Semibold"/>
      </font>
      <fill>
        <patternFill patternType="solid">
          <fgColor rgb="FFE4F2EC"/>
          <bgColor rgb="FFE4F2EC"/>
        </patternFill>
      </fill>
    </dxf>
    <dxf>
      <font>
        <b/>
        <sz val="24"/>
        <color rgb="FFB3261E"/>
        <name val="Segoe UI Semibold"/>
      </font>
      <fill>
        <patternFill patternType="solid">
          <fgColor rgb="FFFAE4E2"/>
          <bgColor rgb="FFFAE4E2"/>
        </patternFill>
      </fill>
    </dxf>
    <dxf>
      <font>
        <b/>
        <sz val="9"/>
        <color rgb="FF8E98A2"/>
        <name val="Segoe UI"/>
      </font>
      <fill>
        <patternFill patternType="solid">
          <fgColor rgb="FFFFFFFF"/>
          <bgColor rgb="FFFFFFFF"/>
        </patternFill>
      </fill>
    </dxf>
    <dxf>
      <font>
        <b/>
        <sz val="9"/>
        <color rgb="FFB3261E"/>
        <name val="Segoe UI"/>
      </font>
      <fill>
        <patternFill patternType="solid">
          <fgColor rgb="FFFAE4E2"/>
          <bgColor rgb="FFFAE4E2"/>
        </patternFill>
      </fill>
    </dxf>
    <dxf>
      <font>
        <b/>
        <sz val="9"/>
        <color rgb="FFB26B00"/>
        <name val="Segoe UI"/>
      </font>
      <fill>
        <patternFill patternType="solid">
          <fgColor rgb="FFFBF0DE"/>
          <bgColor rgb="FFFBF0DE"/>
        </patternFill>
      </fill>
    </dxf>
    <dxf>
      <font>
        <b/>
        <sz val="9"/>
        <color rgb="FF1E7A5A"/>
        <name val="Segoe UI"/>
      </font>
      <fill>
        <patternFill patternType="solid">
          <fgColor rgb="FFE4F2EC"/>
          <bgColor rgb="FFE4F2EC"/>
        </patternFill>
      </fill>
    </dxf>
    <dxf>
      <font>
        <b/>
        <sz val="9"/>
        <color rgb="FFB3261E"/>
        <name val="Segoe UI"/>
      </font>
      <fill>
        <patternFill patternType="solid">
          <fgColor rgb="FFFAE4E2"/>
          <bgColor rgb="FFFAE4E2"/>
        </patternFill>
      </fill>
    </dxf>
    <dxf>
      <font>
        <b/>
        <sz val="9"/>
        <color rgb="FFB26B00"/>
        <name val="Segoe UI"/>
      </font>
      <fill>
        <patternFill patternType="solid">
          <fgColor rgb="FFFBF0DE"/>
          <bgColor rgb="FFFBF0DE"/>
        </patternFill>
      </fill>
    </dxf>
    <dxf>
      <font>
        <b/>
        <sz val="9"/>
        <color rgb="FFB3261E"/>
        <name val="Segoe UI"/>
      </font>
      <fill>
        <patternFill patternType="solid">
          <fgColor rgb="FFFAE4E2"/>
          <bgColor rgb="FFFAE4E2"/>
        </patternFill>
      </fill>
    </dxf>
    <dxf>
      <font>
        <b/>
        <sz val="9"/>
        <color rgb="FF1E7A5A"/>
        <name val="Segoe UI"/>
      </font>
      <fill>
        <patternFill patternType="solid">
          <fgColor rgb="FFE4F2EC"/>
          <bgColor rgb="FFE4F2EC"/>
        </patternFill>
      </fill>
    </dxf>
    <dxf>
      <font>
        <b/>
        <sz val="9"/>
        <color rgb="FFB26B00"/>
        <name val="Segoe UI"/>
      </font>
      <fill>
        <patternFill patternType="solid">
          <fgColor rgb="FFFBF0DE"/>
          <bgColor rgb="FFFBF0DE"/>
        </patternFill>
      </fill>
    </dxf>
    <dxf>
      <font>
        <b/>
        <sz val="9"/>
        <color rgb="FF8E98A2"/>
        <name val="Segoe UI"/>
      </font>
      <fill>
        <patternFill patternType="solid">
          <fgColor rgb="FFFFFFFF"/>
          <bgColor rgb="FFFFFFFF"/>
        </patternFill>
      </fill>
    </dxf>
    <dxf>
      <font>
        <b/>
        <sz val="9"/>
        <color rgb="FF0D3C61"/>
        <name val="Segoe UI"/>
      </font>
      <fill>
        <patternFill patternType="solid">
          <fgColor rgb="FFE6EFF7"/>
          <bgColor rgb="FFE6EFF7"/>
        </patternFill>
      </fill>
    </dxf>
    <dxf>
      <font>
        <b/>
        <sz val="9"/>
        <color rgb="FFB3261E"/>
        <name val="Segoe UI"/>
      </font>
      <fill>
        <patternFill patternType="solid">
          <fgColor rgb="FFFAE4E2"/>
          <bgColor rgb="FFFAE4E2"/>
        </patternFill>
      </fill>
    </dxf>
    <dxf>
      <font>
        <b/>
        <sz val="9"/>
        <color rgb="FFB3261E"/>
        <name val="Segoe UI"/>
      </font>
      <fill>
        <patternFill patternType="solid">
          <fgColor rgb="FFFAE4E2"/>
          <bgColor rgb="FFFAE4E2"/>
        </patternFill>
      </fill>
    </dxf>
    <dxf>
      <font>
        <b/>
        <sz val="9"/>
        <color rgb="FFB26B00"/>
        <name val="Segoe UI"/>
      </font>
      <fill>
        <patternFill patternType="solid">
          <fgColor rgb="FFFBF0DE"/>
          <bgColor rgb="FFFBF0DE"/>
        </patternFill>
      </fill>
    </dxf>
    <dxf>
      <font>
        <b/>
        <sz val="9"/>
        <color rgb="FF1E7A5A"/>
        <name val="Segoe UI"/>
      </font>
      <fill>
        <patternFill patternType="solid">
          <fgColor rgb="FFE4F2EC"/>
          <bgColor rgb="FFE4F2EC"/>
        </patternFill>
      </fill>
    </dxf>
    <dxf>
      <font>
        <b/>
        <sz val="9"/>
        <color rgb="FFB3261E"/>
        <name val="Segoe UI"/>
      </font>
      <fill>
        <patternFill patternType="solid">
          <fgColor rgb="FFFAE4E2"/>
          <bgColor rgb="FFFAE4E2"/>
        </patternFill>
      </fill>
    </dxf>
    <dxf>
      <font>
        <b/>
        <sz val="9"/>
        <color rgb="FFB26B00"/>
        <name val="Segoe UI"/>
      </font>
      <fill>
        <patternFill patternType="solid">
          <fgColor rgb="FFFBF0DE"/>
          <bgColor rgb="FFFBF0DE"/>
        </patternFill>
      </fill>
    </dxf>
    <dxf>
      <font>
        <b/>
        <sz val="9"/>
        <color rgb="FFB26B00"/>
        <name val="Segoe UI"/>
      </font>
      <fill>
        <patternFill patternType="solid">
          <fgColor rgb="FFFBF0DE"/>
          <bgColor rgb="FFFBF0DE"/>
        </patternFill>
      </fill>
    </dxf>
    <dxf>
      <font>
        <b/>
        <sz val="9"/>
        <color rgb="FF0D3C61"/>
        <name val="Segoe UI"/>
      </font>
      <fill>
        <patternFill patternType="solid">
          <fgColor rgb="FFE6EFF7"/>
          <bgColor rgb="FFE6EFF7"/>
        </patternFill>
      </fill>
    </dxf>
    <dxf>
      <font>
        <b/>
        <sz val="9"/>
        <color rgb="FFB3261E"/>
        <name val="Segoe UI"/>
      </font>
      <fill>
        <patternFill patternType="solid">
          <fgColor rgb="FFFAE4E2"/>
          <bgColor rgb="FFFAE4E2"/>
        </patternFill>
      </fill>
    </dxf>
    <dxf>
      <font>
        <b/>
        <sz val="9"/>
        <color rgb="FF8E98A2"/>
        <name val="Segoe UI"/>
      </font>
      <fill>
        <patternFill patternType="solid">
          <fgColor rgb="FFFFFFFF"/>
          <bgColor rgb="FFFFFFFF"/>
        </patternFill>
      </fill>
    </dxf>
    <dxf>
      <font>
        <b/>
        <sz val="9"/>
        <color rgb="FF1E7A5A"/>
        <name val="Segoe UI"/>
      </font>
      <fill>
        <patternFill patternType="solid">
          <fgColor rgb="FFE4F2EC"/>
          <bgColor rgb="FFE4F2EC"/>
        </patternFill>
      </fill>
    </dxf>
    <dxf>
      <font>
        <b/>
        <sz val="9"/>
        <color rgb="FF1E7A5A"/>
        <name val="Segoe UI"/>
      </font>
      <fill>
        <patternFill patternType="solid">
          <fgColor rgb="FFE4F2EC"/>
          <bgColor rgb="FFE4F2EC"/>
        </patternFill>
      </fill>
    </dxf>
    <dxf>
      <font>
        <b/>
        <sz val="9"/>
        <color rgb="FFB3261E"/>
        <name val="Segoe UI"/>
      </font>
      <fill>
        <patternFill patternType="solid">
          <fgColor rgb="FFFAE4E2"/>
          <bgColor rgb="FFFAE4E2"/>
        </patternFill>
      </fill>
    </dxf>
    <dxf>
      <fill>
        <patternFill patternType="solid">
          <fgColor rgb="FFFAE4E2"/>
          <bgColor rgb="FFFAE4E2"/>
        </patternFill>
      </fill>
    </dxf>
    <dxf>
      <font>
        <b/>
        <sz val="9.5"/>
        <color rgb="FFB3261E"/>
        <name val="Segoe UI"/>
      </font>
      <fill>
        <patternFill patternType="solid">
          <fgColor rgb="FFFAE4E2"/>
          <bgColor rgb="FFFAE4E2"/>
        </patternFill>
      </fill>
    </dxf>
    <dxf>
      <font>
        <b/>
        <sz val="9.5"/>
        <color rgb="FF8E98A2"/>
        <name val="Segoe UI"/>
      </font>
      <fill>
        <patternFill patternType="solid">
          <fgColor rgb="FFFFFFFF"/>
          <bgColor rgb="FFFFFFFF"/>
        </patternFill>
      </fill>
    </dxf>
    <dxf>
      <font>
        <b/>
        <sz val="9.5"/>
        <color rgb="FF8E98A2"/>
        <name val="Segoe UI"/>
      </font>
      <fill>
        <patternFill patternType="solid">
          <fgColor rgb="FFFFFFFF"/>
          <bgColor rgb="FFFFFFFF"/>
        </patternFill>
      </fill>
    </dxf>
    <dxf>
      <font>
        <b/>
        <sz val="9.5"/>
        <color rgb="FFB3261E"/>
        <name val="Segoe UI"/>
      </font>
      <fill>
        <patternFill patternType="solid">
          <fgColor rgb="FFFAE4E2"/>
          <bgColor rgb="FFFAE4E2"/>
        </patternFill>
      </fill>
    </dxf>
    <dxf>
      <font>
        <b/>
        <sz val="9.5"/>
        <color rgb="FF0D3C61"/>
        <name val="Segoe UI"/>
      </font>
      <fill>
        <patternFill patternType="solid">
          <fgColor rgb="FFE6EFF7"/>
          <bgColor rgb="FFE6EFF7"/>
        </patternFill>
      </fill>
    </dxf>
    <dxf>
      <font>
        <b/>
        <sz val="9.5"/>
        <color rgb="FF1E7A5A"/>
        <name val="Segoe UI"/>
      </font>
      <fill>
        <patternFill patternType="solid">
          <fgColor rgb="FFE4F2EC"/>
          <bgColor rgb="FFE4F2EC"/>
        </patternFill>
      </fill>
    </dxf>
    <dxf>
      <font>
        <b/>
        <sz val="9.5"/>
        <color rgb="FFB3261E"/>
        <name val="Segoe UI"/>
      </font>
    </dxf>
    <dxf>
      <font>
        <b/>
        <sz val="9.5"/>
        <color rgb="FFB3261E"/>
        <name val="Segoe UI"/>
      </font>
      <fill>
        <patternFill patternType="solid">
          <fgColor rgb="FFFAE4E2"/>
          <bgColor rgb="FFFAE4E2"/>
        </patternFill>
      </fill>
    </dxf>
    <dxf>
      <font>
        <b/>
        <sz val="9.5"/>
        <color rgb="FFB3261E"/>
        <name val="Segoe UI"/>
      </font>
      <fill>
        <patternFill patternType="solid">
          <fgColor rgb="FFFAE4E2"/>
          <bgColor rgb="FFFAE4E2"/>
        </patternFill>
      </fill>
    </dxf>
    <dxf>
      <font>
        <b/>
        <sz val="9.5"/>
        <color rgb="FFB3261E"/>
        <name val="Segoe UI"/>
      </font>
      <fill>
        <patternFill patternType="solid">
          <fgColor rgb="FFFAE4E2"/>
          <bgColor rgb="FFFAE4E2"/>
        </patternFill>
      </fill>
    </dxf>
    <dxf>
      <font>
        <b/>
        <sz val="9.5"/>
        <color rgb="FFB26B00"/>
        <name val="Segoe UI"/>
      </font>
      <fill>
        <patternFill patternType="solid">
          <fgColor rgb="FFFBF0DE"/>
          <bgColor rgb="FFFBF0DE"/>
        </patternFill>
      </fill>
    </dxf>
    <dxf>
      <font>
        <b/>
        <sz val="9.5"/>
        <color rgb="FF1E7A5A"/>
        <name val="Segoe UI"/>
      </font>
      <fill>
        <patternFill patternType="solid">
          <fgColor rgb="FFE4F2EC"/>
          <bgColor rgb="FFE4F2EC"/>
        </patternFill>
      </fill>
    </dxf>
    <dxf>
      <font>
        <b/>
        <sz val="28"/>
        <color rgb="FF1E7A5A"/>
        <name val="Segoe UI Semibold"/>
      </font>
      <fill>
        <patternFill patternType="solid">
          <fgColor rgb="FFE4F2EC"/>
          <bgColor rgb="FFE4F2EC"/>
        </patternFill>
      </fill>
    </dxf>
    <dxf>
      <font>
        <b/>
        <sz val="28"/>
        <color rgb="FFB3261E"/>
        <name val="Segoe UI Semibold"/>
      </font>
      <fill>
        <patternFill patternType="solid">
          <fgColor rgb="FFFAE4E2"/>
          <bgColor rgb="FFFAE4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77158</xdr:rowOff>
    </xdr:from>
    <xdr:ext cx="1428750" cy="417183"/>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0025" y="353383"/>
          <a:ext cx="1428750" cy="41718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1"/>
  <sheetViews>
    <sheetView showGridLines="0" tabSelected="1" topLeftCell="A3" workbookViewId="0"/>
  </sheetViews>
  <sheetFormatPr defaultRowHeight="15" x14ac:dyDescent="0.25"/>
  <cols>
    <col min="1" max="1" width="3" customWidth="1"/>
    <col min="2" max="7" width="26" customWidth="1"/>
    <col min="8" max="8" width="3" customWidth="1"/>
  </cols>
  <sheetData>
    <row r="1" spans="1:8" ht="21.95" customHeight="1" x14ac:dyDescent="0.25">
      <c r="A1" s="1"/>
      <c r="B1" s="1"/>
      <c r="C1" s="1"/>
      <c r="D1" s="1"/>
      <c r="E1" s="1"/>
      <c r="F1" s="1"/>
      <c r="G1" s="1"/>
      <c r="H1" s="1"/>
    </row>
    <row r="2" spans="1:8" ht="45.95" customHeight="1" x14ac:dyDescent="0.25">
      <c r="A2" s="1"/>
      <c r="B2" s="2" t="s">
        <v>0</v>
      </c>
      <c r="C2" s="1"/>
      <c r="D2" s="1"/>
      <c r="E2" s="1"/>
      <c r="F2" s="1"/>
      <c r="G2" s="1"/>
      <c r="H2" s="1"/>
    </row>
    <row r="3" spans="1:8" ht="18" customHeight="1" x14ac:dyDescent="0.25">
      <c r="A3" s="1"/>
      <c r="B3" s="1"/>
      <c r="C3" s="1"/>
      <c r="D3" s="1"/>
      <c r="E3" s="1"/>
      <c r="F3" s="1"/>
      <c r="G3" s="1"/>
      <c r="H3" s="1"/>
    </row>
    <row r="4" spans="1:8" x14ac:dyDescent="0.25">
      <c r="A4" s="1"/>
      <c r="B4" s="1"/>
      <c r="C4" s="1"/>
      <c r="D4" s="1"/>
      <c r="E4" s="1"/>
      <c r="F4" s="1"/>
      <c r="G4" s="1"/>
      <c r="H4" s="1"/>
    </row>
    <row r="5" spans="1:8" ht="38.1" customHeight="1" x14ac:dyDescent="0.25">
      <c r="A5" s="1"/>
      <c r="B5" s="79" t="s">
        <v>1</v>
      </c>
      <c r="C5" s="71"/>
      <c r="D5" s="71"/>
      <c r="E5" s="71"/>
      <c r="F5" s="71"/>
      <c r="G5" s="71"/>
      <c r="H5" s="1"/>
    </row>
    <row r="6" spans="1:8" ht="21.95" customHeight="1" x14ac:dyDescent="0.25">
      <c r="A6" s="1"/>
      <c r="B6" s="77" t="s">
        <v>2</v>
      </c>
      <c r="C6" s="71"/>
      <c r="D6" s="71"/>
      <c r="E6" s="71"/>
      <c r="F6" s="71"/>
      <c r="G6" s="71"/>
      <c r="H6" s="1"/>
    </row>
    <row r="7" spans="1:8" x14ac:dyDescent="0.25">
      <c r="A7" s="1"/>
      <c r="B7" s="1"/>
      <c r="C7" s="1"/>
      <c r="D7" s="1"/>
      <c r="E7" s="1"/>
      <c r="F7" s="1"/>
      <c r="G7" s="1"/>
      <c r="H7" s="1"/>
    </row>
    <row r="8" spans="1:8" ht="30" customHeight="1" x14ac:dyDescent="0.25">
      <c r="A8" s="1"/>
      <c r="B8" s="78" t="s">
        <v>3</v>
      </c>
      <c r="C8" s="71"/>
      <c r="D8" s="71"/>
      <c r="E8" s="71"/>
      <c r="F8" s="71"/>
      <c r="G8" s="71"/>
      <c r="H8" s="1"/>
    </row>
    <row r="9" spans="1:8" x14ac:dyDescent="0.25">
      <c r="A9" s="1"/>
      <c r="B9" s="71"/>
      <c r="C9" s="71"/>
      <c r="D9" s="71"/>
      <c r="E9" s="71"/>
      <c r="F9" s="71"/>
      <c r="G9" s="71"/>
      <c r="H9" s="1"/>
    </row>
    <row r="10" spans="1:8" x14ac:dyDescent="0.25">
      <c r="A10" s="1"/>
      <c r="B10" s="1"/>
      <c r="C10" s="1"/>
      <c r="D10" s="1"/>
      <c r="E10" s="1"/>
      <c r="F10" s="1"/>
      <c r="G10" s="1"/>
      <c r="H10" s="1"/>
    </row>
    <row r="11" spans="1:8" ht="15.95" customHeight="1" x14ac:dyDescent="0.25">
      <c r="A11" s="1"/>
      <c r="B11" s="82" t="s">
        <v>4</v>
      </c>
      <c r="C11" s="71"/>
      <c r="D11" s="71"/>
      <c r="E11" s="71"/>
      <c r="F11" s="71"/>
      <c r="G11" s="71"/>
      <c r="H11" s="1"/>
    </row>
    <row r="12" spans="1:8" x14ac:dyDescent="0.25">
      <c r="A12" s="1"/>
      <c r="B12" s="1"/>
      <c r="C12" s="1"/>
      <c r="D12" s="1"/>
      <c r="E12" s="1"/>
      <c r="F12" s="1"/>
      <c r="G12" s="1"/>
      <c r="H12" s="1"/>
    </row>
    <row r="13" spans="1:8" ht="3.95" customHeight="1" x14ac:dyDescent="0.25">
      <c r="A13" s="3"/>
      <c r="B13" s="3"/>
      <c r="C13" s="3"/>
      <c r="D13" s="3"/>
      <c r="E13" s="3"/>
      <c r="F13" s="3"/>
      <c r="G13" s="3"/>
      <c r="H13" s="3"/>
    </row>
    <row r="15" spans="1:8" ht="20.100000000000001" customHeight="1" x14ac:dyDescent="0.25">
      <c r="B15" s="74" t="s">
        <v>5</v>
      </c>
      <c r="C15" s="71"/>
      <c r="D15" s="71"/>
      <c r="E15" s="71"/>
      <c r="F15" s="71"/>
      <c r="G15" s="71"/>
    </row>
    <row r="16" spans="1:8" ht="18.95" customHeight="1" x14ac:dyDescent="0.25">
      <c r="B16" s="4" t="s">
        <v>6</v>
      </c>
      <c r="C16" s="66"/>
      <c r="D16" s="67"/>
      <c r="E16" s="67"/>
      <c r="F16" s="67"/>
      <c r="G16" s="67"/>
    </row>
    <row r="17" spans="2:7" ht="18.95" customHeight="1" x14ac:dyDescent="0.25">
      <c r="B17" s="4" t="s">
        <v>7</v>
      </c>
      <c r="C17" s="66"/>
      <c r="D17" s="67"/>
      <c r="E17" s="67"/>
      <c r="F17" s="67"/>
      <c r="G17" s="67"/>
    </row>
    <row r="18" spans="2:7" ht="18.95" customHeight="1" x14ac:dyDescent="0.25">
      <c r="B18" s="4" t="s">
        <v>8</v>
      </c>
      <c r="C18" s="66"/>
      <c r="D18" s="67"/>
      <c r="E18" s="67"/>
      <c r="F18" s="67"/>
      <c r="G18" s="67"/>
    </row>
    <row r="19" spans="2:7" ht="18.95" customHeight="1" x14ac:dyDescent="0.25">
      <c r="B19" s="4" t="s">
        <v>9</v>
      </c>
      <c r="C19" s="66"/>
      <c r="D19" s="67"/>
      <c r="E19" s="67"/>
      <c r="F19" s="67"/>
      <c r="G19" s="67"/>
    </row>
    <row r="20" spans="2:7" ht="18.95" customHeight="1" x14ac:dyDescent="0.25">
      <c r="B20" s="4" t="s">
        <v>10</v>
      </c>
      <c r="C20" s="66"/>
      <c r="D20" s="67"/>
      <c r="E20" s="67"/>
      <c r="F20" s="67"/>
      <c r="G20" s="67"/>
    </row>
    <row r="21" spans="2:7" ht="18.95" customHeight="1" x14ac:dyDescent="0.25">
      <c r="B21" s="4" t="s">
        <v>11</v>
      </c>
      <c r="C21" s="66"/>
      <c r="D21" s="67"/>
      <c r="E21" s="67"/>
      <c r="F21" s="67"/>
      <c r="G21" s="67"/>
    </row>
    <row r="22" spans="2:7" ht="18.95" customHeight="1" x14ac:dyDescent="0.25">
      <c r="B22" s="4" t="s">
        <v>12</v>
      </c>
      <c r="C22" s="66"/>
      <c r="D22" s="67"/>
      <c r="E22" s="67"/>
      <c r="F22" s="67"/>
      <c r="G22" s="67"/>
    </row>
    <row r="23" spans="2:7" ht="18.95" customHeight="1" x14ac:dyDescent="0.25">
      <c r="B23" s="4" t="s">
        <v>13</v>
      </c>
      <c r="C23" s="66"/>
      <c r="D23" s="67"/>
      <c r="E23" s="67"/>
      <c r="F23" s="67"/>
      <c r="G23" s="67"/>
    </row>
    <row r="24" spans="2:7" ht="18.95" customHeight="1" x14ac:dyDescent="0.25">
      <c r="B24" s="4" t="s">
        <v>14</v>
      </c>
      <c r="C24" s="66" t="s">
        <v>15</v>
      </c>
      <c r="D24" s="67"/>
      <c r="E24" s="67"/>
      <c r="F24" s="67"/>
      <c r="G24" s="67"/>
    </row>
    <row r="25" spans="2:7" ht="18.95" customHeight="1" x14ac:dyDescent="0.25">
      <c r="B25" s="4" t="s">
        <v>16</v>
      </c>
      <c r="C25" s="66"/>
      <c r="D25" s="67"/>
      <c r="E25" s="67"/>
      <c r="F25" s="67"/>
      <c r="G25" s="67"/>
    </row>
    <row r="27" spans="2:7" ht="20.100000000000001" customHeight="1" x14ac:dyDescent="0.25">
      <c r="B27" s="74" t="s">
        <v>17</v>
      </c>
      <c r="C27" s="71"/>
      <c r="D27" s="71"/>
      <c r="E27" s="71"/>
      <c r="F27" s="71"/>
      <c r="G27" s="71"/>
    </row>
    <row r="28" spans="2:7" ht="20.100000000000001" customHeight="1" x14ac:dyDescent="0.25">
      <c r="B28" s="5" t="s">
        <v>18</v>
      </c>
      <c r="C28" s="68" t="s">
        <v>19</v>
      </c>
      <c r="D28" s="69"/>
      <c r="E28" s="69"/>
      <c r="F28" s="69"/>
      <c r="G28" s="69"/>
    </row>
    <row r="29" spans="2:7" ht="20.100000000000001" customHeight="1" x14ac:dyDescent="0.25">
      <c r="B29" s="5" t="s">
        <v>20</v>
      </c>
      <c r="C29" s="68" t="s">
        <v>21</v>
      </c>
      <c r="D29" s="69"/>
      <c r="E29" s="69"/>
      <c r="F29" s="69"/>
      <c r="G29" s="69"/>
    </row>
    <row r="30" spans="2:7" ht="20.100000000000001" customHeight="1" x14ac:dyDescent="0.25">
      <c r="B30" s="5" t="s">
        <v>22</v>
      </c>
      <c r="C30" s="68" t="s">
        <v>23</v>
      </c>
      <c r="D30" s="69"/>
      <c r="E30" s="69"/>
      <c r="F30" s="69"/>
      <c r="G30" s="69"/>
    </row>
    <row r="31" spans="2:7" ht="20.100000000000001" customHeight="1" x14ac:dyDescent="0.25">
      <c r="B31" s="5" t="s">
        <v>24</v>
      </c>
      <c r="C31" s="68" t="s">
        <v>25</v>
      </c>
      <c r="D31" s="69"/>
      <c r="E31" s="69"/>
      <c r="F31" s="69"/>
      <c r="G31" s="69"/>
    </row>
    <row r="32" spans="2:7" ht="20.100000000000001" customHeight="1" x14ac:dyDescent="0.25">
      <c r="B32" s="5" t="s">
        <v>26</v>
      </c>
      <c r="C32" s="68" t="s">
        <v>27</v>
      </c>
      <c r="D32" s="69"/>
      <c r="E32" s="69"/>
      <c r="F32" s="69"/>
      <c r="G32" s="69"/>
    </row>
    <row r="33" spans="1:8" ht="20.100000000000001" customHeight="1" x14ac:dyDescent="0.25">
      <c r="B33" s="5" t="s">
        <v>28</v>
      </c>
      <c r="C33" s="68" t="s">
        <v>29</v>
      </c>
      <c r="D33" s="69"/>
      <c r="E33" s="69"/>
      <c r="F33" s="69"/>
      <c r="G33" s="69"/>
    </row>
    <row r="34" spans="1:8" ht="20.100000000000001" customHeight="1" x14ac:dyDescent="0.25">
      <c r="B34" s="5" t="s">
        <v>30</v>
      </c>
      <c r="C34" s="68" t="s">
        <v>31</v>
      </c>
      <c r="D34" s="69"/>
      <c r="E34" s="69"/>
      <c r="F34" s="69"/>
      <c r="G34" s="69"/>
    </row>
    <row r="35" spans="1:8" ht="20.100000000000001" customHeight="1" x14ac:dyDescent="0.25">
      <c r="B35" s="5" t="s">
        <v>32</v>
      </c>
      <c r="C35" s="68" t="s">
        <v>33</v>
      </c>
      <c r="D35" s="69"/>
      <c r="E35" s="69"/>
      <c r="F35" s="69"/>
      <c r="G35" s="69"/>
    </row>
    <row r="36" spans="1:8" ht="20.100000000000001" customHeight="1" x14ac:dyDescent="0.25">
      <c r="B36" s="5" t="s">
        <v>34</v>
      </c>
      <c r="C36" s="68" t="s">
        <v>35</v>
      </c>
      <c r="D36" s="69"/>
      <c r="E36" s="69"/>
      <c r="F36" s="69"/>
      <c r="G36" s="69"/>
    </row>
    <row r="38" spans="1:8" ht="20.100000000000001" customHeight="1" x14ac:dyDescent="0.25">
      <c r="B38" s="74" t="s">
        <v>36</v>
      </c>
      <c r="C38" s="71"/>
      <c r="D38" s="71"/>
      <c r="E38" s="71"/>
      <c r="F38" s="71"/>
      <c r="G38" s="71"/>
    </row>
    <row r="39" spans="1:8" ht="15.95" customHeight="1" x14ac:dyDescent="0.25">
      <c r="B39" s="70" t="s">
        <v>37</v>
      </c>
      <c r="C39" s="71"/>
      <c r="D39" s="71"/>
      <c r="E39" s="71"/>
      <c r="F39" s="71"/>
      <c r="G39" s="71"/>
    </row>
    <row r="40" spans="1:8" ht="15.95" customHeight="1" x14ac:dyDescent="0.25">
      <c r="B40" s="70" t="s">
        <v>38</v>
      </c>
      <c r="C40" s="71"/>
      <c r="D40" s="71"/>
      <c r="E40" s="71"/>
      <c r="F40" s="71"/>
      <c r="G40" s="71"/>
    </row>
    <row r="41" spans="1:8" ht="15.95" customHeight="1" x14ac:dyDescent="0.25">
      <c r="B41" s="70" t="s">
        <v>39</v>
      </c>
      <c r="C41" s="71"/>
      <c r="D41" s="71"/>
      <c r="E41" s="71"/>
      <c r="F41" s="71"/>
      <c r="G41" s="71"/>
    </row>
    <row r="42" spans="1:8" ht="15.95" customHeight="1" x14ac:dyDescent="0.25">
      <c r="B42" s="70" t="s">
        <v>40</v>
      </c>
      <c r="C42" s="71"/>
      <c r="D42" s="71"/>
      <c r="E42" s="71"/>
      <c r="F42" s="71"/>
      <c r="G42" s="71"/>
    </row>
    <row r="43" spans="1:8" ht="15.95" customHeight="1" x14ac:dyDescent="0.25">
      <c r="B43" s="70" t="s">
        <v>41</v>
      </c>
      <c r="C43" s="71"/>
      <c r="D43" s="71"/>
      <c r="E43" s="71"/>
      <c r="F43" s="71"/>
      <c r="G43" s="71"/>
    </row>
    <row r="45" spans="1:8" ht="20.100000000000001" customHeight="1" x14ac:dyDescent="0.25">
      <c r="A45" s="6"/>
      <c r="B45" s="80" t="s">
        <v>42</v>
      </c>
      <c r="C45" s="71"/>
      <c r="D45" s="71"/>
      <c r="E45" s="71"/>
      <c r="F45" s="71"/>
      <c r="G45" s="71"/>
      <c r="H45" s="6"/>
    </row>
    <row r="46" spans="1:8" ht="18.95" customHeight="1" x14ac:dyDescent="0.25">
      <c r="A46" s="6"/>
      <c r="B46" s="7" t="s">
        <v>43</v>
      </c>
      <c r="C46" s="66"/>
      <c r="D46" s="67"/>
      <c r="E46" s="67"/>
      <c r="F46" s="67"/>
      <c r="G46" s="67"/>
      <c r="H46" s="6"/>
    </row>
    <row r="47" spans="1:8" ht="32.1" customHeight="1" x14ac:dyDescent="0.25">
      <c r="A47" s="8"/>
      <c r="B47" s="7" t="s">
        <v>44</v>
      </c>
      <c r="C47" s="66" t="s">
        <v>45</v>
      </c>
      <c r="D47" s="67"/>
      <c r="E47" s="67"/>
      <c r="F47" s="67"/>
      <c r="G47" s="67"/>
      <c r="H47" s="6"/>
    </row>
    <row r="48" spans="1:8" ht="18.95" customHeight="1" x14ac:dyDescent="0.25">
      <c r="B48" s="7" t="s">
        <v>46</v>
      </c>
      <c r="C48" s="66"/>
      <c r="D48" s="67"/>
      <c r="E48" s="67"/>
      <c r="F48" s="67"/>
      <c r="G48" s="67"/>
    </row>
    <row r="49" spans="1:8" ht="32.1" customHeight="1" x14ac:dyDescent="0.25">
      <c r="B49" s="7" t="s">
        <v>47</v>
      </c>
      <c r="C49" s="66"/>
      <c r="D49" s="67"/>
      <c r="E49" s="67"/>
      <c r="F49" s="67"/>
      <c r="G49" s="67"/>
    </row>
    <row r="50" spans="1:8" ht="32.1" customHeight="1" x14ac:dyDescent="0.25">
      <c r="B50" s="7" t="s">
        <v>48</v>
      </c>
      <c r="C50" s="66"/>
      <c r="D50" s="67"/>
      <c r="E50" s="67"/>
      <c r="F50" s="67"/>
      <c r="G50" s="67"/>
    </row>
    <row r="51" spans="1:8" ht="32.1" customHeight="1" x14ac:dyDescent="0.25">
      <c r="B51" s="7" t="s">
        <v>49</v>
      </c>
      <c r="C51" s="66"/>
      <c r="D51" s="67"/>
      <c r="E51" s="67"/>
      <c r="F51" s="67"/>
      <c r="G51" s="67"/>
    </row>
    <row r="52" spans="1:8" ht="32.1" customHeight="1" x14ac:dyDescent="0.25">
      <c r="B52" s="7" t="s">
        <v>50</v>
      </c>
      <c r="C52" s="76"/>
      <c r="D52" s="67"/>
      <c r="E52" s="67"/>
      <c r="F52" s="67"/>
      <c r="G52" s="67"/>
    </row>
    <row r="53" spans="1:8" ht="32.1" customHeight="1" x14ac:dyDescent="0.25">
      <c r="B53" s="7" t="s">
        <v>51</v>
      </c>
      <c r="C53" s="76"/>
      <c r="D53" s="67"/>
      <c r="E53" s="67"/>
      <c r="F53" s="67"/>
      <c r="G53" s="67"/>
    </row>
    <row r="54" spans="1:8" ht="32.1" customHeight="1" x14ac:dyDescent="0.25">
      <c r="B54" s="7" t="s">
        <v>52</v>
      </c>
      <c r="C54" s="75"/>
      <c r="D54" s="67"/>
      <c r="E54" s="67"/>
      <c r="F54" s="67"/>
      <c r="G54" s="67"/>
    </row>
    <row r="55" spans="1:8" ht="32.1" customHeight="1" x14ac:dyDescent="0.25">
      <c r="B55" s="7" t="s">
        <v>53</v>
      </c>
      <c r="C55" s="76" t="str">
        <f>IF(OR($C$53="",$C$54=""),"",EDATE($C$53,$C$54))</f>
        <v/>
      </c>
      <c r="D55" s="67"/>
      <c r="E55" s="67"/>
      <c r="F55" s="67"/>
      <c r="G55" s="67"/>
    </row>
    <row r="56" spans="1:8" ht="32.1" customHeight="1" x14ac:dyDescent="0.25">
      <c r="B56" s="7" t="s">
        <v>54</v>
      </c>
      <c r="C56" s="66"/>
      <c r="D56" s="67"/>
      <c r="E56" s="67"/>
      <c r="F56" s="67"/>
      <c r="G56" s="67"/>
    </row>
    <row r="57" spans="1:8" ht="18.95" customHeight="1" x14ac:dyDescent="0.25">
      <c r="B57" s="7" t="s">
        <v>55</v>
      </c>
      <c r="C57" s="66" t="s">
        <v>56</v>
      </c>
      <c r="D57" s="67"/>
      <c r="E57" s="67"/>
      <c r="F57" s="67"/>
      <c r="G57" s="67"/>
    </row>
    <row r="59" spans="1:8" ht="26.1" customHeight="1" x14ac:dyDescent="0.25">
      <c r="B59" s="81" t="s">
        <v>57</v>
      </c>
      <c r="C59" s="71"/>
      <c r="D59" s="71"/>
      <c r="E59" s="71"/>
      <c r="F59" s="71"/>
      <c r="G59" s="71"/>
    </row>
    <row r="61" spans="1:8" ht="20.100000000000001" customHeight="1" x14ac:dyDescent="0.25">
      <c r="A61" s="72" t="s">
        <v>58</v>
      </c>
      <c r="B61" s="73"/>
      <c r="C61" s="73"/>
      <c r="D61" s="73"/>
      <c r="E61" s="73"/>
      <c r="F61" s="73"/>
      <c r="G61" s="73"/>
      <c r="H61" s="73"/>
    </row>
  </sheetData>
  <mergeCells count="46">
    <mergeCell ref="B5:G5"/>
    <mergeCell ref="C46:G46"/>
    <mergeCell ref="B45:G45"/>
    <mergeCell ref="B41:G41"/>
    <mergeCell ref="C51:G51"/>
    <mergeCell ref="C36:G36"/>
    <mergeCell ref="C23:G23"/>
    <mergeCell ref="C48:G48"/>
    <mergeCell ref="C17:G17"/>
    <mergeCell ref="C32:G32"/>
    <mergeCell ref="B27:G27"/>
    <mergeCell ref="C28:G28"/>
    <mergeCell ref="C19:G19"/>
    <mergeCell ref="B43:G43"/>
    <mergeCell ref="C18:G18"/>
    <mergeCell ref="B39:G39"/>
    <mergeCell ref="B15:G15"/>
    <mergeCell ref="B6:G6"/>
    <mergeCell ref="C56:G56"/>
    <mergeCell ref="B8:G9"/>
    <mergeCell ref="C21:G21"/>
    <mergeCell ref="C52:G52"/>
    <mergeCell ref="C53:G53"/>
    <mergeCell ref="B11:G11"/>
    <mergeCell ref="C16:G16"/>
    <mergeCell ref="C54:G54"/>
    <mergeCell ref="C50:G50"/>
    <mergeCell ref="C25:G25"/>
    <mergeCell ref="B40:G40"/>
    <mergeCell ref="C31:G31"/>
    <mergeCell ref="C22:G22"/>
    <mergeCell ref="A61:H61"/>
    <mergeCell ref="B38:G38"/>
    <mergeCell ref="C29:G29"/>
    <mergeCell ref="C35:G35"/>
    <mergeCell ref="C20:G20"/>
    <mergeCell ref="C47:G47"/>
    <mergeCell ref="C55:G55"/>
    <mergeCell ref="B59:G59"/>
    <mergeCell ref="C57:G57"/>
    <mergeCell ref="C49:G49"/>
    <mergeCell ref="C30:G30"/>
    <mergeCell ref="C34:G34"/>
    <mergeCell ref="B42:G42"/>
    <mergeCell ref="C24:G24"/>
    <mergeCell ref="C33:G33"/>
  </mergeCells>
  <hyperlinks>
    <hyperlink ref="B2" r:id="rId1" xr:uid="{00000000-0004-0000-0000-000000000000}"/>
    <hyperlink ref="B28" location="'Instructions'!A1" display="Instructions" xr:uid="{00000000-0004-0000-0000-000001000000}"/>
    <hyperlink ref="B29" location="'Dashboard'!A1" display="Dashboard" xr:uid="{00000000-0004-0000-0000-000002000000}"/>
    <hyperlink ref="B30" location="'PC Checklist'!A1" display="PC Checklist" xr:uid="{00000000-0004-0000-0000-000003000000}"/>
    <hyperlink ref="B31" location="'Defects Register'!A1" display="Defects Register" xr:uid="{00000000-0004-0000-0000-000004000000}"/>
    <hyperlink ref="B32" location="'Handover Register'!A1" display="Handover Register" xr:uid="{00000000-0004-0000-0000-000005000000}"/>
    <hyperlink ref="B33" location="'Commissioning Register'!A1" display="Commissioning Register" xr:uid="{00000000-0004-0000-0000-000006000000}"/>
    <hyperlink ref="B34" location="'Certificates Register'!A1" display="Certificates Register" xr:uid="{00000000-0004-0000-0000-000007000000}"/>
    <hyperlink ref="B35" location="'Warranties Register'!A1" display="Warranties Register" xr:uid="{00000000-0004-0000-0000-000008000000}"/>
    <hyperlink ref="B36" location="'PC Sign-Off'!A1" display="PC Sign-Off" xr:uid="{00000000-0004-0000-0000-000009000000}"/>
    <hyperlink ref="A61" r:id="rId2" xr:uid="{00000000-0004-0000-0000-00000A000000}"/>
  </hyperlinks>
  <pageMargins left="0.75" right="0.75" top="1" bottom="1" header="0.5" footer="0.5"/>
  <pageSetup paperSize="9" fitToHeight="0" orientation="portrait"/>
  <drawing r:id="rId3"/>
  <extLst>
    <ext xmlns:x14="http://schemas.microsoft.com/office/spreadsheetml/2009/9/main" uri="{CCE6A557-97BC-4b89-ADB6-D9C93CAAB3DF}">
      <x14:dataValidations xmlns:xm="http://schemas.microsoft.com/office/excel/2006/main" count="3">
        <x14:dataValidation type="list" allowBlank="1" showInputMessage="1" showErrorMessage="1" errorTitle="Invalid entry" error="Choose a value from the drop-down list." promptTitle="State / Territory" prompt="Select the state or territory the project is in. Statutory terminology differs by jurisdiction." xr:uid="{00000000-0002-0000-0000-000000000000}">
          <x14:formula1>
            <xm:f>Lists!$K$2:$K$9</xm:f>
          </x14:formula1>
          <xm:sqref>C46</xm:sqref>
        </x14:dataValidation>
        <x14:dataValidation type="list" allowBlank="1" showInputMessage="1" showErrorMessage="1" errorTitle="Invalid entry" error="Choose a value from the drop-down list." promptTitle="Contract form" prompt="Record the contract form in use. This workbook does not assume any particular form — use the 'Contract clause ref' column on the checklist to record your own clause numbers." xr:uid="{00000000-0002-0000-0000-000001000000}">
          <x14:formula1>
            <xm:f>Lists!$L$2:$L$11</xm:f>
          </x14:formula1>
          <xm:sqref>C48</xm:sqref>
        </x14:dataValidation>
        <x14:dataValidation type="list" allowBlank="1" showErrorMessage="1" errorTitle="Invalid entry" error="Choose a value from the drop-down list." xr:uid="{00000000-0002-0000-0000-000002000000}">
          <x14:formula1>
            <xm:f>Lists!$B$2:$B$3</xm:f>
          </x14:formula1>
          <xm:sqref>C56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5"/>
  <sheetViews>
    <sheetView showGridLines="0" topLeftCell="A21" workbookViewId="0"/>
  </sheetViews>
  <sheetFormatPr defaultRowHeight="15" x14ac:dyDescent="0.25"/>
  <cols>
    <col min="1" max="1" width="2.42578125" customWidth="1"/>
    <col min="2" max="2" width="26" customWidth="1"/>
    <col min="3" max="4" width="17" customWidth="1"/>
    <col min="5" max="5" width="20" customWidth="1"/>
    <col min="6" max="7" width="17" customWidth="1"/>
    <col min="8" max="8" width="2.42578125" customWidth="1"/>
  </cols>
  <sheetData>
    <row r="1" spans="1:8" ht="9.9499999999999993" customHeight="1" x14ac:dyDescent="0.25">
      <c r="A1" s="1"/>
      <c r="B1" s="1"/>
      <c r="C1" s="1"/>
      <c r="D1" s="1"/>
      <c r="E1" s="1"/>
      <c r="F1" s="1"/>
      <c r="G1" s="1"/>
      <c r="H1" s="1"/>
    </row>
    <row r="2" spans="1:8" ht="26.1" customHeight="1" x14ac:dyDescent="0.25">
      <c r="A2" s="2" t="s">
        <v>0</v>
      </c>
      <c r="B2" s="108" t="s">
        <v>1432</v>
      </c>
      <c r="C2" s="71"/>
      <c r="D2" s="71"/>
      <c r="E2" s="71"/>
      <c r="F2" s="98" t="s">
        <v>1433</v>
      </c>
      <c r="G2" s="97"/>
      <c r="H2" s="97"/>
    </row>
    <row r="3" spans="1:8" ht="14.1" customHeight="1" x14ac:dyDescent="0.25">
      <c r="A3" s="1"/>
      <c r="B3" s="1"/>
      <c r="C3" s="1"/>
      <c r="D3" s="1"/>
      <c r="E3" s="1"/>
      <c r="F3" s="1"/>
      <c r="G3" s="1"/>
      <c r="H3" s="1"/>
    </row>
    <row r="4" spans="1:8" ht="3" customHeight="1" x14ac:dyDescent="0.25">
      <c r="A4" s="88"/>
      <c r="B4" s="88"/>
      <c r="C4" s="88"/>
      <c r="D4" s="88"/>
      <c r="E4" s="88"/>
      <c r="F4" s="88"/>
      <c r="G4" s="88"/>
      <c r="H4" s="88"/>
    </row>
    <row r="6" spans="1:8" ht="26.1" customHeight="1" x14ac:dyDescent="0.25">
      <c r="B6" s="135" t="s">
        <v>1434</v>
      </c>
      <c r="C6" s="71"/>
      <c r="D6" s="71"/>
      <c r="E6" s="71"/>
      <c r="F6" s="71"/>
      <c r="G6" s="71"/>
    </row>
    <row r="7" spans="1:8" ht="15.95" customHeight="1" x14ac:dyDescent="0.25">
      <c r="B7" s="130" t="s">
        <v>1435</v>
      </c>
      <c r="C7" s="71"/>
      <c r="D7" s="71"/>
      <c r="E7" s="71"/>
      <c r="F7" s="71"/>
      <c r="G7" s="71"/>
    </row>
    <row r="9" spans="1:8" ht="18.95" customHeight="1" x14ac:dyDescent="0.25">
      <c r="B9" s="7" t="s">
        <v>1436</v>
      </c>
      <c r="C9" s="125" t="str">
        <f>IF(Cover!$C$16="","",Cover!$C$16)</f>
        <v/>
      </c>
      <c r="D9" s="67"/>
      <c r="E9" s="67"/>
      <c r="F9" s="67"/>
      <c r="G9" s="67"/>
    </row>
    <row r="10" spans="1:8" ht="18.95" customHeight="1" x14ac:dyDescent="0.25">
      <c r="B10" s="7" t="s">
        <v>7</v>
      </c>
      <c r="C10" s="66" t="str">
        <f>IF(Cover!$C$17="","",Cover!$C$17)</f>
        <v/>
      </c>
      <c r="D10" s="67"/>
      <c r="E10" s="67"/>
      <c r="F10" s="67"/>
      <c r="G10" s="67"/>
    </row>
    <row r="11" spans="1:8" ht="18.95" customHeight="1" x14ac:dyDescent="0.25">
      <c r="B11" s="7" t="s">
        <v>227</v>
      </c>
      <c r="C11" s="66" t="str">
        <f>IF(Cover!$C$18="","",Cover!$C$18)</f>
        <v/>
      </c>
      <c r="D11" s="67"/>
      <c r="E11" s="67"/>
      <c r="F11" s="67"/>
      <c r="G11" s="67"/>
    </row>
    <row r="12" spans="1:8" ht="18.95" customHeight="1" x14ac:dyDescent="0.25">
      <c r="B12" s="7" t="s">
        <v>43</v>
      </c>
      <c r="C12" s="66" t="str">
        <f>IF(Cover!$C$46="","",Cover!$C$46)</f>
        <v/>
      </c>
      <c r="D12" s="67"/>
      <c r="E12" s="67"/>
      <c r="F12" s="67"/>
      <c r="G12" s="67"/>
    </row>
    <row r="13" spans="1:8" ht="18.95" customHeight="1" x14ac:dyDescent="0.25">
      <c r="B13" s="7" t="s">
        <v>46</v>
      </c>
      <c r="C13" s="66" t="str">
        <f>IF(Cover!$C$48="","",Cover!$C$48)</f>
        <v/>
      </c>
      <c r="D13" s="67"/>
      <c r="E13" s="67"/>
      <c r="F13" s="67"/>
      <c r="G13" s="67"/>
    </row>
    <row r="14" spans="1:8" ht="18.95" customHeight="1" x14ac:dyDescent="0.25">
      <c r="B14" s="7" t="s">
        <v>1437</v>
      </c>
      <c r="C14" s="76" t="str">
        <f>IF(Cover!$C$52="","",Cover!$C$52)</f>
        <v/>
      </c>
      <c r="D14" s="67"/>
      <c r="E14" s="67"/>
      <c r="F14" s="67"/>
      <c r="G14" s="67"/>
    </row>
    <row r="15" spans="1:8" ht="18.95" customHeight="1" x14ac:dyDescent="0.25">
      <c r="B15" s="7" t="s">
        <v>1438</v>
      </c>
      <c r="C15" s="76" t="str">
        <f>IF(Cover!$C$53="","",Cover!$C$53)</f>
        <v/>
      </c>
      <c r="D15" s="67"/>
      <c r="E15" s="67"/>
      <c r="F15" s="67"/>
      <c r="G15" s="67"/>
    </row>
    <row r="16" spans="1:8" ht="18.95" customHeight="1" x14ac:dyDescent="0.25">
      <c r="B16" s="7" t="s">
        <v>1439</v>
      </c>
      <c r="C16" s="76" t="str">
        <f>IF(Cover!$C$55="","",Cover!$C$55)</f>
        <v/>
      </c>
      <c r="D16" s="67"/>
      <c r="E16" s="67"/>
      <c r="F16" s="67"/>
      <c r="G16" s="67"/>
    </row>
    <row r="17" spans="2:7" ht="18.95" customHeight="1" x14ac:dyDescent="0.25">
      <c r="B17" s="7" t="s">
        <v>1440</v>
      </c>
      <c r="C17" s="76">
        <f ca="1">TODAY()</f>
        <v>46245</v>
      </c>
      <c r="D17" s="67"/>
      <c r="E17" s="67"/>
      <c r="F17" s="67"/>
      <c r="G17" s="67"/>
    </row>
    <row r="19" spans="2:7" ht="18" customHeight="1" x14ac:dyDescent="0.25">
      <c r="B19" s="99" t="s">
        <v>1441</v>
      </c>
      <c r="C19" s="97"/>
      <c r="D19" s="97"/>
      <c r="E19" s="97"/>
      <c r="F19" s="97"/>
      <c r="G19" s="97"/>
    </row>
    <row r="20" spans="2:7" ht="33.950000000000003" customHeight="1" x14ac:dyDescent="0.25">
      <c r="B20" s="116" t="str">
        <f>Dashboard!$B$15</f>
        <v>NOT READY FOR PC</v>
      </c>
      <c r="C20" s="97"/>
      <c r="D20" s="97"/>
      <c r="E20" s="97"/>
      <c r="F20" s="97"/>
      <c r="G20" s="97"/>
    </row>
    <row r="21" spans="2:7" ht="18" customHeight="1" x14ac:dyDescent="0.25">
      <c r="B21" s="97"/>
      <c r="C21" s="97"/>
      <c r="D21" s="97"/>
      <c r="E21" s="97"/>
      <c r="F21" s="97"/>
      <c r="G21" s="97"/>
    </row>
    <row r="23" spans="2:7" ht="21.95" customHeight="1" x14ac:dyDescent="0.25">
      <c r="B23" s="74" t="s">
        <v>1442</v>
      </c>
      <c r="C23" s="71"/>
      <c r="D23" s="71"/>
      <c r="E23" s="71"/>
      <c r="F23" s="71"/>
      <c r="G23" s="71"/>
    </row>
    <row r="24" spans="2:7" ht="24" customHeight="1" x14ac:dyDescent="0.25">
      <c r="B24" s="121" t="s">
        <v>1443</v>
      </c>
      <c r="C24" s="122"/>
      <c r="D24" s="122"/>
      <c r="E24" s="123"/>
      <c r="F24" s="132" t="s">
        <v>1444</v>
      </c>
      <c r="G24" s="132"/>
    </row>
    <row r="25" spans="2:7" ht="18" customHeight="1" x14ac:dyDescent="0.25">
      <c r="B25" s="126" t="s">
        <v>1445</v>
      </c>
      <c r="C25" s="127"/>
      <c r="D25" s="127"/>
      <c r="E25" s="93"/>
      <c r="F25" s="118">
        <f>Dashboard!$B$7</f>
        <v>0</v>
      </c>
      <c r="G25" s="93"/>
    </row>
    <row r="26" spans="2:7" ht="18" customHeight="1" x14ac:dyDescent="0.25">
      <c r="B26" s="131" t="s">
        <v>1446</v>
      </c>
      <c r="C26" s="127"/>
      <c r="D26" s="127"/>
      <c r="E26" s="93"/>
      <c r="F26" s="134" t="str">
        <f>Dashboard!$E$7</f>
        <v>0 / 221</v>
      </c>
      <c r="G26" s="93"/>
    </row>
    <row r="27" spans="2:7" ht="18" customHeight="1" x14ac:dyDescent="0.25">
      <c r="B27" s="126" t="s">
        <v>1447</v>
      </c>
      <c r="C27" s="127"/>
      <c r="D27" s="127"/>
      <c r="E27" s="93"/>
      <c r="F27" s="117">
        <f>Dashboard!$H$7</f>
        <v>100</v>
      </c>
      <c r="G27" s="93"/>
    </row>
    <row r="28" spans="2:7" ht="18" customHeight="1" x14ac:dyDescent="0.25">
      <c r="B28" s="131" t="s">
        <v>1448</v>
      </c>
      <c r="C28" s="127"/>
      <c r="D28" s="127"/>
      <c r="E28" s="93"/>
      <c r="F28" s="133">
        <f>Dashboard!$K$7</f>
        <v>6</v>
      </c>
      <c r="G28" s="93"/>
    </row>
    <row r="29" spans="2:7" ht="18" customHeight="1" x14ac:dyDescent="0.25">
      <c r="B29" s="126" t="s">
        <v>1449</v>
      </c>
      <c r="C29" s="127"/>
      <c r="D29" s="127"/>
      <c r="E29" s="93"/>
      <c r="F29" s="117">
        <f>Dashboard!$B$11</f>
        <v>11</v>
      </c>
      <c r="G29" s="93"/>
    </row>
    <row r="30" spans="2:7" ht="18" customHeight="1" x14ac:dyDescent="0.25">
      <c r="B30" s="131" t="s">
        <v>1450</v>
      </c>
      <c r="C30" s="127"/>
      <c r="D30" s="127"/>
      <c r="E30" s="93"/>
      <c r="F30" s="133">
        <f ca="1">Dashboard!$E$11</f>
        <v>5</v>
      </c>
      <c r="G30" s="93"/>
    </row>
    <row r="31" spans="2:7" ht="18" customHeight="1" x14ac:dyDescent="0.25">
      <c r="B31" s="126" t="s">
        <v>1451</v>
      </c>
      <c r="C31" s="127"/>
      <c r="D31" s="127"/>
      <c r="E31" s="93"/>
      <c r="F31" s="117">
        <f>Dashboard!$H$11</f>
        <v>58</v>
      </c>
      <c r="G31" s="93"/>
    </row>
    <row r="32" spans="2:7" ht="18" customHeight="1" x14ac:dyDescent="0.25">
      <c r="B32" s="131" t="s">
        <v>1452</v>
      </c>
      <c r="C32" s="127"/>
      <c r="D32" s="127"/>
      <c r="E32" s="93"/>
      <c r="F32" s="133">
        <f>COUNTIFS('Commissioning Register'!$B$9:$B$56,"&lt;&gt;")-COUNTIFS('Commissioning Register'!$J$9:$J$56,"Pass")</f>
        <v>36</v>
      </c>
      <c r="G32" s="93"/>
    </row>
    <row r="33" spans="2:7" ht="18" customHeight="1" x14ac:dyDescent="0.25">
      <c r="B33" s="126" t="s">
        <v>1453</v>
      </c>
      <c r="C33" s="127"/>
      <c r="D33" s="127"/>
      <c r="E33" s="93"/>
      <c r="F33" s="117">
        <f ca="1">COUNTIFS('Certificates Register'!$K$9:$K$45,"Outstanding")</f>
        <v>27</v>
      </c>
      <c r="G33" s="93"/>
    </row>
    <row r="35" spans="2:7" ht="21.95" customHeight="1" x14ac:dyDescent="0.25">
      <c r="B35" s="128" t="s">
        <v>1454</v>
      </c>
      <c r="C35" s="129"/>
      <c r="D35" s="129"/>
      <c r="E35" s="129"/>
      <c r="F35" s="129"/>
      <c r="G35" s="129"/>
    </row>
    <row r="36" spans="2:7" ht="21.95" customHeight="1" x14ac:dyDescent="0.25">
      <c r="B36" s="129"/>
      <c r="C36" s="129"/>
      <c r="D36" s="129"/>
      <c r="E36" s="129"/>
      <c r="F36" s="129"/>
      <c r="G36" s="129"/>
    </row>
    <row r="37" spans="2:7" ht="21.95" customHeight="1" x14ac:dyDescent="0.25">
      <c r="B37" s="129"/>
      <c r="C37" s="129"/>
      <c r="D37" s="129"/>
      <c r="E37" s="129"/>
      <c r="F37" s="129"/>
      <c r="G37" s="129"/>
    </row>
    <row r="39" spans="2:7" ht="21.95" customHeight="1" x14ac:dyDescent="0.25">
      <c r="B39" s="74" t="s">
        <v>1455</v>
      </c>
      <c r="C39" s="71"/>
      <c r="D39" s="71"/>
      <c r="E39" s="71"/>
      <c r="F39" s="71"/>
      <c r="G39" s="71"/>
    </row>
    <row r="40" spans="2:7" ht="20.100000000000001" customHeight="1" x14ac:dyDescent="0.25">
      <c r="B40" s="119" t="s">
        <v>1456</v>
      </c>
      <c r="C40" s="120"/>
      <c r="D40" s="120"/>
      <c r="E40" s="119" t="s">
        <v>1457</v>
      </c>
      <c r="F40" s="120"/>
      <c r="G40" s="120"/>
    </row>
    <row r="41" spans="2:7" ht="21.95" customHeight="1" x14ac:dyDescent="0.25">
      <c r="B41" s="63" t="s">
        <v>1458</v>
      </c>
      <c r="C41" s="124"/>
      <c r="D41" s="124"/>
      <c r="E41" s="63" t="s">
        <v>1458</v>
      </c>
      <c r="F41" s="124"/>
      <c r="G41" s="124"/>
    </row>
    <row r="42" spans="2:7" ht="21.95" customHeight="1" x14ac:dyDescent="0.25">
      <c r="B42" s="63" t="s">
        <v>1459</v>
      </c>
      <c r="C42" s="124"/>
      <c r="D42" s="124"/>
      <c r="E42" s="63" t="s">
        <v>1459</v>
      </c>
      <c r="F42" s="124"/>
      <c r="G42" s="124"/>
    </row>
    <row r="43" spans="2:7" ht="30" customHeight="1" x14ac:dyDescent="0.25">
      <c r="B43" s="63" t="s">
        <v>1460</v>
      </c>
      <c r="C43" s="124"/>
      <c r="D43" s="124"/>
      <c r="E43" s="63" t="s">
        <v>1460</v>
      </c>
      <c r="F43" s="124"/>
      <c r="G43" s="124"/>
    </row>
    <row r="44" spans="2:7" ht="21.95" customHeight="1" x14ac:dyDescent="0.25">
      <c r="B44" s="63" t="s">
        <v>1461</v>
      </c>
      <c r="C44" s="124"/>
      <c r="D44" s="124"/>
      <c r="E44" s="63" t="s">
        <v>1461</v>
      </c>
      <c r="F44" s="124"/>
      <c r="G44" s="124"/>
    </row>
    <row r="46" spans="2:7" ht="20.100000000000001" customHeight="1" x14ac:dyDescent="0.25">
      <c r="B46" s="119" t="s">
        <v>227</v>
      </c>
      <c r="C46" s="120"/>
      <c r="D46" s="120"/>
      <c r="E46" s="119" t="s">
        <v>1462</v>
      </c>
      <c r="F46" s="120"/>
      <c r="G46" s="120"/>
    </row>
    <row r="47" spans="2:7" ht="21.95" customHeight="1" x14ac:dyDescent="0.25">
      <c r="B47" s="63" t="s">
        <v>1458</v>
      </c>
      <c r="C47" s="124"/>
      <c r="D47" s="124"/>
      <c r="E47" s="63" t="s">
        <v>1458</v>
      </c>
      <c r="F47" s="124"/>
      <c r="G47" s="124"/>
    </row>
    <row r="48" spans="2:7" ht="21.95" customHeight="1" x14ac:dyDescent="0.25">
      <c r="B48" s="63" t="s">
        <v>1459</v>
      </c>
      <c r="C48" s="124"/>
      <c r="D48" s="124"/>
      <c r="E48" s="63" t="s">
        <v>1459</v>
      </c>
      <c r="F48" s="124"/>
      <c r="G48" s="124"/>
    </row>
    <row r="49" spans="1:8" ht="30" customHeight="1" x14ac:dyDescent="0.25">
      <c r="B49" s="63" t="s">
        <v>1460</v>
      </c>
      <c r="C49" s="124"/>
      <c r="D49" s="124"/>
      <c r="E49" s="63" t="s">
        <v>1460</v>
      </c>
      <c r="F49" s="124"/>
      <c r="G49" s="124"/>
    </row>
    <row r="50" spans="1:8" ht="21.95" customHeight="1" x14ac:dyDescent="0.25">
      <c r="B50" s="63" t="s">
        <v>1461</v>
      </c>
      <c r="C50" s="124"/>
      <c r="D50" s="124"/>
      <c r="E50" s="63" t="s">
        <v>1461</v>
      </c>
      <c r="F50" s="124"/>
      <c r="G50" s="124"/>
    </row>
    <row r="53" spans="1:8" ht="18" customHeight="1" x14ac:dyDescent="0.25">
      <c r="B53" s="106" t="s">
        <v>1463</v>
      </c>
      <c r="C53" s="71"/>
      <c r="D53" s="71"/>
      <c r="E53" s="71"/>
      <c r="F53" s="71"/>
      <c r="G53" s="71"/>
    </row>
    <row r="55" spans="1:8" ht="20.100000000000001" customHeight="1" x14ac:dyDescent="0.25">
      <c r="A55" s="72" t="s">
        <v>100</v>
      </c>
      <c r="B55" s="73"/>
      <c r="C55" s="73"/>
      <c r="D55" s="73"/>
      <c r="E55" s="73"/>
      <c r="F55" s="73"/>
      <c r="G55" s="73"/>
      <c r="H55" s="73"/>
    </row>
  </sheetData>
  <mergeCells count="61">
    <mergeCell ref="F44:G44"/>
    <mergeCell ref="B53:G53"/>
    <mergeCell ref="B32:E32"/>
    <mergeCell ref="B19:G19"/>
    <mergeCell ref="B26:E26"/>
    <mergeCell ref="E46:G46"/>
    <mergeCell ref="F24:G24"/>
    <mergeCell ref="F30:G30"/>
    <mergeCell ref="C47:D47"/>
    <mergeCell ref="F33:G33"/>
    <mergeCell ref="B40:D40"/>
    <mergeCell ref="B25:E25"/>
    <mergeCell ref="F42:G42"/>
    <mergeCell ref="F32:G32"/>
    <mergeCell ref="F26:G26"/>
    <mergeCell ref="F41:G41"/>
    <mergeCell ref="B27:E27"/>
    <mergeCell ref="A55:H55"/>
    <mergeCell ref="C11:G11"/>
    <mergeCell ref="B35:G37"/>
    <mergeCell ref="B2:E2"/>
    <mergeCell ref="C48:D48"/>
    <mergeCell ref="B7:G7"/>
    <mergeCell ref="F43:G43"/>
    <mergeCell ref="F49:G49"/>
    <mergeCell ref="C13:G13"/>
    <mergeCell ref="B28:E28"/>
    <mergeCell ref="B39:G39"/>
    <mergeCell ref="C49:D49"/>
    <mergeCell ref="C15:G15"/>
    <mergeCell ref="B23:G23"/>
    <mergeCell ref="B30:E30"/>
    <mergeCell ref="C42:D42"/>
    <mergeCell ref="C41:D41"/>
    <mergeCell ref="C50:D50"/>
    <mergeCell ref="C44:D44"/>
    <mergeCell ref="F50:G50"/>
    <mergeCell ref="C9:G9"/>
    <mergeCell ref="B31:E31"/>
    <mergeCell ref="C43:D43"/>
    <mergeCell ref="B33:E33"/>
    <mergeCell ref="F47:G47"/>
    <mergeCell ref="C12:G12"/>
    <mergeCell ref="F31:G31"/>
    <mergeCell ref="F28:G28"/>
    <mergeCell ref="F27:G27"/>
    <mergeCell ref="C17:G17"/>
    <mergeCell ref="F48:G48"/>
    <mergeCell ref="B46:D46"/>
    <mergeCell ref="B20:G21"/>
    <mergeCell ref="F29:G29"/>
    <mergeCell ref="F25:G25"/>
    <mergeCell ref="E40:G40"/>
    <mergeCell ref="F2:H2"/>
    <mergeCell ref="B24:E24"/>
    <mergeCell ref="C14:G14"/>
    <mergeCell ref="C10:G10"/>
    <mergeCell ref="C16:G16"/>
    <mergeCell ref="B6:G6"/>
    <mergeCell ref="A4:H4"/>
    <mergeCell ref="B29:E29"/>
  </mergeCells>
  <conditionalFormatting sqref="B20:G21">
    <cfRule type="expression" dxfId="1" priority="1">
      <formula>$B$20="NOT READY FOR PC"</formula>
    </cfRule>
    <cfRule type="expression" dxfId="0" priority="2">
      <formula>$B$20="READY TO RECOMMEND PC"</formula>
    </cfRule>
  </conditionalFormatting>
  <hyperlinks>
    <hyperlink ref="A2" r:id="rId1" xr:uid="{00000000-0004-0000-0900-000000000000}"/>
    <hyperlink ref="A55" r:id="rId2" xr:uid="{00000000-0004-0000-0900-000001000000}"/>
  </hyperlinks>
  <pageMargins left="0.3" right="0.3" top="0.45" bottom="0.45" header="0.5" footer="0.5"/>
  <pageSetup paperSize="9" orientation="portrait"/>
  <headerFooter>
    <oddFooter>&amp;L&amp;"Segoe UI"&amp;8&amp;K8E98A2Mastt template  ·  mastt.com&amp;R&amp;"Segoe UI"&amp;8&amp;K8E98A2Page &amp;P of &amp;N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1"/>
  <sheetViews>
    <sheetView showGridLines="0" workbookViewId="0"/>
  </sheetViews>
  <sheetFormatPr defaultRowHeight="15" x14ac:dyDescent="0.25"/>
  <cols>
    <col min="1" max="1" width="15" customWidth="1"/>
    <col min="2" max="4" width="14" customWidth="1"/>
    <col min="5" max="5" width="34" customWidth="1"/>
    <col min="6" max="6" width="33" customWidth="1"/>
    <col min="7" max="8" width="34" customWidth="1"/>
    <col min="9" max="9" width="28" customWidth="1"/>
    <col min="10" max="10" width="18" customWidth="1"/>
    <col min="11" max="11" width="14" customWidth="1"/>
    <col min="12" max="12" width="19" customWidth="1"/>
  </cols>
  <sheetData>
    <row r="1" spans="1:12" x14ac:dyDescent="0.25">
      <c r="A1" s="64" t="s">
        <v>78</v>
      </c>
      <c r="B1" s="64" t="s">
        <v>1464</v>
      </c>
      <c r="C1" s="64" t="s">
        <v>1465</v>
      </c>
      <c r="D1" s="64" t="s">
        <v>88</v>
      </c>
      <c r="E1" s="64" t="s">
        <v>175</v>
      </c>
      <c r="F1" s="64" t="s">
        <v>1466</v>
      </c>
      <c r="G1" s="64" t="s">
        <v>1467</v>
      </c>
      <c r="H1" s="64" t="s">
        <v>950</v>
      </c>
      <c r="I1" s="64" t="s">
        <v>1468</v>
      </c>
      <c r="J1" s="64" t="s">
        <v>1469</v>
      </c>
      <c r="K1" s="64" t="s">
        <v>1470</v>
      </c>
      <c r="L1" s="64" t="s">
        <v>1471</v>
      </c>
    </row>
    <row r="2" spans="1:12" x14ac:dyDescent="0.25">
      <c r="A2" s="65" t="s">
        <v>188</v>
      </c>
      <c r="B2" s="65" t="s">
        <v>186</v>
      </c>
      <c r="C2" s="65" t="s">
        <v>186</v>
      </c>
      <c r="D2" s="65" t="s">
        <v>1472</v>
      </c>
      <c r="E2" s="65" t="s">
        <v>199</v>
      </c>
      <c r="F2" s="65" t="s">
        <v>152</v>
      </c>
      <c r="G2" s="65" t="s">
        <v>147</v>
      </c>
      <c r="H2" s="65" t="s">
        <v>153</v>
      </c>
      <c r="I2" s="65" t="s">
        <v>1473</v>
      </c>
      <c r="J2" s="65" t="s">
        <v>1474</v>
      </c>
      <c r="K2" s="65" t="s">
        <v>1475</v>
      </c>
      <c r="L2" s="65" t="s">
        <v>1476</v>
      </c>
    </row>
    <row r="3" spans="1:12" x14ac:dyDescent="0.25">
      <c r="A3" s="65" t="s">
        <v>1477</v>
      </c>
      <c r="B3" s="65" t="s">
        <v>195</v>
      </c>
      <c r="C3" s="65" t="s">
        <v>195</v>
      </c>
      <c r="D3" s="65" t="s">
        <v>1478</v>
      </c>
      <c r="E3" s="65" t="s">
        <v>1479</v>
      </c>
      <c r="F3" s="65" t="s">
        <v>154</v>
      </c>
      <c r="G3" s="65" t="s">
        <v>124</v>
      </c>
      <c r="H3" s="65" t="s">
        <v>979</v>
      </c>
      <c r="I3" s="65" t="s">
        <v>1480</v>
      </c>
      <c r="J3" s="65" t="s">
        <v>1481</v>
      </c>
      <c r="K3" s="65" t="s">
        <v>1482</v>
      </c>
      <c r="L3" s="65" t="s">
        <v>1483</v>
      </c>
    </row>
    <row r="4" spans="1:12" x14ac:dyDescent="0.25">
      <c r="A4" s="65" t="s">
        <v>123</v>
      </c>
      <c r="C4" s="65" t="s">
        <v>127</v>
      </c>
      <c r="D4" s="65" t="s">
        <v>1484</v>
      </c>
      <c r="E4" s="65" t="s">
        <v>48</v>
      </c>
      <c r="F4" s="65" t="s">
        <v>156</v>
      </c>
      <c r="G4" s="65" t="s">
        <v>910</v>
      </c>
      <c r="H4" s="65" t="s">
        <v>165</v>
      </c>
      <c r="I4" s="65" t="s">
        <v>1485</v>
      </c>
      <c r="J4" s="65" t="s">
        <v>1486</v>
      </c>
      <c r="K4" s="65" t="s">
        <v>1487</v>
      </c>
      <c r="L4" s="65" t="s">
        <v>1488</v>
      </c>
    </row>
    <row r="5" spans="1:12" x14ac:dyDescent="0.25">
      <c r="A5" s="65" t="s">
        <v>127</v>
      </c>
      <c r="E5" s="65" t="s">
        <v>227</v>
      </c>
      <c r="G5" s="65" t="s">
        <v>943</v>
      </c>
      <c r="H5" s="65" t="s">
        <v>155</v>
      </c>
      <c r="I5" s="65" t="s">
        <v>1489</v>
      </c>
      <c r="J5" s="65" t="s">
        <v>1490</v>
      </c>
      <c r="K5" s="65" t="s">
        <v>1491</v>
      </c>
      <c r="L5" s="65" t="s">
        <v>1492</v>
      </c>
    </row>
    <row r="6" spans="1:12" x14ac:dyDescent="0.25">
      <c r="A6" s="65" t="s">
        <v>126</v>
      </c>
      <c r="E6" s="65" t="s">
        <v>187</v>
      </c>
      <c r="G6" s="65" t="s">
        <v>1493</v>
      </c>
      <c r="H6" s="65" t="s">
        <v>157</v>
      </c>
      <c r="K6" s="65" t="s">
        <v>1494</v>
      </c>
      <c r="L6" s="65" t="s">
        <v>1495</v>
      </c>
    </row>
    <row r="7" spans="1:12" x14ac:dyDescent="0.25">
      <c r="E7" s="65" t="s">
        <v>251</v>
      </c>
      <c r="G7" s="65" t="s">
        <v>1496</v>
      </c>
      <c r="H7" s="65" t="s">
        <v>159</v>
      </c>
      <c r="K7" s="65" t="s">
        <v>1497</v>
      </c>
      <c r="L7" s="65" t="s">
        <v>1498</v>
      </c>
    </row>
    <row r="8" spans="1:12" x14ac:dyDescent="0.25">
      <c r="E8" s="65" t="s">
        <v>238</v>
      </c>
      <c r="H8" s="65" t="s">
        <v>1499</v>
      </c>
      <c r="K8" s="65" t="s">
        <v>1500</v>
      </c>
      <c r="L8" s="65" t="s">
        <v>1501</v>
      </c>
    </row>
    <row r="9" spans="1:12" x14ac:dyDescent="0.25">
      <c r="E9" s="65" t="s">
        <v>1502</v>
      </c>
      <c r="H9" s="65" t="s">
        <v>167</v>
      </c>
      <c r="K9" s="65" t="s">
        <v>1503</v>
      </c>
      <c r="L9" s="65" t="s">
        <v>1504</v>
      </c>
    </row>
    <row r="10" spans="1:12" x14ac:dyDescent="0.25">
      <c r="E10" s="65" t="s">
        <v>888</v>
      </c>
      <c r="H10" s="65" t="s">
        <v>166</v>
      </c>
      <c r="L10" s="65" t="s">
        <v>1505</v>
      </c>
    </row>
    <row r="11" spans="1:12" x14ac:dyDescent="0.25">
      <c r="E11" s="65" t="s">
        <v>936</v>
      </c>
      <c r="H11" s="65" t="s">
        <v>1506</v>
      </c>
      <c r="L11" s="65" t="s">
        <v>1507</v>
      </c>
    </row>
    <row r="12" spans="1:12" x14ac:dyDescent="0.25">
      <c r="H12" s="65" t="s">
        <v>160</v>
      </c>
    </row>
    <row r="13" spans="1:12" x14ac:dyDescent="0.25">
      <c r="H13" s="65" t="s">
        <v>161</v>
      </c>
    </row>
    <row r="14" spans="1:12" x14ac:dyDescent="0.25">
      <c r="H14" s="65" t="s">
        <v>162</v>
      </c>
    </row>
    <row r="15" spans="1:12" x14ac:dyDescent="0.25">
      <c r="H15" s="65" t="s">
        <v>163</v>
      </c>
    </row>
    <row r="16" spans="1:12" x14ac:dyDescent="0.25">
      <c r="H16" s="65" t="s">
        <v>164</v>
      </c>
    </row>
    <row r="17" spans="8:8" x14ac:dyDescent="0.25">
      <c r="H17" s="65" t="s">
        <v>970</v>
      </c>
    </row>
    <row r="18" spans="8:8" x14ac:dyDescent="0.25">
      <c r="H18" s="65" t="s">
        <v>966</v>
      </c>
    </row>
    <row r="19" spans="8:8" x14ac:dyDescent="0.25">
      <c r="H19" s="65" t="s">
        <v>968</v>
      </c>
    </row>
    <row r="20" spans="8:8" x14ac:dyDescent="0.25">
      <c r="H20" s="65" t="s">
        <v>974</v>
      </c>
    </row>
    <row r="21" spans="8:8" x14ac:dyDescent="0.25">
      <c r="H21" s="65" t="s">
        <v>1508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
  <sheetViews>
    <sheetView showGridLines="0" topLeftCell="A20" workbookViewId="0"/>
  </sheetViews>
  <sheetFormatPr defaultRowHeight="15" x14ac:dyDescent="0.25"/>
  <cols>
    <col min="1" max="1" width="4" customWidth="1"/>
    <col min="2" max="2" width="34" customWidth="1"/>
    <col min="3" max="4" width="30" customWidth="1"/>
    <col min="5" max="7" width="26" customWidth="1"/>
    <col min="8" max="8" width="20" customWidth="1"/>
  </cols>
  <sheetData>
    <row r="1" spans="1:8" ht="9.9499999999999993" customHeight="1" x14ac:dyDescent="0.25">
      <c r="A1" s="1"/>
      <c r="B1" s="1"/>
      <c r="C1" s="1"/>
      <c r="D1" s="1"/>
      <c r="E1" s="1"/>
      <c r="F1" s="1"/>
      <c r="G1" s="1"/>
      <c r="H1" s="1"/>
    </row>
    <row r="2" spans="1:8" ht="26.1" customHeight="1" x14ac:dyDescent="0.25">
      <c r="A2" s="2" t="s">
        <v>0</v>
      </c>
      <c r="B2" s="86" t="s">
        <v>59</v>
      </c>
      <c r="C2" s="71"/>
      <c r="D2" s="71"/>
      <c r="E2" s="71"/>
      <c r="F2" s="71"/>
      <c r="G2" s="85" t="s">
        <v>60</v>
      </c>
      <c r="H2" s="71"/>
    </row>
    <row r="3" spans="1:8" ht="14.1" customHeight="1" x14ac:dyDescent="0.25">
      <c r="A3" s="1"/>
      <c r="B3" s="1"/>
      <c r="C3" s="1"/>
      <c r="D3" s="1"/>
      <c r="E3" s="1"/>
      <c r="F3" s="1"/>
      <c r="G3" s="1"/>
      <c r="H3" s="1"/>
    </row>
    <row r="4" spans="1:8" ht="3" customHeight="1" x14ac:dyDescent="0.25">
      <c r="A4" s="88"/>
      <c r="B4" s="88"/>
      <c r="C4" s="88"/>
      <c r="D4" s="88"/>
      <c r="E4" s="88"/>
      <c r="F4" s="88"/>
      <c r="G4" s="88"/>
      <c r="H4" s="88"/>
    </row>
    <row r="6" spans="1:8" ht="20.100000000000001" customHeight="1" x14ac:dyDescent="0.25">
      <c r="B6" s="9" t="s">
        <v>61</v>
      </c>
    </row>
    <row r="7" spans="1:8" ht="30" customHeight="1" x14ac:dyDescent="0.25">
      <c r="B7" s="87" t="s">
        <v>62</v>
      </c>
      <c r="C7" s="71"/>
      <c r="D7" s="71"/>
      <c r="E7" s="71"/>
      <c r="F7" s="71"/>
      <c r="G7" s="71"/>
      <c r="H7" s="71"/>
    </row>
    <row r="9" spans="1:8" ht="20.100000000000001" customHeight="1" x14ac:dyDescent="0.25">
      <c r="B9" s="9" t="s">
        <v>63</v>
      </c>
    </row>
    <row r="10" spans="1:8" ht="30" customHeight="1" x14ac:dyDescent="0.25">
      <c r="B10" s="87" t="s">
        <v>64</v>
      </c>
      <c r="C10" s="71"/>
      <c r="D10" s="71"/>
      <c r="E10" s="71"/>
      <c r="F10" s="71"/>
      <c r="G10" s="71"/>
      <c r="H10" s="71"/>
    </row>
    <row r="12" spans="1:8" ht="20.100000000000001" customHeight="1" x14ac:dyDescent="0.25">
      <c r="B12" s="9" t="s">
        <v>65</v>
      </c>
    </row>
    <row r="13" spans="1:8" ht="30" customHeight="1" x14ac:dyDescent="0.25">
      <c r="B13" s="87" t="s">
        <v>66</v>
      </c>
      <c r="C13" s="71"/>
      <c r="D13" s="71"/>
      <c r="E13" s="71"/>
      <c r="F13" s="71"/>
      <c r="G13" s="71"/>
      <c r="H13" s="71"/>
    </row>
    <row r="15" spans="1:8" ht="20.100000000000001" customHeight="1" x14ac:dyDescent="0.25">
      <c r="B15" s="9" t="s">
        <v>67</v>
      </c>
    </row>
    <row r="16" spans="1:8" ht="30" customHeight="1" x14ac:dyDescent="0.25">
      <c r="B16" s="87" t="s">
        <v>68</v>
      </c>
      <c r="C16" s="71"/>
      <c r="D16" s="71"/>
      <c r="E16" s="71"/>
      <c r="F16" s="71"/>
      <c r="G16" s="71"/>
      <c r="H16" s="71"/>
    </row>
    <row r="18" spans="2:8" ht="20.100000000000001" customHeight="1" x14ac:dyDescent="0.25">
      <c r="B18" s="9" t="s">
        <v>69</v>
      </c>
    </row>
    <row r="19" spans="2:8" ht="30" customHeight="1" x14ac:dyDescent="0.25">
      <c r="B19" s="87" t="s">
        <v>70</v>
      </c>
      <c r="C19" s="71"/>
      <c r="D19" s="71"/>
      <c r="E19" s="71"/>
      <c r="F19" s="71"/>
      <c r="G19" s="71"/>
      <c r="H19" s="71"/>
    </row>
    <row r="21" spans="2:8" ht="20.100000000000001" customHeight="1" x14ac:dyDescent="0.25">
      <c r="B21" s="9" t="s">
        <v>71</v>
      </c>
    </row>
    <row r="22" spans="2:8" ht="30" customHeight="1" x14ac:dyDescent="0.25">
      <c r="B22" s="87" t="s">
        <v>72</v>
      </c>
      <c r="C22" s="71"/>
      <c r="D22" s="71"/>
      <c r="E22" s="71"/>
      <c r="F22" s="71"/>
      <c r="G22" s="71"/>
      <c r="H22" s="71"/>
    </row>
    <row r="24" spans="2:8" ht="20.100000000000001" customHeight="1" x14ac:dyDescent="0.25">
      <c r="B24" s="9" t="s">
        <v>73</v>
      </c>
    </row>
    <row r="25" spans="2:8" ht="30" customHeight="1" x14ac:dyDescent="0.25">
      <c r="B25" s="87" t="s">
        <v>74</v>
      </c>
      <c r="C25" s="71"/>
      <c r="D25" s="71"/>
      <c r="E25" s="71"/>
      <c r="F25" s="71"/>
      <c r="G25" s="71"/>
      <c r="H25" s="71"/>
    </row>
    <row r="27" spans="2:8" ht="20.100000000000001" customHeight="1" x14ac:dyDescent="0.25">
      <c r="B27" s="9" t="s">
        <v>75</v>
      </c>
    </row>
    <row r="28" spans="2:8" ht="30" customHeight="1" x14ac:dyDescent="0.25">
      <c r="B28" s="87" t="s">
        <v>76</v>
      </c>
      <c r="C28" s="71"/>
      <c r="D28" s="71"/>
      <c r="E28" s="71"/>
      <c r="F28" s="71"/>
      <c r="G28" s="71"/>
      <c r="H28" s="71"/>
    </row>
    <row r="30" spans="2:8" ht="21.95" customHeight="1" x14ac:dyDescent="0.25">
      <c r="B30" s="74" t="s">
        <v>77</v>
      </c>
      <c r="C30" s="71"/>
      <c r="D30" s="71"/>
      <c r="E30" s="71"/>
      <c r="F30" s="71"/>
      <c r="G30" s="71"/>
      <c r="H30" s="71"/>
    </row>
    <row r="31" spans="2:8" ht="20.100000000000001" customHeight="1" x14ac:dyDescent="0.25">
      <c r="B31" s="4" t="s">
        <v>78</v>
      </c>
      <c r="C31" s="83" t="s">
        <v>79</v>
      </c>
      <c r="D31" s="84"/>
      <c r="E31" s="84"/>
      <c r="F31" s="84"/>
      <c r="G31" s="84"/>
      <c r="H31" s="84"/>
    </row>
    <row r="32" spans="2:8" ht="20.100000000000001" customHeight="1" x14ac:dyDescent="0.25">
      <c r="B32" s="4" t="s">
        <v>80</v>
      </c>
      <c r="C32" s="83" t="s">
        <v>81</v>
      </c>
      <c r="D32" s="84"/>
      <c r="E32" s="84"/>
      <c r="F32" s="84"/>
      <c r="G32" s="84"/>
      <c r="H32" s="84"/>
    </row>
    <row r="33" spans="1:8" ht="20.100000000000001" customHeight="1" x14ac:dyDescent="0.25">
      <c r="B33" s="4" t="s">
        <v>82</v>
      </c>
      <c r="C33" s="83" t="s">
        <v>83</v>
      </c>
      <c r="D33" s="84"/>
      <c r="E33" s="84"/>
      <c r="F33" s="84"/>
      <c r="G33" s="84"/>
      <c r="H33" s="84"/>
    </row>
    <row r="34" spans="1:8" ht="20.100000000000001" customHeight="1" x14ac:dyDescent="0.25">
      <c r="B34" s="4" t="s">
        <v>84</v>
      </c>
      <c r="C34" s="83" t="s">
        <v>85</v>
      </c>
      <c r="D34" s="84"/>
      <c r="E34" s="84"/>
      <c r="F34" s="84"/>
      <c r="G34" s="84"/>
      <c r="H34" s="84"/>
    </row>
    <row r="35" spans="1:8" ht="20.100000000000001" customHeight="1" x14ac:dyDescent="0.25">
      <c r="B35" s="4" t="s">
        <v>86</v>
      </c>
      <c r="C35" s="83" t="s">
        <v>87</v>
      </c>
      <c r="D35" s="84"/>
      <c r="E35" s="84"/>
      <c r="F35" s="84"/>
      <c r="G35" s="84"/>
      <c r="H35" s="84"/>
    </row>
    <row r="36" spans="1:8" ht="20.100000000000001" customHeight="1" x14ac:dyDescent="0.25">
      <c r="B36" s="4" t="s">
        <v>88</v>
      </c>
      <c r="C36" s="83" t="s">
        <v>89</v>
      </c>
      <c r="D36" s="84"/>
      <c r="E36" s="84"/>
      <c r="F36" s="84"/>
      <c r="G36" s="84"/>
      <c r="H36" s="84"/>
    </row>
    <row r="37" spans="1:8" ht="20.100000000000001" customHeight="1" x14ac:dyDescent="0.25">
      <c r="B37" s="4" t="s">
        <v>90</v>
      </c>
      <c r="C37" s="83" t="s">
        <v>91</v>
      </c>
      <c r="D37" s="84"/>
      <c r="E37" s="84"/>
      <c r="F37" s="84"/>
      <c r="G37" s="84"/>
      <c r="H37" s="84"/>
    </row>
    <row r="38" spans="1:8" ht="20.100000000000001" customHeight="1" x14ac:dyDescent="0.25">
      <c r="B38" s="4" t="s">
        <v>92</v>
      </c>
      <c r="C38" s="83" t="s">
        <v>93</v>
      </c>
      <c r="D38" s="84"/>
      <c r="E38" s="84"/>
      <c r="F38" s="84"/>
      <c r="G38" s="84"/>
      <c r="H38" s="84"/>
    </row>
    <row r="39" spans="1:8" ht="20.100000000000001" customHeight="1" x14ac:dyDescent="0.25">
      <c r="B39" s="4" t="s">
        <v>94</v>
      </c>
      <c r="C39" s="83" t="s">
        <v>95</v>
      </c>
      <c r="D39" s="84"/>
      <c r="E39" s="84"/>
      <c r="F39" s="84"/>
      <c r="G39" s="84"/>
      <c r="H39" s="84"/>
    </row>
    <row r="40" spans="1:8" ht="20.100000000000001" customHeight="1" x14ac:dyDescent="0.25">
      <c r="B40" s="4" t="s">
        <v>96</v>
      </c>
      <c r="C40" s="83" t="s">
        <v>97</v>
      </c>
      <c r="D40" s="84"/>
      <c r="E40" s="84"/>
      <c r="F40" s="84"/>
      <c r="G40" s="84"/>
      <c r="H40" s="84"/>
    </row>
    <row r="41" spans="1:8" ht="20.100000000000001" customHeight="1" x14ac:dyDescent="0.25">
      <c r="B41" s="4" t="s">
        <v>98</v>
      </c>
      <c r="C41" s="83" t="s">
        <v>99</v>
      </c>
      <c r="D41" s="84"/>
      <c r="E41" s="84"/>
      <c r="F41" s="84"/>
      <c r="G41" s="84"/>
      <c r="H41" s="84"/>
    </row>
    <row r="43" spans="1:8" ht="20.100000000000001" customHeight="1" x14ac:dyDescent="0.25">
      <c r="A43" s="72" t="s">
        <v>100</v>
      </c>
      <c r="B43" s="73"/>
      <c r="C43" s="73"/>
      <c r="D43" s="73"/>
      <c r="E43" s="73"/>
      <c r="F43" s="73"/>
      <c r="G43" s="73"/>
      <c r="H43" s="73"/>
    </row>
  </sheetData>
  <mergeCells count="24">
    <mergeCell ref="C33:H33"/>
    <mergeCell ref="A4:H4"/>
    <mergeCell ref="B13:H13"/>
    <mergeCell ref="A43:H43"/>
    <mergeCell ref="C35:H35"/>
    <mergeCell ref="B10:H10"/>
    <mergeCell ref="B19:H19"/>
    <mergeCell ref="B28:H28"/>
    <mergeCell ref="C41:H41"/>
    <mergeCell ref="G2:H2"/>
    <mergeCell ref="C40:H40"/>
    <mergeCell ref="C31:H31"/>
    <mergeCell ref="B30:H30"/>
    <mergeCell ref="C36:H36"/>
    <mergeCell ref="B2:F2"/>
    <mergeCell ref="C39:H39"/>
    <mergeCell ref="B16:H16"/>
    <mergeCell ref="B7:H7"/>
    <mergeCell ref="B25:H25"/>
    <mergeCell ref="B22:H22"/>
    <mergeCell ref="C32:H32"/>
    <mergeCell ref="C38:H38"/>
    <mergeCell ref="C37:H37"/>
    <mergeCell ref="C34:H34"/>
  </mergeCells>
  <hyperlinks>
    <hyperlink ref="A2" r:id="rId1" xr:uid="{00000000-0004-0000-0100-000000000000}"/>
    <hyperlink ref="A43" r:id="rId2" xr:uid="{00000000-0004-0000-0100-000001000000}"/>
  </hyperlinks>
  <pageMargins left="0.3" right="0.3" top="0.45" bottom="0.45" header="0.5" footer="0.5"/>
  <pageSetup paperSize="9" fitToHeight="0" orientation="portrait"/>
  <headerFooter>
    <oddFooter>&amp;L&amp;"Segoe UI"&amp;8&amp;K8E98A2Mastt template  ·  mastt.com&amp;R&amp;"Segoe UI"&amp;8&amp;K8E98A2Page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1"/>
  <sheetViews>
    <sheetView showGridLines="0" workbookViewId="0">
      <pane xSplit="1" ySplit="5" topLeftCell="B41" activePane="bottomRight" state="frozen"/>
      <selection pane="topRight"/>
      <selection pane="bottomLeft"/>
      <selection pane="bottomRight"/>
    </sheetView>
  </sheetViews>
  <sheetFormatPr defaultRowHeight="15" x14ac:dyDescent="0.25"/>
  <cols>
    <col min="1" max="1" width="3" customWidth="1"/>
    <col min="2" max="2" width="30" customWidth="1"/>
    <col min="3" max="4" width="11" customWidth="1"/>
    <col min="5" max="6" width="12" customWidth="1"/>
    <col min="7" max="8" width="11" customWidth="1"/>
    <col min="9" max="10" width="12" customWidth="1"/>
    <col min="11" max="11" width="13" customWidth="1"/>
    <col min="12" max="12" width="12" customWidth="1"/>
    <col min="13" max="13" width="13" customWidth="1"/>
  </cols>
  <sheetData>
    <row r="1" spans="1:13" ht="9.9499999999999993" customHeight="1" x14ac:dyDescent="0.25">
      <c r="A1" s="1"/>
      <c r="B1" s="1"/>
      <c r="C1" s="1"/>
      <c r="D1" s="1"/>
      <c r="E1" s="1"/>
      <c r="F1" s="1"/>
      <c r="G1" s="1"/>
      <c r="H1" s="1"/>
      <c r="I1" s="1"/>
      <c r="J1" s="1"/>
      <c r="K1" s="1"/>
      <c r="L1" s="1"/>
      <c r="M1" s="1"/>
    </row>
    <row r="2" spans="1:13" ht="26.1" customHeight="1" x14ac:dyDescent="0.25">
      <c r="A2" s="2" t="s">
        <v>0</v>
      </c>
      <c r="B2" s="108" t="s">
        <v>101</v>
      </c>
      <c r="C2" s="71"/>
      <c r="D2" s="71"/>
      <c r="E2" s="71"/>
      <c r="F2" s="71"/>
      <c r="G2" s="71"/>
      <c r="H2" s="71"/>
      <c r="I2" s="98" t="s">
        <v>102</v>
      </c>
      <c r="J2" s="97"/>
      <c r="K2" s="97"/>
      <c r="L2" s="97"/>
      <c r="M2" s="97"/>
    </row>
    <row r="3" spans="1:13" ht="14.1" customHeight="1" x14ac:dyDescent="0.25">
      <c r="A3" s="1"/>
      <c r="B3" s="1"/>
      <c r="C3" s="1"/>
      <c r="D3" s="1"/>
      <c r="E3" s="1"/>
      <c r="F3" s="1"/>
      <c r="G3" s="1"/>
      <c r="H3" s="1"/>
      <c r="I3" s="1"/>
      <c r="J3" s="1"/>
      <c r="K3" s="1"/>
      <c r="L3" s="1"/>
      <c r="M3" s="1"/>
    </row>
    <row r="4" spans="1:13" ht="3" customHeight="1" x14ac:dyDescent="0.25">
      <c r="A4" s="88"/>
      <c r="B4" s="88"/>
      <c r="C4" s="88"/>
      <c r="D4" s="88"/>
      <c r="E4" s="88"/>
      <c r="F4" s="88"/>
      <c r="G4" s="88"/>
      <c r="H4" s="88"/>
      <c r="I4" s="88"/>
      <c r="J4" s="88"/>
      <c r="K4" s="88"/>
      <c r="L4" s="88"/>
      <c r="M4" s="88"/>
    </row>
    <row r="6" spans="1:13" ht="15.95" customHeight="1" x14ac:dyDescent="0.25">
      <c r="B6" s="103" t="s">
        <v>103</v>
      </c>
      <c r="C6" s="97"/>
      <c r="D6" s="97"/>
      <c r="E6" s="103" t="s">
        <v>104</v>
      </c>
      <c r="F6" s="97"/>
      <c r="G6" s="97"/>
      <c r="H6" s="103" t="s">
        <v>105</v>
      </c>
      <c r="I6" s="97"/>
      <c r="J6" s="97"/>
      <c r="K6" s="103" t="s">
        <v>106</v>
      </c>
      <c r="L6" s="97"/>
      <c r="M6" s="97"/>
    </row>
    <row r="7" spans="1:13" ht="30" customHeight="1" x14ac:dyDescent="0.25">
      <c r="B7" s="110">
        <f>IFERROR(COUNTIFS('PC Checklist'!$O$9:$O$239,"&lt;&gt;",'PC Checklist'!$G$9:$G$239,"Complete")/MAX(1,COUNTIFS('PC Checklist'!$O$9:$O$239,"&lt;&gt;")-COUNTIFS('PC Checklist'!$O$9:$O$239,"&lt;&gt;",'PC Checklist'!$G$9:$G$239,"N/A")),0)</f>
        <v>0</v>
      </c>
      <c r="C7" s="97"/>
      <c r="D7" s="97"/>
      <c r="E7" s="107" t="str">
        <f>COUNTIFS('PC Checklist'!$O$9:$O$239,"&lt;&gt;",'PC Checklist'!$G$9:$G$239,"Complete")&amp;" / "&amp;COUNTIFS('PC Checklist'!$O$9:$O$239,"&lt;&gt;")</f>
        <v>0 / 221</v>
      </c>
      <c r="F7" s="97"/>
      <c r="G7" s="97"/>
      <c r="H7" s="102">
        <f>COUNTIFS('PC Checklist'!$O$9:$O$239,"&lt;&gt;",'PC Checklist'!$E$9:$E$239,"Yes",'PC Checklist'!$G$9:$G$239,"&lt;&gt;Complete")-COUNTIFS('PC Checklist'!$O$9:$O$239,"&lt;&gt;",'PC Checklist'!$E$9:$E$239,"Yes",'PC Checklist'!$G$9:$G$239,"N/A")</f>
        <v>100</v>
      </c>
      <c r="I7" s="97"/>
      <c r="J7" s="97"/>
      <c r="K7" s="102">
        <f>COUNTIFS('Defects Register'!$F$9:$F$80,"A*",'Defects Register'!$N$9:$N$80,"&lt;&gt;Verified closed",'Defects Register'!$N$9:$N$80,"&lt;&gt;Rejected - not a defect")</f>
        <v>6</v>
      </c>
      <c r="L7" s="97"/>
      <c r="M7" s="97"/>
    </row>
    <row r="8" spans="1:13" ht="14.1" customHeight="1" x14ac:dyDescent="0.25">
      <c r="B8" s="96" t="s">
        <v>107</v>
      </c>
      <c r="C8" s="97"/>
      <c r="D8" s="97"/>
      <c r="E8" s="96" t="s">
        <v>108</v>
      </c>
      <c r="F8" s="97"/>
      <c r="G8" s="97"/>
      <c r="H8" s="96" t="s">
        <v>109</v>
      </c>
      <c r="I8" s="97"/>
      <c r="J8" s="97"/>
      <c r="K8" s="96" t="s">
        <v>110</v>
      </c>
      <c r="L8" s="97"/>
      <c r="M8" s="97"/>
    </row>
    <row r="9" spans="1:13" ht="6" customHeight="1" x14ac:dyDescent="0.25"/>
    <row r="10" spans="1:13" ht="15.95" customHeight="1" x14ac:dyDescent="0.25">
      <c r="B10" s="91" t="s">
        <v>111</v>
      </c>
      <c r="C10" s="90"/>
      <c r="D10" s="90"/>
      <c r="E10" s="91" t="s">
        <v>112</v>
      </c>
      <c r="F10" s="90"/>
      <c r="G10" s="90"/>
      <c r="H10" s="91" t="s">
        <v>113</v>
      </c>
      <c r="I10" s="90"/>
      <c r="J10" s="90"/>
      <c r="K10" s="91" t="s">
        <v>114</v>
      </c>
      <c r="L10" s="90"/>
      <c r="M10" s="90"/>
    </row>
    <row r="11" spans="1:13" ht="30" customHeight="1" x14ac:dyDescent="0.25">
      <c r="B11" s="89">
        <f>COUNTIFS('Defects Register'!$A$9:$A$80,"&lt;&gt;",'Defects Register'!$N$9:$N$80,"&lt;&gt;Verified closed",'Defects Register'!$N$9:$N$80,"&lt;&gt;Rejected - not a defect")</f>
        <v>11</v>
      </c>
      <c r="C11" s="90"/>
      <c r="D11" s="90"/>
      <c r="E11" s="89">
        <f ca="1">COUNTIFS('Defects Register'!$A$9:$A$80,"&lt;&gt;",'Defects Register'!$I$9:$I$80,"&lt;"&amp;TODAY(),'Defects Register'!$K$9:$K$80,"")</f>
        <v>5</v>
      </c>
      <c r="F11" s="90"/>
      <c r="G11" s="90"/>
      <c r="H11" s="89">
        <f>COUNTIFS('Handover Register'!$N$9:$N$78,"Outstanding")</f>
        <v>58</v>
      </c>
      <c r="I11" s="90"/>
      <c r="J11" s="90"/>
      <c r="K11" s="89" t="str">
        <f ca="1">IF(Cover!$C$52="","",Cover!$C$52-TODAY())</f>
        <v/>
      </c>
      <c r="L11" s="90"/>
      <c r="M11" s="90"/>
    </row>
    <row r="12" spans="1:13" ht="14.1" customHeight="1" x14ac:dyDescent="0.25">
      <c r="B12" s="101" t="s">
        <v>115</v>
      </c>
      <c r="C12" s="90"/>
      <c r="D12" s="90"/>
      <c r="E12" s="101" t="s">
        <v>116</v>
      </c>
      <c r="F12" s="90"/>
      <c r="G12" s="90"/>
      <c r="H12" s="101" t="s">
        <v>117</v>
      </c>
      <c r="I12" s="90"/>
      <c r="J12" s="90"/>
      <c r="K12" s="101" t="s">
        <v>118</v>
      </c>
      <c r="L12" s="90"/>
      <c r="M12" s="90"/>
    </row>
    <row r="13" spans="1:13" ht="8.1" customHeight="1" x14ac:dyDescent="0.25"/>
    <row r="14" spans="1:13" ht="18" customHeight="1" x14ac:dyDescent="0.25">
      <c r="B14" s="99" t="s">
        <v>119</v>
      </c>
      <c r="C14" s="97"/>
      <c r="D14" s="97"/>
      <c r="E14" s="97"/>
      <c r="F14" s="97"/>
      <c r="G14" s="97"/>
      <c r="H14" s="97"/>
      <c r="I14" s="97"/>
      <c r="J14" s="97"/>
      <c r="K14" s="97"/>
      <c r="L14" s="97"/>
      <c r="M14" s="97"/>
    </row>
    <row r="15" spans="1:13" ht="39.950000000000003" customHeight="1" x14ac:dyDescent="0.25">
      <c r="B15" s="111" t="str">
        <f>IF(OR(COUNTIFS('PC Checklist'!$O$9:$O$239,"&lt;&gt;",'PC Checklist'!$E$9:$E$239,"Yes",'PC Checklist'!$G$9:$G$239,"&lt;&gt;Complete")-COUNTIFS('PC Checklist'!$O$9:$O$239,"&lt;&gt;",'PC Checklist'!$E$9:$E$239,"Yes",'PC Checklist'!$G$9:$G$239,"N/A")&gt;0,COUNTIFS('Defects Register'!$F$9:$F$80,"A*",'Defects Register'!$N$9:$N$80,"&lt;&gt;Verified closed",'Defects Register'!$N$9:$N$80,"&lt;&gt;Rejected - not a defect")&gt;0),"NOT READY FOR PC","READY TO RECOMMEND PC")</f>
        <v>NOT READY FOR PC</v>
      </c>
      <c r="C15" s="97"/>
      <c r="D15" s="97"/>
      <c r="E15" s="97"/>
      <c r="F15" s="97"/>
      <c r="G15" s="97"/>
      <c r="H15" s="97"/>
      <c r="I15" s="97"/>
      <c r="J15" s="97"/>
      <c r="K15" s="97"/>
      <c r="L15" s="97"/>
      <c r="M15" s="97"/>
    </row>
    <row r="16" spans="1:13" ht="21.95" customHeight="1" x14ac:dyDescent="0.25">
      <c r="B16" s="97"/>
      <c r="C16" s="97"/>
      <c r="D16" s="97"/>
      <c r="E16" s="97"/>
      <c r="F16" s="97"/>
      <c r="G16" s="97"/>
      <c r="H16" s="97"/>
      <c r="I16" s="97"/>
      <c r="J16" s="97"/>
      <c r="K16" s="97"/>
      <c r="L16" s="97"/>
      <c r="M16" s="97"/>
    </row>
    <row r="17" spans="2:13" ht="26.1" customHeight="1" x14ac:dyDescent="0.25">
      <c r="B17" s="100" t="str">
        <f>IF(OR(COUNTIFS('PC Checklist'!$O$9:$O$239,"&lt;&gt;",'PC Checklist'!$E$9:$E$239,"Yes",'PC Checklist'!$G$9:$G$239,"&lt;&gt;Complete")-COUNTIFS('PC Checklist'!$O$9:$O$239,"&lt;&gt;",'PC Checklist'!$E$9:$E$239,"Yes",'PC Checklist'!$G$9:$G$239,"N/A")&gt;0,COUNTIFS('Defects Register'!$F$9:$F$80,"A*",'Defects Register'!$N$9:$N$80,"&lt;&gt;Verified closed",'Defects Register'!$N$9:$N$80,"&lt;&gt;Rejected - not a defect")&gt;0),"Driven by "&amp;COUNTIFS('PC Checklist'!$O$9:$O$239,"&lt;&gt;",'PC Checklist'!$E$9:$E$239,"Yes",'PC Checklist'!$G$9:$G$239,"&lt;&gt;Complete")-COUNTIFS('PC Checklist'!$O$9:$O$239,"&lt;&gt;",'PC Checklist'!$E$9:$E$239,"Yes",'PC Checklist'!$G$9:$G$239,"N/A")&amp;" outstanding PC blocker item(s) and "&amp;COUNTIFS('Defects Register'!$F$9:$F$80,"A*",'Defects Register'!$N$9:$N$80,"&lt;&gt;Verified closed",'Defects Register'!$N$9:$N$80,"&lt;&gt;Rejected - not a defect")&amp;" open Category A defect(s). Practical Completion should not be recommended until both are zero.","No PC blocker items and no open Category A defects. Confirm the defects schedule is attached, then complete the PC Sign-Off sheet.")</f>
        <v>Driven by 100 outstanding PC blocker item(s) and 6 open Category A defect(s). Practical Completion should not be recommended until both are zero.</v>
      </c>
      <c r="C17" s="71"/>
      <c r="D17" s="71"/>
      <c r="E17" s="71"/>
      <c r="F17" s="71"/>
      <c r="G17" s="71"/>
      <c r="H17" s="71"/>
      <c r="I17" s="71"/>
      <c r="J17" s="71"/>
      <c r="K17" s="71"/>
      <c r="L17" s="71"/>
      <c r="M17" s="71"/>
    </row>
    <row r="19" spans="2:13" ht="21.95" customHeight="1" x14ac:dyDescent="0.25">
      <c r="B19" s="74" t="s">
        <v>120</v>
      </c>
      <c r="C19" s="71"/>
      <c r="D19" s="71"/>
      <c r="E19" s="71"/>
      <c r="F19" s="71"/>
      <c r="G19" s="71"/>
      <c r="H19" s="71"/>
      <c r="I19" s="71"/>
      <c r="J19" s="71"/>
      <c r="K19" s="71"/>
      <c r="L19" s="71"/>
      <c r="M19" s="71"/>
    </row>
    <row r="20" spans="2:13" ht="32.1" customHeight="1" x14ac:dyDescent="0.25">
      <c r="B20" s="10" t="s">
        <v>121</v>
      </c>
      <c r="C20" s="10" t="s">
        <v>122</v>
      </c>
      <c r="D20" s="10" t="s">
        <v>123</v>
      </c>
      <c r="E20" s="10" t="s">
        <v>124</v>
      </c>
      <c r="F20" s="10" t="s">
        <v>125</v>
      </c>
      <c r="G20" s="10" t="s">
        <v>126</v>
      </c>
      <c r="H20" s="10" t="s">
        <v>127</v>
      </c>
      <c r="I20" s="10" t="s">
        <v>128</v>
      </c>
      <c r="J20" s="10" t="s">
        <v>88</v>
      </c>
      <c r="K20" s="10" t="s">
        <v>129</v>
      </c>
      <c r="L20" s="10" t="s">
        <v>130</v>
      </c>
      <c r="M20" s="10" t="s">
        <v>131</v>
      </c>
    </row>
    <row r="21" spans="2:13" ht="26.1" customHeight="1" x14ac:dyDescent="0.25">
      <c r="B21" s="11" t="s">
        <v>132</v>
      </c>
      <c r="C21" s="12">
        <f>COUNTIFS('PC Checklist'!$O$9:$O$239,$B21)</f>
        <v>15</v>
      </c>
      <c r="D21" s="12">
        <f>COUNTIFS('PC Checklist'!$O$9:$O$239,$B21,'PC Checklist'!$G$9:$G$239,"Complete")</f>
        <v>0</v>
      </c>
      <c r="E21" s="12">
        <f>COUNTIFS('PC Checklist'!$O$9:$O$239,$B21,'PC Checklist'!$G$9:$G$239,"In Progress")</f>
        <v>0</v>
      </c>
      <c r="F21" s="12">
        <f>COUNTIFS('PC Checklist'!$O$9:$O$239,$B21,'PC Checklist'!$G$9:$G$239,"Not Started")</f>
        <v>15</v>
      </c>
      <c r="G21" s="12">
        <f>COUNTIFS('PC Checklist'!$O$9:$O$239,$B21,'PC Checklist'!$G$9:$G$239,"Blocked")</f>
        <v>0</v>
      </c>
      <c r="H21" s="12">
        <f>COUNTIFS('PC Checklist'!$O$9:$O$239,$B21,'PC Checklist'!$G$9:$G$239,"N/A")</f>
        <v>0</v>
      </c>
      <c r="I21" s="13">
        <f t="shared" ref="I21:I31" si="0">IFERROR($D21/MAX(1,$C21-$H21),0)</f>
        <v>0</v>
      </c>
      <c r="J21" s="14" t="str">
        <f t="shared" ref="J21:J30" si="1">IF($C21=0,"Green",IF(OR($K21&gt;0,$G21&gt;0),"Red",IF($I21&gt;=1,"Green",IF($I21&gt;=0.75,"Amber","Red"))))</f>
        <v>Red</v>
      </c>
      <c r="K21" s="12">
        <f>COUNTIFS('PC Checklist'!$O$9:$O$239,$B21,'PC Checklist'!$E$9:$E$239,"Yes",'PC Checklist'!$G$9:$G$239,"&lt;&gt;Complete")-COUNTIFS('PC Checklist'!$O$9:$O$239,$B21,'PC Checklist'!$E$9:$E$239,"Yes",'PC Checklist'!$G$9:$G$239,"N/A")</f>
        <v>10</v>
      </c>
      <c r="L21" s="12">
        <f ca="1">COUNTIFS('PC Checklist'!$O$9:$O$239,$B21,'PC Checklist'!$H$9:$H$239,"&lt;"&amp;TODAY(),'PC Checklist'!$G$9:$G$239,"&lt;&gt;Complete")-COUNTIFS('PC Checklist'!$O$9:$O$239,$B21,'PC Checklist'!$H$9:$H$239,"&lt;"&amp;TODAY(),'PC Checklist'!$G$9:$G$239,"N/A")</f>
        <v>0</v>
      </c>
      <c r="M21" s="15" t="str">
        <f t="shared" ref="M21:M30" si="2">IF($K21&gt;0,"PC blocker open",IF($G21&gt;0,"Blocked item",IF($I21&gt;=1,"Complete",IF($I21&gt;0,"In progress","Not started"))))</f>
        <v>PC blocker open</v>
      </c>
    </row>
    <row r="22" spans="2:13" ht="26.1" customHeight="1" x14ac:dyDescent="0.25">
      <c r="B22" s="16" t="s">
        <v>133</v>
      </c>
      <c r="C22" s="17">
        <f>COUNTIFS('PC Checklist'!$O$9:$O$239,$B22)</f>
        <v>25</v>
      </c>
      <c r="D22" s="17">
        <f>COUNTIFS('PC Checklist'!$O$9:$O$239,$B22,'PC Checklist'!$G$9:$G$239,"Complete")</f>
        <v>0</v>
      </c>
      <c r="E22" s="17">
        <f>COUNTIFS('PC Checklist'!$O$9:$O$239,$B22,'PC Checklist'!$G$9:$G$239,"In Progress")</f>
        <v>0</v>
      </c>
      <c r="F22" s="17">
        <f>COUNTIFS('PC Checklist'!$O$9:$O$239,$B22,'PC Checklist'!$G$9:$G$239,"Not Started")</f>
        <v>25</v>
      </c>
      <c r="G22" s="17">
        <f>COUNTIFS('PC Checklist'!$O$9:$O$239,$B22,'PC Checklist'!$G$9:$G$239,"Blocked")</f>
        <v>0</v>
      </c>
      <c r="H22" s="17">
        <f>COUNTIFS('PC Checklist'!$O$9:$O$239,$B22,'PC Checklist'!$G$9:$G$239,"N/A")</f>
        <v>0</v>
      </c>
      <c r="I22" s="18">
        <f t="shared" si="0"/>
        <v>0</v>
      </c>
      <c r="J22" s="19" t="str">
        <f t="shared" si="1"/>
        <v>Red</v>
      </c>
      <c r="K22" s="17">
        <f>COUNTIFS('PC Checklist'!$O$9:$O$239,$B22,'PC Checklist'!$E$9:$E$239,"Yes",'PC Checklist'!$G$9:$G$239,"&lt;&gt;Complete")-COUNTIFS('PC Checklist'!$O$9:$O$239,$B22,'PC Checklist'!$E$9:$E$239,"Yes",'PC Checklist'!$G$9:$G$239,"N/A")</f>
        <v>18</v>
      </c>
      <c r="L22" s="17">
        <f ca="1">COUNTIFS('PC Checklist'!$O$9:$O$239,$B22,'PC Checklist'!$H$9:$H$239,"&lt;"&amp;TODAY(),'PC Checklist'!$G$9:$G$239,"&lt;&gt;Complete")-COUNTIFS('PC Checklist'!$O$9:$O$239,$B22,'PC Checklist'!$H$9:$H$239,"&lt;"&amp;TODAY(),'PC Checklist'!$G$9:$G$239,"N/A")</f>
        <v>0</v>
      </c>
      <c r="M22" s="20" t="str">
        <f t="shared" si="2"/>
        <v>PC blocker open</v>
      </c>
    </row>
    <row r="23" spans="2:13" ht="26.1" customHeight="1" x14ac:dyDescent="0.25">
      <c r="B23" s="11" t="s">
        <v>134</v>
      </c>
      <c r="C23" s="12">
        <f>COUNTIFS('PC Checklist'!$O$9:$O$239,$B23)</f>
        <v>27</v>
      </c>
      <c r="D23" s="12">
        <f>COUNTIFS('PC Checklist'!$O$9:$O$239,$B23,'PC Checklist'!$G$9:$G$239,"Complete")</f>
        <v>0</v>
      </c>
      <c r="E23" s="12">
        <f>COUNTIFS('PC Checklist'!$O$9:$O$239,$B23,'PC Checklist'!$G$9:$G$239,"In Progress")</f>
        <v>0</v>
      </c>
      <c r="F23" s="12">
        <f>COUNTIFS('PC Checklist'!$O$9:$O$239,$B23,'PC Checklist'!$G$9:$G$239,"Not Started")</f>
        <v>27</v>
      </c>
      <c r="G23" s="12">
        <f>COUNTIFS('PC Checklist'!$O$9:$O$239,$B23,'PC Checklist'!$G$9:$G$239,"Blocked")</f>
        <v>0</v>
      </c>
      <c r="H23" s="12">
        <f>COUNTIFS('PC Checklist'!$O$9:$O$239,$B23,'PC Checklist'!$G$9:$G$239,"N/A")</f>
        <v>0</v>
      </c>
      <c r="I23" s="13">
        <f t="shared" si="0"/>
        <v>0</v>
      </c>
      <c r="J23" s="14" t="str">
        <f t="shared" si="1"/>
        <v>Red</v>
      </c>
      <c r="K23" s="12">
        <f>COUNTIFS('PC Checklist'!$O$9:$O$239,$B23,'PC Checklist'!$E$9:$E$239,"Yes",'PC Checklist'!$G$9:$G$239,"&lt;&gt;Complete")-COUNTIFS('PC Checklist'!$O$9:$O$239,$B23,'PC Checklist'!$E$9:$E$239,"Yes",'PC Checklist'!$G$9:$G$239,"N/A")</f>
        <v>9</v>
      </c>
      <c r="L23" s="12">
        <f ca="1">COUNTIFS('PC Checklist'!$O$9:$O$239,$B23,'PC Checklist'!$H$9:$H$239,"&lt;"&amp;TODAY(),'PC Checklist'!$G$9:$G$239,"&lt;&gt;Complete")-COUNTIFS('PC Checklist'!$O$9:$O$239,$B23,'PC Checklist'!$H$9:$H$239,"&lt;"&amp;TODAY(),'PC Checklist'!$G$9:$G$239,"N/A")</f>
        <v>0</v>
      </c>
      <c r="M23" s="15" t="str">
        <f t="shared" si="2"/>
        <v>PC blocker open</v>
      </c>
    </row>
    <row r="24" spans="2:13" ht="26.1" customHeight="1" x14ac:dyDescent="0.25">
      <c r="B24" s="16" t="s">
        <v>135</v>
      </c>
      <c r="C24" s="17">
        <f>COUNTIFS('PC Checklist'!$O$9:$O$239,$B24)</f>
        <v>33</v>
      </c>
      <c r="D24" s="17">
        <f>COUNTIFS('PC Checklist'!$O$9:$O$239,$B24,'PC Checklist'!$G$9:$G$239,"Complete")</f>
        <v>0</v>
      </c>
      <c r="E24" s="17">
        <f>COUNTIFS('PC Checklist'!$O$9:$O$239,$B24,'PC Checklist'!$G$9:$G$239,"In Progress")</f>
        <v>0</v>
      </c>
      <c r="F24" s="17">
        <f>COUNTIFS('PC Checklist'!$O$9:$O$239,$B24,'PC Checklist'!$G$9:$G$239,"Not Started")</f>
        <v>33</v>
      </c>
      <c r="G24" s="17">
        <f>COUNTIFS('PC Checklist'!$O$9:$O$239,$B24,'PC Checklist'!$G$9:$G$239,"Blocked")</f>
        <v>0</v>
      </c>
      <c r="H24" s="17">
        <f>COUNTIFS('PC Checklist'!$O$9:$O$239,$B24,'PC Checklist'!$G$9:$G$239,"N/A")</f>
        <v>0</v>
      </c>
      <c r="I24" s="18">
        <f t="shared" si="0"/>
        <v>0</v>
      </c>
      <c r="J24" s="19" t="str">
        <f t="shared" si="1"/>
        <v>Red</v>
      </c>
      <c r="K24" s="17">
        <f>COUNTIFS('PC Checklist'!$O$9:$O$239,$B24,'PC Checklist'!$E$9:$E$239,"Yes",'PC Checklist'!$G$9:$G$239,"&lt;&gt;Complete")-COUNTIFS('PC Checklist'!$O$9:$O$239,$B24,'PC Checklist'!$E$9:$E$239,"Yes",'PC Checklist'!$G$9:$G$239,"N/A")</f>
        <v>22</v>
      </c>
      <c r="L24" s="17">
        <f ca="1">COUNTIFS('PC Checklist'!$O$9:$O$239,$B24,'PC Checklist'!$H$9:$H$239,"&lt;"&amp;TODAY(),'PC Checklist'!$G$9:$G$239,"&lt;&gt;Complete")-COUNTIFS('PC Checklist'!$O$9:$O$239,$B24,'PC Checklist'!$H$9:$H$239,"&lt;"&amp;TODAY(),'PC Checklist'!$G$9:$G$239,"N/A")</f>
        <v>0</v>
      </c>
      <c r="M24" s="20" t="str">
        <f t="shared" si="2"/>
        <v>PC blocker open</v>
      </c>
    </row>
    <row r="25" spans="2:13" ht="26.1" customHeight="1" x14ac:dyDescent="0.25">
      <c r="B25" s="11" t="s">
        <v>136</v>
      </c>
      <c r="C25" s="12">
        <f>COUNTIFS('PC Checklist'!$O$9:$O$239,$B25)</f>
        <v>18</v>
      </c>
      <c r="D25" s="12">
        <f>COUNTIFS('PC Checklist'!$O$9:$O$239,$B25,'PC Checklist'!$G$9:$G$239,"Complete")</f>
        <v>0</v>
      </c>
      <c r="E25" s="12">
        <f>COUNTIFS('PC Checklist'!$O$9:$O$239,$B25,'PC Checklist'!$G$9:$G$239,"In Progress")</f>
        <v>0</v>
      </c>
      <c r="F25" s="12">
        <f>COUNTIFS('PC Checklist'!$O$9:$O$239,$B25,'PC Checklist'!$G$9:$G$239,"Not Started")</f>
        <v>18</v>
      </c>
      <c r="G25" s="12">
        <f>COUNTIFS('PC Checklist'!$O$9:$O$239,$B25,'PC Checklist'!$G$9:$G$239,"Blocked")</f>
        <v>0</v>
      </c>
      <c r="H25" s="12">
        <f>COUNTIFS('PC Checklist'!$O$9:$O$239,$B25,'PC Checklist'!$G$9:$G$239,"N/A")</f>
        <v>0</v>
      </c>
      <c r="I25" s="13">
        <f t="shared" si="0"/>
        <v>0</v>
      </c>
      <c r="J25" s="14" t="str">
        <f t="shared" si="1"/>
        <v>Red</v>
      </c>
      <c r="K25" s="12">
        <f>COUNTIFS('PC Checklist'!$O$9:$O$239,$B25,'PC Checklist'!$E$9:$E$239,"Yes",'PC Checklist'!$G$9:$G$239,"&lt;&gt;Complete")-COUNTIFS('PC Checklist'!$O$9:$O$239,$B25,'PC Checklist'!$E$9:$E$239,"Yes",'PC Checklist'!$G$9:$G$239,"N/A")</f>
        <v>6</v>
      </c>
      <c r="L25" s="12">
        <f ca="1">COUNTIFS('PC Checklist'!$O$9:$O$239,$B25,'PC Checklist'!$H$9:$H$239,"&lt;"&amp;TODAY(),'PC Checklist'!$G$9:$G$239,"&lt;&gt;Complete")-COUNTIFS('PC Checklist'!$O$9:$O$239,$B25,'PC Checklist'!$H$9:$H$239,"&lt;"&amp;TODAY(),'PC Checklist'!$G$9:$G$239,"N/A")</f>
        <v>0</v>
      </c>
      <c r="M25" s="15" t="str">
        <f t="shared" si="2"/>
        <v>PC blocker open</v>
      </c>
    </row>
    <row r="26" spans="2:13" ht="26.1" customHeight="1" x14ac:dyDescent="0.25">
      <c r="B26" s="16" t="s">
        <v>137</v>
      </c>
      <c r="C26" s="17">
        <f>COUNTIFS('PC Checklist'!$O$9:$O$239,$B26)</f>
        <v>25</v>
      </c>
      <c r="D26" s="17">
        <f>COUNTIFS('PC Checklist'!$O$9:$O$239,$B26,'PC Checklist'!$G$9:$G$239,"Complete")</f>
        <v>0</v>
      </c>
      <c r="E26" s="17">
        <f>COUNTIFS('PC Checklist'!$O$9:$O$239,$B26,'PC Checklist'!$G$9:$G$239,"In Progress")</f>
        <v>0</v>
      </c>
      <c r="F26" s="17">
        <f>COUNTIFS('PC Checklist'!$O$9:$O$239,$B26,'PC Checklist'!$G$9:$G$239,"Not Started")</f>
        <v>25</v>
      </c>
      <c r="G26" s="17">
        <f>COUNTIFS('PC Checklist'!$O$9:$O$239,$B26,'PC Checklist'!$G$9:$G$239,"Blocked")</f>
        <v>0</v>
      </c>
      <c r="H26" s="17">
        <f>COUNTIFS('PC Checklist'!$O$9:$O$239,$B26,'PC Checklist'!$G$9:$G$239,"N/A")</f>
        <v>0</v>
      </c>
      <c r="I26" s="18">
        <f t="shared" si="0"/>
        <v>0</v>
      </c>
      <c r="J26" s="19" t="str">
        <f t="shared" si="1"/>
        <v>Red</v>
      </c>
      <c r="K26" s="17">
        <f>COUNTIFS('PC Checklist'!$O$9:$O$239,$B26,'PC Checklist'!$E$9:$E$239,"Yes",'PC Checklist'!$G$9:$G$239,"&lt;&gt;Complete")-COUNTIFS('PC Checklist'!$O$9:$O$239,$B26,'PC Checklist'!$E$9:$E$239,"Yes",'PC Checklist'!$G$9:$G$239,"N/A")</f>
        <v>14</v>
      </c>
      <c r="L26" s="17">
        <f ca="1">COUNTIFS('PC Checklist'!$O$9:$O$239,$B26,'PC Checklist'!$H$9:$H$239,"&lt;"&amp;TODAY(),'PC Checklist'!$G$9:$G$239,"&lt;&gt;Complete")-COUNTIFS('PC Checklist'!$O$9:$O$239,$B26,'PC Checklist'!$H$9:$H$239,"&lt;"&amp;TODAY(),'PC Checklist'!$G$9:$G$239,"N/A")</f>
        <v>0</v>
      </c>
      <c r="M26" s="20" t="str">
        <f t="shared" si="2"/>
        <v>PC blocker open</v>
      </c>
    </row>
    <row r="27" spans="2:13" ht="26.1" customHeight="1" x14ac:dyDescent="0.25">
      <c r="B27" s="11" t="s">
        <v>138</v>
      </c>
      <c r="C27" s="12">
        <f>COUNTIFS('PC Checklist'!$O$9:$O$239,$B27)</f>
        <v>17</v>
      </c>
      <c r="D27" s="12">
        <f>COUNTIFS('PC Checklist'!$O$9:$O$239,$B27,'PC Checklist'!$G$9:$G$239,"Complete")</f>
        <v>0</v>
      </c>
      <c r="E27" s="12">
        <f>COUNTIFS('PC Checklist'!$O$9:$O$239,$B27,'PC Checklist'!$G$9:$G$239,"In Progress")</f>
        <v>0</v>
      </c>
      <c r="F27" s="12">
        <f>COUNTIFS('PC Checklist'!$O$9:$O$239,$B27,'PC Checklist'!$G$9:$G$239,"Not Started")</f>
        <v>17</v>
      </c>
      <c r="G27" s="12">
        <f>COUNTIFS('PC Checklist'!$O$9:$O$239,$B27,'PC Checklist'!$G$9:$G$239,"Blocked")</f>
        <v>0</v>
      </c>
      <c r="H27" s="12">
        <f>COUNTIFS('PC Checklist'!$O$9:$O$239,$B27,'PC Checklist'!$G$9:$G$239,"N/A")</f>
        <v>0</v>
      </c>
      <c r="I27" s="13">
        <f t="shared" si="0"/>
        <v>0</v>
      </c>
      <c r="J27" s="14" t="str">
        <f t="shared" si="1"/>
        <v>Red</v>
      </c>
      <c r="K27" s="12">
        <f>COUNTIFS('PC Checklist'!$O$9:$O$239,$B27,'PC Checklist'!$E$9:$E$239,"Yes",'PC Checklist'!$G$9:$G$239,"&lt;&gt;Complete")-COUNTIFS('PC Checklist'!$O$9:$O$239,$B27,'PC Checklist'!$E$9:$E$239,"Yes",'PC Checklist'!$G$9:$G$239,"N/A")</f>
        <v>3</v>
      </c>
      <c r="L27" s="12">
        <f ca="1">COUNTIFS('PC Checklist'!$O$9:$O$239,$B27,'PC Checklist'!$H$9:$H$239,"&lt;"&amp;TODAY(),'PC Checklist'!$G$9:$G$239,"&lt;&gt;Complete")-COUNTIFS('PC Checklist'!$O$9:$O$239,$B27,'PC Checklist'!$H$9:$H$239,"&lt;"&amp;TODAY(),'PC Checklist'!$G$9:$G$239,"N/A")</f>
        <v>0</v>
      </c>
      <c r="M27" s="15" t="str">
        <f t="shared" si="2"/>
        <v>PC blocker open</v>
      </c>
    </row>
    <row r="28" spans="2:13" ht="26.1" customHeight="1" x14ac:dyDescent="0.25">
      <c r="B28" s="16" t="s">
        <v>139</v>
      </c>
      <c r="C28" s="17">
        <f>COUNTIFS('PC Checklist'!$O$9:$O$239,$B28)</f>
        <v>22</v>
      </c>
      <c r="D28" s="17">
        <f>COUNTIFS('PC Checklist'!$O$9:$O$239,$B28,'PC Checklist'!$G$9:$G$239,"Complete")</f>
        <v>0</v>
      </c>
      <c r="E28" s="17">
        <f>COUNTIFS('PC Checklist'!$O$9:$O$239,$B28,'PC Checklist'!$G$9:$G$239,"In Progress")</f>
        <v>0</v>
      </c>
      <c r="F28" s="17">
        <f>COUNTIFS('PC Checklist'!$O$9:$O$239,$B28,'PC Checklist'!$G$9:$G$239,"Not Started")</f>
        <v>22</v>
      </c>
      <c r="G28" s="17">
        <f>COUNTIFS('PC Checklist'!$O$9:$O$239,$B28,'PC Checklist'!$G$9:$G$239,"Blocked")</f>
        <v>0</v>
      </c>
      <c r="H28" s="17">
        <f>COUNTIFS('PC Checklist'!$O$9:$O$239,$B28,'PC Checklist'!$G$9:$G$239,"N/A")</f>
        <v>0</v>
      </c>
      <c r="I28" s="18">
        <f t="shared" si="0"/>
        <v>0</v>
      </c>
      <c r="J28" s="19" t="str">
        <f t="shared" si="1"/>
        <v>Red</v>
      </c>
      <c r="K28" s="17">
        <f>COUNTIFS('PC Checklist'!$O$9:$O$239,$B28,'PC Checklist'!$E$9:$E$239,"Yes",'PC Checklist'!$G$9:$G$239,"&lt;&gt;Complete")-COUNTIFS('PC Checklist'!$O$9:$O$239,$B28,'PC Checklist'!$E$9:$E$239,"Yes",'PC Checklist'!$G$9:$G$239,"N/A")</f>
        <v>6</v>
      </c>
      <c r="L28" s="17">
        <f ca="1">COUNTIFS('PC Checklist'!$O$9:$O$239,$B28,'PC Checklist'!$H$9:$H$239,"&lt;"&amp;TODAY(),'PC Checklist'!$G$9:$G$239,"&lt;&gt;Complete")-COUNTIFS('PC Checklist'!$O$9:$O$239,$B28,'PC Checklist'!$H$9:$H$239,"&lt;"&amp;TODAY(),'PC Checklist'!$G$9:$G$239,"N/A")</f>
        <v>0</v>
      </c>
      <c r="M28" s="20" t="str">
        <f t="shared" si="2"/>
        <v>PC blocker open</v>
      </c>
    </row>
    <row r="29" spans="2:13" ht="26.1" customHeight="1" x14ac:dyDescent="0.25">
      <c r="B29" s="11" t="s">
        <v>140</v>
      </c>
      <c r="C29" s="12">
        <f>COUNTIFS('PC Checklist'!$O$9:$O$239,$B29)</f>
        <v>21</v>
      </c>
      <c r="D29" s="12">
        <f>COUNTIFS('PC Checklist'!$O$9:$O$239,$B29,'PC Checklist'!$G$9:$G$239,"Complete")</f>
        <v>0</v>
      </c>
      <c r="E29" s="12">
        <f>COUNTIFS('PC Checklist'!$O$9:$O$239,$B29,'PC Checklist'!$G$9:$G$239,"In Progress")</f>
        <v>0</v>
      </c>
      <c r="F29" s="12">
        <f>COUNTIFS('PC Checklist'!$O$9:$O$239,$B29,'PC Checklist'!$G$9:$G$239,"Not Started")</f>
        <v>21</v>
      </c>
      <c r="G29" s="12">
        <f>COUNTIFS('PC Checklist'!$O$9:$O$239,$B29,'PC Checklist'!$G$9:$G$239,"Blocked")</f>
        <v>0</v>
      </c>
      <c r="H29" s="12">
        <f>COUNTIFS('PC Checklist'!$O$9:$O$239,$B29,'PC Checklist'!$G$9:$G$239,"N/A")</f>
        <v>0</v>
      </c>
      <c r="I29" s="13">
        <f t="shared" si="0"/>
        <v>0</v>
      </c>
      <c r="J29" s="14" t="str">
        <f t="shared" si="1"/>
        <v>Red</v>
      </c>
      <c r="K29" s="12">
        <f>COUNTIFS('PC Checklist'!$O$9:$O$239,$B29,'PC Checklist'!$E$9:$E$239,"Yes",'PC Checklist'!$G$9:$G$239,"&lt;&gt;Complete")-COUNTIFS('PC Checklist'!$O$9:$O$239,$B29,'PC Checklist'!$E$9:$E$239,"Yes",'PC Checklist'!$G$9:$G$239,"N/A")</f>
        <v>8</v>
      </c>
      <c r="L29" s="12">
        <f ca="1">COUNTIFS('PC Checklist'!$O$9:$O$239,$B29,'PC Checklist'!$H$9:$H$239,"&lt;"&amp;TODAY(),'PC Checklist'!$G$9:$G$239,"&lt;&gt;Complete")-COUNTIFS('PC Checklist'!$O$9:$O$239,$B29,'PC Checklist'!$H$9:$H$239,"&lt;"&amp;TODAY(),'PC Checklist'!$G$9:$G$239,"N/A")</f>
        <v>0</v>
      </c>
      <c r="M29" s="15" t="str">
        <f t="shared" si="2"/>
        <v>PC blocker open</v>
      </c>
    </row>
    <row r="30" spans="2:13" ht="26.1" customHeight="1" x14ac:dyDescent="0.25">
      <c r="B30" s="16" t="s">
        <v>141</v>
      </c>
      <c r="C30" s="17">
        <f>COUNTIFS('PC Checklist'!$O$9:$O$239,$B30)</f>
        <v>18</v>
      </c>
      <c r="D30" s="17">
        <f>COUNTIFS('PC Checklist'!$O$9:$O$239,$B30,'PC Checklist'!$G$9:$G$239,"Complete")</f>
        <v>0</v>
      </c>
      <c r="E30" s="17">
        <f>COUNTIFS('PC Checklist'!$O$9:$O$239,$B30,'PC Checklist'!$G$9:$G$239,"In Progress")</f>
        <v>0</v>
      </c>
      <c r="F30" s="17">
        <f>COUNTIFS('PC Checklist'!$O$9:$O$239,$B30,'PC Checklist'!$G$9:$G$239,"Not Started")</f>
        <v>18</v>
      </c>
      <c r="G30" s="17">
        <f>COUNTIFS('PC Checklist'!$O$9:$O$239,$B30,'PC Checklist'!$G$9:$G$239,"Blocked")</f>
        <v>0</v>
      </c>
      <c r="H30" s="17">
        <f>COUNTIFS('PC Checklist'!$O$9:$O$239,$B30,'PC Checklist'!$G$9:$G$239,"N/A")</f>
        <v>0</v>
      </c>
      <c r="I30" s="18">
        <f t="shared" si="0"/>
        <v>0</v>
      </c>
      <c r="J30" s="19" t="str">
        <f t="shared" si="1"/>
        <v>Red</v>
      </c>
      <c r="K30" s="17">
        <f>COUNTIFS('PC Checklist'!$O$9:$O$239,$B30,'PC Checklist'!$E$9:$E$239,"Yes",'PC Checklist'!$G$9:$G$239,"&lt;&gt;Complete")-COUNTIFS('PC Checklist'!$O$9:$O$239,$B30,'PC Checklist'!$E$9:$E$239,"Yes",'PC Checklist'!$G$9:$G$239,"N/A")</f>
        <v>4</v>
      </c>
      <c r="L30" s="17">
        <f ca="1">COUNTIFS('PC Checklist'!$O$9:$O$239,$B30,'PC Checklist'!$H$9:$H$239,"&lt;"&amp;TODAY(),'PC Checklist'!$G$9:$G$239,"&lt;&gt;Complete")-COUNTIFS('PC Checklist'!$O$9:$O$239,$B30,'PC Checklist'!$H$9:$H$239,"&lt;"&amp;TODAY(),'PC Checklist'!$G$9:$G$239,"N/A")</f>
        <v>0</v>
      </c>
      <c r="M30" s="20" t="str">
        <f t="shared" si="2"/>
        <v>PC blocker open</v>
      </c>
    </row>
    <row r="31" spans="2:13" ht="21.95" customHeight="1" x14ac:dyDescent="0.25">
      <c r="B31" s="21" t="s">
        <v>142</v>
      </c>
      <c r="C31" s="22">
        <f t="shared" ref="C31:H31" si="3">SUM(C21:C30)</f>
        <v>221</v>
      </c>
      <c r="D31" s="22">
        <f t="shared" si="3"/>
        <v>0</v>
      </c>
      <c r="E31" s="22">
        <f t="shared" si="3"/>
        <v>0</v>
      </c>
      <c r="F31" s="22">
        <f t="shared" si="3"/>
        <v>221</v>
      </c>
      <c r="G31" s="22">
        <f t="shared" si="3"/>
        <v>0</v>
      </c>
      <c r="H31" s="22">
        <f t="shared" si="3"/>
        <v>0</v>
      </c>
      <c r="I31" s="23">
        <f t="shared" si="0"/>
        <v>0</v>
      </c>
      <c r="J31" s="24" t="str">
        <f>IF(OR($K31&gt;0,$G31&gt;0),"Red",IF($I31&gt;=1,"Green",IF($I31&gt;=0.75,"Amber","Red")))</f>
        <v>Red</v>
      </c>
      <c r="K31" s="22">
        <f>SUM(K21:K30)</f>
        <v>100</v>
      </c>
      <c r="L31" s="22">
        <f ca="1">SUM(L21:L30)</f>
        <v>0</v>
      </c>
      <c r="M31" s="23">
        <f>$I31</f>
        <v>0</v>
      </c>
    </row>
    <row r="33" spans="2:13" ht="21.95" customHeight="1" x14ac:dyDescent="0.25">
      <c r="B33" s="74" t="s">
        <v>143</v>
      </c>
      <c r="C33" s="71"/>
      <c r="D33" s="71"/>
      <c r="E33" s="71"/>
      <c r="F33" s="71"/>
      <c r="G33" s="71"/>
      <c r="H33" s="74" t="s">
        <v>144</v>
      </c>
      <c r="I33" s="71"/>
      <c r="J33" s="71"/>
      <c r="K33" s="71"/>
      <c r="L33" s="71"/>
      <c r="M33" s="71"/>
    </row>
    <row r="34" spans="2:13" ht="30" customHeight="1" x14ac:dyDescent="0.25">
      <c r="B34" s="10" t="s">
        <v>145</v>
      </c>
      <c r="C34" s="10" t="s">
        <v>146</v>
      </c>
      <c r="D34" s="10" t="s">
        <v>147</v>
      </c>
      <c r="E34" s="10" t="s">
        <v>148</v>
      </c>
      <c r="F34" s="10" t="s">
        <v>130</v>
      </c>
      <c r="G34" s="10" t="s">
        <v>149</v>
      </c>
      <c r="H34" s="104" t="s">
        <v>150</v>
      </c>
      <c r="I34" s="105"/>
      <c r="J34" s="10" t="s">
        <v>146</v>
      </c>
      <c r="K34" s="10" t="s">
        <v>147</v>
      </c>
      <c r="L34" s="10" t="s">
        <v>151</v>
      </c>
      <c r="M34" s="10" t="s">
        <v>149</v>
      </c>
    </row>
    <row r="35" spans="2:13" ht="27.95" customHeight="1" x14ac:dyDescent="0.25">
      <c r="B35" s="11" t="s">
        <v>152</v>
      </c>
      <c r="C35" s="12">
        <f>COUNTIFS('Defects Register'!$F$9:$F$80,$B35)</f>
        <v>6</v>
      </c>
      <c r="D35" s="12">
        <f>COUNTIFS('Defects Register'!$F$9:$F$80,$B35,'Defects Register'!$N$9:$N$80,"&lt;&gt;Verified closed",'Defects Register'!$N$9:$N$80,"&lt;&gt;Rejected - not a defect")</f>
        <v>6</v>
      </c>
      <c r="E35" s="12">
        <f>COUNTIFS('Defects Register'!$F$9:$F$80,$B35,'Defects Register'!$N$9:$N$80,"Verified closed")</f>
        <v>0</v>
      </c>
      <c r="F35" s="12">
        <f ca="1">COUNTIFS('Defects Register'!$F$9:$F$80,$B35,'Defects Register'!$I$9:$I$80,"&lt;"&amp;TODAY(),'Defects Register'!$K$9:$K$80,"")</f>
        <v>5</v>
      </c>
      <c r="G35" s="25">
        <f>SUMIFS('Defects Register'!$P$9:$P$80,'Defects Register'!$F$9:$F$80,$B35)</f>
        <v>27330</v>
      </c>
      <c r="H35" s="92" t="s">
        <v>153</v>
      </c>
      <c r="I35" s="93"/>
      <c r="J35" s="27">
        <f>COUNTIFS('Defects Register'!$C$9:$C$80,$H35)</f>
        <v>1</v>
      </c>
      <c r="K35" s="27">
        <f>COUNTIFS('Defects Register'!$C$9:$C$80,$H35,'Defects Register'!$N$9:$N$80,"&lt;&gt;Verified closed",'Defects Register'!$N$9:$N$80,"&lt;&gt;Rejected - not a defect")</f>
        <v>1</v>
      </c>
      <c r="L35" s="27">
        <f>COUNTIFS('Defects Register'!$C$9:$C$80,$H35,'Defects Register'!$F$9:$F$80,"A*",'Defects Register'!$N$9:$N$80,"&lt;&gt;Verified closed",'Defects Register'!$N$9:$N$80,"&lt;&gt;Rejected - not a defect")</f>
        <v>0</v>
      </c>
      <c r="M35" s="28">
        <f>SUMIFS('Defects Register'!$P$9:$P$80,'Defects Register'!$C$9:$C$80,$H35)</f>
        <v>900</v>
      </c>
    </row>
    <row r="36" spans="2:13" ht="27.95" customHeight="1" x14ac:dyDescent="0.25">
      <c r="B36" s="16" t="s">
        <v>154</v>
      </c>
      <c r="C36" s="17">
        <f>COUNTIFS('Defects Register'!$F$9:$F$80,$B36)</f>
        <v>4</v>
      </c>
      <c r="D36" s="17">
        <f>COUNTIFS('Defects Register'!$F$9:$F$80,$B36,'Defects Register'!$N$9:$N$80,"&lt;&gt;Verified closed",'Defects Register'!$N$9:$N$80,"&lt;&gt;Rejected - not a defect")</f>
        <v>3</v>
      </c>
      <c r="E36" s="17">
        <f>COUNTIFS('Defects Register'!$F$9:$F$80,$B36,'Defects Register'!$N$9:$N$80,"Verified closed")</f>
        <v>1</v>
      </c>
      <c r="F36" s="17">
        <f ca="1">COUNTIFS('Defects Register'!$F$9:$F$80,$B36,'Defects Register'!$I$9:$I$80,"&lt;"&amp;TODAY(),'Defects Register'!$K$9:$K$80,"")</f>
        <v>0</v>
      </c>
      <c r="G36" s="29">
        <f>SUMIFS('Defects Register'!$P$9:$P$80,'Defects Register'!$F$9:$F$80,$B36)</f>
        <v>7690</v>
      </c>
      <c r="H36" s="94" t="s">
        <v>155</v>
      </c>
      <c r="I36" s="95"/>
      <c r="J36" s="31">
        <f>COUNTIFS('Defects Register'!$C$9:$C$80,$H36)</f>
        <v>1</v>
      </c>
      <c r="K36" s="31">
        <f>COUNTIFS('Defects Register'!$C$9:$C$80,$H36,'Defects Register'!$N$9:$N$80,"&lt;&gt;Verified closed",'Defects Register'!$N$9:$N$80,"&lt;&gt;Rejected - not a defect")</f>
        <v>1</v>
      </c>
      <c r="L36" s="31">
        <f>COUNTIFS('Defects Register'!$C$9:$C$80,$H36,'Defects Register'!$F$9:$F$80,"A*",'Defects Register'!$N$9:$N$80,"&lt;&gt;Verified closed",'Defects Register'!$N$9:$N$80,"&lt;&gt;Rejected - not a defect")</f>
        <v>1</v>
      </c>
      <c r="M36" s="32">
        <f>SUMIFS('Defects Register'!$P$9:$P$80,'Defects Register'!$C$9:$C$80,$H36)</f>
        <v>8600</v>
      </c>
    </row>
    <row r="37" spans="2:13" ht="27.95" customHeight="1" x14ac:dyDescent="0.25">
      <c r="B37" s="11" t="s">
        <v>156</v>
      </c>
      <c r="C37" s="12">
        <f>COUNTIFS('Defects Register'!$F$9:$F$80,$B37)</f>
        <v>2</v>
      </c>
      <c r="D37" s="12">
        <f>COUNTIFS('Defects Register'!$F$9:$F$80,$B37,'Defects Register'!$N$9:$N$80,"&lt;&gt;Verified closed",'Defects Register'!$N$9:$N$80,"&lt;&gt;Rejected - not a defect")</f>
        <v>2</v>
      </c>
      <c r="E37" s="12">
        <f>COUNTIFS('Defects Register'!$F$9:$F$80,$B37,'Defects Register'!$N$9:$N$80,"Verified closed")</f>
        <v>0</v>
      </c>
      <c r="F37" s="12">
        <f ca="1">COUNTIFS('Defects Register'!$F$9:$F$80,$B37,'Defects Register'!$I$9:$I$80,"&lt;"&amp;TODAY(),'Defects Register'!$K$9:$K$80,"")</f>
        <v>0</v>
      </c>
      <c r="G37" s="25">
        <f>SUMIFS('Defects Register'!$P$9:$P$80,'Defects Register'!$F$9:$F$80,$B37)</f>
        <v>1280</v>
      </c>
      <c r="H37" s="92" t="s">
        <v>157</v>
      </c>
      <c r="I37" s="93"/>
      <c r="J37" s="27">
        <f>COUNTIFS('Defects Register'!$C$9:$C$80,$H37)</f>
        <v>1</v>
      </c>
      <c r="K37" s="27">
        <f>COUNTIFS('Defects Register'!$C$9:$C$80,$H37,'Defects Register'!$N$9:$N$80,"&lt;&gt;Verified closed",'Defects Register'!$N$9:$N$80,"&lt;&gt;Rejected - not a defect")</f>
        <v>1</v>
      </c>
      <c r="L37" s="27">
        <f>COUNTIFS('Defects Register'!$C$9:$C$80,$H37,'Defects Register'!$F$9:$F$80,"A*",'Defects Register'!$N$9:$N$80,"&lt;&gt;Verified closed",'Defects Register'!$N$9:$N$80,"&lt;&gt;Rejected - not a defect")</f>
        <v>1</v>
      </c>
      <c r="M37" s="28">
        <f>SUMIFS('Defects Register'!$P$9:$P$80,'Defects Register'!$C$9:$C$80,$H37)</f>
        <v>1150</v>
      </c>
    </row>
    <row r="38" spans="2:13" ht="27.95" customHeight="1" x14ac:dyDescent="0.25">
      <c r="B38" s="21" t="s">
        <v>158</v>
      </c>
      <c r="C38" s="22">
        <f>SUM(C35:C37)</f>
        <v>12</v>
      </c>
      <c r="D38" s="22">
        <f>SUM(D35:D37)</f>
        <v>11</v>
      </c>
      <c r="E38" s="22">
        <f>SUM(E35:E37)</f>
        <v>1</v>
      </c>
      <c r="F38" s="22">
        <f ca="1">SUM(F35:F37)</f>
        <v>5</v>
      </c>
      <c r="G38" s="33">
        <f>SUM(G35:G37)</f>
        <v>36300</v>
      </c>
      <c r="H38" s="94" t="s">
        <v>159</v>
      </c>
      <c r="I38" s="95"/>
      <c r="J38" s="31">
        <f>COUNTIFS('Defects Register'!$C$9:$C$80,$H38)</f>
        <v>1</v>
      </c>
      <c r="K38" s="31">
        <f>COUNTIFS('Defects Register'!$C$9:$C$80,$H38,'Defects Register'!$N$9:$N$80,"&lt;&gt;Verified closed",'Defects Register'!$N$9:$N$80,"&lt;&gt;Rejected - not a defect")</f>
        <v>0</v>
      </c>
      <c r="L38" s="31">
        <f>COUNTIFS('Defects Register'!$C$9:$C$80,$H38,'Defects Register'!$F$9:$F$80,"A*",'Defects Register'!$N$9:$N$80,"&lt;&gt;Verified closed",'Defects Register'!$N$9:$N$80,"&lt;&gt;Rejected - not a defect")</f>
        <v>0</v>
      </c>
      <c r="M38" s="32">
        <f>SUMIFS('Defects Register'!$P$9:$P$80,'Defects Register'!$C$9:$C$80,$H38)</f>
        <v>4300</v>
      </c>
    </row>
    <row r="39" spans="2:13" ht="27.95" customHeight="1" x14ac:dyDescent="0.25">
      <c r="H39" s="92" t="s">
        <v>160</v>
      </c>
      <c r="I39" s="93"/>
      <c r="J39" s="27">
        <f>COUNTIFS('Defects Register'!$C$9:$C$80,$H39)</f>
        <v>1</v>
      </c>
      <c r="K39" s="27">
        <f>COUNTIFS('Defects Register'!$C$9:$C$80,$H39,'Defects Register'!$N$9:$N$80,"&lt;&gt;Verified closed",'Defects Register'!$N$9:$N$80,"&lt;&gt;Rejected - not a defect")</f>
        <v>1</v>
      </c>
      <c r="L39" s="27">
        <f>COUNTIFS('Defects Register'!$C$9:$C$80,$H39,'Defects Register'!$F$9:$F$80,"A*",'Defects Register'!$N$9:$N$80,"&lt;&gt;Verified closed",'Defects Register'!$N$9:$N$80,"&lt;&gt;Rejected - not a defect")</f>
        <v>1</v>
      </c>
      <c r="M39" s="28">
        <f>SUMIFS('Defects Register'!$P$9:$P$80,'Defects Register'!$C$9:$C$80,$H39)</f>
        <v>12400</v>
      </c>
    </row>
    <row r="40" spans="2:13" ht="27.95" customHeight="1" x14ac:dyDescent="0.25">
      <c r="H40" s="94" t="s">
        <v>161</v>
      </c>
      <c r="I40" s="95"/>
      <c r="J40" s="31">
        <f>COUNTIFS('Defects Register'!$C$9:$C$80,$H40)</f>
        <v>1</v>
      </c>
      <c r="K40" s="31">
        <f>COUNTIFS('Defects Register'!$C$9:$C$80,$H40,'Defects Register'!$N$9:$N$80,"&lt;&gt;Verified closed",'Defects Register'!$N$9:$N$80,"&lt;&gt;Rejected - not a defect")</f>
        <v>1</v>
      </c>
      <c r="L40" s="31">
        <f>COUNTIFS('Defects Register'!$C$9:$C$80,$H40,'Defects Register'!$F$9:$F$80,"A*",'Defects Register'!$N$9:$N$80,"&lt;&gt;Verified closed",'Defects Register'!$N$9:$N$80,"&lt;&gt;Rejected - not a defect")</f>
        <v>1</v>
      </c>
      <c r="M40" s="32">
        <f>SUMIFS('Defects Register'!$P$9:$P$80,'Defects Register'!$C$9:$C$80,$H40)</f>
        <v>1500</v>
      </c>
    </row>
    <row r="41" spans="2:13" ht="27.95" customHeight="1" x14ac:dyDescent="0.25">
      <c r="H41" s="92" t="s">
        <v>162</v>
      </c>
      <c r="I41" s="93"/>
      <c r="J41" s="27">
        <f>COUNTIFS('Defects Register'!$C$9:$C$80,$H41)</f>
        <v>1</v>
      </c>
      <c r="K41" s="27">
        <f>COUNTIFS('Defects Register'!$C$9:$C$80,$H41,'Defects Register'!$N$9:$N$80,"&lt;&gt;Verified closed",'Defects Register'!$N$9:$N$80,"&lt;&gt;Rejected - not a defect")</f>
        <v>1</v>
      </c>
      <c r="L41" s="27">
        <f>COUNTIFS('Defects Register'!$C$9:$C$80,$H41,'Defects Register'!$F$9:$F$80,"A*",'Defects Register'!$N$9:$N$80,"&lt;&gt;Verified closed",'Defects Register'!$N$9:$N$80,"&lt;&gt;Rejected - not a defect")</f>
        <v>1</v>
      </c>
      <c r="M41" s="28">
        <f>SUMIFS('Defects Register'!$P$9:$P$80,'Defects Register'!$C$9:$C$80,$H41)</f>
        <v>480</v>
      </c>
    </row>
    <row r="42" spans="2:13" ht="27.95" customHeight="1" x14ac:dyDescent="0.25">
      <c r="H42" s="94" t="s">
        <v>163</v>
      </c>
      <c r="I42" s="95"/>
      <c r="J42" s="31">
        <f>COUNTIFS('Defects Register'!$C$9:$C$80,$H42)</f>
        <v>1</v>
      </c>
      <c r="K42" s="31">
        <f>COUNTIFS('Defects Register'!$C$9:$C$80,$H42,'Defects Register'!$N$9:$N$80,"&lt;&gt;Verified closed",'Defects Register'!$N$9:$N$80,"&lt;&gt;Rejected - not a defect")</f>
        <v>1</v>
      </c>
      <c r="L42" s="31">
        <f>COUNTIFS('Defects Register'!$C$9:$C$80,$H42,'Defects Register'!$F$9:$F$80,"A*",'Defects Register'!$N$9:$N$80,"&lt;&gt;Verified closed",'Defects Register'!$N$9:$N$80,"&lt;&gt;Rejected - not a defect")</f>
        <v>1</v>
      </c>
      <c r="M42" s="32">
        <f>SUMIFS('Defects Register'!$P$9:$P$80,'Defects Register'!$C$9:$C$80,$H42)</f>
        <v>3200</v>
      </c>
    </row>
    <row r="43" spans="2:13" ht="27.95" customHeight="1" x14ac:dyDescent="0.25">
      <c r="H43" s="92" t="s">
        <v>164</v>
      </c>
      <c r="I43" s="93"/>
      <c r="J43" s="27">
        <f>COUNTIFS('Defects Register'!$C$9:$C$80,$H43)</f>
        <v>1</v>
      </c>
      <c r="K43" s="27">
        <f>COUNTIFS('Defects Register'!$C$9:$C$80,$H43,'Defects Register'!$N$9:$N$80,"&lt;&gt;Verified closed",'Defects Register'!$N$9:$N$80,"&lt;&gt;Rejected - not a defect")</f>
        <v>1</v>
      </c>
      <c r="L43" s="27">
        <f>COUNTIFS('Defects Register'!$C$9:$C$80,$H43,'Defects Register'!$F$9:$F$80,"A*",'Defects Register'!$N$9:$N$80,"&lt;&gt;Verified closed",'Defects Register'!$N$9:$N$80,"&lt;&gt;Rejected - not a defect")</f>
        <v>0</v>
      </c>
      <c r="M43" s="28">
        <f>SUMIFS('Defects Register'!$P$9:$P$80,'Defects Register'!$C$9:$C$80,$H43)</f>
        <v>0</v>
      </c>
    </row>
    <row r="44" spans="2:13" ht="27.95" customHeight="1" x14ac:dyDescent="0.25">
      <c r="H44" s="94" t="s">
        <v>165</v>
      </c>
      <c r="I44" s="95"/>
      <c r="J44" s="31">
        <f>COUNTIFS('Defects Register'!$C$9:$C$80,$H44)</f>
        <v>1</v>
      </c>
      <c r="K44" s="31">
        <f>COUNTIFS('Defects Register'!$C$9:$C$80,$H44,'Defects Register'!$N$9:$N$80,"&lt;&gt;Verified closed",'Defects Register'!$N$9:$N$80,"&lt;&gt;Rejected - not a defect")</f>
        <v>1</v>
      </c>
      <c r="L44" s="31">
        <f>COUNTIFS('Defects Register'!$C$9:$C$80,$H44,'Defects Register'!$F$9:$F$80,"A*",'Defects Register'!$N$9:$N$80,"&lt;&gt;Verified closed",'Defects Register'!$N$9:$N$80,"&lt;&gt;Rejected - not a defect")</f>
        <v>0</v>
      </c>
      <c r="M44" s="32">
        <f>SUMIFS('Defects Register'!$P$9:$P$80,'Defects Register'!$C$9:$C$80,$H44)</f>
        <v>640</v>
      </c>
    </row>
    <row r="45" spans="2:13" ht="27.95" customHeight="1" x14ac:dyDescent="0.25">
      <c r="H45" s="92" t="s">
        <v>166</v>
      </c>
      <c r="I45" s="93"/>
      <c r="J45" s="27">
        <f>COUNTIFS('Defects Register'!$C$9:$C$80,$H45)</f>
        <v>1</v>
      </c>
      <c r="K45" s="27">
        <f>COUNTIFS('Defects Register'!$C$9:$C$80,$H45,'Defects Register'!$N$9:$N$80,"&lt;&gt;Verified closed",'Defects Register'!$N$9:$N$80,"&lt;&gt;Rejected - not a defect")</f>
        <v>1</v>
      </c>
      <c r="L45" s="27">
        <f>COUNTIFS('Defects Register'!$C$9:$C$80,$H45,'Defects Register'!$F$9:$F$80,"A*",'Defects Register'!$N$9:$N$80,"&lt;&gt;Verified closed",'Defects Register'!$N$9:$N$80,"&lt;&gt;Rejected - not a defect")</f>
        <v>0</v>
      </c>
      <c r="M45" s="28">
        <f>SUMIFS('Defects Register'!$P$9:$P$80,'Defects Register'!$C$9:$C$80,$H45)</f>
        <v>2750</v>
      </c>
    </row>
    <row r="46" spans="2:13" ht="27.95" customHeight="1" x14ac:dyDescent="0.25">
      <c r="H46" s="94" t="s">
        <v>167</v>
      </c>
      <c r="I46" s="95"/>
      <c r="J46" s="31">
        <f>COUNTIFS('Defects Register'!$C$9:$C$80,$H46)</f>
        <v>1</v>
      </c>
      <c r="K46" s="31">
        <f>COUNTIFS('Defects Register'!$C$9:$C$80,$H46,'Defects Register'!$N$9:$N$80,"&lt;&gt;Verified closed",'Defects Register'!$N$9:$N$80,"&lt;&gt;Rejected - not a defect")</f>
        <v>1</v>
      </c>
      <c r="L46" s="31">
        <f>COUNTIFS('Defects Register'!$C$9:$C$80,$H46,'Defects Register'!$F$9:$F$80,"A*",'Defects Register'!$N$9:$N$80,"&lt;&gt;Verified closed",'Defects Register'!$N$9:$N$80,"&lt;&gt;Rejected - not a defect")</f>
        <v>0</v>
      </c>
      <c r="M46" s="32">
        <f>SUMIFS('Defects Register'!$P$9:$P$80,'Defects Register'!$C$9:$C$80,$H46)</f>
        <v>380</v>
      </c>
    </row>
    <row r="47" spans="2:13" x14ac:dyDescent="0.25">
      <c r="H47" s="109" t="s">
        <v>168</v>
      </c>
      <c r="I47" s="93"/>
      <c r="J47" s="22">
        <f>SUM(J35:J46)</f>
        <v>12</v>
      </c>
      <c r="K47" s="22">
        <f>SUM(K35:K46)</f>
        <v>11</v>
      </c>
      <c r="L47" s="22">
        <f>SUM(L35:L46)</f>
        <v>6</v>
      </c>
      <c r="M47" s="33">
        <f>SUM(M35:M46)</f>
        <v>36300</v>
      </c>
    </row>
    <row r="49" spans="1:13" ht="24" customHeight="1" x14ac:dyDescent="0.25">
      <c r="B49" s="106" t="s">
        <v>169</v>
      </c>
      <c r="C49" s="71"/>
      <c r="D49" s="71"/>
      <c r="E49" s="71"/>
      <c r="F49" s="71"/>
      <c r="G49" s="71"/>
      <c r="H49" s="71"/>
      <c r="I49" s="71"/>
      <c r="J49" s="71"/>
      <c r="K49" s="71"/>
      <c r="L49" s="71"/>
      <c r="M49" s="71"/>
    </row>
    <row r="51" spans="1:13" ht="20.100000000000001" customHeight="1" x14ac:dyDescent="0.25">
      <c r="A51" s="72" t="s">
        <v>100</v>
      </c>
      <c r="B51" s="73"/>
      <c r="C51" s="73"/>
      <c r="D51" s="73"/>
      <c r="E51" s="73"/>
      <c r="F51" s="73"/>
      <c r="G51" s="73"/>
      <c r="H51" s="73"/>
      <c r="I51" s="73"/>
      <c r="J51" s="73"/>
      <c r="K51" s="73"/>
      <c r="L51" s="73"/>
      <c r="M51" s="73"/>
    </row>
  </sheetData>
  <mergeCells count="49">
    <mergeCell ref="A51:M51"/>
    <mergeCell ref="H33:M33"/>
    <mergeCell ref="K10:M10"/>
    <mergeCell ref="K6:M6"/>
    <mergeCell ref="H45:I45"/>
    <mergeCell ref="H8:J8"/>
    <mergeCell ref="E12:G12"/>
    <mergeCell ref="H37:I37"/>
    <mergeCell ref="H47:I47"/>
    <mergeCell ref="B7:D7"/>
    <mergeCell ref="H10:J10"/>
    <mergeCell ref="H42:I42"/>
    <mergeCell ref="E8:G8"/>
    <mergeCell ref="B15:M16"/>
    <mergeCell ref="B12:D12"/>
    <mergeCell ref="K11:M11"/>
    <mergeCell ref="H46:I46"/>
    <mergeCell ref="H12:J12"/>
    <mergeCell ref="H36:I36"/>
    <mergeCell ref="B49:M49"/>
    <mergeCell ref="E7:G7"/>
    <mergeCell ref="K7:M7"/>
    <mergeCell ref="B33:G33"/>
    <mergeCell ref="H44:I44"/>
    <mergeCell ref="H11:J11"/>
    <mergeCell ref="H40:I40"/>
    <mergeCell ref="H7:J7"/>
    <mergeCell ref="E6:G6"/>
    <mergeCell ref="H39:I39"/>
    <mergeCell ref="H34:I34"/>
    <mergeCell ref="E11:G11"/>
    <mergeCell ref="B19:M19"/>
    <mergeCell ref="B6:D6"/>
    <mergeCell ref="H6:J6"/>
    <mergeCell ref="H43:I43"/>
    <mergeCell ref="I2:M2"/>
    <mergeCell ref="A4:M4"/>
    <mergeCell ref="B14:M14"/>
    <mergeCell ref="H41:I41"/>
    <mergeCell ref="B17:M17"/>
    <mergeCell ref="K12:M12"/>
    <mergeCell ref="B10:D10"/>
    <mergeCell ref="K8:M8"/>
    <mergeCell ref="B2:H2"/>
    <mergeCell ref="B11:D11"/>
    <mergeCell ref="E10:G10"/>
    <mergeCell ref="H35:I35"/>
    <mergeCell ref="H38:I38"/>
    <mergeCell ref="B8:D8"/>
  </mergeCells>
  <conditionalFormatting sqref="B15:M16">
    <cfRule type="expression" dxfId="40" priority="1">
      <formula>$B$15="NOT READY FOR PC"</formula>
    </cfRule>
    <cfRule type="expression" dxfId="39" priority="2">
      <formula>$B$15="READY TO RECOMMEND PC"</formula>
    </cfRule>
  </conditionalFormatting>
  <conditionalFormatting sqref="I21:I30">
    <cfRule type="dataBar" priority="3">
      <dataBar>
        <cfvo type="num" val="0"/>
        <cfvo type="num" val="1"/>
        <color rgb="FF3480BC"/>
      </dataBar>
    </cfRule>
  </conditionalFormatting>
  <conditionalFormatting sqref="J21:J31">
    <cfRule type="cellIs" dxfId="38" priority="4" operator="equal">
      <formula>"Green"</formula>
    </cfRule>
    <cfRule type="cellIs" dxfId="37" priority="5" operator="equal">
      <formula>"Amber"</formula>
    </cfRule>
    <cfRule type="cellIs" dxfId="36" priority="6" operator="equal">
      <formula>"Red"</formula>
    </cfRule>
  </conditionalFormatting>
  <conditionalFormatting sqref="K21:L31">
    <cfRule type="cellIs" dxfId="35" priority="7" operator="greaterThan">
      <formula>0</formula>
    </cfRule>
  </conditionalFormatting>
  <conditionalFormatting sqref="L35:L47">
    <cfRule type="cellIs" dxfId="34" priority="8" operator="greaterThan">
      <formula>0</formula>
    </cfRule>
  </conditionalFormatting>
  <hyperlinks>
    <hyperlink ref="A2" r:id="rId1" xr:uid="{00000000-0004-0000-0200-000000000000}"/>
    <hyperlink ref="A51" r:id="rId2" xr:uid="{00000000-0004-0000-02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41"/>
  <sheetViews>
    <sheetView showGridLines="0" workbookViewId="0">
      <pane xSplit="2" ySplit="8" topLeftCell="C229" activePane="bottomRight" state="frozen"/>
      <selection pane="topRight"/>
      <selection pane="bottomLeft"/>
      <selection pane="bottomRight"/>
    </sheetView>
  </sheetViews>
  <sheetFormatPr defaultRowHeight="15" x14ac:dyDescent="0.25"/>
  <cols>
    <col min="1" max="1" width="9.42578125" customWidth="1"/>
    <col min="2" max="2" width="52" customWidth="1"/>
    <col min="3" max="3" width="46" customWidth="1"/>
    <col min="4" max="4" width="15" customWidth="1"/>
    <col min="5" max="5" width="11" customWidth="1"/>
    <col min="6" max="6" width="22" customWidth="1"/>
    <col min="7" max="7" width="14" customWidth="1"/>
    <col min="8" max="8" width="12" customWidth="1"/>
    <col min="9" max="9" width="12.42578125" customWidth="1"/>
    <col min="10" max="10" width="22" customWidth="1"/>
    <col min="11" max="11" width="16" customWidth="1"/>
    <col min="12" max="12" width="13" customWidth="1"/>
    <col min="13" max="13" width="10.42578125" customWidth="1"/>
    <col min="14" max="14" width="24" customWidth="1"/>
    <col min="15" max="15" width="40" hidden="1" customWidth="1"/>
  </cols>
  <sheetData>
    <row r="1" spans="1:15" ht="9.9499999999999993" customHeight="1" x14ac:dyDescent="0.25">
      <c r="A1" s="1"/>
      <c r="B1" s="1"/>
      <c r="C1" s="1"/>
      <c r="D1" s="1"/>
      <c r="E1" s="1"/>
      <c r="F1" s="1"/>
      <c r="G1" s="1"/>
      <c r="H1" s="1"/>
      <c r="I1" s="1"/>
      <c r="J1" s="1"/>
      <c r="K1" s="1"/>
      <c r="L1" s="1"/>
      <c r="M1" s="1"/>
      <c r="N1" s="1"/>
      <c r="O1" s="1"/>
    </row>
    <row r="2" spans="1:15" ht="26.1" customHeight="1" x14ac:dyDescent="0.25">
      <c r="A2" s="2" t="s">
        <v>0</v>
      </c>
      <c r="B2" s="114" t="s">
        <v>1</v>
      </c>
      <c r="C2" s="71"/>
      <c r="D2" s="71"/>
      <c r="E2" s="71"/>
      <c r="F2" s="71"/>
      <c r="G2" s="85" t="s">
        <v>170</v>
      </c>
      <c r="H2" s="71"/>
      <c r="I2" s="71"/>
      <c r="J2" s="71"/>
      <c r="K2" s="71"/>
      <c r="L2" s="71"/>
      <c r="M2" s="71"/>
      <c r="N2" s="71"/>
      <c r="O2" s="71"/>
    </row>
    <row r="3" spans="1:15" ht="14.1" customHeight="1" x14ac:dyDescent="0.25">
      <c r="A3" s="1"/>
      <c r="B3" s="1"/>
      <c r="C3" s="1"/>
      <c r="D3" s="1"/>
      <c r="E3" s="1"/>
      <c r="F3" s="1"/>
      <c r="G3" s="1"/>
      <c r="H3" s="1"/>
      <c r="I3" s="1"/>
      <c r="J3" s="1"/>
      <c r="K3" s="1"/>
      <c r="L3" s="1"/>
      <c r="M3" s="1"/>
      <c r="N3" s="1"/>
      <c r="O3" s="1"/>
    </row>
    <row r="4" spans="1:15" ht="3" customHeight="1" x14ac:dyDescent="0.25">
      <c r="A4" s="88"/>
      <c r="B4" s="88"/>
      <c r="C4" s="88"/>
      <c r="D4" s="88"/>
      <c r="E4" s="88"/>
      <c r="F4" s="88"/>
      <c r="G4" s="88"/>
      <c r="H4" s="88"/>
      <c r="I4" s="88"/>
      <c r="J4" s="88"/>
      <c r="K4" s="88"/>
      <c r="L4" s="88"/>
      <c r="M4" s="88"/>
      <c r="N4" s="88"/>
      <c r="O4" s="88"/>
    </row>
    <row r="6" spans="1:15" ht="30" customHeight="1" x14ac:dyDescent="0.25">
      <c r="A6" s="100" t="s">
        <v>171</v>
      </c>
      <c r="B6" s="71"/>
      <c r="C6" s="71"/>
      <c r="D6" s="71"/>
      <c r="E6" s="71"/>
      <c r="F6" s="71"/>
      <c r="G6" s="71"/>
      <c r="H6" s="71"/>
      <c r="I6" s="71"/>
      <c r="J6" s="71"/>
      <c r="K6" s="71"/>
      <c r="L6" s="71"/>
      <c r="M6" s="71"/>
      <c r="N6" s="71"/>
      <c r="O6" s="71"/>
    </row>
    <row r="7" spans="1:15" ht="6" customHeight="1" x14ac:dyDescent="0.25"/>
    <row r="8" spans="1:15" ht="33.950000000000003" customHeight="1" x14ac:dyDescent="0.25">
      <c r="A8" s="10" t="s">
        <v>172</v>
      </c>
      <c r="B8" s="10" t="s">
        <v>173</v>
      </c>
      <c r="C8" s="10" t="s">
        <v>174</v>
      </c>
      <c r="D8" s="10" t="s">
        <v>82</v>
      </c>
      <c r="E8" s="10" t="s">
        <v>80</v>
      </c>
      <c r="F8" s="10" t="s">
        <v>175</v>
      </c>
      <c r="G8" s="10" t="s">
        <v>78</v>
      </c>
      <c r="H8" s="10" t="s">
        <v>176</v>
      </c>
      <c r="I8" s="10" t="s">
        <v>177</v>
      </c>
      <c r="J8" s="10" t="s">
        <v>178</v>
      </c>
      <c r="K8" s="10" t="s">
        <v>179</v>
      </c>
      <c r="L8" s="10" t="s">
        <v>180</v>
      </c>
      <c r="M8" s="10" t="s">
        <v>84</v>
      </c>
      <c r="N8" s="10" t="s">
        <v>181</v>
      </c>
      <c r="O8" s="10" t="s">
        <v>121</v>
      </c>
    </row>
    <row r="9" spans="1:15" ht="21.95" customHeight="1" x14ac:dyDescent="0.25">
      <c r="A9" s="112" t="s">
        <v>182</v>
      </c>
      <c r="B9" s="113"/>
      <c r="C9" s="113"/>
      <c r="D9" s="113"/>
      <c r="E9" s="113"/>
      <c r="F9" s="113"/>
      <c r="G9" s="113"/>
      <c r="H9" s="113"/>
      <c r="I9" s="113"/>
      <c r="J9" s="113"/>
      <c r="K9" s="113"/>
      <c r="L9" s="113"/>
      <c r="M9" s="113"/>
      <c r="N9" s="113"/>
      <c r="O9" s="113"/>
    </row>
    <row r="10" spans="1:15" ht="60" customHeight="1" x14ac:dyDescent="0.25">
      <c r="A10" s="34" t="s">
        <v>183</v>
      </c>
      <c r="B10" s="35" t="s">
        <v>184</v>
      </c>
      <c r="C10" s="36" t="s">
        <v>185</v>
      </c>
      <c r="D10" s="19"/>
      <c r="E10" s="37" t="s">
        <v>186</v>
      </c>
      <c r="F10" s="30" t="s">
        <v>187</v>
      </c>
      <c r="G10" s="19" t="s">
        <v>188</v>
      </c>
      <c r="H10" s="38"/>
      <c r="I10" s="38"/>
      <c r="J10" s="35"/>
      <c r="K10" s="39"/>
      <c r="L10" s="38"/>
      <c r="M10" s="17" t="str">
        <f t="shared" ref="M10:M24" ca="1" si="0">IF(OR($H10="",$G10="Complete",$G10="N/A"),"",$H10-TODAY())</f>
        <v/>
      </c>
      <c r="N10" s="35"/>
      <c r="O10" s="40" t="s">
        <v>132</v>
      </c>
    </row>
    <row r="11" spans="1:15" ht="72.95" customHeight="1" x14ac:dyDescent="0.25">
      <c r="A11" s="41" t="s">
        <v>189</v>
      </c>
      <c r="B11" s="42" t="s">
        <v>190</v>
      </c>
      <c r="C11" s="43" t="s">
        <v>191</v>
      </c>
      <c r="D11" s="14"/>
      <c r="E11" s="44" t="s">
        <v>186</v>
      </c>
      <c r="F11" s="26" t="s">
        <v>48</v>
      </c>
      <c r="G11" s="14" t="s">
        <v>188</v>
      </c>
      <c r="H11" s="45"/>
      <c r="I11" s="45"/>
      <c r="J11" s="42"/>
      <c r="K11" s="46"/>
      <c r="L11" s="45"/>
      <c r="M11" s="12" t="str">
        <f t="shared" ca="1" si="0"/>
        <v/>
      </c>
      <c r="N11" s="42"/>
      <c r="O11" s="47" t="s">
        <v>132</v>
      </c>
    </row>
    <row r="12" spans="1:15" ht="60" customHeight="1" x14ac:dyDescent="0.25">
      <c r="A12" s="34" t="s">
        <v>192</v>
      </c>
      <c r="B12" s="35" t="s">
        <v>193</v>
      </c>
      <c r="C12" s="36" t="s">
        <v>194</v>
      </c>
      <c r="D12" s="19"/>
      <c r="E12" s="48" t="s">
        <v>195</v>
      </c>
      <c r="F12" s="30" t="s">
        <v>187</v>
      </c>
      <c r="G12" s="19" t="s">
        <v>188</v>
      </c>
      <c r="H12" s="38"/>
      <c r="I12" s="38"/>
      <c r="J12" s="35"/>
      <c r="K12" s="39"/>
      <c r="L12" s="38"/>
      <c r="M12" s="17" t="str">
        <f t="shared" ca="1" si="0"/>
        <v/>
      </c>
      <c r="N12" s="35"/>
      <c r="O12" s="40" t="s">
        <v>132</v>
      </c>
    </row>
    <row r="13" spans="1:15" ht="47.1" customHeight="1" x14ac:dyDescent="0.25">
      <c r="A13" s="41" t="s">
        <v>196</v>
      </c>
      <c r="B13" s="42" t="s">
        <v>197</v>
      </c>
      <c r="C13" s="43" t="s">
        <v>198</v>
      </c>
      <c r="D13" s="14"/>
      <c r="E13" s="49" t="s">
        <v>195</v>
      </c>
      <c r="F13" s="26" t="s">
        <v>199</v>
      </c>
      <c r="G13" s="14" t="s">
        <v>188</v>
      </c>
      <c r="H13" s="45"/>
      <c r="I13" s="45"/>
      <c r="J13" s="42"/>
      <c r="K13" s="46"/>
      <c r="L13" s="45"/>
      <c r="M13" s="12" t="str">
        <f t="shared" ca="1" si="0"/>
        <v/>
      </c>
      <c r="N13" s="42"/>
      <c r="O13" s="47" t="s">
        <v>132</v>
      </c>
    </row>
    <row r="14" spans="1:15" ht="47.1" customHeight="1" x14ac:dyDescent="0.25">
      <c r="A14" s="34" t="s">
        <v>200</v>
      </c>
      <c r="B14" s="35" t="s">
        <v>201</v>
      </c>
      <c r="C14" s="36" t="s">
        <v>202</v>
      </c>
      <c r="D14" s="19"/>
      <c r="E14" s="37" t="s">
        <v>186</v>
      </c>
      <c r="F14" s="30" t="s">
        <v>48</v>
      </c>
      <c r="G14" s="19" t="s">
        <v>188</v>
      </c>
      <c r="H14" s="38"/>
      <c r="I14" s="38"/>
      <c r="J14" s="35"/>
      <c r="K14" s="39"/>
      <c r="L14" s="38"/>
      <c r="M14" s="17" t="str">
        <f t="shared" ca="1" si="0"/>
        <v/>
      </c>
      <c r="N14" s="35"/>
      <c r="O14" s="40" t="s">
        <v>132</v>
      </c>
    </row>
    <row r="15" spans="1:15" ht="60" customHeight="1" x14ac:dyDescent="0.25">
      <c r="A15" s="41" t="s">
        <v>203</v>
      </c>
      <c r="B15" s="42" t="s">
        <v>204</v>
      </c>
      <c r="C15" s="43" t="s">
        <v>205</v>
      </c>
      <c r="D15" s="14"/>
      <c r="E15" s="44" t="s">
        <v>186</v>
      </c>
      <c r="F15" s="26" t="s">
        <v>199</v>
      </c>
      <c r="G15" s="14" t="s">
        <v>188</v>
      </c>
      <c r="H15" s="45"/>
      <c r="I15" s="45"/>
      <c r="J15" s="42"/>
      <c r="K15" s="46"/>
      <c r="L15" s="45"/>
      <c r="M15" s="12" t="str">
        <f t="shared" ca="1" si="0"/>
        <v/>
      </c>
      <c r="N15" s="42"/>
      <c r="O15" s="47" t="s">
        <v>132</v>
      </c>
    </row>
    <row r="16" spans="1:15" ht="47.1" customHeight="1" x14ac:dyDescent="0.25">
      <c r="A16" s="34" t="s">
        <v>206</v>
      </c>
      <c r="B16" s="35" t="s">
        <v>207</v>
      </c>
      <c r="C16" s="36" t="s">
        <v>208</v>
      </c>
      <c r="D16" s="19"/>
      <c r="E16" s="48" t="s">
        <v>195</v>
      </c>
      <c r="F16" s="30" t="s">
        <v>48</v>
      </c>
      <c r="G16" s="19" t="s">
        <v>188</v>
      </c>
      <c r="H16" s="38"/>
      <c r="I16" s="38"/>
      <c r="J16" s="35"/>
      <c r="K16" s="39"/>
      <c r="L16" s="38"/>
      <c r="M16" s="17" t="str">
        <f t="shared" ca="1" si="0"/>
        <v/>
      </c>
      <c r="N16" s="35"/>
      <c r="O16" s="40" t="s">
        <v>132</v>
      </c>
    </row>
    <row r="17" spans="1:15" ht="47.1" customHeight="1" x14ac:dyDescent="0.25">
      <c r="A17" s="41" t="s">
        <v>209</v>
      </c>
      <c r="B17" s="42" t="s">
        <v>210</v>
      </c>
      <c r="C17" s="43" t="s">
        <v>211</v>
      </c>
      <c r="D17" s="14"/>
      <c r="E17" s="49" t="s">
        <v>195</v>
      </c>
      <c r="F17" s="26" t="s">
        <v>187</v>
      </c>
      <c r="G17" s="14" t="s">
        <v>188</v>
      </c>
      <c r="H17" s="45"/>
      <c r="I17" s="45"/>
      <c r="J17" s="42"/>
      <c r="K17" s="46"/>
      <c r="L17" s="45"/>
      <c r="M17" s="12" t="str">
        <f t="shared" ca="1" si="0"/>
        <v/>
      </c>
      <c r="N17" s="42"/>
      <c r="O17" s="47" t="s">
        <v>132</v>
      </c>
    </row>
    <row r="18" spans="1:15" ht="47.1" customHeight="1" x14ac:dyDescent="0.25">
      <c r="A18" s="34" t="s">
        <v>212</v>
      </c>
      <c r="B18" s="35" t="s">
        <v>213</v>
      </c>
      <c r="C18" s="36" t="s">
        <v>214</v>
      </c>
      <c r="D18" s="19"/>
      <c r="E18" s="37" t="s">
        <v>186</v>
      </c>
      <c r="F18" s="30" t="s">
        <v>48</v>
      </c>
      <c r="G18" s="19" t="s">
        <v>188</v>
      </c>
      <c r="H18" s="38"/>
      <c r="I18" s="38"/>
      <c r="J18" s="35"/>
      <c r="K18" s="39"/>
      <c r="L18" s="38"/>
      <c r="M18" s="17" t="str">
        <f t="shared" ca="1" si="0"/>
        <v/>
      </c>
      <c r="N18" s="35"/>
      <c r="O18" s="40" t="s">
        <v>132</v>
      </c>
    </row>
    <row r="19" spans="1:15" ht="60" customHeight="1" x14ac:dyDescent="0.25">
      <c r="A19" s="41" t="s">
        <v>215</v>
      </c>
      <c r="B19" s="42" t="s">
        <v>216</v>
      </c>
      <c r="C19" s="43" t="s">
        <v>217</v>
      </c>
      <c r="D19" s="14"/>
      <c r="E19" s="44" t="s">
        <v>186</v>
      </c>
      <c r="F19" s="26" t="s">
        <v>48</v>
      </c>
      <c r="G19" s="14" t="s">
        <v>188</v>
      </c>
      <c r="H19" s="45"/>
      <c r="I19" s="45"/>
      <c r="J19" s="42"/>
      <c r="K19" s="46"/>
      <c r="L19" s="45"/>
      <c r="M19" s="12" t="str">
        <f t="shared" ca="1" si="0"/>
        <v/>
      </c>
      <c r="N19" s="42"/>
      <c r="O19" s="47" t="s">
        <v>132</v>
      </c>
    </row>
    <row r="20" spans="1:15" ht="47.1" customHeight="1" x14ac:dyDescent="0.25">
      <c r="A20" s="34" t="s">
        <v>218</v>
      </c>
      <c r="B20" s="35" t="s">
        <v>219</v>
      </c>
      <c r="C20" s="36" t="s">
        <v>220</v>
      </c>
      <c r="D20" s="19"/>
      <c r="E20" s="37" t="s">
        <v>186</v>
      </c>
      <c r="F20" s="30" t="s">
        <v>48</v>
      </c>
      <c r="G20" s="19" t="s">
        <v>188</v>
      </c>
      <c r="H20" s="38"/>
      <c r="I20" s="38"/>
      <c r="J20" s="35"/>
      <c r="K20" s="39"/>
      <c r="L20" s="38"/>
      <c r="M20" s="17" t="str">
        <f t="shared" ca="1" si="0"/>
        <v/>
      </c>
      <c r="N20" s="35"/>
      <c r="O20" s="40" t="s">
        <v>132</v>
      </c>
    </row>
    <row r="21" spans="1:15" ht="47.1" customHeight="1" x14ac:dyDescent="0.25">
      <c r="A21" s="41" t="s">
        <v>221</v>
      </c>
      <c r="B21" s="42" t="s">
        <v>222</v>
      </c>
      <c r="C21" s="43" t="s">
        <v>223</v>
      </c>
      <c r="D21" s="14"/>
      <c r="E21" s="49" t="s">
        <v>195</v>
      </c>
      <c r="F21" s="26" t="s">
        <v>48</v>
      </c>
      <c r="G21" s="14" t="s">
        <v>188</v>
      </c>
      <c r="H21" s="45"/>
      <c r="I21" s="45"/>
      <c r="J21" s="42"/>
      <c r="K21" s="46"/>
      <c r="L21" s="45"/>
      <c r="M21" s="12" t="str">
        <f t="shared" ca="1" si="0"/>
        <v/>
      </c>
      <c r="N21" s="42"/>
      <c r="O21" s="47" t="s">
        <v>132</v>
      </c>
    </row>
    <row r="22" spans="1:15" ht="60" customHeight="1" x14ac:dyDescent="0.25">
      <c r="A22" s="34" t="s">
        <v>224</v>
      </c>
      <c r="B22" s="35" t="s">
        <v>225</v>
      </c>
      <c r="C22" s="36" t="s">
        <v>226</v>
      </c>
      <c r="D22" s="19"/>
      <c r="E22" s="37" t="s">
        <v>186</v>
      </c>
      <c r="F22" s="30" t="s">
        <v>227</v>
      </c>
      <c r="G22" s="19" t="s">
        <v>188</v>
      </c>
      <c r="H22" s="38"/>
      <c r="I22" s="38"/>
      <c r="J22" s="35"/>
      <c r="K22" s="39"/>
      <c r="L22" s="38"/>
      <c r="M22" s="17" t="str">
        <f t="shared" ca="1" si="0"/>
        <v/>
      </c>
      <c r="N22" s="35"/>
      <c r="O22" s="40" t="s">
        <v>132</v>
      </c>
    </row>
    <row r="23" spans="1:15" ht="47.1" customHeight="1" x14ac:dyDescent="0.25">
      <c r="A23" s="41" t="s">
        <v>228</v>
      </c>
      <c r="B23" s="42" t="s">
        <v>229</v>
      </c>
      <c r="C23" s="43" t="s">
        <v>230</v>
      </c>
      <c r="D23" s="14"/>
      <c r="E23" s="44" t="s">
        <v>186</v>
      </c>
      <c r="F23" s="26" t="s">
        <v>227</v>
      </c>
      <c r="G23" s="14" t="s">
        <v>188</v>
      </c>
      <c r="H23" s="45"/>
      <c r="I23" s="45"/>
      <c r="J23" s="42"/>
      <c r="K23" s="46"/>
      <c r="L23" s="45"/>
      <c r="M23" s="12" t="str">
        <f t="shared" ca="1" si="0"/>
        <v/>
      </c>
      <c r="N23" s="42"/>
      <c r="O23" s="47" t="s">
        <v>132</v>
      </c>
    </row>
    <row r="24" spans="1:15" ht="47.1" customHeight="1" x14ac:dyDescent="0.25">
      <c r="A24" s="34" t="s">
        <v>231</v>
      </c>
      <c r="B24" s="35" t="s">
        <v>232</v>
      </c>
      <c r="C24" s="36" t="s">
        <v>233</v>
      </c>
      <c r="D24" s="19"/>
      <c r="E24" s="37" t="s">
        <v>186</v>
      </c>
      <c r="F24" s="30" t="s">
        <v>187</v>
      </c>
      <c r="G24" s="19" t="s">
        <v>188</v>
      </c>
      <c r="H24" s="38"/>
      <c r="I24" s="38"/>
      <c r="J24" s="35"/>
      <c r="K24" s="39"/>
      <c r="L24" s="38"/>
      <c r="M24" s="17" t="str">
        <f t="shared" ca="1" si="0"/>
        <v/>
      </c>
      <c r="N24" s="35"/>
      <c r="O24" s="40" t="s">
        <v>132</v>
      </c>
    </row>
    <row r="25" spans="1:15" ht="21.95" customHeight="1" x14ac:dyDescent="0.25">
      <c r="A25" s="112" t="s">
        <v>234</v>
      </c>
      <c r="B25" s="113"/>
      <c r="C25" s="113"/>
      <c r="D25" s="113"/>
      <c r="E25" s="113"/>
      <c r="F25" s="113"/>
      <c r="G25" s="113"/>
      <c r="H25" s="113"/>
      <c r="I25" s="113"/>
      <c r="J25" s="113"/>
      <c r="K25" s="113"/>
      <c r="L25" s="113"/>
      <c r="M25" s="113"/>
      <c r="N25" s="113"/>
      <c r="O25" s="113"/>
    </row>
    <row r="26" spans="1:15" ht="78" customHeight="1" x14ac:dyDescent="0.25">
      <c r="A26" s="34" t="s">
        <v>235</v>
      </c>
      <c r="B26" s="35" t="s">
        <v>236</v>
      </c>
      <c r="C26" s="36" t="s">
        <v>237</v>
      </c>
      <c r="D26" s="19"/>
      <c r="E26" s="37" t="s">
        <v>186</v>
      </c>
      <c r="F26" s="30" t="s">
        <v>238</v>
      </c>
      <c r="G26" s="19" t="s">
        <v>188</v>
      </c>
      <c r="H26" s="38"/>
      <c r="I26" s="38"/>
      <c r="J26" s="35"/>
      <c r="K26" s="39"/>
      <c r="L26" s="38"/>
      <c r="M26" s="17" t="str">
        <f t="shared" ref="M26:M50" ca="1" si="1">IF(OR($H26="",$G26="Complete",$G26="N/A"),"",$H26-TODAY())</f>
        <v/>
      </c>
      <c r="N26" s="35"/>
      <c r="O26" s="40" t="s">
        <v>133</v>
      </c>
    </row>
    <row r="27" spans="1:15" ht="47.1" customHeight="1" x14ac:dyDescent="0.25">
      <c r="A27" s="41" t="s">
        <v>239</v>
      </c>
      <c r="B27" s="42" t="s">
        <v>240</v>
      </c>
      <c r="C27" s="43" t="s">
        <v>241</v>
      </c>
      <c r="D27" s="14"/>
      <c r="E27" s="44" t="s">
        <v>186</v>
      </c>
      <c r="F27" s="26" t="s">
        <v>238</v>
      </c>
      <c r="G27" s="14" t="s">
        <v>188</v>
      </c>
      <c r="H27" s="45"/>
      <c r="I27" s="45"/>
      <c r="J27" s="42"/>
      <c r="K27" s="46"/>
      <c r="L27" s="45"/>
      <c r="M27" s="12" t="str">
        <f t="shared" ca="1" si="1"/>
        <v/>
      </c>
      <c r="N27" s="42"/>
      <c r="O27" s="47" t="s">
        <v>133</v>
      </c>
    </row>
    <row r="28" spans="1:15" ht="47.1" customHeight="1" x14ac:dyDescent="0.25">
      <c r="A28" s="34" t="s">
        <v>242</v>
      </c>
      <c r="B28" s="35" t="s">
        <v>243</v>
      </c>
      <c r="C28" s="36" t="s">
        <v>244</v>
      </c>
      <c r="D28" s="19"/>
      <c r="E28" s="37" t="s">
        <v>186</v>
      </c>
      <c r="F28" s="30" t="s">
        <v>238</v>
      </c>
      <c r="G28" s="19" t="s">
        <v>188</v>
      </c>
      <c r="H28" s="38"/>
      <c r="I28" s="38"/>
      <c r="J28" s="35"/>
      <c r="K28" s="39"/>
      <c r="L28" s="38"/>
      <c r="M28" s="17" t="str">
        <f t="shared" ca="1" si="1"/>
        <v/>
      </c>
      <c r="N28" s="35"/>
      <c r="O28" s="40" t="s">
        <v>133</v>
      </c>
    </row>
    <row r="29" spans="1:15" ht="60" customHeight="1" x14ac:dyDescent="0.25">
      <c r="A29" s="41" t="s">
        <v>245</v>
      </c>
      <c r="B29" s="42" t="s">
        <v>246</v>
      </c>
      <c r="C29" s="43" t="s">
        <v>247</v>
      </c>
      <c r="D29" s="14"/>
      <c r="E29" s="44" t="s">
        <v>186</v>
      </c>
      <c r="F29" s="26" t="s">
        <v>238</v>
      </c>
      <c r="G29" s="14" t="s">
        <v>188</v>
      </c>
      <c r="H29" s="45"/>
      <c r="I29" s="45"/>
      <c r="J29" s="42"/>
      <c r="K29" s="46"/>
      <c r="L29" s="45"/>
      <c r="M29" s="12" t="str">
        <f t="shared" ca="1" si="1"/>
        <v/>
      </c>
      <c r="N29" s="42"/>
      <c r="O29" s="47" t="s">
        <v>133</v>
      </c>
    </row>
    <row r="30" spans="1:15" ht="60" customHeight="1" x14ac:dyDescent="0.25">
      <c r="A30" s="34" t="s">
        <v>248</v>
      </c>
      <c r="B30" s="35" t="s">
        <v>249</v>
      </c>
      <c r="C30" s="36" t="s">
        <v>250</v>
      </c>
      <c r="D30" s="19"/>
      <c r="E30" s="37" t="s">
        <v>186</v>
      </c>
      <c r="F30" s="30" t="s">
        <v>251</v>
      </c>
      <c r="G30" s="19" t="s">
        <v>188</v>
      </c>
      <c r="H30" s="38"/>
      <c r="I30" s="38"/>
      <c r="J30" s="35"/>
      <c r="K30" s="39"/>
      <c r="L30" s="38"/>
      <c r="M30" s="17" t="str">
        <f t="shared" ca="1" si="1"/>
        <v/>
      </c>
      <c r="N30" s="35"/>
      <c r="O30" s="40" t="s">
        <v>133</v>
      </c>
    </row>
    <row r="31" spans="1:15" ht="60" customHeight="1" x14ac:dyDescent="0.25">
      <c r="A31" s="41" t="s">
        <v>252</v>
      </c>
      <c r="B31" s="42" t="s">
        <v>253</v>
      </c>
      <c r="C31" s="43" t="s">
        <v>254</v>
      </c>
      <c r="D31" s="14"/>
      <c r="E31" s="44" t="s">
        <v>186</v>
      </c>
      <c r="F31" s="26" t="s">
        <v>251</v>
      </c>
      <c r="G31" s="14" t="s">
        <v>188</v>
      </c>
      <c r="H31" s="45"/>
      <c r="I31" s="45"/>
      <c r="J31" s="42"/>
      <c r="K31" s="46"/>
      <c r="L31" s="45"/>
      <c r="M31" s="12" t="str">
        <f t="shared" ca="1" si="1"/>
        <v/>
      </c>
      <c r="N31" s="42"/>
      <c r="O31" s="47" t="s">
        <v>133</v>
      </c>
    </row>
    <row r="32" spans="1:15" ht="60" customHeight="1" x14ac:dyDescent="0.25">
      <c r="A32" s="34" t="s">
        <v>255</v>
      </c>
      <c r="B32" s="35" t="s">
        <v>256</v>
      </c>
      <c r="C32" s="36" t="s">
        <v>257</v>
      </c>
      <c r="D32" s="19"/>
      <c r="E32" s="37" t="s">
        <v>186</v>
      </c>
      <c r="F32" s="30" t="s">
        <v>251</v>
      </c>
      <c r="G32" s="19" t="s">
        <v>188</v>
      </c>
      <c r="H32" s="38"/>
      <c r="I32" s="38"/>
      <c r="J32" s="35"/>
      <c r="K32" s="39"/>
      <c r="L32" s="38"/>
      <c r="M32" s="17" t="str">
        <f t="shared" ca="1" si="1"/>
        <v/>
      </c>
      <c r="N32" s="35"/>
      <c r="O32" s="40" t="s">
        <v>133</v>
      </c>
    </row>
    <row r="33" spans="1:15" ht="60" customHeight="1" x14ac:dyDescent="0.25">
      <c r="A33" s="41" t="s">
        <v>258</v>
      </c>
      <c r="B33" s="42" t="s">
        <v>259</v>
      </c>
      <c r="C33" s="43" t="s">
        <v>260</v>
      </c>
      <c r="D33" s="14"/>
      <c r="E33" s="44" t="s">
        <v>186</v>
      </c>
      <c r="F33" s="26" t="s">
        <v>199</v>
      </c>
      <c r="G33" s="14" t="s">
        <v>188</v>
      </c>
      <c r="H33" s="45"/>
      <c r="I33" s="45"/>
      <c r="J33" s="42"/>
      <c r="K33" s="46"/>
      <c r="L33" s="45"/>
      <c r="M33" s="12" t="str">
        <f t="shared" ca="1" si="1"/>
        <v/>
      </c>
      <c r="N33" s="42"/>
      <c r="O33" s="47" t="s">
        <v>133</v>
      </c>
    </row>
    <row r="34" spans="1:15" ht="47.1" customHeight="1" x14ac:dyDescent="0.25">
      <c r="A34" s="34" t="s">
        <v>261</v>
      </c>
      <c r="B34" s="35" t="s">
        <v>262</v>
      </c>
      <c r="C34" s="36" t="s">
        <v>263</v>
      </c>
      <c r="D34" s="19"/>
      <c r="E34" s="37" t="s">
        <v>186</v>
      </c>
      <c r="F34" s="30" t="s">
        <v>227</v>
      </c>
      <c r="G34" s="19" t="s">
        <v>188</v>
      </c>
      <c r="H34" s="38"/>
      <c r="I34" s="38"/>
      <c r="J34" s="35"/>
      <c r="K34" s="39"/>
      <c r="L34" s="38"/>
      <c r="M34" s="17" t="str">
        <f t="shared" ca="1" si="1"/>
        <v/>
      </c>
      <c r="N34" s="35"/>
      <c r="O34" s="40" t="s">
        <v>133</v>
      </c>
    </row>
    <row r="35" spans="1:15" ht="47.1" customHeight="1" x14ac:dyDescent="0.25">
      <c r="A35" s="41" t="s">
        <v>264</v>
      </c>
      <c r="B35" s="42" t="s">
        <v>265</v>
      </c>
      <c r="C35" s="43" t="s">
        <v>266</v>
      </c>
      <c r="D35" s="14"/>
      <c r="E35" s="49" t="s">
        <v>195</v>
      </c>
      <c r="F35" s="26" t="s">
        <v>199</v>
      </c>
      <c r="G35" s="14" t="s">
        <v>188</v>
      </c>
      <c r="H35" s="45"/>
      <c r="I35" s="45"/>
      <c r="J35" s="42"/>
      <c r="K35" s="46"/>
      <c r="L35" s="45"/>
      <c r="M35" s="12" t="str">
        <f t="shared" ca="1" si="1"/>
        <v/>
      </c>
      <c r="N35" s="42"/>
      <c r="O35" s="47" t="s">
        <v>133</v>
      </c>
    </row>
    <row r="36" spans="1:15" ht="47.1" customHeight="1" x14ac:dyDescent="0.25">
      <c r="A36" s="34" t="s">
        <v>267</v>
      </c>
      <c r="B36" s="35" t="s">
        <v>268</v>
      </c>
      <c r="C36" s="36" t="s">
        <v>269</v>
      </c>
      <c r="D36" s="19"/>
      <c r="E36" s="37" t="s">
        <v>186</v>
      </c>
      <c r="F36" s="30" t="s">
        <v>251</v>
      </c>
      <c r="G36" s="19" t="s">
        <v>188</v>
      </c>
      <c r="H36" s="38"/>
      <c r="I36" s="38"/>
      <c r="J36" s="35"/>
      <c r="K36" s="39"/>
      <c r="L36" s="38"/>
      <c r="M36" s="17" t="str">
        <f t="shared" ca="1" si="1"/>
        <v/>
      </c>
      <c r="N36" s="35"/>
      <c r="O36" s="40" t="s">
        <v>133</v>
      </c>
    </row>
    <row r="37" spans="1:15" ht="60" customHeight="1" x14ac:dyDescent="0.25">
      <c r="A37" s="41" t="s">
        <v>270</v>
      </c>
      <c r="B37" s="42" t="s">
        <v>271</v>
      </c>
      <c r="C37" s="43" t="s">
        <v>272</v>
      </c>
      <c r="D37" s="14"/>
      <c r="E37" s="49" t="s">
        <v>195</v>
      </c>
      <c r="F37" s="26" t="s">
        <v>251</v>
      </c>
      <c r="G37" s="14" t="s">
        <v>188</v>
      </c>
      <c r="H37" s="45"/>
      <c r="I37" s="45"/>
      <c r="J37" s="42"/>
      <c r="K37" s="46"/>
      <c r="L37" s="45"/>
      <c r="M37" s="12" t="str">
        <f t="shared" ca="1" si="1"/>
        <v/>
      </c>
      <c r="N37" s="42"/>
      <c r="O37" s="47" t="s">
        <v>133</v>
      </c>
    </row>
    <row r="38" spans="1:15" ht="47.1" customHeight="1" x14ac:dyDescent="0.25">
      <c r="A38" s="34" t="s">
        <v>273</v>
      </c>
      <c r="B38" s="35" t="s">
        <v>274</v>
      </c>
      <c r="C38" s="36" t="s">
        <v>275</v>
      </c>
      <c r="D38" s="19"/>
      <c r="E38" s="37" t="s">
        <v>186</v>
      </c>
      <c r="F38" s="30" t="s">
        <v>199</v>
      </c>
      <c r="G38" s="19" t="s">
        <v>188</v>
      </c>
      <c r="H38" s="38"/>
      <c r="I38" s="38"/>
      <c r="J38" s="35"/>
      <c r="K38" s="39"/>
      <c r="L38" s="38"/>
      <c r="M38" s="17" t="str">
        <f t="shared" ca="1" si="1"/>
        <v/>
      </c>
      <c r="N38" s="35"/>
      <c r="O38" s="40" t="s">
        <v>133</v>
      </c>
    </row>
    <row r="39" spans="1:15" ht="47.1" customHeight="1" x14ac:dyDescent="0.25">
      <c r="A39" s="41" t="s">
        <v>276</v>
      </c>
      <c r="B39" s="42" t="s">
        <v>277</v>
      </c>
      <c r="C39" s="43" t="s">
        <v>278</v>
      </c>
      <c r="D39" s="14"/>
      <c r="E39" s="49" t="s">
        <v>195</v>
      </c>
      <c r="F39" s="26" t="s">
        <v>199</v>
      </c>
      <c r="G39" s="14" t="s">
        <v>188</v>
      </c>
      <c r="H39" s="45"/>
      <c r="I39" s="45"/>
      <c r="J39" s="42"/>
      <c r="K39" s="46"/>
      <c r="L39" s="45"/>
      <c r="M39" s="12" t="str">
        <f t="shared" ca="1" si="1"/>
        <v/>
      </c>
      <c r="N39" s="42"/>
      <c r="O39" s="47" t="s">
        <v>133</v>
      </c>
    </row>
    <row r="40" spans="1:15" ht="72.95" customHeight="1" x14ac:dyDescent="0.25">
      <c r="A40" s="34" t="s">
        <v>279</v>
      </c>
      <c r="B40" s="35" t="s">
        <v>280</v>
      </c>
      <c r="C40" s="36" t="s">
        <v>281</v>
      </c>
      <c r="D40" s="19"/>
      <c r="E40" s="37" t="s">
        <v>186</v>
      </c>
      <c r="F40" s="30" t="s">
        <v>199</v>
      </c>
      <c r="G40" s="19" t="s">
        <v>188</v>
      </c>
      <c r="H40" s="38"/>
      <c r="I40" s="38"/>
      <c r="J40" s="35"/>
      <c r="K40" s="39"/>
      <c r="L40" s="38"/>
      <c r="M40" s="17" t="str">
        <f t="shared" ca="1" si="1"/>
        <v/>
      </c>
      <c r="N40" s="35"/>
      <c r="O40" s="40" t="s">
        <v>133</v>
      </c>
    </row>
    <row r="41" spans="1:15" ht="47.1" customHeight="1" x14ac:dyDescent="0.25">
      <c r="A41" s="41" t="s">
        <v>282</v>
      </c>
      <c r="B41" s="42" t="s">
        <v>283</v>
      </c>
      <c r="C41" s="43" t="s">
        <v>284</v>
      </c>
      <c r="D41" s="14"/>
      <c r="E41" s="44" t="s">
        <v>186</v>
      </c>
      <c r="F41" s="26" t="s">
        <v>199</v>
      </c>
      <c r="G41" s="14" t="s">
        <v>188</v>
      </c>
      <c r="H41" s="45"/>
      <c r="I41" s="45"/>
      <c r="J41" s="42"/>
      <c r="K41" s="46"/>
      <c r="L41" s="45"/>
      <c r="M41" s="12" t="str">
        <f t="shared" ca="1" si="1"/>
        <v/>
      </c>
      <c r="N41" s="42"/>
      <c r="O41" s="47" t="s">
        <v>133</v>
      </c>
    </row>
    <row r="42" spans="1:15" ht="47.1" customHeight="1" x14ac:dyDescent="0.25">
      <c r="A42" s="34" t="s">
        <v>285</v>
      </c>
      <c r="B42" s="35" t="s">
        <v>286</v>
      </c>
      <c r="C42" s="36" t="s">
        <v>287</v>
      </c>
      <c r="D42" s="19"/>
      <c r="E42" s="37" t="s">
        <v>186</v>
      </c>
      <c r="F42" s="30" t="s">
        <v>199</v>
      </c>
      <c r="G42" s="19" t="s">
        <v>188</v>
      </c>
      <c r="H42" s="38"/>
      <c r="I42" s="38"/>
      <c r="J42" s="35"/>
      <c r="K42" s="39"/>
      <c r="L42" s="38"/>
      <c r="M42" s="17" t="str">
        <f t="shared" ca="1" si="1"/>
        <v/>
      </c>
      <c r="N42" s="35"/>
      <c r="O42" s="40" t="s">
        <v>133</v>
      </c>
    </row>
    <row r="43" spans="1:15" ht="60" customHeight="1" x14ac:dyDescent="0.25">
      <c r="A43" s="41" t="s">
        <v>288</v>
      </c>
      <c r="B43" s="42" t="s">
        <v>289</v>
      </c>
      <c r="C43" s="43" t="s">
        <v>290</v>
      </c>
      <c r="D43" s="14"/>
      <c r="E43" s="44" t="s">
        <v>186</v>
      </c>
      <c r="F43" s="26" t="s">
        <v>199</v>
      </c>
      <c r="G43" s="14" t="s">
        <v>188</v>
      </c>
      <c r="H43" s="45"/>
      <c r="I43" s="45"/>
      <c r="J43" s="42"/>
      <c r="K43" s="46"/>
      <c r="L43" s="45"/>
      <c r="M43" s="12" t="str">
        <f t="shared" ca="1" si="1"/>
        <v/>
      </c>
      <c r="N43" s="42"/>
      <c r="O43" s="47" t="s">
        <v>133</v>
      </c>
    </row>
    <row r="44" spans="1:15" ht="47.1" customHeight="1" x14ac:dyDescent="0.25">
      <c r="A44" s="34" t="s">
        <v>291</v>
      </c>
      <c r="B44" s="35" t="s">
        <v>292</v>
      </c>
      <c r="C44" s="36" t="s">
        <v>293</v>
      </c>
      <c r="D44" s="19"/>
      <c r="E44" s="37" t="s">
        <v>186</v>
      </c>
      <c r="F44" s="30" t="s">
        <v>199</v>
      </c>
      <c r="G44" s="19" t="s">
        <v>188</v>
      </c>
      <c r="H44" s="38"/>
      <c r="I44" s="38"/>
      <c r="J44" s="35"/>
      <c r="K44" s="39"/>
      <c r="L44" s="38"/>
      <c r="M44" s="17" t="str">
        <f t="shared" ca="1" si="1"/>
        <v/>
      </c>
      <c r="N44" s="35"/>
      <c r="O44" s="40" t="s">
        <v>133</v>
      </c>
    </row>
    <row r="45" spans="1:15" ht="60" customHeight="1" x14ac:dyDescent="0.25">
      <c r="A45" s="41" t="s">
        <v>294</v>
      </c>
      <c r="B45" s="42" t="s">
        <v>295</v>
      </c>
      <c r="C45" s="43" t="s">
        <v>296</v>
      </c>
      <c r="D45" s="14"/>
      <c r="E45" s="44" t="s">
        <v>186</v>
      </c>
      <c r="F45" s="26" t="s">
        <v>227</v>
      </c>
      <c r="G45" s="14" t="s">
        <v>188</v>
      </c>
      <c r="H45" s="45"/>
      <c r="I45" s="45"/>
      <c r="J45" s="42"/>
      <c r="K45" s="46"/>
      <c r="L45" s="45"/>
      <c r="M45" s="12" t="str">
        <f t="shared" ca="1" si="1"/>
        <v/>
      </c>
      <c r="N45" s="42"/>
      <c r="O45" s="47" t="s">
        <v>133</v>
      </c>
    </row>
    <row r="46" spans="1:15" ht="47.1" customHeight="1" x14ac:dyDescent="0.25">
      <c r="A46" s="34" t="s">
        <v>297</v>
      </c>
      <c r="B46" s="35" t="s">
        <v>298</v>
      </c>
      <c r="C46" s="36" t="s">
        <v>299</v>
      </c>
      <c r="D46" s="19"/>
      <c r="E46" s="37" t="s">
        <v>186</v>
      </c>
      <c r="F46" s="30" t="s">
        <v>187</v>
      </c>
      <c r="G46" s="19" t="s">
        <v>188</v>
      </c>
      <c r="H46" s="38"/>
      <c r="I46" s="38"/>
      <c r="J46" s="35"/>
      <c r="K46" s="39"/>
      <c r="L46" s="38"/>
      <c r="M46" s="17" t="str">
        <f t="shared" ca="1" si="1"/>
        <v/>
      </c>
      <c r="N46" s="35"/>
      <c r="O46" s="40" t="s">
        <v>133</v>
      </c>
    </row>
    <row r="47" spans="1:15" ht="60" customHeight="1" x14ac:dyDescent="0.25">
      <c r="A47" s="41" t="s">
        <v>300</v>
      </c>
      <c r="B47" s="42" t="s">
        <v>301</v>
      </c>
      <c r="C47" s="43" t="s">
        <v>302</v>
      </c>
      <c r="D47" s="14"/>
      <c r="E47" s="49" t="s">
        <v>195</v>
      </c>
      <c r="F47" s="26" t="s">
        <v>227</v>
      </c>
      <c r="G47" s="14" t="s">
        <v>188</v>
      </c>
      <c r="H47" s="45"/>
      <c r="I47" s="45"/>
      <c r="J47" s="42"/>
      <c r="K47" s="46"/>
      <c r="L47" s="45"/>
      <c r="M47" s="12" t="str">
        <f t="shared" ca="1" si="1"/>
        <v/>
      </c>
      <c r="N47" s="42"/>
      <c r="O47" s="47" t="s">
        <v>133</v>
      </c>
    </row>
    <row r="48" spans="1:15" ht="60" customHeight="1" x14ac:dyDescent="0.25">
      <c r="A48" s="34" t="s">
        <v>303</v>
      </c>
      <c r="B48" s="35" t="s">
        <v>304</v>
      </c>
      <c r="C48" s="36" t="s">
        <v>305</v>
      </c>
      <c r="D48" s="19"/>
      <c r="E48" s="48" t="s">
        <v>195</v>
      </c>
      <c r="F48" s="30" t="s">
        <v>199</v>
      </c>
      <c r="G48" s="19" t="s">
        <v>188</v>
      </c>
      <c r="H48" s="38"/>
      <c r="I48" s="38"/>
      <c r="J48" s="35"/>
      <c r="K48" s="39"/>
      <c r="L48" s="38"/>
      <c r="M48" s="17" t="str">
        <f t="shared" ca="1" si="1"/>
        <v/>
      </c>
      <c r="N48" s="35"/>
      <c r="O48" s="40" t="s">
        <v>133</v>
      </c>
    </row>
    <row r="49" spans="1:15" ht="60" customHeight="1" x14ac:dyDescent="0.25">
      <c r="A49" s="41" t="s">
        <v>306</v>
      </c>
      <c r="B49" s="42" t="s">
        <v>307</v>
      </c>
      <c r="C49" s="43" t="s">
        <v>308</v>
      </c>
      <c r="D49" s="14"/>
      <c r="E49" s="49" t="s">
        <v>195</v>
      </c>
      <c r="F49" s="26" t="s">
        <v>227</v>
      </c>
      <c r="G49" s="14" t="s">
        <v>188</v>
      </c>
      <c r="H49" s="45"/>
      <c r="I49" s="45"/>
      <c r="J49" s="42"/>
      <c r="K49" s="46"/>
      <c r="L49" s="45"/>
      <c r="M49" s="12" t="str">
        <f t="shared" ca="1" si="1"/>
        <v/>
      </c>
      <c r="N49" s="42"/>
      <c r="O49" s="47" t="s">
        <v>133</v>
      </c>
    </row>
    <row r="50" spans="1:15" ht="47.1" customHeight="1" x14ac:dyDescent="0.25">
      <c r="A50" s="34" t="s">
        <v>309</v>
      </c>
      <c r="B50" s="35" t="s">
        <v>310</v>
      </c>
      <c r="C50" s="36" t="s">
        <v>311</v>
      </c>
      <c r="D50" s="19"/>
      <c r="E50" s="48" t="s">
        <v>195</v>
      </c>
      <c r="F50" s="30" t="s">
        <v>199</v>
      </c>
      <c r="G50" s="19" t="s">
        <v>188</v>
      </c>
      <c r="H50" s="38"/>
      <c r="I50" s="38"/>
      <c r="J50" s="35"/>
      <c r="K50" s="39"/>
      <c r="L50" s="38"/>
      <c r="M50" s="17" t="str">
        <f t="shared" ca="1" si="1"/>
        <v/>
      </c>
      <c r="N50" s="35"/>
      <c r="O50" s="40" t="s">
        <v>133</v>
      </c>
    </row>
    <row r="51" spans="1:15" ht="21.95" customHeight="1" x14ac:dyDescent="0.25">
      <c r="A51" s="112" t="s">
        <v>312</v>
      </c>
      <c r="B51" s="113"/>
      <c r="C51" s="113"/>
      <c r="D51" s="113"/>
      <c r="E51" s="113"/>
      <c r="F51" s="113"/>
      <c r="G51" s="113"/>
      <c r="H51" s="113"/>
      <c r="I51" s="113"/>
      <c r="J51" s="113"/>
      <c r="K51" s="113"/>
      <c r="L51" s="113"/>
      <c r="M51" s="113"/>
      <c r="N51" s="113"/>
      <c r="O51" s="113"/>
    </row>
    <row r="52" spans="1:15" ht="60" customHeight="1" x14ac:dyDescent="0.25">
      <c r="A52" s="34" t="s">
        <v>313</v>
      </c>
      <c r="B52" s="35" t="s">
        <v>314</v>
      </c>
      <c r="C52" s="36" t="s">
        <v>315</v>
      </c>
      <c r="D52" s="19"/>
      <c r="E52" s="37" t="s">
        <v>186</v>
      </c>
      <c r="F52" s="30" t="s">
        <v>251</v>
      </c>
      <c r="G52" s="19" t="s">
        <v>188</v>
      </c>
      <c r="H52" s="38"/>
      <c r="I52" s="38"/>
      <c r="J52" s="35"/>
      <c r="K52" s="39"/>
      <c r="L52" s="38"/>
      <c r="M52" s="17" t="str">
        <f t="shared" ref="M52:M78" ca="1" si="2">IF(OR($H52="",$G52="Complete",$G52="N/A"),"",$H52-TODAY())</f>
        <v/>
      </c>
      <c r="N52" s="35"/>
      <c r="O52" s="40" t="s">
        <v>134</v>
      </c>
    </row>
    <row r="53" spans="1:15" ht="47.1" customHeight="1" x14ac:dyDescent="0.25">
      <c r="A53" s="41" t="s">
        <v>316</v>
      </c>
      <c r="B53" s="42" t="s">
        <v>317</v>
      </c>
      <c r="C53" s="43" t="s">
        <v>318</v>
      </c>
      <c r="D53" s="14"/>
      <c r="E53" s="44" t="s">
        <v>186</v>
      </c>
      <c r="F53" s="26" t="s">
        <v>199</v>
      </c>
      <c r="G53" s="14" t="s">
        <v>188</v>
      </c>
      <c r="H53" s="45"/>
      <c r="I53" s="45"/>
      <c r="J53" s="42"/>
      <c r="K53" s="46"/>
      <c r="L53" s="45"/>
      <c r="M53" s="12" t="str">
        <f t="shared" ca="1" si="2"/>
        <v/>
      </c>
      <c r="N53" s="42"/>
      <c r="O53" s="47" t="s">
        <v>134</v>
      </c>
    </row>
    <row r="54" spans="1:15" ht="47.1" customHeight="1" x14ac:dyDescent="0.25">
      <c r="A54" s="34" t="s">
        <v>319</v>
      </c>
      <c r="B54" s="35" t="s">
        <v>320</v>
      </c>
      <c r="C54" s="36" t="s">
        <v>321</v>
      </c>
      <c r="D54" s="19"/>
      <c r="E54" s="48" t="s">
        <v>195</v>
      </c>
      <c r="F54" s="30" t="s">
        <v>199</v>
      </c>
      <c r="G54" s="19" t="s">
        <v>188</v>
      </c>
      <c r="H54" s="38"/>
      <c r="I54" s="38"/>
      <c r="J54" s="35"/>
      <c r="K54" s="39"/>
      <c r="L54" s="38"/>
      <c r="M54" s="17" t="str">
        <f t="shared" ca="1" si="2"/>
        <v/>
      </c>
      <c r="N54" s="35"/>
      <c r="O54" s="40" t="s">
        <v>134</v>
      </c>
    </row>
    <row r="55" spans="1:15" ht="47.1" customHeight="1" x14ac:dyDescent="0.25">
      <c r="A55" s="41" t="s">
        <v>322</v>
      </c>
      <c r="B55" s="42" t="s">
        <v>323</v>
      </c>
      <c r="C55" s="43" t="s">
        <v>324</v>
      </c>
      <c r="D55" s="14"/>
      <c r="E55" s="44" t="s">
        <v>186</v>
      </c>
      <c r="F55" s="26" t="s">
        <v>199</v>
      </c>
      <c r="G55" s="14" t="s">
        <v>188</v>
      </c>
      <c r="H55" s="45"/>
      <c r="I55" s="45"/>
      <c r="J55" s="42"/>
      <c r="K55" s="46"/>
      <c r="L55" s="45"/>
      <c r="M55" s="12" t="str">
        <f t="shared" ca="1" si="2"/>
        <v/>
      </c>
      <c r="N55" s="42"/>
      <c r="O55" s="47" t="s">
        <v>134</v>
      </c>
    </row>
    <row r="56" spans="1:15" ht="47.1" customHeight="1" x14ac:dyDescent="0.25">
      <c r="A56" s="34" t="s">
        <v>325</v>
      </c>
      <c r="B56" s="35" t="s">
        <v>326</v>
      </c>
      <c r="C56" s="36" t="s">
        <v>327</v>
      </c>
      <c r="D56" s="19"/>
      <c r="E56" s="48" t="s">
        <v>195</v>
      </c>
      <c r="F56" s="30" t="s">
        <v>199</v>
      </c>
      <c r="G56" s="19" t="s">
        <v>188</v>
      </c>
      <c r="H56" s="38"/>
      <c r="I56" s="38"/>
      <c r="J56" s="35"/>
      <c r="K56" s="39"/>
      <c r="L56" s="38"/>
      <c r="M56" s="17" t="str">
        <f t="shared" ca="1" si="2"/>
        <v/>
      </c>
      <c r="N56" s="35"/>
      <c r="O56" s="40" t="s">
        <v>134</v>
      </c>
    </row>
    <row r="57" spans="1:15" ht="60" customHeight="1" x14ac:dyDescent="0.25">
      <c r="A57" s="41" t="s">
        <v>328</v>
      </c>
      <c r="B57" s="42" t="s">
        <v>329</v>
      </c>
      <c r="C57" s="43" t="s">
        <v>330</v>
      </c>
      <c r="D57" s="14"/>
      <c r="E57" s="44" t="s">
        <v>186</v>
      </c>
      <c r="F57" s="26" t="s">
        <v>251</v>
      </c>
      <c r="G57" s="14" t="s">
        <v>188</v>
      </c>
      <c r="H57" s="45"/>
      <c r="I57" s="45"/>
      <c r="J57" s="42"/>
      <c r="K57" s="46"/>
      <c r="L57" s="45"/>
      <c r="M57" s="12" t="str">
        <f t="shared" ca="1" si="2"/>
        <v/>
      </c>
      <c r="N57" s="42"/>
      <c r="O57" s="47" t="s">
        <v>134</v>
      </c>
    </row>
    <row r="58" spans="1:15" ht="47.1" customHeight="1" x14ac:dyDescent="0.25">
      <c r="A58" s="34" t="s">
        <v>331</v>
      </c>
      <c r="B58" s="35" t="s">
        <v>332</v>
      </c>
      <c r="C58" s="36" t="s">
        <v>333</v>
      </c>
      <c r="D58" s="19"/>
      <c r="E58" s="37" t="s">
        <v>186</v>
      </c>
      <c r="F58" s="30" t="s">
        <v>199</v>
      </c>
      <c r="G58" s="19" t="s">
        <v>188</v>
      </c>
      <c r="H58" s="38"/>
      <c r="I58" s="38"/>
      <c r="J58" s="35"/>
      <c r="K58" s="39"/>
      <c r="L58" s="38"/>
      <c r="M58" s="17" t="str">
        <f t="shared" ca="1" si="2"/>
        <v/>
      </c>
      <c r="N58" s="35"/>
      <c r="O58" s="40" t="s">
        <v>134</v>
      </c>
    </row>
    <row r="59" spans="1:15" ht="47.1" customHeight="1" x14ac:dyDescent="0.25">
      <c r="A59" s="41" t="s">
        <v>334</v>
      </c>
      <c r="B59" s="42" t="s">
        <v>335</v>
      </c>
      <c r="C59" s="43" t="s">
        <v>336</v>
      </c>
      <c r="D59" s="14"/>
      <c r="E59" s="49" t="s">
        <v>195</v>
      </c>
      <c r="F59" s="26" t="s">
        <v>199</v>
      </c>
      <c r="G59" s="14" t="s">
        <v>188</v>
      </c>
      <c r="H59" s="45"/>
      <c r="I59" s="45"/>
      <c r="J59" s="42"/>
      <c r="K59" s="46"/>
      <c r="L59" s="45"/>
      <c r="M59" s="12" t="str">
        <f t="shared" ca="1" si="2"/>
        <v/>
      </c>
      <c r="N59" s="42"/>
      <c r="O59" s="47" t="s">
        <v>134</v>
      </c>
    </row>
    <row r="60" spans="1:15" ht="47.1" customHeight="1" x14ac:dyDescent="0.25">
      <c r="A60" s="34" t="s">
        <v>337</v>
      </c>
      <c r="B60" s="35" t="s">
        <v>338</v>
      </c>
      <c r="C60" s="36" t="s">
        <v>339</v>
      </c>
      <c r="D60" s="19"/>
      <c r="E60" s="48" t="s">
        <v>195</v>
      </c>
      <c r="F60" s="30" t="s">
        <v>199</v>
      </c>
      <c r="G60" s="19" t="s">
        <v>188</v>
      </c>
      <c r="H60" s="38"/>
      <c r="I60" s="38"/>
      <c r="J60" s="35"/>
      <c r="K60" s="39"/>
      <c r="L60" s="38"/>
      <c r="M60" s="17" t="str">
        <f t="shared" ca="1" si="2"/>
        <v/>
      </c>
      <c r="N60" s="35"/>
      <c r="O60" s="40" t="s">
        <v>134</v>
      </c>
    </row>
    <row r="61" spans="1:15" ht="60" customHeight="1" x14ac:dyDescent="0.25">
      <c r="A61" s="41" t="s">
        <v>340</v>
      </c>
      <c r="B61" s="42" t="s">
        <v>341</v>
      </c>
      <c r="C61" s="43" t="s">
        <v>342</v>
      </c>
      <c r="D61" s="14"/>
      <c r="E61" s="44" t="s">
        <v>186</v>
      </c>
      <c r="F61" s="26" t="s">
        <v>199</v>
      </c>
      <c r="G61" s="14" t="s">
        <v>188</v>
      </c>
      <c r="H61" s="45"/>
      <c r="I61" s="45"/>
      <c r="J61" s="42"/>
      <c r="K61" s="46"/>
      <c r="L61" s="45"/>
      <c r="M61" s="12" t="str">
        <f t="shared" ca="1" si="2"/>
        <v/>
      </c>
      <c r="N61" s="42"/>
      <c r="O61" s="47" t="s">
        <v>134</v>
      </c>
    </row>
    <row r="62" spans="1:15" ht="47.1" customHeight="1" x14ac:dyDescent="0.25">
      <c r="A62" s="34" t="s">
        <v>343</v>
      </c>
      <c r="B62" s="35" t="s">
        <v>344</v>
      </c>
      <c r="C62" s="36" t="s">
        <v>345</v>
      </c>
      <c r="D62" s="19"/>
      <c r="E62" s="48" t="s">
        <v>195</v>
      </c>
      <c r="F62" s="30" t="s">
        <v>199</v>
      </c>
      <c r="G62" s="19" t="s">
        <v>188</v>
      </c>
      <c r="H62" s="38"/>
      <c r="I62" s="38"/>
      <c r="J62" s="35"/>
      <c r="K62" s="39"/>
      <c r="L62" s="38"/>
      <c r="M62" s="17" t="str">
        <f t="shared" ca="1" si="2"/>
        <v/>
      </c>
      <c r="N62" s="35"/>
      <c r="O62" s="40" t="s">
        <v>134</v>
      </c>
    </row>
    <row r="63" spans="1:15" ht="60" customHeight="1" x14ac:dyDescent="0.25">
      <c r="A63" s="41" t="s">
        <v>346</v>
      </c>
      <c r="B63" s="42" t="s">
        <v>347</v>
      </c>
      <c r="C63" s="43" t="s">
        <v>348</v>
      </c>
      <c r="D63" s="14"/>
      <c r="E63" s="49" t="s">
        <v>195</v>
      </c>
      <c r="F63" s="26" t="s">
        <v>199</v>
      </c>
      <c r="G63" s="14" t="s">
        <v>188</v>
      </c>
      <c r="H63" s="45"/>
      <c r="I63" s="45"/>
      <c r="J63" s="42"/>
      <c r="K63" s="46"/>
      <c r="L63" s="45"/>
      <c r="M63" s="12" t="str">
        <f t="shared" ca="1" si="2"/>
        <v/>
      </c>
      <c r="N63" s="42"/>
      <c r="O63" s="47" t="s">
        <v>134</v>
      </c>
    </row>
    <row r="64" spans="1:15" ht="47.1" customHeight="1" x14ac:dyDescent="0.25">
      <c r="A64" s="34" t="s">
        <v>349</v>
      </c>
      <c r="B64" s="35" t="s">
        <v>350</v>
      </c>
      <c r="C64" s="36" t="s">
        <v>351</v>
      </c>
      <c r="D64" s="19"/>
      <c r="E64" s="48" t="s">
        <v>195</v>
      </c>
      <c r="F64" s="30" t="s">
        <v>199</v>
      </c>
      <c r="G64" s="19" t="s">
        <v>188</v>
      </c>
      <c r="H64" s="38"/>
      <c r="I64" s="38"/>
      <c r="J64" s="35"/>
      <c r="K64" s="39"/>
      <c r="L64" s="38"/>
      <c r="M64" s="17" t="str">
        <f t="shared" ca="1" si="2"/>
        <v/>
      </c>
      <c r="N64" s="35"/>
      <c r="O64" s="40" t="s">
        <v>134</v>
      </c>
    </row>
    <row r="65" spans="1:15" ht="47.1" customHeight="1" x14ac:dyDescent="0.25">
      <c r="A65" s="41" t="s">
        <v>352</v>
      </c>
      <c r="B65" s="42" t="s">
        <v>353</v>
      </c>
      <c r="C65" s="43" t="s">
        <v>354</v>
      </c>
      <c r="D65" s="14"/>
      <c r="E65" s="49" t="s">
        <v>195</v>
      </c>
      <c r="F65" s="26" t="s">
        <v>199</v>
      </c>
      <c r="G65" s="14" t="s">
        <v>188</v>
      </c>
      <c r="H65" s="45"/>
      <c r="I65" s="45"/>
      <c r="J65" s="42"/>
      <c r="K65" s="46"/>
      <c r="L65" s="45"/>
      <c r="M65" s="12" t="str">
        <f t="shared" ca="1" si="2"/>
        <v/>
      </c>
      <c r="N65" s="42"/>
      <c r="O65" s="47" t="s">
        <v>134</v>
      </c>
    </row>
    <row r="66" spans="1:15" ht="47.1" customHeight="1" x14ac:dyDescent="0.25">
      <c r="A66" s="34" t="s">
        <v>355</v>
      </c>
      <c r="B66" s="35" t="s">
        <v>356</v>
      </c>
      <c r="C66" s="36" t="s">
        <v>357</v>
      </c>
      <c r="D66" s="19"/>
      <c r="E66" s="48" t="s">
        <v>195</v>
      </c>
      <c r="F66" s="30" t="s">
        <v>199</v>
      </c>
      <c r="G66" s="19" t="s">
        <v>188</v>
      </c>
      <c r="H66" s="38"/>
      <c r="I66" s="38"/>
      <c r="J66" s="35"/>
      <c r="K66" s="39"/>
      <c r="L66" s="38"/>
      <c r="M66" s="17" t="str">
        <f t="shared" ca="1" si="2"/>
        <v/>
      </c>
      <c r="N66" s="35"/>
      <c r="O66" s="40" t="s">
        <v>134</v>
      </c>
    </row>
    <row r="67" spans="1:15" ht="47.1" customHeight="1" x14ac:dyDescent="0.25">
      <c r="A67" s="41" t="s">
        <v>358</v>
      </c>
      <c r="B67" s="42" t="s">
        <v>359</v>
      </c>
      <c r="C67" s="43" t="s">
        <v>360</v>
      </c>
      <c r="D67" s="14"/>
      <c r="E67" s="44" t="s">
        <v>186</v>
      </c>
      <c r="F67" s="26" t="s">
        <v>199</v>
      </c>
      <c r="G67" s="14" t="s">
        <v>188</v>
      </c>
      <c r="H67" s="45"/>
      <c r="I67" s="45"/>
      <c r="J67" s="42"/>
      <c r="K67" s="46"/>
      <c r="L67" s="45"/>
      <c r="M67" s="12" t="str">
        <f t="shared" ca="1" si="2"/>
        <v/>
      </c>
      <c r="N67" s="42"/>
      <c r="O67" s="47" t="s">
        <v>134</v>
      </c>
    </row>
    <row r="68" spans="1:15" ht="47.1" customHeight="1" x14ac:dyDescent="0.25">
      <c r="A68" s="34" t="s">
        <v>361</v>
      </c>
      <c r="B68" s="35" t="s">
        <v>362</v>
      </c>
      <c r="C68" s="36" t="s">
        <v>363</v>
      </c>
      <c r="D68" s="19"/>
      <c r="E68" s="48" t="s">
        <v>195</v>
      </c>
      <c r="F68" s="30" t="s">
        <v>199</v>
      </c>
      <c r="G68" s="19" t="s">
        <v>188</v>
      </c>
      <c r="H68" s="38"/>
      <c r="I68" s="38"/>
      <c r="J68" s="35"/>
      <c r="K68" s="39"/>
      <c r="L68" s="38"/>
      <c r="M68" s="17" t="str">
        <f t="shared" ca="1" si="2"/>
        <v/>
      </c>
      <c r="N68" s="35"/>
      <c r="O68" s="40" t="s">
        <v>134</v>
      </c>
    </row>
    <row r="69" spans="1:15" ht="47.1" customHeight="1" x14ac:dyDescent="0.25">
      <c r="A69" s="41" t="s">
        <v>364</v>
      </c>
      <c r="B69" s="42" t="s">
        <v>365</v>
      </c>
      <c r="C69" s="43" t="s">
        <v>366</v>
      </c>
      <c r="D69" s="14"/>
      <c r="E69" s="49" t="s">
        <v>195</v>
      </c>
      <c r="F69" s="26" t="s">
        <v>199</v>
      </c>
      <c r="G69" s="14" t="s">
        <v>188</v>
      </c>
      <c r="H69" s="45"/>
      <c r="I69" s="45"/>
      <c r="J69" s="42"/>
      <c r="K69" s="46"/>
      <c r="L69" s="45"/>
      <c r="M69" s="12" t="str">
        <f t="shared" ca="1" si="2"/>
        <v/>
      </c>
      <c r="N69" s="42"/>
      <c r="O69" s="47" t="s">
        <v>134</v>
      </c>
    </row>
    <row r="70" spans="1:15" ht="47.1" customHeight="1" x14ac:dyDescent="0.25">
      <c r="A70" s="34" t="s">
        <v>367</v>
      </c>
      <c r="B70" s="35" t="s">
        <v>368</v>
      </c>
      <c r="C70" s="36" t="s">
        <v>369</v>
      </c>
      <c r="D70" s="19"/>
      <c r="E70" s="48" t="s">
        <v>195</v>
      </c>
      <c r="F70" s="30" t="s">
        <v>199</v>
      </c>
      <c r="G70" s="19" t="s">
        <v>188</v>
      </c>
      <c r="H70" s="38"/>
      <c r="I70" s="38"/>
      <c r="J70" s="35"/>
      <c r="K70" s="39"/>
      <c r="L70" s="38"/>
      <c r="M70" s="17" t="str">
        <f t="shared" ca="1" si="2"/>
        <v/>
      </c>
      <c r="N70" s="35"/>
      <c r="O70" s="40" t="s">
        <v>134</v>
      </c>
    </row>
    <row r="71" spans="1:15" ht="47.1" customHeight="1" x14ac:dyDescent="0.25">
      <c r="A71" s="41" t="s">
        <v>370</v>
      </c>
      <c r="B71" s="42" t="s">
        <v>371</v>
      </c>
      <c r="C71" s="43" t="s">
        <v>372</v>
      </c>
      <c r="D71" s="14"/>
      <c r="E71" s="49" t="s">
        <v>195</v>
      </c>
      <c r="F71" s="26" t="s">
        <v>199</v>
      </c>
      <c r="G71" s="14" t="s">
        <v>188</v>
      </c>
      <c r="H71" s="45"/>
      <c r="I71" s="45"/>
      <c r="J71" s="42"/>
      <c r="K71" s="46"/>
      <c r="L71" s="45"/>
      <c r="M71" s="12" t="str">
        <f t="shared" ca="1" si="2"/>
        <v/>
      </c>
      <c r="N71" s="42"/>
      <c r="O71" s="47" t="s">
        <v>134</v>
      </c>
    </row>
    <row r="72" spans="1:15" ht="47.1" customHeight="1" x14ac:dyDescent="0.25">
      <c r="A72" s="34" t="s">
        <v>373</v>
      </c>
      <c r="B72" s="35" t="s">
        <v>374</v>
      </c>
      <c r="C72" s="36" t="s">
        <v>375</v>
      </c>
      <c r="D72" s="19"/>
      <c r="E72" s="37" t="s">
        <v>186</v>
      </c>
      <c r="F72" s="30" t="s">
        <v>199</v>
      </c>
      <c r="G72" s="19" t="s">
        <v>188</v>
      </c>
      <c r="H72" s="38"/>
      <c r="I72" s="38"/>
      <c r="J72" s="35"/>
      <c r="K72" s="39"/>
      <c r="L72" s="38"/>
      <c r="M72" s="17" t="str">
        <f t="shared" ca="1" si="2"/>
        <v/>
      </c>
      <c r="N72" s="35"/>
      <c r="O72" s="40" t="s">
        <v>134</v>
      </c>
    </row>
    <row r="73" spans="1:15" ht="60" customHeight="1" x14ac:dyDescent="0.25">
      <c r="A73" s="41" t="s">
        <v>376</v>
      </c>
      <c r="B73" s="42" t="s">
        <v>377</v>
      </c>
      <c r="C73" s="43" t="s">
        <v>378</v>
      </c>
      <c r="D73" s="14"/>
      <c r="E73" s="44" t="s">
        <v>186</v>
      </c>
      <c r="F73" s="26" t="s">
        <v>199</v>
      </c>
      <c r="G73" s="14" t="s">
        <v>188</v>
      </c>
      <c r="H73" s="45"/>
      <c r="I73" s="45"/>
      <c r="J73" s="42"/>
      <c r="K73" s="46"/>
      <c r="L73" s="45"/>
      <c r="M73" s="12" t="str">
        <f t="shared" ca="1" si="2"/>
        <v/>
      </c>
      <c r="N73" s="42"/>
      <c r="O73" s="47" t="s">
        <v>134</v>
      </c>
    </row>
    <row r="74" spans="1:15" ht="47.1" customHeight="1" x14ac:dyDescent="0.25">
      <c r="A74" s="34" t="s">
        <v>379</v>
      </c>
      <c r="B74" s="35" t="s">
        <v>380</v>
      </c>
      <c r="C74" s="36" t="s">
        <v>381</v>
      </c>
      <c r="D74" s="19"/>
      <c r="E74" s="48" t="s">
        <v>195</v>
      </c>
      <c r="F74" s="30" t="s">
        <v>199</v>
      </c>
      <c r="G74" s="19" t="s">
        <v>188</v>
      </c>
      <c r="H74" s="38"/>
      <c r="I74" s="38"/>
      <c r="J74" s="35"/>
      <c r="K74" s="39"/>
      <c r="L74" s="38"/>
      <c r="M74" s="17" t="str">
        <f t="shared" ca="1" si="2"/>
        <v/>
      </c>
      <c r="N74" s="35"/>
      <c r="O74" s="40" t="s">
        <v>134</v>
      </c>
    </row>
    <row r="75" spans="1:15" ht="47.1" customHeight="1" x14ac:dyDescent="0.25">
      <c r="A75" s="41" t="s">
        <v>382</v>
      </c>
      <c r="B75" s="42" t="s">
        <v>383</v>
      </c>
      <c r="C75" s="43" t="s">
        <v>384</v>
      </c>
      <c r="D75" s="14"/>
      <c r="E75" s="49" t="s">
        <v>195</v>
      </c>
      <c r="F75" s="26" t="s">
        <v>199</v>
      </c>
      <c r="G75" s="14" t="s">
        <v>188</v>
      </c>
      <c r="H75" s="45"/>
      <c r="I75" s="45"/>
      <c r="J75" s="42"/>
      <c r="K75" s="46"/>
      <c r="L75" s="45"/>
      <c r="M75" s="12" t="str">
        <f t="shared" ca="1" si="2"/>
        <v/>
      </c>
      <c r="N75" s="42"/>
      <c r="O75" s="47" t="s">
        <v>134</v>
      </c>
    </row>
    <row r="76" spans="1:15" ht="60" customHeight="1" x14ac:dyDescent="0.25">
      <c r="A76" s="34" t="s">
        <v>385</v>
      </c>
      <c r="B76" s="35" t="s">
        <v>386</v>
      </c>
      <c r="C76" s="36" t="s">
        <v>387</v>
      </c>
      <c r="D76" s="19"/>
      <c r="E76" s="48" t="s">
        <v>195</v>
      </c>
      <c r="F76" s="30" t="s">
        <v>199</v>
      </c>
      <c r="G76" s="19" t="s">
        <v>188</v>
      </c>
      <c r="H76" s="38"/>
      <c r="I76" s="38"/>
      <c r="J76" s="35"/>
      <c r="K76" s="39"/>
      <c r="L76" s="38"/>
      <c r="M76" s="17" t="str">
        <f t="shared" ca="1" si="2"/>
        <v/>
      </c>
      <c r="N76" s="35"/>
      <c r="O76" s="40" t="s">
        <v>134</v>
      </c>
    </row>
    <row r="77" spans="1:15" ht="47.1" customHeight="1" x14ac:dyDescent="0.25">
      <c r="A77" s="41" t="s">
        <v>388</v>
      </c>
      <c r="B77" s="42" t="s">
        <v>389</v>
      </c>
      <c r="C77" s="43" t="s">
        <v>390</v>
      </c>
      <c r="D77" s="14"/>
      <c r="E77" s="49" t="s">
        <v>195</v>
      </c>
      <c r="F77" s="26" t="s">
        <v>199</v>
      </c>
      <c r="G77" s="14" t="s">
        <v>188</v>
      </c>
      <c r="H77" s="45"/>
      <c r="I77" s="45"/>
      <c r="J77" s="42"/>
      <c r="K77" s="46"/>
      <c r="L77" s="45"/>
      <c r="M77" s="12" t="str">
        <f t="shared" ca="1" si="2"/>
        <v/>
      </c>
      <c r="N77" s="42"/>
      <c r="O77" s="47" t="s">
        <v>134</v>
      </c>
    </row>
    <row r="78" spans="1:15" ht="47.1" customHeight="1" x14ac:dyDescent="0.25">
      <c r="A78" s="34" t="s">
        <v>391</v>
      </c>
      <c r="B78" s="35" t="s">
        <v>392</v>
      </c>
      <c r="C78" s="36" t="s">
        <v>393</v>
      </c>
      <c r="D78" s="19"/>
      <c r="E78" s="48" t="s">
        <v>195</v>
      </c>
      <c r="F78" s="30" t="s">
        <v>251</v>
      </c>
      <c r="G78" s="19" t="s">
        <v>188</v>
      </c>
      <c r="H78" s="38"/>
      <c r="I78" s="38"/>
      <c r="J78" s="35"/>
      <c r="K78" s="39"/>
      <c r="L78" s="38"/>
      <c r="M78" s="17" t="str">
        <f t="shared" ca="1" si="2"/>
        <v/>
      </c>
      <c r="N78" s="35"/>
      <c r="O78" s="40" t="s">
        <v>134</v>
      </c>
    </row>
    <row r="79" spans="1:15" ht="21.95" customHeight="1" x14ac:dyDescent="0.25">
      <c r="A79" s="112" t="s">
        <v>394</v>
      </c>
      <c r="B79" s="113"/>
      <c r="C79" s="113"/>
      <c r="D79" s="113"/>
      <c r="E79" s="113"/>
      <c r="F79" s="113"/>
      <c r="G79" s="113"/>
      <c r="H79" s="113"/>
      <c r="I79" s="113"/>
      <c r="J79" s="113"/>
      <c r="K79" s="113"/>
      <c r="L79" s="113"/>
      <c r="M79" s="113"/>
      <c r="N79" s="113"/>
      <c r="O79" s="113"/>
    </row>
    <row r="80" spans="1:15" ht="47.1" customHeight="1" x14ac:dyDescent="0.25">
      <c r="A80" s="34" t="s">
        <v>395</v>
      </c>
      <c r="B80" s="35" t="s">
        <v>396</v>
      </c>
      <c r="C80" s="36" t="s">
        <v>397</v>
      </c>
      <c r="D80" s="19"/>
      <c r="E80" s="37" t="s">
        <v>186</v>
      </c>
      <c r="F80" s="30" t="s">
        <v>199</v>
      </c>
      <c r="G80" s="19" t="s">
        <v>188</v>
      </c>
      <c r="H80" s="38"/>
      <c r="I80" s="38"/>
      <c r="J80" s="35"/>
      <c r="K80" s="39"/>
      <c r="L80" s="38"/>
      <c r="M80" s="17" t="str">
        <f t="shared" ref="M80:M112" ca="1" si="3">IF(OR($H80="",$G80="Complete",$G80="N/A"),"",$H80-TODAY())</f>
        <v/>
      </c>
      <c r="N80" s="35"/>
      <c r="O80" s="40" t="s">
        <v>135</v>
      </c>
    </row>
    <row r="81" spans="1:15" ht="47.1" customHeight="1" x14ac:dyDescent="0.25">
      <c r="A81" s="41" t="s">
        <v>398</v>
      </c>
      <c r="B81" s="42" t="s">
        <v>399</v>
      </c>
      <c r="C81" s="43" t="s">
        <v>400</v>
      </c>
      <c r="D81" s="14"/>
      <c r="E81" s="49" t="s">
        <v>195</v>
      </c>
      <c r="F81" s="26" t="s">
        <v>199</v>
      </c>
      <c r="G81" s="14" t="s">
        <v>188</v>
      </c>
      <c r="H81" s="45"/>
      <c r="I81" s="45"/>
      <c r="J81" s="42"/>
      <c r="K81" s="46"/>
      <c r="L81" s="45"/>
      <c r="M81" s="12" t="str">
        <f t="shared" ca="1" si="3"/>
        <v/>
      </c>
      <c r="N81" s="42"/>
      <c r="O81" s="47" t="s">
        <v>135</v>
      </c>
    </row>
    <row r="82" spans="1:15" ht="47.1" customHeight="1" x14ac:dyDescent="0.25">
      <c r="A82" s="34" t="s">
        <v>401</v>
      </c>
      <c r="B82" s="35" t="s">
        <v>402</v>
      </c>
      <c r="C82" s="36" t="s">
        <v>403</v>
      </c>
      <c r="D82" s="19"/>
      <c r="E82" s="37" t="s">
        <v>186</v>
      </c>
      <c r="F82" s="30" t="s">
        <v>199</v>
      </c>
      <c r="G82" s="19" t="s">
        <v>188</v>
      </c>
      <c r="H82" s="38"/>
      <c r="I82" s="38"/>
      <c r="J82" s="35"/>
      <c r="K82" s="39"/>
      <c r="L82" s="38"/>
      <c r="M82" s="17" t="str">
        <f t="shared" ca="1" si="3"/>
        <v/>
      </c>
      <c r="N82" s="35"/>
      <c r="O82" s="40" t="s">
        <v>135</v>
      </c>
    </row>
    <row r="83" spans="1:15" ht="47.1" customHeight="1" x14ac:dyDescent="0.25">
      <c r="A83" s="41" t="s">
        <v>404</v>
      </c>
      <c r="B83" s="42" t="s">
        <v>405</v>
      </c>
      <c r="C83" s="43" t="s">
        <v>406</v>
      </c>
      <c r="D83" s="14"/>
      <c r="E83" s="49" t="s">
        <v>195</v>
      </c>
      <c r="F83" s="26" t="s">
        <v>199</v>
      </c>
      <c r="G83" s="14" t="s">
        <v>188</v>
      </c>
      <c r="H83" s="45"/>
      <c r="I83" s="45"/>
      <c r="J83" s="42"/>
      <c r="K83" s="46"/>
      <c r="L83" s="45"/>
      <c r="M83" s="12" t="str">
        <f t="shared" ca="1" si="3"/>
        <v/>
      </c>
      <c r="N83" s="42"/>
      <c r="O83" s="47" t="s">
        <v>135</v>
      </c>
    </row>
    <row r="84" spans="1:15" ht="47.1" customHeight="1" x14ac:dyDescent="0.25">
      <c r="A84" s="34" t="s">
        <v>407</v>
      </c>
      <c r="B84" s="35" t="s">
        <v>408</v>
      </c>
      <c r="C84" s="36" t="s">
        <v>409</v>
      </c>
      <c r="D84" s="19"/>
      <c r="E84" s="37" t="s">
        <v>186</v>
      </c>
      <c r="F84" s="30" t="s">
        <v>199</v>
      </c>
      <c r="G84" s="19" t="s">
        <v>188</v>
      </c>
      <c r="H84" s="38"/>
      <c r="I84" s="38"/>
      <c r="J84" s="35"/>
      <c r="K84" s="39"/>
      <c r="L84" s="38"/>
      <c r="M84" s="17" t="str">
        <f t="shared" ca="1" si="3"/>
        <v/>
      </c>
      <c r="N84" s="35"/>
      <c r="O84" s="40" t="s">
        <v>135</v>
      </c>
    </row>
    <row r="85" spans="1:15" ht="47.1" customHeight="1" x14ac:dyDescent="0.25">
      <c r="A85" s="41" t="s">
        <v>410</v>
      </c>
      <c r="B85" s="42" t="s">
        <v>411</v>
      </c>
      <c r="C85" s="43" t="s">
        <v>412</v>
      </c>
      <c r="D85" s="14"/>
      <c r="E85" s="44" t="s">
        <v>186</v>
      </c>
      <c r="F85" s="26" t="s">
        <v>199</v>
      </c>
      <c r="G85" s="14" t="s">
        <v>188</v>
      </c>
      <c r="H85" s="45"/>
      <c r="I85" s="45"/>
      <c r="J85" s="42"/>
      <c r="K85" s="46"/>
      <c r="L85" s="45"/>
      <c r="M85" s="12" t="str">
        <f t="shared" ca="1" si="3"/>
        <v/>
      </c>
      <c r="N85" s="42"/>
      <c r="O85" s="47" t="s">
        <v>135</v>
      </c>
    </row>
    <row r="86" spans="1:15" ht="47.1" customHeight="1" x14ac:dyDescent="0.25">
      <c r="A86" s="34" t="s">
        <v>413</v>
      </c>
      <c r="B86" s="35" t="s">
        <v>414</v>
      </c>
      <c r="C86" s="36" t="s">
        <v>415</v>
      </c>
      <c r="D86" s="19"/>
      <c r="E86" s="48" t="s">
        <v>195</v>
      </c>
      <c r="F86" s="30" t="s">
        <v>199</v>
      </c>
      <c r="G86" s="19" t="s">
        <v>188</v>
      </c>
      <c r="H86" s="38"/>
      <c r="I86" s="38"/>
      <c r="J86" s="35"/>
      <c r="K86" s="39"/>
      <c r="L86" s="38"/>
      <c r="M86" s="17" t="str">
        <f t="shared" ca="1" si="3"/>
        <v/>
      </c>
      <c r="N86" s="35"/>
      <c r="O86" s="40" t="s">
        <v>135</v>
      </c>
    </row>
    <row r="87" spans="1:15" ht="47.1" customHeight="1" x14ac:dyDescent="0.25">
      <c r="A87" s="41" t="s">
        <v>416</v>
      </c>
      <c r="B87" s="42" t="s">
        <v>417</v>
      </c>
      <c r="C87" s="43" t="s">
        <v>418</v>
      </c>
      <c r="D87" s="14"/>
      <c r="E87" s="44" t="s">
        <v>186</v>
      </c>
      <c r="F87" s="26" t="s">
        <v>199</v>
      </c>
      <c r="G87" s="14" t="s">
        <v>188</v>
      </c>
      <c r="H87" s="45"/>
      <c r="I87" s="45"/>
      <c r="J87" s="42"/>
      <c r="K87" s="46"/>
      <c r="L87" s="45"/>
      <c r="M87" s="12" t="str">
        <f t="shared" ca="1" si="3"/>
        <v/>
      </c>
      <c r="N87" s="42"/>
      <c r="O87" s="47" t="s">
        <v>135</v>
      </c>
    </row>
    <row r="88" spans="1:15" ht="33.950000000000003" customHeight="1" x14ac:dyDescent="0.25">
      <c r="A88" s="34" t="s">
        <v>419</v>
      </c>
      <c r="B88" s="35" t="s">
        <v>420</v>
      </c>
      <c r="C88" s="36" t="s">
        <v>421</v>
      </c>
      <c r="D88" s="19"/>
      <c r="E88" s="37" t="s">
        <v>186</v>
      </c>
      <c r="F88" s="30" t="s">
        <v>199</v>
      </c>
      <c r="G88" s="19" t="s">
        <v>188</v>
      </c>
      <c r="H88" s="38"/>
      <c r="I88" s="38"/>
      <c r="J88" s="35"/>
      <c r="K88" s="39"/>
      <c r="L88" s="38"/>
      <c r="M88" s="17" t="str">
        <f t="shared" ca="1" si="3"/>
        <v/>
      </c>
      <c r="N88" s="35"/>
      <c r="O88" s="40" t="s">
        <v>135</v>
      </c>
    </row>
    <row r="89" spans="1:15" ht="47.1" customHeight="1" x14ac:dyDescent="0.25">
      <c r="A89" s="41" t="s">
        <v>422</v>
      </c>
      <c r="B89" s="42" t="s">
        <v>423</v>
      </c>
      <c r="C89" s="43" t="s">
        <v>424</v>
      </c>
      <c r="D89" s="14"/>
      <c r="E89" s="44" t="s">
        <v>186</v>
      </c>
      <c r="F89" s="26" t="s">
        <v>199</v>
      </c>
      <c r="G89" s="14" t="s">
        <v>188</v>
      </c>
      <c r="H89" s="45"/>
      <c r="I89" s="45"/>
      <c r="J89" s="42"/>
      <c r="K89" s="46"/>
      <c r="L89" s="45"/>
      <c r="M89" s="12" t="str">
        <f t="shared" ca="1" si="3"/>
        <v/>
      </c>
      <c r="N89" s="42"/>
      <c r="O89" s="47" t="s">
        <v>135</v>
      </c>
    </row>
    <row r="90" spans="1:15" ht="47.1" customHeight="1" x14ac:dyDescent="0.25">
      <c r="A90" s="34" t="s">
        <v>425</v>
      </c>
      <c r="B90" s="35" t="s">
        <v>426</v>
      </c>
      <c r="C90" s="36" t="s">
        <v>427</v>
      </c>
      <c r="D90" s="19"/>
      <c r="E90" s="48" t="s">
        <v>195</v>
      </c>
      <c r="F90" s="30" t="s">
        <v>199</v>
      </c>
      <c r="G90" s="19" t="s">
        <v>188</v>
      </c>
      <c r="H90" s="38"/>
      <c r="I90" s="38"/>
      <c r="J90" s="35"/>
      <c r="K90" s="39"/>
      <c r="L90" s="38"/>
      <c r="M90" s="17" t="str">
        <f t="shared" ca="1" si="3"/>
        <v/>
      </c>
      <c r="N90" s="35"/>
      <c r="O90" s="40" t="s">
        <v>135</v>
      </c>
    </row>
    <row r="91" spans="1:15" ht="60" customHeight="1" x14ac:dyDescent="0.25">
      <c r="A91" s="41" t="s">
        <v>428</v>
      </c>
      <c r="B91" s="42" t="s">
        <v>429</v>
      </c>
      <c r="C91" s="43" t="s">
        <v>430</v>
      </c>
      <c r="D91" s="14"/>
      <c r="E91" s="44" t="s">
        <v>186</v>
      </c>
      <c r="F91" s="26" t="s">
        <v>199</v>
      </c>
      <c r="G91" s="14" t="s">
        <v>188</v>
      </c>
      <c r="H91" s="45"/>
      <c r="I91" s="45"/>
      <c r="J91" s="42"/>
      <c r="K91" s="46"/>
      <c r="L91" s="45"/>
      <c r="M91" s="12" t="str">
        <f t="shared" ca="1" si="3"/>
        <v/>
      </c>
      <c r="N91" s="42"/>
      <c r="O91" s="47" t="s">
        <v>135</v>
      </c>
    </row>
    <row r="92" spans="1:15" ht="47.1" customHeight="1" x14ac:dyDescent="0.25">
      <c r="A92" s="34" t="s">
        <v>431</v>
      </c>
      <c r="B92" s="35" t="s">
        <v>432</v>
      </c>
      <c r="C92" s="36" t="s">
        <v>433</v>
      </c>
      <c r="D92" s="19"/>
      <c r="E92" s="37" t="s">
        <v>186</v>
      </c>
      <c r="F92" s="30" t="s">
        <v>199</v>
      </c>
      <c r="G92" s="19" t="s">
        <v>188</v>
      </c>
      <c r="H92" s="38"/>
      <c r="I92" s="38"/>
      <c r="J92" s="35"/>
      <c r="K92" s="39"/>
      <c r="L92" s="38"/>
      <c r="M92" s="17" t="str">
        <f t="shared" ca="1" si="3"/>
        <v/>
      </c>
      <c r="N92" s="35"/>
      <c r="O92" s="40" t="s">
        <v>135</v>
      </c>
    </row>
    <row r="93" spans="1:15" ht="47.1" customHeight="1" x14ac:dyDescent="0.25">
      <c r="A93" s="41" t="s">
        <v>434</v>
      </c>
      <c r="B93" s="42" t="s">
        <v>435</v>
      </c>
      <c r="C93" s="43" t="s">
        <v>436</v>
      </c>
      <c r="D93" s="14"/>
      <c r="E93" s="44" t="s">
        <v>186</v>
      </c>
      <c r="F93" s="26" t="s">
        <v>199</v>
      </c>
      <c r="G93" s="14" t="s">
        <v>188</v>
      </c>
      <c r="H93" s="45"/>
      <c r="I93" s="45"/>
      <c r="J93" s="42"/>
      <c r="K93" s="46"/>
      <c r="L93" s="45"/>
      <c r="M93" s="12" t="str">
        <f t="shared" ca="1" si="3"/>
        <v/>
      </c>
      <c r="N93" s="42"/>
      <c r="O93" s="47" t="s">
        <v>135</v>
      </c>
    </row>
    <row r="94" spans="1:15" ht="47.1" customHeight="1" x14ac:dyDescent="0.25">
      <c r="A94" s="34" t="s">
        <v>437</v>
      </c>
      <c r="B94" s="35" t="s">
        <v>438</v>
      </c>
      <c r="C94" s="36" t="s">
        <v>439</v>
      </c>
      <c r="D94" s="19"/>
      <c r="E94" s="37" t="s">
        <v>186</v>
      </c>
      <c r="F94" s="30" t="s">
        <v>199</v>
      </c>
      <c r="G94" s="19" t="s">
        <v>188</v>
      </c>
      <c r="H94" s="38"/>
      <c r="I94" s="38"/>
      <c r="J94" s="35"/>
      <c r="K94" s="39"/>
      <c r="L94" s="38"/>
      <c r="M94" s="17" t="str">
        <f t="shared" ca="1" si="3"/>
        <v/>
      </c>
      <c r="N94" s="35"/>
      <c r="O94" s="40" t="s">
        <v>135</v>
      </c>
    </row>
    <row r="95" spans="1:15" ht="60" customHeight="1" x14ac:dyDescent="0.25">
      <c r="A95" s="41" t="s">
        <v>440</v>
      </c>
      <c r="B95" s="42" t="s">
        <v>441</v>
      </c>
      <c r="C95" s="43" t="s">
        <v>442</v>
      </c>
      <c r="D95" s="14"/>
      <c r="E95" s="44" t="s">
        <v>186</v>
      </c>
      <c r="F95" s="26" t="s">
        <v>199</v>
      </c>
      <c r="G95" s="14" t="s">
        <v>188</v>
      </c>
      <c r="H95" s="45"/>
      <c r="I95" s="45"/>
      <c r="J95" s="42"/>
      <c r="K95" s="46"/>
      <c r="L95" s="45"/>
      <c r="M95" s="12" t="str">
        <f t="shared" ca="1" si="3"/>
        <v/>
      </c>
      <c r="N95" s="42"/>
      <c r="O95" s="47" t="s">
        <v>135</v>
      </c>
    </row>
    <row r="96" spans="1:15" ht="60" customHeight="1" x14ac:dyDescent="0.25">
      <c r="A96" s="34" t="s">
        <v>443</v>
      </c>
      <c r="B96" s="35" t="s">
        <v>444</v>
      </c>
      <c r="C96" s="36" t="s">
        <v>445</v>
      </c>
      <c r="D96" s="19"/>
      <c r="E96" s="48" t="s">
        <v>195</v>
      </c>
      <c r="F96" s="30" t="s">
        <v>199</v>
      </c>
      <c r="G96" s="19" t="s">
        <v>188</v>
      </c>
      <c r="H96" s="38"/>
      <c r="I96" s="38"/>
      <c r="J96" s="35"/>
      <c r="K96" s="39"/>
      <c r="L96" s="38"/>
      <c r="M96" s="17" t="str">
        <f t="shared" ca="1" si="3"/>
        <v/>
      </c>
      <c r="N96" s="35"/>
      <c r="O96" s="40" t="s">
        <v>135</v>
      </c>
    </row>
    <row r="97" spans="1:15" ht="33.950000000000003" customHeight="1" x14ac:dyDescent="0.25">
      <c r="A97" s="41" t="s">
        <v>446</v>
      </c>
      <c r="B97" s="42" t="s">
        <v>447</v>
      </c>
      <c r="C97" s="43" t="s">
        <v>448</v>
      </c>
      <c r="D97" s="14"/>
      <c r="E97" s="49" t="s">
        <v>195</v>
      </c>
      <c r="F97" s="26" t="s">
        <v>199</v>
      </c>
      <c r="G97" s="14" t="s">
        <v>188</v>
      </c>
      <c r="H97" s="45"/>
      <c r="I97" s="45"/>
      <c r="J97" s="42"/>
      <c r="K97" s="46"/>
      <c r="L97" s="45"/>
      <c r="M97" s="12" t="str">
        <f t="shared" ca="1" si="3"/>
        <v/>
      </c>
      <c r="N97" s="42"/>
      <c r="O97" s="47" t="s">
        <v>135</v>
      </c>
    </row>
    <row r="98" spans="1:15" ht="47.1" customHeight="1" x14ac:dyDescent="0.25">
      <c r="A98" s="34" t="s">
        <v>449</v>
      </c>
      <c r="B98" s="35" t="s">
        <v>450</v>
      </c>
      <c r="C98" s="36" t="s">
        <v>451</v>
      </c>
      <c r="D98" s="19"/>
      <c r="E98" s="37" t="s">
        <v>186</v>
      </c>
      <c r="F98" s="30" t="s">
        <v>199</v>
      </c>
      <c r="G98" s="19" t="s">
        <v>188</v>
      </c>
      <c r="H98" s="38"/>
      <c r="I98" s="38"/>
      <c r="J98" s="35"/>
      <c r="K98" s="39"/>
      <c r="L98" s="38"/>
      <c r="M98" s="17" t="str">
        <f t="shared" ca="1" si="3"/>
        <v/>
      </c>
      <c r="N98" s="35"/>
      <c r="O98" s="40" t="s">
        <v>135</v>
      </c>
    </row>
    <row r="99" spans="1:15" ht="47.1" customHeight="1" x14ac:dyDescent="0.25">
      <c r="A99" s="41" t="s">
        <v>452</v>
      </c>
      <c r="B99" s="42" t="s">
        <v>453</v>
      </c>
      <c r="C99" s="43" t="s">
        <v>454</v>
      </c>
      <c r="D99" s="14"/>
      <c r="E99" s="49" t="s">
        <v>195</v>
      </c>
      <c r="F99" s="26" t="s">
        <v>199</v>
      </c>
      <c r="G99" s="14" t="s">
        <v>188</v>
      </c>
      <c r="H99" s="45"/>
      <c r="I99" s="45"/>
      <c r="J99" s="42"/>
      <c r="K99" s="46"/>
      <c r="L99" s="45"/>
      <c r="M99" s="12" t="str">
        <f t="shared" ca="1" si="3"/>
        <v/>
      </c>
      <c r="N99" s="42"/>
      <c r="O99" s="47" t="s">
        <v>135</v>
      </c>
    </row>
    <row r="100" spans="1:15" ht="47.1" customHeight="1" x14ac:dyDescent="0.25">
      <c r="A100" s="34" t="s">
        <v>455</v>
      </c>
      <c r="B100" s="35" t="s">
        <v>456</v>
      </c>
      <c r="C100" s="36" t="s">
        <v>457</v>
      </c>
      <c r="D100" s="19"/>
      <c r="E100" s="37" t="s">
        <v>186</v>
      </c>
      <c r="F100" s="30" t="s">
        <v>199</v>
      </c>
      <c r="G100" s="19" t="s">
        <v>188</v>
      </c>
      <c r="H100" s="38"/>
      <c r="I100" s="38"/>
      <c r="J100" s="35"/>
      <c r="K100" s="39"/>
      <c r="L100" s="38"/>
      <c r="M100" s="17" t="str">
        <f t="shared" ca="1" si="3"/>
        <v/>
      </c>
      <c r="N100" s="35"/>
      <c r="O100" s="40" t="s">
        <v>135</v>
      </c>
    </row>
    <row r="101" spans="1:15" ht="47.1" customHeight="1" x14ac:dyDescent="0.25">
      <c r="A101" s="41" t="s">
        <v>458</v>
      </c>
      <c r="B101" s="42" t="s">
        <v>459</v>
      </c>
      <c r="C101" s="43" t="s">
        <v>460</v>
      </c>
      <c r="D101" s="14"/>
      <c r="E101" s="44" t="s">
        <v>186</v>
      </c>
      <c r="F101" s="26" t="s">
        <v>199</v>
      </c>
      <c r="G101" s="14" t="s">
        <v>188</v>
      </c>
      <c r="H101" s="45"/>
      <c r="I101" s="45"/>
      <c r="J101" s="42"/>
      <c r="K101" s="46"/>
      <c r="L101" s="45"/>
      <c r="M101" s="12" t="str">
        <f t="shared" ca="1" si="3"/>
        <v/>
      </c>
      <c r="N101" s="42"/>
      <c r="O101" s="47" t="s">
        <v>135</v>
      </c>
    </row>
    <row r="102" spans="1:15" ht="47.1" customHeight="1" x14ac:dyDescent="0.25">
      <c r="A102" s="34" t="s">
        <v>461</v>
      </c>
      <c r="B102" s="35" t="s">
        <v>462</v>
      </c>
      <c r="C102" s="36" t="s">
        <v>463</v>
      </c>
      <c r="D102" s="19"/>
      <c r="E102" s="37" t="s">
        <v>186</v>
      </c>
      <c r="F102" s="30" t="s">
        <v>199</v>
      </c>
      <c r="G102" s="19" t="s">
        <v>188</v>
      </c>
      <c r="H102" s="38"/>
      <c r="I102" s="38"/>
      <c r="J102" s="35"/>
      <c r="K102" s="39"/>
      <c r="L102" s="38"/>
      <c r="M102" s="17" t="str">
        <f t="shared" ca="1" si="3"/>
        <v/>
      </c>
      <c r="N102" s="35"/>
      <c r="O102" s="40" t="s">
        <v>135</v>
      </c>
    </row>
    <row r="103" spans="1:15" ht="47.1" customHeight="1" x14ac:dyDescent="0.25">
      <c r="A103" s="41" t="s">
        <v>464</v>
      </c>
      <c r="B103" s="42" t="s">
        <v>465</v>
      </c>
      <c r="C103" s="43" t="s">
        <v>466</v>
      </c>
      <c r="D103" s="14"/>
      <c r="E103" s="44" t="s">
        <v>186</v>
      </c>
      <c r="F103" s="26" t="s">
        <v>199</v>
      </c>
      <c r="G103" s="14" t="s">
        <v>188</v>
      </c>
      <c r="H103" s="45"/>
      <c r="I103" s="45"/>
      <c r="J103" s="42"/>
      <c r="K103" s="46"/>
      <c r="L103" s="45"/>
      <c r="M103" s="12" t="str">
        <f t="shared" ca="1" si="3"/>
        <v/>
      </c>
      <c r="N103" s="42"/>
      <c r="O103" s="47" t="s">
        <v>135</v>
      </c>
    </row>
    <row r="104" spans="1:15" ht="60" customHeight="1" x14ac:dyDescent="0.25">
      <c r="A104" s="34" t="s">
        <v>467</v>
      </c>
      <c r="B104" s="35" t="s">
        <v>468</v>
      </c>
      <c r="C104" s="36" t="s">
        <v>469</v>
      </c>
      <c r="D104" s="19"/>
      <c r="E104" s="37" t="s">
        <v>186</v>
      </c>
      <c r="F104" s="30" t="s">
        <v>199</v>
      </c>
      <c r="G104" s="19" t="s">
        <v>188</v>
      </c>
      <c r="H104" s="38"/>
      <c r="I104" s="38"/>
      <c r="J104" s="35"/>
      <c r="K104" s="39"/>
      <c r="L104" s="38"/>
      <c r="M104" s="17" t="str">
        <f t="shared" ca="1" si="3"/>
        <v/>
      </c>
      <c r="N104" s="35"/>
      <c r="O104" s="40" t="s">
        <v>135</v>
      </c>
    </row>
    <row r="105" spans="1:15" ht="47.1" customHeight="1" x14ac:dyDescent="0.25">
      <c r="A105" s="41" t="s">
        <v>470</v>
      </c>
      <c r="B105" s="42" t="s">
        <v>471</v>
      </c>
      <c r="C105" s="43" t="s">
        <v>472</v>
      </c>
      <c r="D105" s="14"/>
      <c r="E105" s="49" t="s">
        <v>195</v>
      </c>
      <c r="F105" s="26" t="s">
        <v>199</v>
      </c>
      <c r="G105" s="14" t="s">
        <v>188</v>
      </c>
      <c r="H105" s="45"/>
      <c r="I105" s="45"/>
      <c r="J105" s="42"/>
      <c r="K105" s="46"/>
      <c r="L105" s="45"/>
      <c r="M105" s="12" t="str">
        <f t="shared" ca="1" si="3"/>
        <v/>
      </c>
      <c r="N105" s="42"/>
      <c r="O105" s="47" t="s">
        <v>135</v>
      </c>
    </row>
    <row r="106" spans="1:15" ht="47.1" customHeight="1" x14ac:dyDescent="0.25">
      <c r="A106" s="34" t="s">
        <v>473</v>
      </c>
      <c r="B106" s="35" t="s">
        <v>474</v>
      </c>
      <c r="C106" s="36" t="s">
        <v>475</v>
      </c>
      <c r="D106" s="19"/>
      <c r="E106" s="48" t="s">
        <v>195</v>
      </c>
      <c r="F106" s="30" t="s">
        <v>199</v>
      </c>
      <c r="G106" s="19" t="s">
        <v>188</v>
      </c>
      <c r="H106" s="38"/>
      <c r="I106" s="38"/>
      <c r="J106" s="35"/>
      <c r="K106" s="39"/>
      <c r="L106" s="38"/>
      <c r="M106" s="17" t="str">
        <f t="shared" ca="1" si="3"/>
        <v/>
      </c>
      <c r="N106" s="35"/>
      <c r="O106" s="40" t="s">
        <v>135</v>
      </c>
    </row>
    <row r="107" spans="1:15" ht="47.1" customHeight="1" x14ac:dyDescent="0.25">
      <c r="A107" s="41" t="s">
        <v>476</v>
      </c>
      <c r="B107" s="42" t="s">
        <v>477</v>
      </c>
      <c r="C107" s="43" t="s">
        <v>478</v>
      </c>
      <c r="D107" s="14"/>
      <c r="E107" s="49" t="s">
        <v>195</v>
      </c>
      <c r="F107" s="26" t="s">
        <v>199</v>
      </c>
      <c r="G107" s="14" t="s">
        <v>188</v>
      </c>
      <c r="H107" s="45"/>
      <c r="I107" s="45"/>
      <c r="J107" s="42"/>
      <c r="K107" s="46"/>
      <c r="L107" s="45"/>
      <c r="M107" s="12" t="str">
        <f t="shared" ca="1" si="3"/>
        <v/>
      </c>
      <c r="N107" s="42"/>
      <c r="O107" s="47" t="s">
        <v>135</v>
      </c>
    </row>
    <row r="108" spans="1:15" ht="47.1" customHeight="1" x14ac:dyDescent="0.25">
      <c r="A108" s="34" t="s">
        <v>479</v>
      </c>
      <c r="B108" s="35" t="s">
        <v>480</v>
      </c>
      <c r="C108" s="36" t="s">
        <v>481</v>
      </c>
      <c r="D108" s="19"/>
      <c r="E108" s="48" t="s">
        <v>195</v>
      </c>
      <c r="F108" s="30" t="s">
        <v>199</v>
      </c>
      <c r="G108" s="19" t="s">
        <v>188</v>
      </c>
      <c r="H108" s="38"/>
      <c r="I108" s="38"/>
      <c r="J108" s="35"/>
      <c r="K108" s="39"/>
      <c r="L108" s="38"/>
      <c r="M108" s="17" t="str">
        <f t="shared" ca="1" si="3"/>
        <v/>
      </c>
      <c r="N108" s="35"/>
      <c r="O108" s="40" t="s">
        <v>135</v>
      </c>
    </row>
    <row r="109" spans="1:15" ht="60" customHeight="1" x14ac:dyDescent="0.25">
      <c r="A109" s="41" t="s">
        <v>482</v>
      </c>
      <c r="B109" s="42" t="s">
        <v>483</v>
      </c>
      <c r="C109" s="43" t="s">
        <v>484</v>
      </c>
      <c r="D109" s="14"/>
      <c r="E109" s="44" t="s">
        <v>186</v>
      </c>
      <c r="F109" s="26" t="s">
        <v>199</v>
      </c>
      <c r="G109" s="14" t="s">
        <v>188</v>
      </c>
      <c r="H109" s="45"/>
      <c r="I109" s="45"/>
      <c r="J109" s="42"/>
      <c r="K109" s="46"/>
      <c r="L109" s="45"/>
      <c r="M109" s="12" t="str">
        <f t="shared" ca="1" si="3"/>
        <v/>
      </c>
      <c r="N109" s="42"/>
      <c r="O109" s="47" t="s">
        <v>135</v>
      </c>
    </row>
    <row r="110" spans="1:15" ht="60" customHeight="1" x14ac:dyDescent="0.25">
      <c r="A110" s="34" t="s">
        <v>485</v>
      </c>
      <c r="B110" s="35" t="s">
        <v>486</v>
      </c>
      <c r="C110" s="36" t="s">
        <v>487</v>
      </c>
      <c r="D110" s="19"/>
      <c r="E110" s="37" t="s">
        <v>186</v>
      </c>
      <c r="F110" s="30" t="s">
        <v>199</v>
      </c>
      <c r="G110" s="19" t="s">
        <v>188</v>
      </c>
      <c r="H110" s="38"/>
      <c r="I110" s="38"/>
      <c r="J110" s="35"/>
      <c r="K110" s="39"/>
      <c r="L110" s="38"/>
      <c r="M110" s="17" t="str">
        <f t="shared" ca="1" si="3"/>
        <v/>
      </c>
      <c r="N110" s="35"/>
      <c r="O110" s="40" t="s">
        <v>135</v>
      </c>
    </row>
    <row r="111" spans="1:15" ht="47.1" customHeight="1" x14ac:dyDescent="0.25">
      <c r="A111" s="41" t="s">
        <v>488</v>
      </c>
      <c r="B111" s="42" t="s">
        <v>489</v>
      </c>
      <c r="C111" s="43" t="s">
        <v>490</v>
      </c>
      <c r="D111" s="14"/>
      <c r="E111" s="44" t="s">
        <v>186</v>
      </c>
      <c r="F111" s="26" t="s">
        <v>48</v>
      </c>
      <c r="G111" s="14" t="s">
        <v>188</v>
      </c>
      <c r="H111" s="45"/>
      <c r="I111" s="45"/>
      <c r="J111" s="42"/>
      <c r="K111" s="46"/>
      <c r="L111" s="45"/>
      <c r="M111" s="12" t="str">
        <f t="shared" ca="1" si="3"/>
        <v/>
      </c>
      <c r="N111" s="42"/>
      <c r="O111" s="47" t="s">
        <v>135</v>
      </c>
    </row>
    <row r="112" spans="1:15" ht="47.1" customHeight="1" x14ac:dyDescent="0.25">
      <c r="A112" s="34" t="s">
        <v>491</v>
      </c>
      <c r="B112" s="35" t="s">
        <v>492</v>
      </c>
      <c r="C112" s="36" t="s">
        <v>493</v>
      </c>
      <c r="D112" s="19"/>
      <c r="E112" s="37" t="s">
        <v>186</v>
      </c>
      <c r="F112" s="30" t="s">
        <v>199</v>
      </c>
      <c r="G112" s="19" t="s">
        <v>188</v>
      </c>
      <c r="H112" s="38"/>
      <c r="I112" s="38"/>
      <c r="J112" s="35"/>
      <c r="K112" s="39"/>
      <c r="L112" s="38"/>
      <c r="M112" s="17" t="str">
        <f t="shared" ca="1" si="3"/>
        <v/>
      </c>
      <c r="N112" s="35"/>
      <c r="O112" s="40" t="s">
        <v>135</v>
      </c>
    </row>
    <row r="113" spans="1:15" ht="21.95" customHeight="1" x14ac:dyDescent="0.25">
      <c r="A113" s="112" t="s">
        <v>494</v>
      </c>
      <c r="B113" s="113"/>
      <c r="C113" s="113"/>
      <c r="D113" s="113"/>
      <c r="E113" s="113"/>
      <c r="F113" s="113"/>
      <c r="G113" s="113"/>
      <c r="H113" s="113"/>
      <c r="I113" s="113"/>
      <c r="J113" s="113"/>
      <c r="K113" s="113"/>
      <c r="L113" s="113"/>
      <c r="M113" s="113"/>
      <c r="N113" s="113"/>
      <c r="O113" s="113"/>
    </row>
    <row r="114" spans="1:15" ht="60" customHeight="1" x14ac:dyDescent="0.25">
      <c r="A114" s="34" t="s">
        <v>495</v>
      </c>
      <c r="B114" s="35" t="s">
        <v>496</v>
      </c>
      <c r="C114" s="36" t="s">
        <v>497</v>
      </c>
      <c r="D114" s="19"/>
      <c r="E114" s="37" t="s">
        <v>186</v>
      </c>
      <c r="F114" s="30" t="s">
        <v>187</v>
      </c>
      <c r="G114" s="19" t="s">
        <v>188</v>
      </c>
      <c r="H114" s="38"/>
      <c r="I114" s="38"/>
      <c r="J114" s="35"/>
      <c r="K114" s="39"/>
      <c r="L114" s="38"/>
      <c r="M114" s="17" t="str">
        <f t="shared" ref="M114:M131" ca="1" si="4">IF(OR($H114="",$G114="Complete",$G114="N/A"),"",$H114-TODAY())</f>
        <v/>
      </c>
      <c r="N114" s="35"/>
      <c r="O114" s="40" t="s">
        <v>136</v>
      </c>
    </row>
    <row r="115" spans="1:15" ht="47.1" customHeight="1" x14ac:dyDescent="0.25">
      <c r="A115" s="41" t="s">
        <v>498</v>
      </c>
      <c r="B115" s="42" t="s">
        <v>499</v>
      </c>
      <c r="C115" s="43" t="s">
        <v>500</v>
      </c>
      <c r="D115" s="14"/>
      <c r="E115" s="49" t="s">
        <v>195</v>
      </c>
      <c r="F115" s="26" t="s">
        <v>227</v>
      </c>
      <c r="G115" s="14" t="s">
        <v>188</v>
      </c>
      <c r="H115" s="45"/>
      <c r="I115" s="45"/>
      <c r="J115" s="42"/>
      <c r="K115" s="46"/>
      <c r="L115" s="45"/>
      <c r="M115" s="12" t="str">
        <f t="shared" ca="1" si="4"/>
        <v/>
      </c>
      <c r="N115" s="42"/>
      <c r="O115" s="47" t="s">
        <v>136</v>
      </c>
    </row>
    <row r="116" spans="1:15" ht="47.1" customHeight="1" x14ac:dyDescent="0.25">
      <c r="A116" s="34" t="s">
        <v>501</v>
      </c>
      <c r="B116" s="35" t="s">
        <v>502</v>
      </c>
      <c r="C116" s="36" t="s">
        <v>503</v>
      </c>
      <c r="D116" s="19"/>
      <c r="E116" s="37" t="s">
        <v>186</v>
      </c>
      <c r="F116" s="30" t="s">
        <v>48</v>
      </c>
      <c r="G116" s="19" t="s">
        <v>188</v>
      </c>
      <c r="H116" s="38"/>
      <c r="I116" s="38"/>
      <c r="J116" s="35"/>
      <c r="K116" s="39"/>
      <c r="L116" s="38"/>
      <c r="M116" s="17" t="str">
        <f t="shared" ca="1" si="4"/>
        <v/>
      </c>
      <c r="N116" s="35"/>
      <c r="O116" s="40" t="s">
        <v>136</v>
      </c>
    </row>
    <row r="117" spans="1:15" ht="47.1" customHeight="1" x14ac:dyDescent="0.25">
      <c r="A117" s="41" t="s">
        <v>504</v>
      </c>
      <c r="B117" s="42" t="s">
        <v>505</v>
      </c>
      <c r="C117" s="43" t="s">
        <v>506</v>
      </c>
      <c r="D117" s="14"/>
      <c r="E117" s="44" t="s">
        <v>186</v>
      </c>
      <c r="F117" s="26" t="s">
        <v>199</v>
      </c>
      <c r="G117" s="14" t="s">
        <v>188</v>
      </c>
      <c r="H117" s="45"/>
      <c r="I117" s="45"/>
      <c r="J117" s="42"/>
      <c r="K117" s="46"/>
      <c r="L117" s="45"/>
      <c r="M117" s="12" t="str">
        <f t="shared" ca="1" si="4"/>
        <v/>
      </c>
      <c r="N117" s="42"/>
      <c r="O117" s="47" t="s">
        <v>136</v>
      </c>
    </row>
    <row r="118" spans="1:15" ht="60" customHeight="1" x14ac:dyDescent="0.25">
      <c r="A118" s="34" t="s">
        <v>507</v>
      </c>
      <c r="B118" s="35" t="s">
        <v>508</v>
      </c>
      <c r="C118" s="36" t="s">
        <v>509</v>
      </c>
      <c r="D118" s="19"/>
      <c r="E118" s="37" t="s">
        <v>186</v>
      </c>
      <c r="F118" s="30" t="s">
        <v>48</v>
      </c>
      <c r="G118" s="19" t="s">
        <v>188</v>
      </c>
      <c r="H118" s="38"/>
      <c r="I118" s="38"/>
      <c r="J118" s="35"/>
      <c r="K118" s="39"/>
      <c r="L118" s="38"/>
      <c r="M118" s="17" t="str">
        <f t="shared" ca="1" si="4"/>
        <v/>
      </c>
      <c r="N118" s="35"/>
      <c r="O118" s="40" t="s">
        <v>136</v>
      </c>
    </row>
    <row r="119" spans="1:15" ht="47.1" customHeight="1" x14ac:dyDescent="0.25">
      <c r="A119" s="41" t="s">
        <v>510</v>
      </c>
      <c r="B119" s="42" t="s">
        <v>511</v>
      </c>
      <c r="C119" s="43" t="s">
        <v>512</v>
      </c>
      <c r="D119" s="14"/>
      <c r="E119" s="44" t="s">
        <v>186</v>
      </c>
      <c r="F119" s="26" t="s">
        <v>48</v>
      </c>
      <c r="G119" s="14" t="s">
        <v>188</v>
      </c>
      <c r="H119" s="45"/>
      <c r="I119" s="45"/>
      <c r="J119" s="42"/>
      <c r="K119" s="46"/>
      <c r="L119" s="45"/>
      <c r="M119" s="12" t="str">
        <f t="shared" ca="1" si="4"/>
        <v/>
      </c>
      <c r="N119" s="42"/>
      <c r="O119" s="47" t="s">
        <v>136</v>
      </c>
    </row>
    <row r="120" spans="1:15" ht="47.1" customHeight="1" x14ac:dyDescent="0.25">
      <c r="A120" s="34" t="s">
        <v>513</v>
      </c>
      <c r="B120" s="35" t="s">
        <v>514</v>
      </c>
      <c r="C120" s="36" t="s">
        <v>515</v>
      </c>
      <c r="D120" s="19"/>
      <c r="E120" s="37" t="s">
        <v>186</v>
      </c>
      <c r="F120" s="30" t="s">
        <v>199</v>
      </c>
      <c r="G120" s="19" t="s">
        <v>188</v>
      </c>
      <c r="H120" s="38"/>
      <c r="I120" s="38"/>
      <c r="J120" s="35"/>
      <c r="K120" s="39"/>
      <c r="L120" s="38"/>
      <c r="M120" s="17" t="str">
        <f t="shared" ca="1" si="4"/>
        <v/>
      </c>
      <c r="N120" s="35"/>
      <c r="O120" s="40" t="s">
        <v>136</v>
      </c>
    </row>
    <row r="121" spans="1:15" ht="47.1" customHeight="1" x14ac:dyDescent="0.25">
      <c r="A121" s="41" t="s">
        <v>516</v>
      </c>
      <c r="B121" s="42" t="s">
        <v>517</v>
      </c>
      <c r="C121" s="43" t="s">
        <v>518</v>
      </c>
      <c r="D121" s="14"/>
      <c r="E121" s="49" t="s">
        <v>195</v>
      </c>
      <c r="F121" s="26" t="s">
        <v>48</v>
      </c>
      <c r="G121" s="14" t="s">
        <v>188</v>
      </c>
      <c r="H121" s="45"/>
      <c r="I121" s="45"/>
      <c r="J121" s="42"/>
      <c r="K121" s="46"/>
      <c r="L121" s="45"/>
      <c r="M121" s="12" t="str">
        <f t="shared" ca="1" si="4"/>
        <v/>
      </c>
      <c r="N121" s="42"/>
      <c r="O121" s="47" t="s">
        <v>136</v>
      </c>
    </row>
    <row r="122" spans="1:15" ht="47.1" customHeight="1" x14ac:dyDescent="0.25">
      <c r="A122" s="34" t="s">
        <v>519</v>
      </c>
      <c r="B122" s="35" t="s">
        <v>520</v>
      </c>
      <c r="C122" s="36" t="s">
        <v>521</v>
      </c>
      <c r="D122" s="19"/>
      <c r="E122" s="48" t="s">
        <v>195</v>
      </c>
      <c r="F122" s="30" t="s">
        <v>199</v>
      </c>
      <c r="G122" s="19" t="s">
        <v>188</v>
      </c>
      <c r="H122" s="38"/>
      <c r="I122" s="38"/>
      <c r="J122" s="35"/>
      <c r="K122" s="39"/>
      <c r="L122" s="38"/>
      <c r="M122" s="17" t="str">
        <f t="shared" ca="1" si="4"/>
        <v/>
      </c>
      <c r="N122" s="35"/>
      <c r="O122" s="40" t="s">
        <v>136</v>
      </c>
    </row>
    <row r="123" spans="1:15" ht="47.1" customHeight="1" x14ac:dyDescent="0.25">
      <c r="A123" s="41" t="s">
        <v>522</v>
      </c>
      <c r="B123" s="42" t="s">
        <v>523</v>
      </c>
      <c r="C123" s="43" t="s">
        <v>524</v>
      </c>
      <c r="D123" s="14"/>
      <c r="E123" s="49" t="s">
        <v>195</v>
      </c>
      <c r="F123" s="26" t="s">
        <v>227</v>
      </c>
      <c r="G123" s="14" t="s">
        <v>188</v>
      </c>
      <c r="H123" s="45"/>
      <c r="I123" s="45"/>
      <c r="J123" s="42"/>
      <c r="K123" s="46"/>
      <c r="L123" s="45"/>
      <c r="M123" s="12" t="str">
        <f t="shared" ca="1" si="4"/>
        <v/>
      </c>
      <c r="N123" s="42"/>
      <c r="O123" s="47" t="s">
        <v>136</v>
      </c>
    </row>
    <row r="124" spans="1:15" ht="47.1" customHeight="1" x14ac:dyDescent="0.25">
      <c r="A124" s="34" t="s">
        <v>525</v>
      </c>
      <c r="B124" s="35" t="s">
        <v>526</v>
      </c>
      <c r="C124" s="36" t="s">
        <v>527</v>
      </c>
      <c r="D124" s="19"/>
      <c r="E124" s="48" t="s">
        <v>195</v>
      </c>
      <c r="F124" s="30" t="s">
        <v>227</v>
      </c>
      <c r="G124" s="19" t="s">
        <v>188</v>
      </c>
      <c r="H124" s="38"/>
      <c r="I124" s="38"/>
      <c r="J124" s="35"/>
      <c r="K124" s="39"/>
      <c r="L124" s="38"/>
      <c r="M124" s="17" t="str">
        <f t="shared" ca="1" si="4"/>
        <v/>
      </c>
      <c r="N124" s="35"/>
      <c r="O124" s="40" t="s">
        <v>136</v>
      </c>
    </row>
    <row r="125" spans="1:15" ht="47.1" customHeight="1" x14ac:dyDescent="0.25">
      <c r="A125" s="41" t="s">
        <v>528</v>
      </c>
      <c r="B125" s="42" t="s">
        <v>529</v>
      </c>
      <c r="C125" s="43" t="s">
        <v>530</v>
      </c>
      <c r="D125" s="14"/>
      <c r="E125" s="49" t="s">
        <v>195</v>
      </c>
      <c r="F125" s="26" t="s">
        <v>48</v>
      </c>
      <c r="G125" s="14" t="s">
        <v>188</v>
      </c>
      <c r="H125" s="45"/>
      <c r="I125" s="45"/>
      <c r="J125" s="42"/>
      <c r="K125" s="46"/>
      <c r="L125" s="45"/>
      <c r="M125" s="12" t="str">
        <f t="shared" ca="1" si="4"/>
        <v/>
      </c>
      <c r="N125" s="42"/>
      <c r="O125" s="47" t="s">
        <v>136</v>
      </c>
    </row>
    <row r="126" spans="1:15" ht="47.1" customHeight="1" x14ac:dyDescent="0.25">
      <c r="A126" s="34" t="s">
        <v>531</v>
      </c>
      <c r="B126" s="35" t="s">
        <v>532</v>
      </c>
      <c r="C126" s="36" t="s">
        <v>533</v>
      </c>
      <c r="D126" s="19"/>
      <c r="E126" s="48" t="s">
        <v>195</v>
      </c>
      <c r="F126" s="30" t="s">
        <v>187</v>
      </c>
      <c r="G126" s="19" t="s">
        <v>188</v>
      </c>
      <c r="H126" s="38"/>
      <c r="I126" s="38"/>
      <c r="J126" s="35"/>
      <c r="K126" s="39"/>
      <c r="L126" s="38"/>
      <c r="M126" s="17" t="str">
        <f t="shared" ca="1" si="4"/>
        <v/>
      </c>
      <c r="N126" s="35"/>
      <c r="O126" s="40" t="s">
        <v>136</v>
      </c>
    </row>
    <row r="127" spans="1:15" ht="47.1" customHeight="1" x14ac:dyDescent="0.25">
      <c r="A127" s="41" t="s">
        <v>534</v>
      </c>
      <c r="B127" s="42" t="s">
        <v>535</v>
      </c>
      <c r="C127" s="43" t="s">
        <v>536</v>
      </c>
      <c r="D127" s="14"/>
      <c r="E127" s="49" t="s">
        <v>195</v>
      </c>
      <c r="F127" s="26" t="s">
        <v>199</v>
      </c>
      <c r="G127" s="14" t="s">
        <v>188</v>
      </c>
      <c r="H127" s="45"/>
      <c r="I127" s="45"/>
      <c r="J127" s="42"/>
      <c r="K127" s="46"/>
      <c r="L127" s="45"/>
      <c r="M127" s="12" t="str">
        <f t="shared" ca="1" si="4"/>
        <v/>
      </c>
      <c r="N127" s="42"/>
      <c r="O127" s="47" t="s">
        <v>136</v>
      </c>
    </row>
    <row r="128" spans="1:15" ht="47.1" customHeight="1" x14ac:dyDescent="0.25">
      <c r="A128" s="34" t="s">
        <v>537</v>
      </c>
      <c r="B128" s="35" t="s">
        <v>538</v>
      </c>
      <c r="C128" s="36" t="s">
        <v>539</v>
      </c>
      <c r="D128" s="19"/>
      <c r="E128" s="48" t="s">
        <v>195</v>
      </c>
      <c r="F128" s="30" t="s">
        <v>199</v>
      </c>
      <c r="G128" s="19" t="s">
        <v>188</v>
      </c>
      <c r="H128" s="38"/>
      <c r="I128" s="38"/>
      <c r="J128" s="35"/>
      <c r="K128" s="39"/>
      <c r="L128" s="38"/>
      <c r="M128" s="17" t="str">
        <f t="shared" ca="1" si="4"/>
        <v/>
      </c>
      <c r="N128" s="35"/>
      <c r="O128" s="40" t="s">
        <v>136</v>
      </c>
    </row>
    <row r="129" spans="1:15" ht="47.1" customHeight="1" x14ac:dyDescent="0.25">
      <c r="A129" s="41" t="s">
        <v>540</v>
      </c>
      <c r="B129" s="42" t="s">
        <v>541</v>
      </c>
      <c r="C129" s="43" t="s">
        <v>542</v>
      </c>
      <c r="D129" s="14"/>
      <c r="E129" s="49" t="s">
        <v>195</v>
      </c>
      <c r="F129" s="26" t="s">
        <v>187</v>
      </c>
      <c r="G129" s="14" t="s">
        <v>188</v>
      </c>
      <c r="H129" s="45"/>
      <c r="I129" s="45"/>
      <c r="J129" s="42"/>
      <c r="K129" s="46"/>
      <c r="L129" s="45"/>
      <c r="M129" s="12" t="str">
        <f t="shared" ca="1" si="4"/>
        <v/>
      </c>
      <c r="N129" s="42"/>
      <c r="O129" s="47" t="s">
        <v>136</v>
      </c>
    </row>
    <row r="130" spans="1:15" ht="47.1" customHeight="1" x14ac:dyDescent="0.25">
      <c r="A130" s="34" t="s">
        <v>543</v>
      </c>
      <c r="B130" s="35" t="s">
        <v>544</v>
      </c>
      <c r="C130" s="36" t="s">
        <v>545</v>
      </c>
      <c r="D130" s="19"/>
      <c r="E130" s="48" t="s">
        <v>195</v>
      </c>
      <c r="F130" s="30" t="s">
        <v>48</v>
      </c>
      <c r="G130" s="19" t="s">
        <v>188</v>
      </c>
      <c r="H130" s="38"/>
      <c r="I130" s="38"/>
      <c r="J130" s="35"/>
      <c r="K130" s="39"/>
      <c r="L130" s="38"/>
      <c r="M130" s="17" t="str">
        <f t="shared" ca="1" si="4"/>
        <v/>
      </c>
      <c r="N130" s="35"/>
      <c r="O130" s="40" t="s">
        <v>136</v>
      </c>
    </row>
    <row r="131" spans="1:15" ht="47.1" customHeight="1" x14ac:dyDescent="0.25">
      <c r="A131" s="41" t="s">
        <v>546</v>
      </c>
      <c r="B131" s="42" t="s">
        <v>547</v>
      </c>
      <c r="C131" s="43" t="s">
        <v>548</v>
      </c>
      <c r="D131" s="14"/>
      <c r="E131" s="49" t="s">
        <v>195</v>
      </c>
      <c r="F131" s="26" t="s">
        <v>187</v>
      </c>
      <c r="G131" s="14" t="s">
        <v>188</v>
      </c>
      <c r="H131" s="45"/>
      <c r="I131" s="45"/>
      <c r="J131" s="42"/>
      <c r="K131" s="46"/>
      <c r="L131" s="45"/>
      <c r="M131" s="12" t="str">
        <f t="shared" ca="1" si="4"/>
        <v/>
      </c>
      <c r="N131" s="42"/>
      <c r="O131" s="47" t="s">
        <v>136</v>
      </c>
    </row>
    <row r="132" spans="1:15" ht="21.95" customHeight="1" x14ac:dyDescent="0.25">
      <c r="A132" s="112" t="s">
        <v>549</v>
      </c>
      <c r="B132" s="113"/>
      <c r="C132" s="113"/>
      <c r="D132" s="113"/>
      <c r="E132" s="113"/>
      <c r="F132" s="113"/>
      <c r="G132" s="113"/>
      <c r="H132" s="113"/>
      <c r="I132" s="113"/>
      <c r="J132" s="113"/>
      <c r="K132" s="113"/>
      <c r="L132" s="113"/>
      <c r="M132" s="113"/>
      <c r="N132" s="113"/>
      <c r="O132" s="113"/>
    </row>
    <row r="133" spans="1:15" ht="47.1" customHeight="1" x14ac:dyDescent="0.25">
      <c r="A133" s="41" t="s">
        <v>550</v>
      </c>
      <c r="B133" s="42" t="s">
        <v>551</v>
      </c>
      <c r="C133" s="43" t="s">
        <v>552</v>
      </c>
      <c r="D133" s="14"/>
      <c r="E133" s="49" t="s">
        <v>195</v>
      </c>
      <c r="F133" s="26" t="s">
        <v>199</v>
      </c>
      <c r="G133" s="14" t="s">
        <v>188</v>
      </c>
      <c r="H133" s="45"/>
      <c r="I133" s="45"/>
      <c r="J133" s="42"/>
      <c r="K133" s="46"/>
      <c r="L133" s="45"/>
      <c r="M133" s="12" t="str">
        <f t="shared" ref="M133:M157" ca="1" si="5">IF(OR($H133="",$G133="Complete",$G133="N/A"),"",$H133-TODAY())</f>
        <v/>
      </c>
      <c r="N133" s="42"/>
      <c r="O133" s="47" t="s">
        <v>137</v>
      </c>
    </row>
    <row r="134" spans="1:15" ht="47.1" customHeight="1" x14ac:dyDescent="0.25">
      <c r="A134" s="34" t="s">
        <v>553</v>
      </c>
      <c r="B134" s="35" t="s">
        <v>554</v>
      </c>
      <c r="C134" s="36" t="s">
        <v>555</v>
      </c>
      <c r="D134" s="19"/>
      <c r="E134" s="37" t="s">
        <v>186</v>
      </c>
      <c r="F134" s="30" t="s">
        <v>199</v>
      </c>
      <c r="G134" s="19" t="s">
        <v>188</v>
      </c>
      <c r="H134" s="38"/>
      <c r="I134" s="38"/>
      <c r="J134" s="35"/>
      <c r="K134" s="39"/>
      <c r="L134" s="38"/>
      <c r="M134" s="17" t="str">
        <f t="shared" ca="1" si="5"/>
        <v/>
      </c>
      <c r="N134" s="35"/>
      <c r="O134" s="40" t="s">
        <v>137</v>
      </c>
    </row>
    <row r="135" spans="1:15" ht="47.1" customHeight="1" x14ac:dyDescent="0.25">
      <c r="A135" s="41" t="s">
        <v>556</v>
      </c>
      <c r="B135" s="42" t="s">
        <v>557</v>
      </c>
      <c r="C135" s="43" t="s">
        <v>558</v>
      </c>
      <c r="D135" s="14"/>
      <c r="E135" s="49" t="s">
        <v>195</v>
      </c>
      <c r="F135" s="26" t="s">
        <v>251</v>
      </c>
      <c r="G135" s="14" t="s">
        <v>188</v>
      </c>
      <c r="H135" s="45"/>
      <c r="I135" s="45"/>
      <c r="J135" s="42"/>
      <c r="K135" s="46"/>
      <c r="L135" s="45"/>
      <c r="M135" s="12" t="str">
        <f t="shared" ca="1" si="5"/>
        <v/>
      </c>
      <c r="N135" s="42"/>
      <c r="O135" s="47" t="s">
        <v>137</v>
      </c>
    </row>
    <row r="136" spans="1:15" ht="47.1" customHeight="1" x14ac:dyDescent="0.25">
      <c r="A136" s="34" t="s">
        <v>559</v>
      </c>
      <c r="B136" s="35" t="s">
        <v>560</v>
      </c>
      <c r="C136" s="36" t="s">
        <v>561</v>
      </c>
      <c r="D136" s="19"/>
      <c r="E136" s="37" t="s">
        <v>186</v>
      </c>
      <c r="F136" s="30" t="s">
        <v>199</v>
      </c>
      <c r="G136" s="19" t="s">
        <v>188</v>
      </c>
      <c r="H136" s="38"/>
      <c r="I136" s="38"/>
      <c r="J136" s="35"/>
      <c r="K136" s="39"/>
      <c r="L136" s="38"/>
      <c r="M136" s="17" t="str">
        <f t="shared" ca="1" si="5"/>
        <v/>
      </c>
      <c r="N136" s="35"/>
      <c r="O136" s="40" t="s">
        <v>137</v>
      </c>
    </row>
    <row r="137" spans="1:15" ht="47.1" customHeight="1" x14ac:dyDescent="0.25">
      <c r="A137" s="41" t="s">
        <v>562</v>
      </c>
      <c r="B137" s="42" t="s">
        <v>563</v>
      </c>
      <c r="C137" s="43" t="s">
        <v>564</v>
      </c>
      <c r="D137" s="14"/>
      <c r="E137" s="49" t="s">
        <v>195</v>
      </c>
      <c r="F137" s="26" t="s">
        <v>199</v>
      </c>
      <c r="G137" s="14" t="s">
        <v>188</v>
      </c>
      <c r="H137" s="45"/>
      <c r="I137" s="45"/>
      <c r="J137" s="42"/>
      <c r="K137" s="46"/>
      <c r="L137" s="45"/>
      <c r="M137" s="12" t="str">
        <f t="shared" ca="1" si="5"/>
        <v/>
      </c>
      <c r="N137" s="42"/>
      <c r="O137" s="47" t="s">
        <v>137</v>
      </c>
    </row>
    <row r="138" spans="1:15" ht="47.1" customHeight="1" x14ac:dyDescent="0.25">
      <c r="A138" s="34" t="s">
        <v>565</v>
      </c>
      <c r="B138" s="35" t="s">
        <v>566</v>
      </c>
      <c r="C138" s="36" t="s">
        <v>567</v>
      </c>
      <c r="D138" s="19"/>
      <c r="E138" s="48" t="s">
        <v>195</v>
      </c>
      <c r="F138" s="30" t="s">
        <v>199</v>
      </c>
      <c r="G138" s="19" t="s">
        <v>188</v>
      </c>
      <c r="H138" s="38"/>
      <c r="I138" s="38"/>
      <c r="J138" s="35"/>
      <c r="K138" s="39"/>
      <c r="L138" s="38"/>
      <c r="M138" s="17" t="str">
        <f t="shared" ca="1" si="5"/>
        <v/>
      </c>
      <c r="N138" s="35"/>
      <c r="O138" s="40" t="s">
        <v>137</v>
      </c>
    </row>
    <row r="139" spans="1:15" ht="47.1" customHeight="1" x14ac:dyDescent="0.25">
      <c r="A139" s="41" t="s">
        <v>568</v>
      </c>
      <c r="B139" s="42" t="s">
        <v>569</v>
      </c>
      <c r="C139" s="43" t="s">
        <v>570</v>
      </c>
      <c r="D139" s="14"/>
      <c r="E139" s="44" t="s">
        <v>186</v>
      </c>
      <c r="F139" s="26" t="s">
        <v>199</v>
      </c>
      <c r="G139" s="14" t="s">
        <v>188</v>
      </c>
      <c r="H139" s="45"/>
      <c r="I139" s="45"/>
      <c r="J139" s="42"/>
      <c r="K139" s="46"/>
      <c r="L139" s="45"/>
      <c r="M139" s="12" t="str">
        <f t="shared" ca="1" si="5"/>
        <v/>
      </c>
      <c r="N139" s="42"/>
      <c r="O139" s="47" t="s">
        <v>137</v>
      </c>
    </row>
    <row r="140" spans="1:15" ht="47.1" customHeight="1" x14ac:dyDescent="0.25">
      <c r="A140" s="34" t="s">
        <v>571</v>
      </c>
      <c r="B140" s="35" t="s">
        <v>572</v>
      </c>
      <c r="C140" s="36" t="s">
        <v>573</v>
      </c>
      <c r="D140" s="19"/>
      <c r="E140" s="37" t="s">
        <v>186</v>
      </c>
      <c r="F140" s="30" t="s">
        <v>199</v>
      </c>
      <c r="G140" s="19" t="s">
        <v>188</v>
      </c>
      <c r="H140" s="38"/>
      <c r="I140" s="38"/>
      <c r="J140" s="35"/>
      <c r="K140" s="39"/>
      <c r="L140" s="38"/>
      <c r="M140" s="17" t="str">
        <f t="shared" ca="1" si="5"/>
        <v/>
      </c>
      <c r="N140" s="35"/>
      <c r="O140" s="40" t="s">
        <v>137</v>
      </c>
    </row>
    <row r="141" spans="1:15" ht="33.950000000000003" customHeight="1" x14ac:dyDescent="0.25">
      <c r="A141" s="41" t="s">
        <v>574</v>
      </c>
      <c r="B141" s="42" t="s">
        <v>575</v>
      </c>
      <c r="C141" s="43" t="s">
        <v>576</v>
      </c>
      <c r="D141" s="14"/>
      <c r="E141" s="49" t="s">
        <v>195</v>
      </c>
      <c r="F141" s="26" t="s">
        <v>199</v>
      </c>
      <c r="G141" s="14" t="s">
        <v>188</v>
      </c>
      <c r="H141" s="45"/>
      <c r="I141" s="45"/>
      <c r="J141" s="42"/>
      <c r="K141" s="46"/>
      <c r="L141" s="45"/>
      <c r="M141" s="12" t="str">
        <f t="shared" ca="1" si="5"/>
        <v/>
      </c>
      <c r="N141" s="42"/>
      <c r="O141" s="47" t="s">
        <v>137</v>
      </c>
    </row>
    <row r="142" spans="1:15" ht="47.1" customHeight="1" x14ac:dyDescent="0.25">
      <c r="A142" s="34" t="s">
        <v>577</v>
      </c>
      <c r="B142" s="35" t="s">
        <v>578</v>
      </c>
      <c r="C142" s="36" t="s">
        <v>579</v>
      </c>
      <c r="D142" s="19"/>
      <c r="E142" s="48" t="s">
        <v>195</v>
      </c>
      <c r="F142" s="30" t="s">
        <v>199</v>
      </c>
      <c r="G142" s="19" t="s">
        <v>188</v>
      </c>
      <c r="H142" s="38"/>
      <c r="I142" s="38"/>
      <c r="J142" s="35"/>
      <c r="K142" s="39"/>
      <c r="L142" s="38"/>
      <c r="M142" s="17" t="str">
        <f t="shared" ca="1" si="5"/>
        <v/>
      </c>
      <c r="N142" s="35"/>
      <c r="O142" s="40" t="s">
        <v>137</v>
      </c>
    </row>
    <row r="143" spans="1:15" ht="47.1" customHeight="1" x14ac:dyDescent="0.25">
      <c r="A143" s="41" t="s">
        <v>580</v>
      </c>
      <c r="B143" s="42" t="s">
        <v>581</v>
      </c>
      <c r="C143" s="43" t="s">
        <v>582</v>
      </c>
      <c r="D143" s="14"/>
      <c r="E143" s="44" t="s">
        <v>186</v>
      </c>
      <c r="F143" s="26" t="s">
        <v>199</v>
      </c>
      <c r="G143" s="14" t="s">
        <v>188</v>
      </c>
      <c r="H143" s="45"/>
      <c r="I143" s="45"/>
      <c r="J143" s="42"/>
      <c r="K143" s="46"/>
      <c r="L143" s="45"/>
      <c r="M143" s="12" t="str">
        <f t="shared" ca="1" si="5"/>
        <v/>
      </c>
      <c r="N143" s="42"/>
      <c r="O143" s="47" t="s">
        <v>137</v>
      </c>
    </row>
    <row r="144" spans="1:15" ht="47.1" customHeight="1" x14ac:dyDescent="0.25">
      <c r="A144" s="34" t="s">
        <v>583</v>
      </c>
      <c r="B144" s="35" t="s">
        <v>584</v>
      </c>
      <c r="C144" s="36" t="s">
        <v>585</v>
      </c>
      <c r="D144" s="19"/>
      <c r="E144" s="37" t="s">
        <v>186</v>
      </c>
      <c r="F144" s="30" t="s">
        <v>199</v>
      </c>
      <c r="G144" s="19" t="s">
        <v>188</v>
      </c>
      <c r="H144" s="38"/>
      <c r="I144" s="38"/>
      <c r="J144" s="35"/>
      <c r="K144" s="39"/>
      <c r="L144" s="38"/>
      <c r="M144" s="17" t="str">
        <f t="shared" ca="1" si="5"/>
        <v/>
      </c>
      <c r="N144" s="35"/>
      <c r="O144" s="40" t="s">
        <v>137</v>
      </c>
    </row>
    <row r="145" spans="1:15" ht="47.1" customHeight="1" x14ac:dyDescent="0.25">
      <c r="A145" s="41" t="s">
        <v>586</v>
      </c>
      <c r="B145" s="42" t="s">
        <v>587</v>
      </c>
      <c r="C145" s="43" t="s">
        <v>588</v>
      </c>
      <c r="D145" s="14"/>
      <c r="E145" s="49" t="s">
        <v>195</v>
      </c>
      <c r="F145" s="26" t="s">
        <v>187</v>
      </c>
      <c r="G145" s="14" t="s">
        <v>188</v>
      </c>
      <c r="H145" s="45"/>
      <c r="I145" s="45"/>
      <c r="J145" s="42"/>
      <c r="K145" s="46"/>
      <c r="L145" s="45"/>
      <c r="M145" s="12" t="str">
        <f t="shared" ca="1" si="5"/>
        <v/>
      </c>
      <c r="N145" s="42"/>
      <c r="O145" s="47" t="s">
        <v>137</v>
      </c>
    </row>
    <row r="146" spans="1:15" ht="47.1" customHeight="1" x14ac:dyDescent="0.25">
      <c r="A146" s="34" t="s">
        <v>589</v>
      </c>
      <c r="B146" s="35" t="s">
        <v>590</v>
      </c>
      <c r="C146" s="36" t="s">
        <v>591</v>
      </c>
      <c r="D146" s="19"/>
      <c r="E146" s="48" t="s">
        <v>195</v>
      </c>
      <c r="F146" s="30" t="s">
        <v>199</v>
      </c>
      <c r="G146" s="19" t="s">
        <v>188</v>
      </c>
      <c r="H146" s="38"/>
      <c r="I146" s="38"/>
      <c r="J146" s="35"/>
      <c r="K146" s="39"/>
      <c r="L146" s="38"/>
      <c r="M146" s="17" t="str">
        <f t="shared" ca="1" si="5"/>
        <v/>
      </c>
      <c r="N146" s="35"/>
      <c r="O146" s="40" t="s">
        <v>137</v>
      </c>
    </row>
    <row r="147" spans="1:15" ht="47.1" customHeight="1" x14ac:dyDescent="0.25">
      <c r="A147" s="41" t="s">
        <v>592</v>
      </c>
      <c r="B147" s="42" t="s">
        <v>593</v>
      </c>
      <c r="C147" s="43" t="s">
        <v>594</v>
      </c>
      <c r="D147" s="14"/>
      <c r="E147" s="44" t="s">
        <v>186</v>
      </c>
      <c r="F147" s="26" t="s">
        <v>227</v>
      </c>
      <c r="G147" s="14" t="s">
        <v>188</v>
      </c>
      <c r="H147" s="45"/>
      <c r="I147" s="45"/>
      <c r="J147" s="42"/>
      <c r="K147" s="46"/>
      <c r="L147" s="45"/>
      <c r="M147" s="12" t="str">
        <f t="shared" ca="1" si="5"/>
        <v/>
      </c>
      <c r="N147" s="42"/>
      <c r="O147" s="47" t="s">
        <v>137</v>
      </c>
    </row>
    <row r="148" spans="1:15" ht="47.1" customHeight="1" x14ac:dyDescent="0.25">
      <c r="A148" s="34" t="s">
        <v>595</v>
      </c>
      <c r="B148" s="35" t="s">
        <v>596</v>
      </c>
      <c r="C148" s="36" t="s">
        <v>597</v>
      </c>
      <c r="D148" s="19"/>
      <c r="E148" s="48" t="s">
        <v>195</v>
      </c>
      <c r="F148" s="30" t="s">
        <v>227</v>
      </c>
      <c r="G148" s="19" t="s">
        <v>188</v>
      </c>
      <c r="H148" s="38"/>
      <c r="I148" s="38"/>
      <c r="J148" s="35"/>
      <c r="K148" s="39"/>
      <c r="L148" s="38"/>
      <c r="M148" s="17" t="str">
        <f t="shared" ca="1" si="5"/>
        <v/>
      </c>
      <c r="N148" s="35"/>
      <c r="O148" s="40" t="s">
        <v>137</v>
      </c>
    </row>
    <row r="149" spans="1:15" ht="47.1" customHeight="1" x14ac:dyDescent="0.25">
      <c r="A149" s="41" t="s">
        <v>598</v>
      </c>
      <c r="B149" s="42" t="s">
        <v>599</v>
      </c>
      <c r="C149" s="43" t="s">
        <v>600</v>
      </c>
      <c r="D149" s="14"/>
      <c r="E149" s="44" t="s">
        <v>186</v>
      </c>
      <c r="F149" s="26" t="s">
        <v>199</v>
      </c>
      <c r="G149" s="14" t="s">
        <v>188</v>
      </c>
      <c r="H149" s="45"/>
      <c r="I149" s="45"/>
      <c r="J149" s="42"/>
      <c r="K149" s="46"/>
      <c r="L149" s="45"/>
      <c r="M149" s="12" t="str">
        <f t="shared" ca="1" si="5"/>
        <v/>
      </c>
      <c r="N149" s="42"/>
      <c r="O149" s="47" t="s">
        <v>137</v>
      </c>
    </row>
    <row r="150" spans="1:15" ht="47.1" customHeight="1" x14ac:dyDescent="0.25">
      <c r="A150" s="34" t="s">
        <v>601</v>
      </c>
      <c r="B150" s="35" t="s">
        <v>602</v>
      </c>
      <c r="C150" s="36" t="s">
        <v>603</v>
      </c>
      <c r="D150" s="19"/>
      <c r="E150" s="48" t="s">
        <v>195</v>
      </c>
      <c r="F150" s="30" t="s">
        <v>199</v>
      </c>
      <c r="G150" s="19" t="s">
        <v>188</v>
      </c>
      <c r="H150" s="38"/>
      <c r="I150" s="38"/>
      <c r="J150" s="35"/>
      <c r="K150" s="39"/>
      <c r="L150" s="38"/>
      <c r="M150" s="17" t="str">
        <f t="shared" ca="1" si="5"/>
        <v/>
      </c>
      <c r="N150" s="35"/>
      <c r="O150" s="40" t="s">
        <v>137</v>
      </c>
    </row>
    <row r="151" spans="1:15" ht="47.1" customHeight="1" x14ac:dyDescent="0.25">
      <c r="A151" s="41" t="s">
        <v>604</v>
      </c>
      <c r="B151" s="42" t="s">
        <v>605</v>
      </c>
      <c r="C151" s="43" t="s">
        <v>606</v>
      </c>
      <c r="D151" s="14"/>
      <c r="E151" s="44" t="s">
        <v>186</v>
      </c>
      <c r="F151" s="26" t="s">
        <v>199</v>
      </c>
      <c r="G151" s="14" t="s">
        <v>188</v>
      </c>
      <c r="H151" s="45"/>
      <c r="I151" s="45"/>
      <c r="J151" s="42"/>
      <c r="K151" s="46"/>
      <c r="L151" s="45"/>
      <c r="M151" s="12" t="str">
        <f t="shared" ca="1" si="5"/>
        <v/>
      </c>
      <c r="N151" s="42"/>
      <c r="O151" s="47" t="s">
        <v>137</v>
      </c>
    </row>
    <row r="152" spans="1:15" ht="47.1" customHeight="1" x14ac:dyDescent="0.25">
      <c r="A152" s="34" t="s">
        <v>607</v>
      </c>
      <c r="B152" s="35" t="s">
        <v>608</v>
      </c>
      <c r="C152" s="36" t="s">
        <v>609</v>
      </c>
      <c r="D152" s="19"/>
      <c r="E152" s="37" t="s">
        <v>186</v>
      </c>
      <c r="F152" s="30" t="s">
        <v>199</v>
      </c>
      <c r="G152" s="19" t="s">
        <v>188</v>
      </c>
      <c r="H152" s="38"/>
      <c r="I152" s="38"/>
      <c r="J152" s="35"/>
      <c r="K152" s="39"/>
      <c r="L152" s="38"/>
      <c r="M152" s="17" t="str">
        <f t="shared" ca="1" si="5"/>
        <v/>
      </c>
      <c r="N152" s="35"/>
      <c r="O152" s="40" t="s">
        <v>137</v>
      </c>
    </row>
    <row r="153" spans="1:15" ht="47.1" customHeight="1" x14ac:dyDescent="0.25">
      <c r="A153" s="41" t="s">
        <v>610</v>
      </c>
      <c r="B153" s="42" t="s">
        <v>611</v>
      </c>
      <c r="C153" s="43" t="s">
        <v>612</v>
      </c>
      <c r="D153" s="14"/>
      <c r="E153" s="44" t="s">
        <v>186</v>
      </c>
      <c r="F153" s="26" t="s">
        <v>251</v>
      </c>
      <c r="G153" s="14" t="s">
        <v>188</v>
      </c>
      <c r="H153" s="45"/>
      <c r="I153" s="45"/>
      <c r="J153" s="42"/>
      <c r="K153" s="46"/>
      <c r="L153" s="45"/>
      <c r="M153" s="12" t="str">
        <f t="shared" ca="1" si="5"/>
        <v/>
      </c>
      <c r="N153" s="42"/>
      <c r="O153" s="47" t="s">
        <v>137</v>
      </c>
    </row>
    <row r="154" spans="1:15" ht="47.1" customHeight="1" x14ac:dyDescent="0.25">
      <c r="A154" s="34" t="s">
        <v>613</v>
      </c>
      <c r="B154" s="35" t="s">
        <v>614</v>
      </c>
      <c r="C154" s="36" t="s">
        <v>615</v>
      </c>
      <c r="D154" s="19"/>
      <c r="E154" s="37" t="s">
        <v>186</v>
      </c>
      <c r="F154" s="30" t="s">
        <v>199</v>
      </c>
      <c r="G154" s="19" t="s">
        <v>188</v>
      </c>
      <c r="H154" s="38"/>
      <c r="I154" s="38"/>
      <c r="J154" s="35"/>
      <c r="K154" s="39"/>
      <c r="L154" s="38"/>
      <c r="M154" s="17" t="str">
        <f t="shared" ca="1" si="5"/>
        <v/>
      </c>
      <c r="N154" s="35"/>
      <c r="O154" s="40" t="s">
        <v>137</v>
      </c>
    </row>
    <row r="155" spans="1:15" ht="47.1" customHeight="1" x14ac:dyDescent="0.25">
      <c r="A155" s="41" t="s">
        <v>616</v>
      </c>
      <c r="B155" s="42" t="s">
        <v>617</v>
      </c>
      <c r="C155" s="43" t="s">
        <v>618</v>
      </c>
      <c r="D155" s="14"/>
      <c r="E155" s="44" t="s">
        <v>186</v>
      </c>
      <c r="F155" s="26" t="s">
        <v>199</v>
      </c>
      <c r="G155" s="14" t="s">
        <v>188</v>
      </c>
      <c r="H155" s="45"/>
      <c r="I155" s="45"/>
      <c r="J155" s="42"/>
      <c r="K155" s="46"/>
      <c r="L155" s="45"/>
      <c r="M155" s="12" t="str">
        <f t="shared" ca="1" si="5"/>
        <v/>
      </c>
      <c r="N155" s="42"/>
      <c r="O155" s="47" t="s">
        <v>137</v>
      </c>
    </row>
    <row r="156" spans="1:15" ht="47.1" customHeight="1" x14ac:dyDescent="0.25">
      <c r="A156" s="34" t="s">
        <v>619</v>
      </c>
      <c r="B156" s="35" t="s">
        <v>620</v>
      </c>
      <c r="C156" s="36" t="s">
        <v>621</v>
      </c>
      <c r="D156" s="19"/>
      <c r="E156" s="48" t="s">
        <v>195</v>
      </c>
      <c r="F156" s="30" t="s">
        <v>199</v>
      </c>
      <c r="G156" s="19" t="s">
        <v>188</v>
      </c>
      <c r="H156" s="38"/>
      <c r="I156" s="38"/>
      <c r="J156" s="35"/>
      <c r="K156" s="39"/>
      <c r="L156" s="38"/>
      <c r="M156" s="17" t="str">
        <f t="shared" ca="1" si="5"/>
        <v/>
      </c>
      <c r="N156" s="35"/>
      <c r="O156" s="40" t="s">
        <v>137</v>
      </c>
    </row>
    <row r="157" spans="1:15" ht="47.1" customHeight="1" x14ac:dyDescent="0.25">
      <c r="A157" s="41" t="s">
        <v>622</v>
      </c>
      <c r="B157" s="42" t="s">
        <v>623</v>
      </c>
      <c r="C157" s="43" t="s">
        <v>624</v>
      </c>
      <c r="D157" s="14"/>
      <c r="E157" s="44" t="s">
        <v>186</v>
      </c>
      <c r="F157" s="26" t="s">
        <v>199</v>
      </c>
      <c r="G157" s="14" t="s">
        <v>188</v>
      </c>
      <c r="H157" s="45"/>
      <c r="I157" s="45"/>
      <c r="J157" s="42"/>
      <c r="K157" s="46"/>
      <c r="L157" s="45"/>
      <c r="M157" s="12" t="str">
        <f t="shared" ca="1" si="5"/>
        <v/>
      </c>
      <c r="N157" s="42"/>
      <c r="O157" s="47" t="s">
        <v>137</v>
      </c>
    </row>
    <row r="158" spans="1:15" ht="21.95" customHeight="1" x14ac:dyDescent="0.25">
      <c r="A158" s="112" t="s">
        <v>625</v>
      </c>
      <c r="B158" s="113"/>
      <c r="C158" s="113"/>
      <c r="D158" s="113"/>
      <c r="E158" s="113"/>
      <c r="F158" s="113"/>
      <c r="G158" s="113"/>
      <c r="H158" s="113"/>
      <c r="I158" s="113"/>
      <c r="J158" s="113"/>
      <c r="K158" s="113"/>
      <c r="L158" s="113"/>
      <c r="M158" s="113"/>
      <c r="N158" s="113"/>
      <c r="O158" s="113"/>
    </row>
    <row r="159" spans="1:15" ht="47.1" customHeight="1" x14ac:dyDescent="0.25">
      <c r="A159" s="41" t="s">
        <v>626</v>
      </c>
      <c r="B159" s="42" t="s">
        <v>627</v>
      </c>
      <c r="C159" s="43" t="s">
        <v>628</v>
      </c>
      <c r="D159" s="14"/>
      <c r="E159" s="49" t="s">
        <v>195</v>
      </c>
      <c r="F159" s="26" t="s">
        <v>199</v>
      </c>
      <c r="G159" s="14" t="s">
        <v>188</v>
      </c>
      <c r="H159" s="45"/>
      <c r="I159" s="45"/>
      <c r="J159" s="42"/>
      <c r="K159" s="46"/>
      <c r="L159" s="45"/>
      <c r="M159" s="12" t="str">
        <f t="shared" ref="M159:M175" ca="1" si="6">IF(OR($H159="",$G159="Complete",$G159="N/A"),"",$H159-TODAY())</f>
        <v/>
      </c>
      <c r="N159" s="42"/>
      <c r="O159" s="47" t="s">
        <v>138</v>
      </c>
    </row>
    <row r="160" spans="1:15" ht="47.1" customHeight="1" x14ac:dyDescent="0.25">
      <c r="A160" s="34" t="s">
        <v>629</v>
      </c>
      <c r="B160" s="35" t="s">
        <v>630</v>
      </c>
      <c r="C160" s="36" t="s">
        <v>631</v>
      </c>
      <c r="D160" s="19"/>
      <c r="E160" s="48" t="s">
        <v>195</v>
      </c>
      <c r="F160" s="30" t="s">
        <v>199</v>
      </c>
      <c r="G160" s="19" t="s">
        <v>188</v>
      </c>
      <c r="H160" s="38"/>
      <c r="I160" s="38"/>
      <c r="J160" s="35"/>
      <c r="K160" s="39"/>
      <c r="L160" s="38"/>
      <c r="M160" s="17" t="str">
        <f t="shared" ca="1" si="6"/>
        <v/>
      </c>
      <c r="N160" s="35"/>
      <c r="O160" s="40" t="s">
        <v>138</v>
      </c>
    </row>
    <row r="161" spans="1:15" ht="47.1" customHeight="1" x14ac:dyDescent="0.25">
      <c r="A161" s="41" t="s">
        <v>632</v>
      </c>
      <c r="B161" s="42" t="s">
        <v>633</v>
      </c>
      <c r="C161" s="43" t="s">
        <v>634</v>
      </c>
      <c r="D161" s="14"/>
      <c r="E161" s="49" t="s">
        <v>195</v>
      </c>
      <c r="F161" s="26" t="s">
        <v>199</v>
      </c>
      <c r="G161" s="14" t="s">
        <v>188</v>
      </c>
      <c r="H161" s="45"/>
      <c r="I161" s="45"/>
      <c r="J161" s="42"/>
      <c r="K161" s="46"/>
      <c r="L161" s="45"/>
      <c r="M161" s="12" t="str">
        <f t="shared" ca="1" si="6"/>
        <v/>
      </c>
      <c r="N161" s="42"/>
      <c r="O161" s="47" t="s">
        <v>138</v>
      </c>
    </row>
    <row r="162" spans="1:15" ht="33.950000000000003" customHeight="1" x14ac:dyDescent="0.25">
      <c r="A162" s="34" t="s">
        <v>635</v>
      </c>
      <c r="B162" s="35" t="s">
        <v>636</v>
      </c>
      <c r="C162" s="36" t="s">
        <v>637</v>
      </c>
      <c r="D162" s="19"/>
      <c r="E162" s="48" t="s">
        <v>195</v>
      </c>
      <c r="F162" s="30" t="s">
        <v>199</v>
      </c>
      <c r="G162" s="19" t="s">
        <v>188</v>
      </c>
      <c r="H162" s="38"/>
      <c r="I162" s="38"/>
      <c r="J162" s="35"/>
      <c r="K162" s="39"/>
      <c r="L162" s="38"/>
      <c r="M162" s="17" t="str">
        <f t="shared" ca="1" si="6"/>
        <v/>
      </c>
      <c r="N162" s="35"/>
      <c r="O162" s="40" t="s">
        <v>138</v>
      </c>
    </row>
    <row r="163" spans="1:15" ht="47.1" customHeight="1" x14ac:dyDescent="0.25">
      <c r="A163" s="41" t="s">
        <v>638</v>
      </c>
      <c r="B163" s="42" t="s">
        <v>639</v>
      </c>
      <c r="C163" s="43" t="s">
        <v>640</v>
      </c>
      <c r="D163" s="14"/>
      <c r="E163" s="49" t="s">
        <v>195</v>
      </c>
      <c r="F163" s="26" t="s">
        <v>199</v>
      </c>
      <c r="G163" s="14" t="s">
        <v>188</v>
      </c>
      <c r="H163" s="45"/>
      <c r="I163" s="45"/>
      <c r="J163" s="42"/>
      <c r="K163" s="46"/>
      <c r="L163" s="45"/>
      <c r="M163" s="12" t="str">
        <f t="shared" ca="1" si="6"/>
        <v/>
      </c>
      <c r="N163" s="42"/>
      <c r="O163" s="47" t="s">
        <v>138</v>
      </c>
    </row>
    <row r="164" spans="1:15" ht="47.1" customHeight="1" x14ac:dyDescent="0.25">
      <c r="A164" s="34" t="s">
        <v>641</v>
      </c>
      <c r="B164" s="35" t="s">
        <v>642</v>
      </c>
      <c r="C164" s="36" t="s">
        <v>643</v>
      </c>
      <c r="D164" s="19"/>
      <c r="E164" s="48" t="s">
        <v>195</v>
      </c>
      <c r="F164" s="30" t="s">
        <v>199</v>
      </c>
      <c r="G164" s="19" t="s">
        <v>188</v>
      </c>
      <c r="H164" s="38"/>
      <c r="I164" s="38"/>
      <c r="J164" s="35"/>
      <c r="K164" s="39"/>
      <c r="L164" s="38"/>
      <c r="M164" s="17" t="str">
        <f t="shared" ca="1" si="6"/>
        <v/>
      </c>
      <c r="N164" s="35"/>
      <c r="O164" s="40" t="s">
        <v>138</v>
      </c>
    </row>
    <row r="165" spans="1:15" ht="47.1" customHeight="1" x14ac:dyDescent="0.25">
      <c r="A165" s="41" t="s">
        <v>644</v>
      </c>
      <c r="B165" s="42" t="s">
        <v>645</v>
      </c>
      <c r="C165" s="43" t="s">
        <v>646</v>
      </c>
      <c r="D165" s="14"/>
      <c r="E165" s="49" t="s">
        <v>195</v>
      </c>
      <c r="F165" s="26" t="s">
        <v>199</v>
      </c>
      <c r="G165" s="14" t="s">
        <v>188</v>
      </c>
      <c r="H165" s="45"/>
      <c r="I165" s="45"/>
      <c r="J165" s="42"/>
      <c r="K165" s="46"/>
      <c r="L165" s="45"/>
      <c r="M165" s="12" t="str">
        <f t="shared" ca="1" si="6"/>
        <v/>
      </c>
      <c r="N165" s="42"/>
      <c r="O165" s="47" t="s">
        <v>138</v>
      </c>
    </row>
    <row r="166" spans="1:15" ht="47.1" customHeight="1" x14ac:dyDescent="0.25">
      <c r="A166" s="34" t="s">
        <v>647</v>
      </c>
      <c r="B166" s="35" t="s">
        <v>648</v>
      </c>
      <c r="C166" s="36" t="s">
        <v>649</v>
      </c>
      <c r="D166" s="19"/>
      <c r="E166" s="48" t="s">
        <v>195</v>
      </c>
      <c r="F166" s="30" t="s">
        <v>199</v>
      </c>
      <c r="G166" s="19" t="s">
        <v>188</v>
      </c>
      <c r="H166" s="38"/>
      <c r="I166" s="38"/>
      <c r="J166" s="35"/>
      <c r="K166" s="39"/>
      <c r="L166" s="38"/>
      <c r="M166" s="17" t="str">
        <f t="shared" ca="1" si="6"/>
        <v/>
      </c>
      <c r="N166" s="35"/>
      <c r="O166" s="40" t="s">
        <v>138</v>
      </c>
    </row>
    <row r="167" spans="1:15" ht="47.1" customHeight="1" x14ac:dyDescent="0.25">
      <c r="A167" s="41" t="s">
        <v>650</v>
      </c>
      <c r="B167" s="42" t="s">
        <v>651</v>
      </c>
      <c r="C167" s="43" t="s">
        <v>652</v>
      </c>
      <c r="D167" s="14"/>
      <c r="E167" s="49" t="s">
        <v>195</v>
      </c>
      <c r="F167" s="26" t="s">
        <v>199</v>
      </c>
      <c r="G167" s="14" t="s">
        <v>188</v>
      </c>
      <c r="H167" s="45"/>
      <c r="I167" s="45"/>
      <c r="J167" s="42"/>
      <c r="K167" s="46"/>
      <c r="L167" s="45"/>
      <c r="M167" s="12" t="str">
        <f t="shared" ca="1" si="6"/>
        <v/>
      </c>
      <c r="N167" s="42"/>
      <c r="O167" s="47" t="s">
        <v>138</v>
      </c>
    </row>
    <row r="168" spans="1:15" ht="47.1" customHeight="1" x14ac:dyDescent="0.25">
      <c r="A168" s="34" t="s">
        <v>653</v>
      </c>
      <c r="B168" s="35" t="s">
        <v>654</v>
      </c>
      <c r="C168" s="36" t="s">
        <v>655</v>
      </c>
      <c r="D168" s="19"/>
      <c r="E168" s="48" t="s">
        <v>195</v>
      </c>
      <c r="F168" s="30" t="s">
        <v>199</v>
      </c>
      <c r="G168" s="19" t="s">
        <v>188</v>
      </c>
      <c r="H168" s="38"/>
      <c r="I168" s="38"/>
      <c r="J168" s="35"/>
      <c r="K168" s="39"/>
      <c r="L168" s="38"/>
      <c r="M168" s="17" t="str">
        <f t="shared" ca="1" si="6"/>
        <v/>
      </c>
      <c r="N168" s="35"/>
      <c r="O168" s="40" t="s">
        <v>138</v>
      </c>
    </row>
    <row r="169" spans="1:15" ht="33.950000000000003" customHeight="1" x14ac:dyDescent="0.25">
      <c r="A169" s="41" t="s">
        <v>656</v>
      </c>
      <c r="B169" s="42" t="s">
        <v>657</v>
      </c>
      <c r="C169" s="43" t="s">
        <v>658</v>
      </c>
      <c r="D169" s="14"/>
      <c r="E169" s="49" t="s">
        <v>195</v>
      </c>
      <c r="F169" s="26" t="s">
        <v>199</v>
      </c>
      <c r="G169" s="14" t="s">
        <v>188</v>
      </c>
      <c r="H169" s="45"/>
      <c r="I169" s="45"/>
      <c r="J169" s="42"/>
      <c r="K169" s="46"/>
      <c r="L169" s="45"/>
      <c r="M169" s="12" t="str">
        <f t="shared" ca="1" si="6"/>
        <v/>
      </c>
      <c r="N169" s="42"/>
      <c r="O169" s="47" t="s">
        <v>138</v>
      </c>
    </row>
    <row r="170" spans="1:15" ht="47.1" customHeight="1" x14ac:dyDescent="0.25">
      <c r="A170" s="34" t="s">
        <v>659</v>
      </c>
      <c r="B170" s="35" t="s">
        <v>660</v>
      </c>
      <c r="C170" s="36" t="s">
        <v>661</v>
      </c>
      <c r="D170" s="19"/>
      <c r="E170" s="48" t="s">
        <v>195</v>
      </c>
      <c r="F170" s="30" t="s">
        <v>199</v>
      </c>
      <c r="G170" s="19" t="s">
        <v>188</v>
      </c>
      <c r="H170" s="38"/>
      <c r="I170" s="38"/>
      <c r="J170" s="35"/>
      <c r="K170" s="39"/>
      <c r="L170" s="38"/>
      <c r="M170" s="17" t="str">
        <f t="shared" ca="1" si="6"/>
        <v/>
      </c>
      <c r="N170" s="35"/>
      <c r="O170" s="40" t="s">
        <v>138</v>
      </c>
    </row>
    <row r="171" spans="1:15" ht="47.1" customHeight="1" x14ac:dyDescent="0.25">
      <c r="A171" s="41" t="s">
        <v>662</v>
      </c>
      <c r="B171" s="42" t="s">
        <v>663</v>
      </c>
      <c r="C171" s="43" t="s">
        <v>664</v>
      </c>
      <c r="D171" s="14"/>
      <c r="E171" s="44" t="s">
        <v>186</v>
      </c>
      <c r="F171" s="26" t="s">
        <v>199</v>
      </c>
      <c r="G171" s="14" t="s">
        <v>188</v>
      </c>
      <c r="H171" s="45"/>
      <c r="I171" s="45"/>
      <c r="J171" s="42"/>
      <c r="K171" s="46"/>
      <c r="L171" s="45"/>
      <c r="M171" s="12" t="str">
        <f t="shared" ca="1" si="6"/>
        <v/>
      </c>
      <c r="N171" s="42"/>
      <c r="O171" s="47" t="s">
        <v>138</v>
      </c>
    </row>
    <row r="172" spans="1:15" ht="47.1" customHeight="1" x14ac:dyDescent="0.25">
      <c r="A172" s="34" t="s">
        <v>665</v>
      </c>
      <c r="B172" s="35" t="s">
        <v>666</v>
      </c>
      <c r="C172" s="36" t="s">
        <v>667</v>
      </c>
      <c r="D172" s="19"/>
      <c r="E172" s="37" t="s">
        <v>186</v>
      </c>
      <c r="F172" s="30" t="s">
        <v>227</v>
      </c>
      <c r="G172" s="19" t="s">
        <v>188</v>
      </c>
      <c r="H172" s="38"/>
      <c r="I172" s="38"/>
      <c r="J172" s="35"/>
      <c r="K172" s="39"/>
      <c r="L172" s="38"/>
      <c r="M172" s="17" t="str">
        <f t="shared" ca="1" si="6"/>
        <v/>
      </c>
      <c r="N172" s="35"/>
      <c r="O172" s="40" t="s">
        <v>138</v>
      </c>
    </row>
    <row r="173" spans="1:15" ht="47.1" customHeight="1" x14ac:dyDescent="0.25">
      <c r="A173" s="41" t="s">
        <v>668</v>
      </c>
      <c r="B173" s="42" t="s">
        <v>669</v>
      </c>
      <c r="C173" s="43" t="s">
        <v>670</v>
      </c>
      <c r="D173" s="14"/>
      <c r="E173" s="49" t="s">
        <v>195</v>
      </c>
      <c r="F173" s="26" t="s">
        <v>227</v>
      </c>
      <c r="G173" s="14" t="s">
        <v>188</v>
      </c>
      <c r="H173" s="45"/>
      <c r="I173" s="45"/>
      <c r="J173" s="42"/>
      <c r="K173" s="46"/>
      <c r="L173" s="45"/>
      <c r="M173" s="12" t="str">
        <f t="shared" ca="1" si="6"/>
        <v/>
      </c>
      <c r="N173" s="42"/>
      <c r="O173" s="47" t="s">
        <v>138</v>
      </c>
    </row>
    <row r="174" spans="1:15" ht="47.1" customHeight="1" x14ac:dyDescent="0.25">
      <c r="A174" s="34" t="s">
        <v>671</v>
      </c>
      <c r="B174" s="35" t="s">
        <v>672</v>
      </c>
      <c r="C174" s="36" t="s">
        <v>673</v>
      </c>
      <c r="D174" s="19"/>
      <c r="E174" s="37" t="s">
        <v>186</v>
      </c>
      <c r="F174" s="30" t="s">
        <v>199</v>
      </c>
      <c r="G174" s="19" t="s">
        <v>188</v>
      </c>
      <c r="H174" s="38"/>
      <c r="I174" s="38"/>
      <c r="J174" s="35"/>
      <c r="K174" s="39"/>
      <c r="L174" s="38"/>
      <c r="M174" s="17" t="str">
        <f t="shared" ca="1" si="6"/>
        <v/>
      </c>
      <c r="N174" s="35"/>
      <c r="O174" s="40" t="s">
        <v>138</v>
      </c>
    </row>
    <row r="175" spans="1:15" ht="47.1" customHeight="1" x14ac:dyDescent="0.25">
      <c r="A175" s="41" t="s">
        <v>674</v>
      </c>
      <c r="B175" s="42" t="s">
        <v>675</v>
      </c>
      <c r="C175" s="43" t="s">
        <v>676</v>
      </c>
      <c r="D175" s="14"/>
      <c r="E175" s="49" t="s">
        <v>195</v>
      </c>
      <c r="F175" s="26" t="s">
        <v>187</v>
      </c>
      <c r="G175" s="14" t="s">
        <v>188</v>
      </c>
      <c r="H175" s="45"/>
      <c r="I175" s="45"/>
      <c r="J175" s="42"/>
      <c r="K175" s="46"/>
      <c r="L175" s="45"/>
      <c r="M175" s="12" t="str">
        <f t="shared" ca="1" si="6"/>
        <v/>
      </c>
      <c r="N175" s="42"/>
      <c r="O175" s="47" t="s">
        <v>138</v>
      </c>
    </row>
    <row r="176" spans="1:15" ht="21.95" customHeight="1" x14ac:dyDescent="0.25">
      <c r="A176" s="112" t="s">
        <v>677</v>
      </c>
      <c r="B176" s="113"/>
      <c r="C176" s="113"/>
      <c r="D176" s="113"/>
      <c r="E176" s="113"/>
      <c r="F176" s="113"/>
      <c r="G176" s="113"/>
      <c r="H176" s="113"/>
      <c r="I176" s="113"/>
      <c r="J176" s="113"/>
      <c r="K176" s="113"/>
      <c r="L176" s="113"/>
      <c r="M176" s="113"/>
      <c r="N176" s="113"/>
      <c r="O176" s="113"/>
    </row>
    <row r="177" spans="1:15" ht="47.1" customHeight="1" x14ac:dyDescent="0.25">
      <c r="A177" s="41" t="s">
        <v>678</v>
      </c>
      <c r="B177" s="42" t="s">
        <v>679</v>
      </c>
      <c r="C177" s="43" t="s">
        <v>680</v>
      </c>
      <c r="D177" s="14"/>
      <c r="E177" s="49" t="s">
        <v>195</v>
      </c>
      <c r="F177" s="26" t="s">
        <v>187</v>
      </c>
      <c r="G177" s="14" t="s">
        <v>188</v>
      </c>
      <c r="H177" s="45"/>
      <c r="I177" s="45"/>
      <c r="J177" s="42"/>
      <c r="K177" s="46"/>
      <c r="L177" s="45"/>
      <c r="M177" s="12" t="str">
        <f t="shared" ref="M177:M198" ca="1" si="7">IF(OR($H177="",$G177="Complete",$G177="N/A"),"",$H177-TODAY())</f>
        <v/>
      </c>
      <c r="N177" s="42"/>
      <c r="O177" s="47" t="s">
        <v>139</v>
      </c>
    </row>
    <row r="178" spans="1:15" ht="47.1" customHeight="1" x14ac:dyDescent="0.25">
      <c r="A178" s="34" t="s">
        <v>681</v>
      </c>
      <c r="B178" s="35" t="s">
        <v>682</v>
      </c>
      <c r="C178" s="36" t="s">
        <v>683</v>
      </c>
      <c r="D178" s="19"/>
      <c r="E178" s="48" t="s">
        <v>195</v>
      </c>
      <c r="F178" s="30" t="s">
        <v>251</v>
      </c>
      <c r="G178" s="19" t="s">
        <v>188</v>
      </c>
      <c r="H178" s="38"/>
      <c r="I178" s="38"/>
      <c r="J178" s="35"/>
      <c r="K178" s="39"/>
      <c r="L178" s="38"/>
      <c r="M178" s="17" t="str">
        <f t="shared" ca="1" si="7"/>
        <v/>
      </c>
      <c r="N178" s="35"/>
      <c r="O178" s="40" t="s">
        <v>139</v>
      </c>
    </row>
    <row r="179" spans="1:15" ht="33.950000000000003" customHeight="1" x14ac:dyDescent="0.25">
      <c r="A179" s="41" t="s">
        <v>684</v>
      </c>
      <c r="B179" s="42" t="s">
        <v>685</v>
      </c>
      <c r="C179" s="43" t="s">
        <v>686</v>
      </c>
      <c r="D179" s="14"/>
      <c r="E179" s="49" t="s">
        <v>195</v>
      </c>
      <c r="F179" s="26" t="s">
        <v>227</v>
      </c>
      <c r="G179" s="14" t="s">
        <v>188</v>
      </c>
      <c r="H179" s="45"/>
      <c r="I179" s="45"/>
      <c r="J179" s="42"/>
      <c r="K179" s="46"/>
      <c r="L179" s="45"/>
      <c r="M179" s="12" t="str">
        <f t="shared" ca="1" si="7"/>
        <v/>
      </c>
      <c r="N179" s="42"/>
      <c r="O179" s="47" t="s">
        <v>139</v>
      </c>
    </row>
    <row r="180" spans="1:15" ht="47.1" customHeight="1" x14ac:dyDescent="0.25">
      <c r="A180" s="34" t="s">
        <v>687</v>
      </c>
      <c r="B180" s="35" t="s">
        <v>688</v>
      </c>
      <c r="C180" s="36" t="s">
        <v>689</v>
      </c>
      <c r="D180" s="19"/>
      <c r="E180" s="48" t="s">
        <v>195</v>
      </c>
      <c r="F180" s="30" t="s">
        <v>227</v>
      </c>
      <c r="G180" s="19" t="s">
        <v>188</v>
      </c>
      <c r="H180" s="38"/>
      <c r="I180" s="38"/>
      <c r="J180" s="35"/>
      <c r="K180" s="39"/>
      <c r="L180" s="38"/>
      <c r="M180" s="17" t="str">
        <f t="shared" ca="1" si="7"/>
        <v/>
      </c>
      <c r="N180" s="35"/>
      <c r="O180" s="40" t="s">
        <v>139</v>
      </c>
    </row>
    <row r="181" spans="1:15" ht="47.1" customHeight="1" x14ac:dyDescent="0.25">
      <c r="A181" s="41" t="s">
        <v>690</v>
      </c>
      <c r="B181" s="42" t="s">
        <v>691</v>
      </c>
      <c r="C181" s="43" t="s">
        <v>692</v>
      </c>
      <c r="D181" s="14"/>
      <c r="E181" s="49" t="s">
        <v>195</v>
      </c>
      <c r="F181" s="26" t="s">
        <v>187</v>
      </c>
      <c r="G181" s="14" t="s">
        <v>188</v>
      </c>
      <c r="H181" s="45"/>
      <c r="I181" s="45"/>
      <c r="J181" s="42"/>
      <c r="K181" s="46"/>
      <c r="L181" s="45"/>
      <c r="M181" s="12" t="str">
        <f t="shared" ca="1" si="7"/>
        <v/>
      </c>
      <c r="N181" s="42"/>
      <c r="O181" s="47" t="s">
        <v>139</v>
      </c>
    </row>
    <row r="182" spans="1:15" ht="47.1" customHeight="1" x14ac:dyDescent="0.25">
      <c r="A182" s="34" t="s">
        <v>693</v>
      </c>
      <c r="B182" s="35" t="s">
        <v>694</v>
      </c>
      <c r="C182" s="36" t="s">
        <v>695</v>
      </c>
      <c r="D182" s="19"/>
      <c r="E182" s="48" t="s">
        <v>195</v>
      </c>
      <c r="F182" s="30" t="s">
        <v>187</v>
      </c>
      <c r="G182" s="19" t="s">
        <v>188</v>
      </c>
      <c r="H182" s="38"/>
      <c r="I182" s="38"/>
      <c r="J182" s="35"/>
      <c r="K182" s="39"/>
      <c r="L182" s="38"/>
      <c r="M182" s="17" t="str">
        <f t="shared" ca="1" si="7"/>
        <v/>
      </c>
      <c r="N182" s="35"/>
      <c r="O182" s="40" t="s">
        <v>139</v>
      </c>
    </row>
    <row r="183" spans="1:15" ht="47.1" customHeight="1" x14ac:dyDescent="0.25">
      <c r="A183" s="41" t="s">
        <v>696</v>
      </c>
      <c r="B183" s="42" t="s">
        <v>697</v>
      </c>
      <c r="C183" s="43" t="s">
        <v>698</v>
      </c>
      <c r="D183" s="14"/>
      <c r="E183" s="49" t="s">
        <v>195</v>
      </c>
      <c r="F183" s="26" t="s">
        <v>227</v>
      </c>
      <c r="G183" s="14" t="s">
        <v>188</v>
      </c>
      <c r="H183" s="45"/>
      <c r="I183" s="45"/>
      <c r="J183" s="42"/>
      <c r="K183" s="46"/>
      <c r="L183" s="45"/>
      <c r="M183" s="12" t="str">
        <f t="shared" ca="1" si="7"/>
        <v/>
      </c>
      <c r="N183" s="42"/>
      <c r="O183" s="47" t="s">
        <v>139</v>
      </c>
    </row>
    <row r="184" spans="1:15" ht="47.1" customHeight="1" x14ac:dyDescent="0.25">
      <c r="A184" s="34" t="s">
        <v>699</v>
      </c>
      <c r="B184" s="35" t="s">
        <v>700</v>
      </c>
      <c r="C184" s="36" t="s">
        <v>701</v>
      </c>
      <c r="D184" s="19"/>
      <c r="E184" s="48" t="s">
        <v>195</v>
      </c>
      <c r="F184" s="30" t="s">
        <v>227</v>
      </c>
      <c r="G184" s="19" t="s">
        <v>188</v>
      </c>
      <c r="H184" s="38"/>
      <c r="I184" s="38"/>
      <c r="J184" s="35"/>
      <c r="K184" s="39"/>
      <c r="L184" s="38"/>
      <c r="M184" s="17" t="str">
        <f t="shared" ca="1" si="7"/>
        <v/>
      </c>
      <c r="N184" s="35"/>
      <c r="O184" s="40" t="s">
        <v>139</v>
      </c>
    </row>
    <row r="185" spans="1:15" ht="47.1" customHeight="1" x14ac:dyDescent="0.25">
      <c r="A185" s="41" t="s">
        <v>702</v>
      </c>
      <c r="B185" s="42" t="s">
        <v>703</v>
      </c>
      <c r="C185" s="43" t="s">
        <v>704</v>
      </c>
      <c r="D185" s="14"/>
      <c r="E185" s="49" t="s">
        <v>195</v>
      </c>
      <c r="F185" s="26" t="s">
        <v>227</v>
      </c>
      <c r="G185" s="14" t="s">
        <v>188</v>
      </c>
      <c r="H185" s="45"/>
      <c r="I185" s="45"/>
      <c r="J185" s="42"/>
      <c r="K185" s="46"/>
      <c r="L185" s="45"/>
      <c r="M185" s="12" t="str">
        <f t="shared" ca="1" si="7"/>
        <v/>
      </c>
      <c r="N185" s="42"/>
      <c r="O185" s="47" t="s">
        <v>139</v>
      </c>
    </row>
    <row r="186" spans="1:15" ht="47.1" customHeight="1" x14ac:dyDescent="0.25">
      <c r="A186" s="34" t="s">
        <v>705</v>
      </c>
      <c r="B186" s="35" t="s">
        <v>706</v>
      </c>
      <c r="C186" s="36" t="s">
        <v>707</v>
      </c>
      <c r="D186" s="19"/>
      <c r="E186" s="37" t="s">
        <v>186</v>
      </c>
      <c r="F186" s="30" t="s">
        <v>227</v>
      </c>
      <c r="G186" s="19" t="s">
        <v>188</v>
      </c>
      <c r="H186" s="38"/>
      <c r="I186" s="38"/>
      <c r="J186" s="35"/>
      <c r="K186" s="39"/>
      <c r="L186" s="38"/>
      <c r="M186" s="17" t="str">
        <f t="shared" ca="1" si="7"/>
        <v/>
      </c>
      <c r="N186" s="35"/>
      <c r="O186" s="40" t="s">
        <v>139</v>
      </c>
    </row>
    <row r="187" spans="1:15" ht="47.1" customHeight="1" x14ac:dyDescent="0.25">
      <c r="A187" s="41" t="s">
        <v>708</v>
      </c>
      <c r="B187" s="42" t="s">
        <v>709</v>
      </c>
      <c r="C187" s="43" t="s">
        <v>710</v>
      </c>
      <c r="D187" s="14"/>
      <c r="E187" s="49" t="s">
        <v>195</v>
      </c>
      <c r="F187" s="26" t="s">
        <v>227</v>
      </c>
      <c r="G187" s="14" t="s">
        <v>188</v>
      </c>
      <c r="H187" s="45"/>
      <c r="I187" s="45"/>
      <c r="J187" s="42"/>
      <c r="K187" s="46"/>
      <c r="L187" s="45"/>
      <c r="M187" s="12" t="str">
        <f t="shared" ca="1" si="7"/>
        <v/>
      </c>
      <c r="N187" s="42"/>
      <c r="O187" s="47" t="s">
        <v>139</v>
      </c>
    </row>
    <row r="188" spans="1:15" ht="47.1" customHeight="1" x14ac:dyDescent="0.25">
      <c r="A188" s="34" t="s">
        <v>711</v>
      </c>
      <c r="B188" s="35" t="s">
        <v>712</v>
      </c>
      <c r="C188" s="36" t="s">
        <v>713</v>
      </c>
      <c r="D188" s="19"/>
      <c r="E188" s="48" t="s">
        <v>195</v>
      </c>
      <c r="F188" s="30" t="s">
        <v>227</v>
      </c>
      <c r="G188" s="19" t="s">
        <v>188</v>
      </c>
      <c r="H188" s="38"/>
      <c r="I188" s="38"/>
      <c r="J188" s="35"/>
      <c r="K188" s="39"/>
      <c r="L188" s="38"/>
      <c r="M188" s="17" t="str">
        <f t="shared" ca="1" si="7"/>
        <v/>
      </c>
      <c r="N188" s="35"/>
      <c r="O188" s="40" t="s">
        <v>139</v>
      </c>
    </row>
    <row r="189" spans="1:15" ht="33.950000000000003" customHeight="1" x14ac:dyDescent="0.25">
      <c r="A189" s="41" t="s">
        <v>714</v>
      </c>
      <c r="B189" s="42" t="s">
        <v>715</v>
      </c>
      <c r="C189" s="43" t="s">
        <v>716</v>
      </c>
      <c r="D189" s="14"/>
      <c r="E189" s="44" t="s">
        <v>186</v>
      </c>
      <c r="F189" s="26" t="s">
        <v>227</v>
      </c>
      <c r="G189" s="14" t="s">
        <v>188</v>
      </c>
      <c r="H189" s="45"/>
      <c r="I189" s="45"/>
      <c r="J189" s="42"/>
      <c r="K189" s="46"/>
      <c r="L189" s="45"/>
      <c r="M189" s="12" t="str">
        <f t="shared" ca="1" si="7"/>
        <v/>
      </c>
      <c r="N189" s="42"/>
      <c r="O189" s="47" t="s">
        <v>139</v>
      </c>
    </row>
    <row r="190" spans="1:15" ht="47.1" customHeight="1" x14ac:dyDescent="0.25">
      <c r="A190" s="34" t="s">
        <v>717</v>
      </c>
      <c r="B190" s="35" t="s">
        <v>718</v>
      </c>
      <c r="C190" s="36" t="s">
        <v>719</v>
      </c>
      <c r="D190" s="19"/>
      <c r="E190" s="37" t="s">
        <v>186</v>
      </c>
      <c r="F190" s="30" t="s">
        <v>227</v>
      </c>
      <c r="G190" s="19" t="s">
        <v>188</v>
      </c>
      <c r="H190" s="38"/>
      <c r="I190" s="38"/>
      <c r="J190" s="35"/>
      <c r="K190" s="39"/>
      <c r="L190" s="38"/>
      <c r="M190" s="17" t="str">
        <f t="shared" ca="1" si="7"/>
        <v/>
      </c>
      <c r="N190" s="35"/>
      <c r="O190" s="40" t="s">
        <v>139</v>
      </c>
    </row>
    <row r="191" spans="1:15" ht="47.1" customHeight="1" x14ac:dyDescent="0.25">
      <c r="A191" s="41" t="s">
        <v>720</v>
      </c>
      <c r="B191" s="42" t="s">
        <v>721</v>
      </c>
      <c r="C191" s="43" t="s">
        <v>722</v>
      </c>
      <c r="D191" s="14"/>
      <c r="E191" s="44" t="s">
        <v>186</v>
      </c>
      <c r="F191" s="26" t="s">
        <v>227</v>
      </c>
      <c r="G191" s="14" t="s">
        <v>188</v>
      </c>
      <c r="H191" s="45"/>
      <c r="I191" s="45"/>
      <c r="J191" s="42"/>
      <c r="K191" s="46"/>
      <c r="L191" s="45"/>
      <c r="M191" s="12" t="str">
        <f t="shared" ca="1" si="7"/>
        <v/>
      </c>
      <c r="N191" s="42"/>
      <c r="O191" s="47" t="s">
        <v>139</v>
      </c>
    </row>
    <row r="192" spans="1:15" ht="33.950000000000003" customHeight="1" x14ac:dyDescent="0.25">
      <c r="A192" s="34" t="s">
        <v>723</v>
      </c>
      <c r="B192" s="35" t="s">
        <v>724</v>
      </c>
      <c r="C192" s="36" t="s">
        <v>725</v>
      </c>
      <c r="D192" s="19"/>
      <c r="E192" s="48" t="s">
        <v>195</v>
      </c>
      <c r="F192" s="30" t="s">
        <v>227</v>
      </c>
      <c r="G192" s="19" t="s">
        <v>188</v>
      </c>
      <c r="H192" s="38"/>
      <c r="I192" s="38"/>
      <c r="J192" s="35"/>
      <c r="K192" s="39"/>
      <c r="L192" s="38"/>
      <c r="M192" s="17" t="str">
        <f t="shared" ca="1" si="7"/>
        <v/>
      </c>
      <c r="N192" s="35"/>
      <c r="O192" s="40" t="s">
        <v>139</v>
      </c>
    </row>
    <row r="193" spans="1:15" ht="47.1" customHeight="1" x14ac:dyDescent="0.25">
      <c r="A193" s="41" t="s">
        <v>726</v>
      </c>
      <c r="B193" s="42" t="s">
        <v>727</v>
      </c>
      <c r="C193" s="43" t="s">
        <v>728</v>
      </c>
      <c r="D193" s="14"/>
      <c r="E193" s="49" t="s">
        <v>195</v>
      </c>
      <c r="F193" s="26" t="s">
        <v>227</v>
      </c>
      <c r="G193" s="14" t="s">
        <v>188</v>
      </c>
      <c r="H193" s="45"/>
      <c r="I193" s="45"/>
      <c r="J193" s="42"/>
      <c r="K193" s="46"/>
      <c r="L193" s="45"/>
      <c r="M193" s="12" t="str">
        <f t="shared" ca="1" si="7"/>
        <v/>
      </c>
      <c r="N193" s="42"/>
      <c r="O193" s="47" t="s">
        <v>139</v>
      </c>
    </row>
    <row r="194" spans="1:15" ht="47.1" customHeight="1" x14ac:dyDescent="0.25">
      <c r="A194" s="34" t="s">
        <v>729</v>
      </c>
      <c r="B194" s="35" t="s">
        <v>730</v>
      </c>
      <c r="C194" s="36" t="s">
        <v>731</v>
      </c>
      <c r="D194" s="19"/>
      <c r="E194" s="37" t="s">
        <v>186</v>
      </c>
      <c r="F194" s="30" t="s">
        <v>227</v>
      </c>
      <c r="G194" s="19" t="s">
        <v>188</v>
      </c>
      <c r="H194" s="38"/>
      <c r="I194" s="38"/>
      <c r="J194" s="35"/>
      <c r="K194" s="39"/>
      <c r="L194" s="38"/>
      <c r="M194" s="17" t="str">
        <f t="shared" ca="1" si="7"/>
        <v/>
      </c>
      <c r="N194" s="35"/>
      <c r="O194" s="40" t="s">
        <v>139</v>
      </c>
    </row>
    <row r="195" spans="1:15" ht="47.1" customHeight="1" x14ac:dyDescent="0.25">
      <c r="A195" s="41" t="s">
        <v>732</v>
      </c>
      <c r="B195" s="42" t="s">
        <v>733</v>
      </c>
      <c r="C195" s="43" t="s">
        <v>734</v>
      </c>
      <c r="D195" s="14"/>
      <c r="E195" s="49" t="s">
        <v>195</v>
      </c>
      <c r="F195" s="26" t="s">
        <v>227</v>
      </c>
      <c r="G195" s="14" t="s">
        <v>188</v>
      </c>
      <c r="H195" s="45"/>
      <c r="I195" s="45"/>
      <c r="J195" s="42"/>
      <c r="K195" s="46"/>
      <c r="L195" s="45"/>
      <c r="M195" s="12" t="str">
        <f t="shared" ca="1" si="7"/>
        <v/>
      </c>
      <c r="N195" s="42"/>
      <c r="O195" s="47" t="s">
        <v>139</v>
      </c>
    </row>
    <row r="196" spans="1:15" ht="60" customHeight="1" x14ac:dyDescent="0.25">
      <c r="A196" s="34" t="s">
        <v>735</v>
      </c>
      <c r="B196" s="35" t="s">
        <v>736</v>
      </c>
      <c r="C196" s="36" t="s">
        <v>737</v>
      </c>
      <c r="D196" s="19"/>
      <c r="E196" s="37" t="s">
        <v>186</v>
      </c>
      <c r="F196" s="30" t="s">
        <v>199</v>
      </c>
      <c r="G196" s="19" t="s">
        <v>188</v>
      </c>
      <c r="H196" s="38"/>
      <c r="I196" s="38"/>
      <c r="J196" s="35"/>
      <c r="K196" s="39"/>
      <c r="L196" s="38"/>
      <c r="M196" s="17" t="str">
        <f t="shared" ca="1" si="7"/>
        <v/>
      </c>
      <c r="N196" s="35"/>
      <c r="O196" s="40" t="s">
        <v>139</v>
      </c>
    </row>
    <row r="197" spans="1:15" ht="47.1" customHeight="1" x14ac:dyDescent="0.25">
      <c r="A197" s="41" t="s">
        <v>738</v>
      </c>
      <c r="B197" s="42" t="s">
        <v>739</v>
      </c>
      <c r="C197" s="43" t="s">
        <v>740</v>
      </c>
      <c r="D197" s="14"/>
      <c r="E197" s="49" t="s">
        <v>195</v>
      </c>
      <c r="F197" s="26" t="s">
        <v>227</v>
      </c>
      <c r="G197" s="14" t="s">
        <v>188</v>
      </c>
      <c r="H197" s="45"/>
      <c r="I197" s="45"/>
      <c r="J197" s="42"/>
      <c r="K197" s="46"/>
      <c r="L197" s="45"/>
      <c r="M197" s="12" t="str">
        <f t="shared" ca="1" si="7"/>
        <v/>
      </c>
      <c r="N197" s="42"/>
      <c r="O197" s="47" t="s">
        <v>139</v>
      </c>
    </row>
    <row r="198" spans="1:15" ht="47.1" customHeight="1" x14ac:dyDescent="0.25">
      <c r="A198" s="34" t="s">
        <v>741</v>
      </c>
      <c r="B198" s="35" t="s">
        <v>742</v>
      </c>
      <c r="C198" s="36" t="s">
        <v>743</v>
      </c>
      <c r="D198" s="19"/>
      <c r="E198" s="48" t="s">
        <v>195</v>
      </c>
      <c r="F198" s="30" t="s">
        <v>199</v>
      </c>
      <c r="G198" s="19" t="s">
        <v>188</v>
      </c>
      <c r="H198" s="38"/>
      <c r="I198" s="38"/>
      <c r="J198" s="35"/>
      <c r="K198" s="39"/>
      <c r="L198" s="38"/>
      <c r="M198" s="17" t="str">
        <f t="shared" ca="1" si="7"/>
        <v/>
      </c>
      <c r="N198" s="35"/>
      <c r="O198" s="40" t="s">
        <v>139</v>
      </c>
    </row>
    <row r="199" spans="1:15" ht="21.95" customHeight="1" x14ac:dyDescent="0.25">
      <c r="A199" s="112" t="s">
        <v>744</v>
      </c>
      <c r="B199" s="113"/>
      <c r="C199" s="113"/>
      <c r="D199" s="113"/>
      <c r="E199" s="113"/>
      <c r="F199" s="113"/>
      <c r="G199" s="113"/>
      <c r="H199" s="113"/>
      <c r="I199" s="113"/>
      <c r="J199" s="113"/>
      <c r="K199" s="113"/>
      <c r="L199" s="113"/>
      <c r="M199" s="113"/>
      <c r="N199" s="113"/>
      <c r="O199" s="113"/>
    </row>
    <row r="200" spans="1:15" ht="47.1" customHeight="1" x14ac:dyDescent="0.25">
      <c r="A200" s="34" t="s">
        <v>745</v>
      </c>
      <c r="B200" s="35" t="s">
        <v>746</v>
      </c>
      <c r="C200" s="36" t="s">
        <v>747</v>
      </c>
      <c r="D200" s="19"/>
      <c r="E200" s="48" t="s">
        <v>195</v>
      </c>
      <c r="F200" s="30" t="s">
        <v>48</v>
      </c>
      <c r="G200" s="19" t="s">
        <v>188</v>
      </c>
      <c r="H200" s="38"/>
      <c r="I200" s="38"/>
      <c r="J200" s="35"/>
      <c r="K200" s="39"/>
      <c r="L200" s="38"/>
      <c r="M200" s="17" t="str">
        <f t="shared" ref="M200:M220" ca="1" si="8">IF(OR($H200="",$G200="Complete",$G200="N/A"),"",$H200-TODAY())</f>
        <v/>
      </c>
      <c r="N200" s="35"/>
      <c r="O200" s="40" t="s">
        <v>140</v>
      </c>
    </row>
    <row r="201" spans="1:15" ht="47.1" customHeight="1" x14ac:dyDescent="0.25">
      <c r="A201" s="41" t="s">
        <v>748</v>
      </c>
      <c r="B201" s="42" t="s">
        <v>749</v>
      </c>
      <c r="C201" s="43" t="s">
        <v>750</v>
      </c>
      <c r="D201" s="14"/>
      <c r="E201" s="44" t="s">
        <v>186</v>
      </c>
      <c r="F201" s="26" t="s">
        <v>48</v>
      </c>
      <c r="G201" s="14" t="s">
        <v>188</v>
      </c>
      <c r="H201" s="45"/>
      <c r="I201" s="45"/>
      <c r="J201" s="42"/>
      <c r="K201" s="46"/>
      <c r="L201" s="45"/>
      <c r="M201" s="12" t="str">
        <f t="shared" ca="1" si="8"/>
        <v/>
      </c>
      <c r="N201" s="42"/>
      <c r="O201" s="47" t="s">
        <v>140</v>
      </c>
    </row>
    <row r="202" spans="1:15" ht="47.1" customHeight="1" x14ac:dyDescent="0.25">
      <c r="A202" s="34" t="s">
        <v>751</v>
      </c>
      <c r="B202" s="35" t="s">
        <v>752</v>
      </c>
      <c r="C202" s="36" t="s">
        <v>753</v>
      </c>
      <c r="D202" s="19"/>
      <c r="E202" s="48" t="s">
        <v>195</v>
      </c>
      <c r="F202" s="30" t="s">
        <v>48</v>
      </c>
      <c r="G202" s="19" t="s">
        <v>188</v>
      </c>
      <c r="H202" s="38"/>
      <c r="I202" s="38"/>
      <c r="J202" s="35"/>
      <c r="K202" s="39"/>
      <c r="L202" s="38"/>
      <c r="M202" s="17" t="str">
        <f t="shared" ca="1" si="8"/>
        <v/>
      </c>
      <c r="N202" s="35"/>
      <c r="O202" s="40" t="s">
        <v>140</v>
      </c>
    </row>
    <row r="203" spans="1:15" ht="33.950000000000003" customHeight="1" x14ac:dyDescent="0.25">
      <c r="A203" s="41" t="s">
        <v>754</v>
      </c>
      <c r="B203" s="42" t="s">
        <v>755</v>
      </c>
      <c r="C203" s="43" t="s">
        <v>756</v>
      </c>
      <c r="D203" s="14"/>
      <c r="E203" s="49" t="s">
        <v>195</v>
      </c>
      <c r="F203" s="26" t="s">
        <v>48</v>
      </c>
      <c r="G203" s="14" t="s">
        <v>188</v>
      </c>
      <c r="H203" s="45"/>
      <c r="I203" s="45"/>
      <c r="J203" s="42"/>
      <c r="K203" s="46"/>
      <c r="L203" s="45"/>
      <c r="M203" s="12" t="str">
        <f t="shared" ca="1" si="8"/>
        <v/>
      </c>
      <c r="N203" s="42"/>
      <c r="O203" s="47" t="s">
        <v>140</v>
      </c>
    </row>
    <row r="204" spans="1:15" ht="33.950000000000003" customHeight="1" x14ac:dyDescent="0.25">
      <c r="A204" s="34" t="s">
        <v>757</v>
      </c>
      <c r="B204" s="35" t="s">
        <v>758</v>
      </c>
      <c r="C204" s="36" t="s">
        <v>759</v>
      </c>
      <c r="D204" s="19"/>
      <c r="E204" s="48" t="s">
        <v>195</v>
      </c>
      <c r="F204" s="30" t="s">
        <v>48</v>
      </c>
      <c r="G204" s="19" t="s">
        <v>188</v>
      </c>
      <c r="H204" s="38"/>
      <c r="I204" s="38"/>
      <c r="J204" s="35"/>
      <c r="K204" s="39"/>
      <c r="L204" s="38"/>
      <c r="M204" s="17" t="str">
        <f t="shared" ca="1" si="8"/>
        <v/>
      </c>
      <c r="N204" s="35"/>
      <c r="O204" s="40" t="s">
        <v>140</v>
      </c>
    </row>
    <row r="205" spans="1:15" ht="60" customHeight="1" x14ac:dyDescent="0.25">
      <c r="A205" s="41" t="s">
        <v>760</v>
      </c>
      <c r="B205" s="42" t="s">
        <v>761</v>
      </c>
      <c r="C205" s="43" t="s">
        <v>762</v>
      </c>
      <c r="D205" s="14"/>
      <c r="E205" s="44" t="s">
        <v>186</v>
      </c>
      <c r="F205" s="26" t="s">
        <v>199</v>
      </c>
      <c r="G205" s="14" t="s">
        <v>188</v>
      </c>
      <c r="H205" s="45"/>
      <c r="I205" s="45"/>
      <c r="J205" s="42"/>
      <c r="K205" s="46"/>
      <c r="L205" s="45"/>
      <c r="M205" s="12" t="str">
        <f t="shared" ca="1" si="8"/>
        <v/>
      </c>
      <c r="N205" s="42"/>
      <c r="O205" s="47" t="s">
        <v>140</v>
      </c>
    </row>
    <row r="206" spans="1:15" ht="47.1" customHeight="1" x14ac:dyDescent="0.25">
      <c r="A206" s="34" t="s">
        <v>763</v>
      </c>
      <c r="B206" s="35" t="s">
        <v>764</v>
      </c>
      <c r="C206" s="36" t="s">
        <v>765</v>
      </c>
      <c r="D206" s="19"/>
      <c r="E206" s="37" t="s">
        <v>186</v>
      </c>
      <c r="F206" s="30" t="s">
        <v>48</v>
      </c>
      <c r="G206" s="19" t="s">
        <v>188</v>
      </c>
      <c r="H206" s="38"/>
      <c r="I206" s="38"/>
      <c r="J206" s="35"/>
      <c r="K206" s="39"/>
      <c r="L206" s="38"/>
      <c r="M206" s="17" t="str">
        <f t="shared" ca="1" si="8"/>
        <v/>
      </c>
      <c r="N206" s="35"/>
      <c r="O206" s="40" t="s">
        <v>140</v>
      </c>
    </row>
    <row r="207" spans="1:15" ht="47.1" customHeight="1" x14ac:dyDescent="0.25">
      <c r="A207" s="41" t="s">
        <v>766</v>
      </c>
      <c r="B207" s="42" t="s">
        <v>767</v>
      </c>
      <c r="C207" s="43" t="s">
        <v>768</v>
      </c>
      <c r="D207" s="14"/>
      <c r="E207" s="44" t="s">
        <v>186</v>
      </c>
      <c r="F207" s="26" t="s">
        <v>48</v>
      </c>
      <c r="G207" s="14" t="s">
        <v>188</v>
      </c>
      <c r="H207" s="45"/>
      <c r="I207" s="45"/>
      <c r="J207" s="42"/>
      <c r="K207" s="46"/>
      <c r="L207" s="45"/>
      <c r="M207" s="12" t="str">
        <f t="shared" ca="1" si="8"/>
        <v/>
      </c>
      <c r="N207" s="42"/>
      <c r="O207" s="47" t="s">
        <v>140</v>
      </c>
    </row>
    <row r="208" spans="1:15" ht="60" customHeight="1" x14ac:dyDescent="0.25">
      <c r="A208" s="34" t="s">
        <v>769</v>
      </c>
      <c r="B208" s="35" t="s">
        <v>770</v>
      </c>
      <c r="C208" s="36" t="s">
        <v>771</v>
      </c>
      <c r="D208" s="19"/>
      <c r="E208" s="37" t="s">
        <v>186</v>
      </c>
      <c r="F208" s="30" t="s">
        <v>48</v>
      </c>
      <c r="G208" s="19" t="s">
        <v>188</v>
      </c>
      <c r="H208" s="38"/>
      <c r="I208" s="38"/>
      <c r="J208" s="35"/>
      <c r="K208" s="39"/>
      <c r="L208" s="38"/>
      <c r="M208" s="17" t="str">
        <f t="shared" ca="1" si="8"/>
        <v/>
      </c>
      <c r="N208" s="35"/>
      <c r="O208" s="40" t="s">
        <v>140</v>
      </c>
    </row>
    <row r="209" spans="1:15" ht="60" customHeight="1" x14ac:dyDescent="0.25">
      <c r="A209" s="41" t="s">
        <v>772</v>
      </c>
      <c r="B209" s="42" t="s">
        <v>773</v>
      </c>
      <c r="C209" s="43" t="s">
        <v>774</v>
      </c>
      <c r="D209" s="14"/>
      <c r="E209" s="49" t="s">
        <v>195</v>
      </c>
      <c r="F209" s="26" t="s">
        <v>227</v>
      </c>
      <c r="G209" s="14" t="s">
        <v>188</v>
      </c>
      <c r="H209" s="45"/>
      <c r="I209" s="45"/>
      <c r="J209" s="42"/>
      <c r="K209" s="46"/>
      <c r="L209" s="45"/>
      <c r="M209" s="12" t="str">
        <f t="shared" ca="1" si="8"/>
        <v/>
      </c>
      <c r="N209" s="42"/>
      <c r="O209" s="47" t="s">
        <v>140</v>
      </c>
    </row>
    <row r="210" spans="1:15" ht="47.1" customHeight="1" x14ac:dyDescent="0.25">
      <c r="A210" s="34" t="s">
        <v>775</v>
      </c>
      <c r="B210" s="35" t="s">
        <v>776</v>
      </c>
      <c r="C210" s="36" t="s">
        <v>777</v>
      </c>
      <c r="D210" s="19"/>
      <c r="E210" s="48" t="s">
        <v>195</v>
      </c>
      <c r="F210" s="30" t="s">
        <v>48</v>
      </c>
      <c r="G210" s="19" t="s">
        <v>188</v>
      </c>
      <c r="H210" s="38"/>
      <c r="I210" s="38"/>
      <c r="J210" s="35"/>
      <c r="K210" s="39"/>
      <c r="L210" s="38"/>
      <c r="M210" s="17" t="str">
        <f t="shared" ca="1" si="8"/>
        <v/>
      </c>
      <c r="N210" s="35"/>
      <c r="O210" s="40" t="s">
        <v>140</v>
      </c>
    </row>
    <row r="211" spans="1:15" ht="47.1" customHeight="1" x14ac:dyDescent="0.25">
      <c r="A211" s="41" t="s">
        <v>778</v>
      </c>
      <c r="B211" s="42" t="s">
        <v>779</v>
      </c>
      <c r="C211" s="43" t="s">
        <v>780</v>
      </c>
      <c r="D211" s="14"/>
      <c r="E211" s="49" t="s">
        <v>195</v>
      </c>
      <c r="F211" s="26" t="s">
        <v>187</v>
      </c>
      <c r="G211" s="14" t="s">
        <v>188</v>
      </c>
      <c r="H211" s="45"/>
      <c r="I211" s="45"/>
      <c r="J211" s="42"/>
      <c r="K211" s="46"/>
      <c r="L211" s="45"/>
      <c r="M211" s="12" t="str">
        <f t="shared" ca="1" si="8"/>
        <v/>
      </c>
      <c r="N211" s="42"/>
      <c r="O211" s="47" t="s">
        <v>140</v>
      </c>
    </row>
    <row r="212" spans="1:15" ht="47.1" customHeight="1" x14ac:dyDescent="0.25">
      <c r="A212" s="34" t="s">
        <v>781</v>
      </c>
      <c r="B212" s="35" t="s">
        <v>782</v>
      </c>
      <c r="C212" s="36" t="s">
        <v>783</v>
      </c>
      <c r="D212" s="19"/>
      <c r="E212" s="37" t="s">
        <v>186</v>
      </c>
      <c r="F212" s="30" t="s">
        <v>199</v>
      </c>
      <c r="G212" s="19" t="s">
        <v>188</v>
      </c>
      <c r="H212" s="38"/>
      <c r="I212" s="38"/>
      <c r="J212" s="35"/>
      <c r="K212" s="39"/>
      <c r="L212" s="38"/>
      <c r="M212" s="17" t="str">
        <f t="shared" ca="1" si="8"/>
        <v/>
      </c>
      <c r="N212" s="35"/>
      <c r="O212" s="40" t="s">
        <v>140</v>
      </c>
    </row>
    <row r="213" spans="1:15" ht="47.1" customHeight="1" x14ac:dyDescent="0.25">
      <c r="A213" s="41" t="s">
        <v>784</v>
      </c>
      <c r="B213" s="42" t="s">
        <v>785</v>
      </c>
      <c r="C213" s="43" t="s">
        <v>786</v>
      </c>
      <c r="D213" s="14"/>
      <c r="E213" s="49" t="s">
        <v>195</v>
      </c>
      <c r="F213" s="26" t="s">
        <v>199</v>
      </c>
      <c r="G213" s="14" t="s">
        <v>188</v>
      </c>
      <c r="H213" s="45"/>
      <c r="I213" s="45"/>
      <c r="J213" s="42"/>
      <c r="K213" s="46"/>
      <c r="L213" s="45"/>
      <c r="M213" s="12" t="str">
        <f t="shared" ca="1" si="8"/>
        <v/>
      </c>
      <c r="N213" s="42"/>
      <c r="O213" s="47" t="s">
        <v>140</v>
      </c>
    </row>
    <row r="214" spans="1:15" ht="47.1" customHeight="1" x14ac:dyDescent="0.25">
      <c r="A214" s="34" t="s">
        <v>787</v>
      </c>
      <c r="B214" s="35" t="s">
        <v>788</v>
      </c>
      <c r="C214" s="36" t="s">
        <v>789</v>
      </c>
      <c r="D214" s="19"/>
      <c r="E214" s="48" t="s">
        <v>195</v>
      </c>
      <c r="F214" s="30" t="s">
        <v>199</v>
      </c>
      <c r="G214" s="19" t="s">
        <v>188</v>
      </c>
      <c r="H214" s="38"/>
      <c r="I214" s="38"/>
      <c r="J214" s="35"/>
      <c r="K214" s="39"/>
      <c r="L214" s="38"/>
      <c r="M214" s="17" t="str">
        <f t="shared" ca="1" si="8"/>
        <v/>
      </c>
      <c r="N214" s="35"/>
      <c r="O214" s="40" t="s">
        <v>140</v>
      </c>
    </row>
    <row r="215" spans="1:15" ht="47.1" customHeight="1" x14ac:dyDescent="0.25">
      <c r="A215" s="41" t="s">
        <v>790</v>
      </c>
      <c r="B215" s="42" t="s">
        <v>791</v>
      </c>
      <c r="C215" s="43" t="s">
        <v>792</v>
      </c>
      <c r="D215" s="14"/>
      <c r="E215" s="49" t="s">
        <v>195</v>
      </c>
      <c r="F215" s="26" t="s">
        <v>48</v>
      </c>
      <c r="G215" s="14" t="s">
        <v>188</v>
      </c>
      <c r="H215" s="45"/>
      <c r="I215" s="45"/>
      <c r="J215" s="42"/>
      <c r="K215" s="46"/>
      <c r="L215" s="45"/>
      <c r="M215" s="12" t="str">
        <f t="shared" ca="1" si="8"/>
        <v/>
      </c>
      <c r="N215" s="42"/>
      <c r="O215" s="47" t="s">
        <v>140</v>
      </c>
    </row>
    <row r="216" spans="1:15" ht="47.1" customHeight="1" x14ac:dyDescent="0.25">
      <c r="A216" s="34" t="s">
        <v>793</v>
      </c>
      <c r="B216" s="35" t="s">
        <v>794</v>
      </c>
      <c r="C216" s="36" t="s">
        <v>795</v>
      </c>
      <c r="D216" s="19"/>
      <c r="E216" s="37" t="s">
        <v>186</v>
      </c>
      <c r="F216" s="30" t="s">
        <v>187</v>
      </c>
      <c r="G216" s="19" t="s">
        <v>188</v>
      </c>
      <c r="H216" s="38"/>
      <c r="I216" s="38"/>
      <c r="J216" s="35"/>
      <c r="K216" s="39"/>
      <c r="L216" s="38"/>
      <c r="M216" s="17" t="str">
        <f t="shared" ca="1" si="8"/>
        <v/>
      </c>
      <c r="N216" s="35"/>
      <c r="O216" s="40" t="s">
        <v>140</v>
      </c>
    </row>
    <row r="217" spans="1:15" ht="47.1" customHeight="1" x14ac:dyDescent="0.25">
      <c r="A217" s="41" t="s">
        <v>796</v>
      </c>
      <c r="B217" s="42" t="s">
        <v>797</v>
      </c>
      <c r="C217" s="43" t="s">
        <v>798</v>
      </c>
      <c r="D217" s="14"/>
      <c r="E217" s="44" t="s">
        <v>186</v>
      </c>
      <c r="F217" s="26" t="s">
        <v>227</v>
      </c>
      <c r="G217" s="14" t="s">
        <v>188</v>
      </c>
      <c r="H217" s="45"/>
      <c r="I217" s="45"/>
      <c r="J217" s="42"/>
      <c r="K217" s="46"/>
      <c r="L217" s="45"/>
      <c r="M217" s="12" t="str">
        <f t="shared" ca="1" si="8"/>
        <v/>
      </c>
      <c r="N217" s="42"/>
      <c r="O217" s="47" t="s">
        <v>140</v>
      </c>
    </row>
    <row r="218" spans="1:15" ht="47.1" customHeight="1" x14ac:dyDescent="0.25">
      <c r="A218" s="34" t="s">
        <v>799</v>
      </c>
      <c r="B218" s="35" t="s">
        <v>800</v>
      </c>
      <c r="C218" s="36" t="s">
        <v>801</v>
      </c>
      <c r="D218" s="19"/>
      <c r="E218" s="48" t="s">
        <v>195</v>
      </c>
      <c r="F218" s="30" t="s">
        <v>227</v>
      </c>
      <c r="G218" s="19" t="s">
        <v>188</v>
      </c>
      <c r="H218" s="38"/>
      <c r="I218" s="38"/>
      <c r="J218" s="35"/>
      <c r="K218" s="39"/>
      <c r="L218" s="38"/>
      <c r="M218" s="17" t="str">
        <f t="shared" ca="1" si="8"/>
        <v/>
      </c>
      <c r="N218" s="35"/>
      <c r="O218" s="40" t="s">
        <v>140</v>
      </c>
    </row>
    <row r="219" spans="1:15" ht="60" customHeight="1" x14ac:dyDescent="0.25">
      <c r="A219" s="41" t="s">
        <v>802</v>
      </c>
      <c r="B219" s="42" t="s">
        <v>803</v>
      </c>
      <c r="C219" s="43" t="s">
        <v>804</v>
      </c>
      <c r="D219" s="14"/>
      <c r="E219" s="49" t="s">
        <v>195</v>
      </c>
      <c r="F219" s="26" t="s">
        <v>227</v>
      </c>
      <c r="G219" s="14" t="s">
        <v>188</v>
      </c>
      <c r="H219" s="45"/>
      <c r="I219" s="45"/>
      <c r="J219" s="42"/>
      <c r="K219" s="46"/>
      <c r="L219" s="45"/>
      <c r="M219" s="12" t="str">
        <f t="shared" ca="1" si="8"/>
        <v/>
      </c>
      <c r="N219" s="42"/>
      <c r="O219" s="47" t="s">
        <v>140</v>
      </c>
    </row>
    <row r="220" spans="1:15" ht="47.1" customHeight="1" x14ac:dyDescent="0.25">
      <c r="A220" s="34" t="s">
        <v>805</v>
      </c>
      <c r="B220" s="35" t="s">
        <v>806</v>
      </c>
      <c r="C220" s="36" t="s">
        <v>807</v>
      </c>
      <c r="D220" s="19"/>
      <c r="E220" s="48" t="s">
        <v>195</v>
      </c>
      <c r="F220" s="30" t="s">
        <v>187</v>
      </c>
      <c r="G220" s="19" t="s">
        <v>188</v>
      </c>
      <c r="H220" s="38"/>
      <c r="I220" s="38"/>
      <c r="J220" s="35"/>
      <c r="K220" s="39"/>
      <c r="L220" s="38"/>
      <c r="M220" s="17" t="str">
        <f t="shared" ca="1" si="8"/>
        <v/>
      </c>
      <c r="N220" s="35"/>
      <c r="O220" s="40" t="s">
        <v>140</v>
      </c>
    </row>
    <row r="221" spans="1:15" ht="21.95" customHeight="1" x14ac:dyDescent="0.25">
      <c r="A221" s="112" t="s">
        <v>808</v>
      </c>
      <c r="B221" s="113"/>
      <c r="C221" s="113"/>
      <c r="D221" s="113"/>
      <c r="E221" s="113"/>
      <c r="F221" s="113"/>
      <c r="G221" s="113"/>
      <c r="H221" s="113"/>
      <c r="I221" s="113"/>
      <c r="J221" s="113"/>
      <c r="K221" s="113"/>
      <c r="L221" s="113"/>
      <c r="M221" s="113"/>
      <c r="N221" s="113"/>
      <c r="O221" s="113"/>
    </row>
    <row r="222" spans="1:15" ht="47.1" customHeight="1" x14ac:dyDescent="0.25">
      <c r="A222" s="34" t="s">
        <v>809</v>
      </c>
      <c r="B222" s="35" t="s">
        <v>810</v>
      </c>
      <c r="C222" s="36" t="s">
        <v>811</v>
      </c>
      <c r="D222" s="19"/>
      <c r="E222" s="37" t="s">
        <v>186</v>
      </c>
      <c r="F222" s="30" t="s">
        <v>187</v>
      </c>
      <c r="G222" s="19" t="s">
        <v>188</v>
      </c>
      <c r="H222" s="38"/>
      <c r="I222" s="38"/>
      <c r="J222" s="35"/>
      <c r="K222" s="39"/>
      <c r="L222" s="38"/>
      <c r="M222" s="17" t="str">
        <f t="shared" ref="M222:M239" ca="1" si="9">IF(OR($H222="",$G222="Complete",$G222="N/A"),"",$H222-TODAY())</f>
        <v/>
      </c>
      <c r="N222" s="35"/>
      <c r="O222" s="40" t="s">
        <v>141</v>
      </c>
    </row>
    <row r="223" spans="1:15" ht="47.1" customHeight="1" x14ac:dyDescent="0.25">
      <c r="A223" s="41" t="s">
        <v>812</v>
      </c>
      <c r="B223" s="42" t="s">
        <v>813</v>
      </c>
      <c r="C223" s="43" t="s">
        <v>814</v>
      </c>
      <c r="D223" s="14"/>
      <c r="E223" s="49" t="s">
        <v>195</v>
      </c>
      <c r="F223" s="26" t="s">
        <v>227</v>
      </c>
      <c r="G223" s="14" t="s">
        <v>188</v>
      </c>
      <c r="H223" s="45"/>
      <c r="I223" s="45"/>
      <c r="J223" s="42"/>
      <c r="K223" s="46"/>
      <c r="L223" s="45"/>
      <c r="M223" s="12" t="str">
        <f t="shared" ca="1" si="9"/>
        <v/>
      </c>
      <c r="N223" s="42"/>
      <c r="O223" s="47" t="s">
        <v>141</v>
      </c>
    </row>
    <row r="224" spans="1:15" ht="47.1" customHeight="1" x14ac:dyDescent="0.25">
      <c r="A224" s="34" t="s">
        <v>815</v>
      </c>
      <c r="B224" s="35" t="s">
        <v>816</v>
      </c>
      <c r="C224" s="36" t="s">
        <v>817</v>
      </c>
      <c r="D224" s="19"/>
      <c r="E224" s="48" t="s">
        <v>195</v>
      </c>
      <c r="F224" s="30" t="s">
        <v>48</v>
      </c>
      <c r="G224" s="19" t="s">
        <v>188</v>
      </c>
      <c r="H224" s="38"/>
      <c r="I224" s="38"/>
      <c r="J224" s="35"/>
      <c r="K224" s="39"/>
      <c r="L224" s="38"/>
      <c r="M224" s="17" t="str">
        <f t="shared" ca="1" si="9"/>
        <v/>
      </c>
      <c r="N224" s="35"/>
      <c r="O224" s="40" t="s">
        <v>141</v>
      </c>
    </row>
    <row r="225" spans="1:15" ht="47.1" customHeight="1" x14ac:dyDescent="0.25">
      <c r="A225" s="41" t="s">
        <v>818</v>
      </c>
      <c r="B225" s="42" t="s">
        <v>819</v>
      </c>
      <c r="C225" s="43" t="s">
        <v>820</v>
      </c>
      <c r="D225" s="14"/>
      <c r="E225" s="44" t="s">
        <v>186</v>
      </c>
      <c r="F225" s="26" t="s">
        <v>199</v>
      </c>
      <c r="G225" s="14" t="s">
        <v>188</v>
      </c>
      <c r="H225" s="45"/>
      <c r="I225" s="45"/>
      <c r="J225" s="42"/>
      <c r="K225" s="46"/>
      <c r="L225" s="45"/>
      <c r="M225" s="12" t="str">
        <f t="shared" ca="1" si="9"/>
        <v/>
      </c>
      <c r="N225" s="42"/>
      <c r="O225" s="47" t="s">
        <v>141</v>
      </c>
    </row>
    <row r="226" spans="1:15" ht="47.1" customHeight="1" x14ac:dyDescent="0.25">
      <c r="A226" s="34" t="s">
        <v>821</v>
      </c>
      <c r="B226" s="35" t="s">
        <v>822</v>
      </c>
      <c r="C226" s="36" t="s">
        <v>823</v>
      </c>
      <c r="D226" s="19"/>
      <c r="E226" s="48" t="s">
        <v>195</v>
      </c>
      <c r="F226" s="30" t="s">
        <v>48</v>
      </c>
      <c r="G226" s="19" t="s">
        <v>188</v>
      </c>
      <c r="H226" s="38"/>
      <c r="I226" s="38"/>
      <c r="J226" s="35"/>
      <c r="K226" s="39"/>
      <c r="L226" s="38"/>
      <c r="M226" s="17" t="str">
        <f t="shared" ca="1" si="9"/>
        <v/>
      </c>
      <c r="N226" s="35"/>
      <c r="O226" s="40" t="s">
        <v>141</v>
      </c>
    </row>
    <row r="227" spans="1:15" ht="47.1" customHeight="1" x14ac:dyDescent="0.25">
      <c r="A227" s="41" t="s">
        <v>824</v>
      </c>
      <c r="B227" s="42" t="s">
        <v>825</v>
      </c>
      <c r="C227" s="43" t="s">
        <v>826</v>
      </c>
      <c r="D227" s="14"/>
      <c r="E227" s="49" t="s">
        <v>195</v>
      </c>
      <c r="F227" s="26" t="s">
        <v>199</v>
      </c>
      <c r="G227" s="14" t="s">
        <v>188</v>
      </c>
      <c r="H227" s="45"/>
      <c r="I227" s="45"/>
      <c r="J227" s="42"/>
      <c r="K227" s="46"/>
      <c r="L227" s="45"/>
      <c r="M227" s="12" t="str">
        <f t="shared" ca="1" si="9"/>
        <v/>
      </c>
      <c r="N227" s="42"/>
      <c r="O227" s="47" t="s">
        <v>141</v>
      </c>
    </row>
    <row r="228" spans="1:15" ht="47.1" customHeight="1" x14ac:dyDescent="0.25">
      <c r="A228" s="34" t="s">
        <v>827</v>
      </c>
      <c r="B228" s="35" t="s">
        <v>828</v>
      </c>
      <c r="C228" s="36" t="s">
        <v>829</v>
      </c>
      <c r="D228" s="19"/>
      <c r="E228" s="48" t="s">
        <v>195</v>
      </c>
      <c r="F228" s="30" t="s">
        <v>187</v>
      </c>
      <c r="G228" s="19" t="s">
        <v>188</v>
      </c>
      <c r="H228" s="38"/>
      <c r="I228" s="38"/>
      <c r="J228" s="35"/>
      <c r="K228" s="39"/>
      <c r="L228" s="38"/>
      <c r="M228" s="17" t="str">
        <f t="shared" ca="1" si="9"/>
        <v/>
      </c>
      <c r="N228" s="35"/>
      <c r="O228" s="40" t="s">
        <v>141</v>
      </c>
    </row>
    <row r="229" spans="1:15" ht="33.950000000000003" customHeight="1" x14ac:dyDescent="0.25">
      <c r="A229" s="41" t="s">
        <v>830</v>
      </c>
      <c r="B229" s="42" t="s">
        <v>831</v>
      </c>
      <c r="C229" s="43" t="s">
        <v>832</v>
      </c>
      <c r="D229" s="14"/>
      <c r="E229" s="49" t="s">
        <v>195</v>
      </c>
      <c r="F229" s="26" t="s">
        <v>227</v>
      </c>
      <c r="G229" s="14" t="s">
        <v>188</v>
      </c>
      <c r="H229" s="45"/>
      <c r="I229" s="45"/>
      <c r="J229" s="42"/>
      <c r="K229" s="46"/>
      <c r="L229" s="45"/>
      <c r="M229" s="12" t="str">
        <f t="shared" ca="1" si="9"/>
        <v/>
      </c>
      <c r="N229" s="42"/>
      <c r="O229" s="47" t="s">
        <v>141</v>
      </c>
    </row>
    <row r="230" spans="1:15" ht="47.1" customHeight="1" x14ac:dyDescent="0.25">
      <c r="A230" s="34" t="s">
        <v>833</v>
      </c>
      <c r="B230" s="35" t="s">
        <v>834</v>
      </c>
      <c r="C230" s="36" t="s">
        <v>835</v>
      </c>
      <c r="D230" s="19"/>
      <c r="E230" s="48" t="s">
        <v>195</v>
      </c>
      <c r="F230" s="30" t="s">
        <v>227</v>
      </c>
      <c r="G230" s="19" t="s">
        <v>188</v>
      </c>
      <c r="H230" s="38"/>
      <c r="I230" s="38"/>
      <c r="J230" s="35"/>
      <c r="K230" s="39"/>
      <c r="L230" s="38"/>
      <c r="M230" s="17" t="str">
        <f t="shared" ca="1" si="9"/>
        <v/>
      </c>
      <c r="N230" s="35"/>
      <c r="O230" s="40" t="s">
        <v>141</v>
      </c>
    </row>
    <row r="231" spans="1:15" ht="33.950000000000003" customHeight="1" x14ac:dyDescent="0.25">
      <c r="A231" s="41" t="s">
        <v>836</v>
      </c>
      <c r="B231" s="42" t="s">
        <v>837</v>
      </c>
      <c r="C231" s="43" t="s">
        <v>838</v>
      </c>
      <c r="D231" s="14"/>
      <c r="E231" s="49" t="s">
        <v>195</v>
      </c>
      <c r="F231" s="26" t="s">
        <v>227</v>
      </c>
      <c r="G231" s="14" t="s">
        <v>188</v>
      </c>
      <c r="H231" s="45"/>
      <c r="I231" s="45"/>
      <c r="J231" s="42"/>
      <c r="K231" s="46"/>
      <c r="L231" s="45"/>
      <c r="M231" s="12" t="str">
        <f t="shared" ca="1" si="9"/>
        <v/>
      </c>
      <c r="N231" s="42"/>
      <c r="O231" s="47" t="s">
        <v>141</v>
      </c>
    </row>
    <row r="232" spans="1:15" ht="47.1" customHeight="1" x14ac:dyDescent="0.25">
      <c r="A232" s="34" t="s">
        <v>839</v>
      </c>
      <c r="B232" s="35" t="s">
        <v>840</v>
      </c>
      <c r="C232" s="36" t="s">
        <v>841</v>
      </c>
      <c r="D232" s="19"/>
      <c r="E232" s="48" t="s">
        <v>195</v>
      </c>
      <c r="F232" s="30" t="s">
        <v>227</v>
      </c>
      <c r="G232" s="19" t="s">
        <v>188</v>
      </c>
      <c r="H232" s="38"/>
      <c r="I232" s="38"/>
      <c r="J232" s="35"/>
      <c r="K232" s="39"/>
      <c r="L232" s="38"/>
      <c r="M232" s="17" t="str">
        <f t="shared" ca="1" si="9"/>
        <v/>
      </c>
      <c r="N232" s="35"/>
      <c r="O232" s="40" t="s">
        <v>141</v>
      </c>
    </row>
    <row r="233" spans="1:15" ht="47.1" customHeight="1" x14ac:dyDescent="0.25">
      <c r="A233" s="41" t="s">
        <v>842</v>
      </c>
      <c r="B233" s="42" t="s">
        <v>843</v>
      </c>
      <c r="C233" s="43" t="s">
        <v>844</v>
      </c>
      <c r="D233" s="14"/>
      <c r="E233" s="44" t="s">
        <v>186</v>
      </c>
      <c r="F233" s="26" t="s">
        <v>48</v>
      </c>
      <c r="G233" s="14" t="s">
        <v>188</v>
      </c>
      <c r="H233" s="45"/>
      <c r="I233" s="45"/>
      <c r="J233" s="42"/>
      <c r="K233" s="46"/>
      <c r="L233" s="45"/>
      <c r="M233" s="12" t="str">
        <f t="shared" ca="1" si="9"/>
        <v/>
      </c>
      <c r="N233" s="42"/>
      <c r="O233" s="47" t="s">
        <v>141</v>
      </c>
    </row>
    <row r="234" spans="1:15" ht="47.1" customHeight="1" x14ac:dyDescent="0.25">
      <c r="A234" s="34" t="s">
        <v>845</v>
      </c>
      <c r="B234" s="35" t="s">
        <v>846</v>
      </c>
      <c r="C234" s="36" t="s">
        <v>847</v>
      </c>
      <c r="D234" s="19"/>
      <c r="E234" s="37" t="s">
        <v>186</v>
      </c>
      <c r="F234" s="30" t="s">
        <v>48</v>
      </c>
      <c r="G234" s="19" t="s">
        <v>188</v>
      </c>
      <c r="H234" s="38"/>
      <c r="I234" s="38"/>
      <c r="J234" s="35"/>
      <c r="K234" s="39"/>
      <c r="L234" s="38"/>
      <c r="M234" s="17" t="str">
        <f t="shared" ca="1" si="9"/>
        <v/>
      </c>
      <c r="N234" s="35"/>
      <c r="O234" s="40" t="s">
        <v>141</v>
      </c>
    </row>
    <row r="235" spans="1:15" ht="33.950000000000003" customHeight="1" x14ac:dyDescent="0.25">
      <c r="A235" s="41" t="s">
        <v>848</v>
      </c>
      <c r="B235" s="42" t="s">
        <v>849</v>
      </c>
      <c r="C235" s="43" t="s">
        <v>850</v>
      </c>
      <c r="D235" s="14"/>
      <c r="E235" s="49" t="s">
        <v>195</v>
      </c>
      <c r="F235" s="26" t="s">
        <v>48</v>
      </c>
      <c r="G235" s="14" t="s">
        <v>188</v>
      </c>
      <c r="H235" s="45"/>
      <c r="I235" s="45"/>
      <c r="J235" s="42"/>
      <c r="K235" s="46"/>
      <c r="L235" s="45"/>
      <c r="M235" s="12" t="str">
        <f t="shared" ca="1" si="9"/>
        <v/>
      </c>
      <c r="N235" s="42"/>
      <c r="O235" s="47" t="s">
        <v>141</v>
      </c>
    </row>
    <row r="236" spans="1:15" ht="47.1" customHeight="1" x14ac:dyDescent="0.25">
      <c r="A236" s="34" t="s">
        <v>851</v>
      </c>
      <c r="B236" s="35" t="s">
        <v>852</v>
      </c>
      <c r="C236" s="36" t="s">
        <v>853</v>
      </c>
      <c r="D236" s="19"/>
      <c r="E236" s="48" t="s">
        <v>195</v>
      </c>
      <c r="F236" s="30" t="s">
        <v>187</v>
      </c>
      <c r="G236" s="19" t="s">
        <v>188</v>
      </c>
      <c r="H236" s="38"/>
      <c r="I236" s="38"/>
      <c r="J236" s="35"/>
      <c r="K236" s="39"/>
      <c r="L236" s="38"/>
      <c r="M236" s="17" t="str">
        <f t="shared" ca="1" si="9"/>
        <v/>
      </c>
      <c r="N236" s="35"/>
      <c r="O236" s="40" t="s">
        <v>141</v>
      </c>
    </row>
    <row r="237" spans="1:15" ht="47.1" customHeight="1" x14ac:dyDescent="0.25">
      <c r="A237" s="41" t="s">
        <v>854</v>
      </c>
      <c r="B237" s="42" t="s">
        <v>855</v>
      </c>
      <c r="C237" s="43" t="s">
        <v>856</v>
      </c>
      <c r="D237" s="14"/>
      <c r="E237" s="49" t="s">
        <v>195</v>
      </c>
      <c r="F237" s="26" t="s">
        <v>227</v>
      </c>
      <c r="G237" s="14" t="s">
        <v>188</v>
      </c>
      <c r="H237" s="45"/>
      <c r="I237" s="45"/>
      <c r="J237" s="42"/>
      <c r="K237" s="46"/>
      <c r="L237" s="45"/>
      <c r="M237" s="12" t="str">
        <f t="shared" ca="1" si="9"/>
        <v/>
      </c>
      <c r="N237" s="42"/>
      <c r="O237" s="47" t="s">
        <v>141</v>
      </c>
    </row>
    <row r="238" spans="1:15" ht="47.1" customHeight="1" x14ac:dyDescent="0.25">
      <c r="A238" s="34" t="s">
        <v>857</v>
      </c>
      <c r="B238" s="35" t="s">
        <v>858</v>
      </c>
      <c r="C238" s="36" t="s">
        <v>859</v>
      </c>
      <c r="D238" s="19"/>
      <c r="E238" s="48" t="s">
        <v>195</v>
      </c>
      <c r="F238" s="30" t="s">
        <v>227</v>
      </c>
      <c r="G238" s="19" t="s">
        <v>188</v>
      </c>
      <c r="H238" s="38"/>
      <c r="I238" s="38"/>
      <c r="J238" s="35"/>
      <c r="K238" s="39"/>
      <c r="L238" s="38"/>
      <c r="M238" s="17" t="str">
        <f t="shared" ca="1" si="9"/>
        <v/>
      </c>
      <c r="N238" s="35"/>
      <c r="O238" s="40" t="s">
        <v>141</v>
      </c>
    </row>
    <row r="239" spans="1:15" ht="47.1" customHeight="1" x14ac:dyDescent="0.25">
      <c r="A239" s="41" t="s">
        <v>860</v>
      </c>
      <c r="B239" s="42" t="s">
        <v>861</v>
      </c>
      <c r="C239" s="43" t="s">
        <v>862</v>
      </c>
      <c r="D239" s="14"/>
      <c r="E239" s="49" t="s">
        <v>195</v>
      </c>
      <c r="F239" s="26" t="s">
        <v>187</v>
      </c>
      <c r="G239" s="14" t="s">
        <v>188</v>
      </c>
      <c r="H239" s="45"/>
      <c r="I239" s="45"/>
      <c r="J239" s="42"/>
      <c r="K239" s="46"/>
      <c r="L239" s="45"/>
      <c r="M239" s="12" t="str">
        <f t="shared" ca="1" si="9"/>
        <v/>
      </c>
      <c r="N239" s="42"/>
      <c r="O239" s="47" t="s">
        <v>141</v>
      </c>
    </row>
    <row r="241" spans="1:15" ht="20.100000000000001" customHeight="1" x14ac:dyDescent="0.25">
      <c r="A241" s="72" t="s">
        <v>100</v>
      </c>
      <c r="B241" s="73"/>
      <c r="C241" s="73"/>
      <c r="D241" s="73"/>
      <c r="E241" s="73"/>
      <c r="F241" s="73"/>
      <c r="G241" s="73"/>
      <c r="H241" s="73"/>
      <c r="I241" s="73"/>
      <c r="J241" s="73"/>
      <c r="K241" s="73"/>
      <c r="L241" s="73"/>
      <c r="M241" s="73"/>
      <c r="N241" s="73"/>
      <c r="O241" s="73"/>
    </row>
  </sheetData>
  <autoFilter ref="A8:N239" xr:uid="{00000000-0009-0000-0000-000003000000}"/>
  <mergeCells count="15">
    <mergeCell ref="A221:O221"/>
    <mergeCell ref="A199:O199"/>
    <mergeCell ref="A132:O132"/>
    <mergeCell ref="A241:O241"/>
    <mergeCell ref="A79:O79"/>
    <mergeCell ref="A158:O158"/>
    <mergeCell ref="A176:O176"/>
    <mergeCell ref="G2:O2"/>
    <mergeCell ref="A25:O25"/>
    <mergeCell ref="A113:O113"/>
    <mergeCell ref="A51:O51"/>
    <mergeCell ref="B2:F2"/>
    <mergeCell ref="A6:O6"/>
    <mergeCell ref="A9:O9"/>
    <mergeCell ref="A4:O4"/>
  </mergeCells>
  <conditionalFormatting sqref="A9:A239">
    <cfRule type="expression" dxfId="33" priority="7">
      <formula>AND($E9="Yes",$G9&lt;&gt;"Complete",$G9&lt;&gt;"N/A")</formula>
    </cfRule>
  </conditionalFormatting>
  <conditionalFormatting sqref="G9:G239">
    <cfRule type="cellIs" dxfId="32" priority="1" operator="equal">
      <formula>"Complete"</formula>
    </cfRule>
    <cfRule type="cellIs" dxfId="31" priority="2" operator="equal">
      <formula>"In Progress"</formula>
    </cfRule>
    <cfRule type="cellIs" dxfId="30" priority="3" operator="equal">
      <formula>"Blocked"</formula>
    </cfRule>
    <cfRule type="cellIs" dxfId="29" priority="4" operator="equal">
      <formula>"Not Started"</formula>
    </cfRule>
    <cfRule type="cellIs" dxfId="28" priority="5" operator="equal">
      <formula>"N/A"</formula>
    </cfRule>
  </conditionalFormatting>
  <conditionalFormatting sqref="M9:M239">
    <cfRule type="cellIs" dxfId="27" priority="6" operator="lessThan">
      <formula>0</formula>
    </cfRule>
  </conditionalFormatting>
  <hyperlinks>
    <hyperlink ref="A2" r:id="rId1" xr:uid="{00000000-0004-0000-0300-000000000000}"/>
    <hyperlink ref="A241" r:id="rId2" xr:uid="{00000000-0004-0000-0300-000001000000}"/>
  </hyperlinks>
  <pageMargins left="0.3" right="0.3" top="0.45" bottom="0.45" header="0.5" footer="0.5"/>
  <pageSetup paperSize="8"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3">
        <x14:dataValidation type="list" allowBlank="1" showErrorMessage="1" errorTitle="Invalid entry" error="Choose a value from the drop-down list." xr:uid="{00000000-0002-0000-0300-000000000000}">
          <x14:formula1>
            <xm:f>Lists!$B$2:$B$3</xm:f>
          </x14:formula1>
          <xm:sqref>E9:E239</xm:sqref>
        </x14:dataValidation>
        <x14:dataValidation type="list" allowBlank="1" showErrorMessage="1" errorTitle="Invalid entry" error="Choose a value from the drop-down list." xr:uid="{00000000-0002-0000-0300-000001000000}">
          <x14:formula1>
            <xm:f>Lists!$E$2:$E$11</xm:f>
          </x14:formula1>
          <xm:sqref>F9:F239</xm:sqref>
        </x14:dataValidation>
        <x14:dataValidation type="list" allowBlank="1" showErrorMessage="1" errorTitle="Invalid entry" error="Choose a value from the drop-down list." xr:uid="{00000000-0002-0000-0300-000002000000}">
          <x14:formula1>
            <xm:f>Lists!$A$2:$A$6</xm:f>
          </x14:formula1>
          <xm:sqref>G9:G239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83"/>
  <sheetViews>
    <sheetView showGridLines="0" workbookViewId="0">
      <pane xSplit="2" ySplit="8" topLeftCell="C20" activePane="bottomRight" state="frozen"/>
      <selection pane="topRight"/>
      <selection pane="bottomLeft"/>
      <selection pane="bottomRight"/>
    </sheetView>
  </sheetViews>
  <sheetFormatPr defaultRowHeight="15" x14ac:dyDescent="0.25"/>
  <cols>
    <col min="1" max="1" width="11" customWidth="1"/>
    <col min="2" max="2" width="26" customWidth="1"/>
    <col min="3" max="3" width="22" customWidth="1"/>
    <col min="4" max="4" width="24" customWidth="1"/>
    <col min="5" max="5" width="52" customWidth="1"/>
    <col min="6" max="6" width="24" customWidth="1"/>
    <col min="7" max="7" width="18" customWidth="1"/>
    <col min="8" max="8" width="12" customWidth="1"/>
    <col min="9" max="9" width="13" customWidth="1"/>
    <col min="10" max="10" width="10" customWidth="1"/>
    <col min="11" max="11" width="12.42578125" customWidth="1"/>
    <col min="12" max="12" width="16" customWidth="1"/>
    <col min="13" max="13" width="13" customWidth="1"/>
    <col min="14" max="14" width="24" customWidth="1"/>
    <col min="15" max="15" width="12" customWidth="1"/>
    <col min="16" max="16" width="15" customWidth="1"/>
    <col min="17" max="17" width="12" customWidth="1"/>
  </cols>
  <sheetData>
    <row r="1" spans="1:17" ht="9.9499999999999993" customHeight="1" x14ac:dyDescent="0.25">
      <c r="A1" s="1"/>
      <c r="B1" s="1"/>
      <c r="C1" s="1"/>
      <c r="D1" s="1"/>
      <c r="E1" s="1"/>
      <c r="F1" s="1"/>
      <c r="G1" s="1"/>
      <c r="H1" s="1"/>
      <c r="I1" s="1"/>
      <c r="J1" s="1"/>
      <c r="K1" s="1"/>
      <c r="L1" s="1"/>
      <c r="M1" s="1"/>
      <c r="N1" s="1"/>
      <c r="O1" s="1"/>
      <c r="P1" s="1"/>
      <c r="Q1" s="1"/>
    </row>
    <row r="2" spans="1:17" ht="26.1" customHeight="1" x14ac:dyDescent="0.25">
      <c r="A2" s="2" t="s">
        <v>0</v>
      </c>
      <c r="B2" s="115" t="s">
        <v>24</v>
      </c>
      <c r="C2" s="71"/>
      <c r="D2" s="71"/>
      <c r="E2" s="71"/>
      <c r="F2" s="71"/>
      <c r="G2" s="85" t="s">
        <v>863</v>
      </c>
      <c r="H2" s="71"/>
      <c r="I2" s="71"/>
      <c r="J2" s="71"/>
      <c r="K2" s="71"/>
      <c r="L2" s="71"/>
      <c r="M2" s="71"/>
      <c r="N2" s="71"/>
      <c r="O2" s="71"/>
      <c r="P2" s="71"/>
      <c r="Q2" s="71"/>
    </row>
    <row r="3" spans="1:17" ht="14.1" customHeight="1" x14ac:dyDescent="0.25">
      <c r="A3" s="1"/>
      <c r="B3" s="1"/>
      <c r="C3" s="1"/>
      <c r="D3" s="1"/>
      <c r="E3" s="1"/>
      <c r="F3" s="1"/>
      <c r="G3" s="1"/>
      <c r="H3" s="1"/>
      <c r="I3" s="1"/>
      <c r="J3" s="1"/>
      <c r="K3" s="1"/>
      <c r="L3" s="1"/>
      <c r="M3" s="1"/>
      <c r="N3" s="1"/>
      <c r="O3" s="1"/>
      <c r="P3" s="1"/>
      <c r="Q3" s="1"/>
    </row>
    <row r="4" spans="1:17" ht="3" customHeight="1" x14ac:dyDescent="0.25">
      <c r="A4" s="88"/>
      <c r="B4" s="88"/>
      <c r="C4" s="88"/>
      <c r="D4" s="88"/>
      <c r="E4" s="88"/>
      <c r="F4" s="88"/>
      <c r="G4" s="88"/>
      <c r="H4" s="88"/>
      <c r="I4" s="88"/>
      <c r="J4" s="88"/>
      <c r="K4" s="88"/>
      <c r="L4" s="88"/>
      <c r="M4" s="88"/>
      <c r="N4" s="88"/>
      <c r="O4" s="88"/>
      <c r="P4" s="88"/>
      <c r="Q4" s="88"/>
    </row>
    <row r="6" spans="1:17" ht="30" customHeight="1" x14ac:dyDescent="0.25">
      <c r="A6" s="100" t="s">
        <v>864</v>
      </c>
      <c r="B6" s="71"/>
      <c r="C6" s="71"/>
      <c r="D6" s="71"/>
      <c r="E6" s="71"/>
      <c r="F6" s="71"/>
      <c r="G6" s="71"/>
      <c r="H6" s="71"/>
      <c r="I6" s="71"/>
      <c r="J6" s="71"/>
      <c r="K6" s="71"/>
      <c r="L6" s="71"/>
      <c r="M6" s="71"/>
      <c r="N6" s="71"/>
      <c r="O6" s="71"/>
      <c r="P6" s="71"/>
      <c r="Q6" s="71"/>
    </row>
    <row r="7" spans="1:17" ht="6" customHeight="1" x14ac:dyDescent="0.25"/>
    <row r="8" spans="1:17" ht="39.950000000000003" customHeight="1" x14ac:dyDescent="0.25">
      <c r="A8" s="10" t="s">
        <v>865</v>
      </c>
      <c r="B8" s="10" t="s">
        <v>866</v>
      </c>
      <c r="C8" s="10" t="s">
        <v>867</v>
      </c>
      <c r="D8" s="10" t="s">
        <v>868</v>
      </c>
      <c r="E8" s="10" t="s">
        <v>869</v>
      </c>
      <c r="F8" s="10" t="s">
        <v>145</v>
      </c>
      <c r="G8" s="10" t="s">
        <v>870</v>
      </c>
      <c r="H8" s="10" t="s">
        <v>871</v>
      </c>
      <c r="I8" s="10" t="s">
        <v>872</v>
      </c>
      <c r="J8" s="10" t="s">
        <v>873</v>
      </c>
      <c r="K8" s="10" t="s">
        <v>874</v>
      </c>
      <c r="L8" s="10" t="s">
        <v>179</v>
      </c>
      <c r="M8" s="10" t="s">
        <v>180</v>
      </c>
      <c r="N8" s="10" t="s">
        <v>78</v>
      </c>
      <c r="O8" s="10" t="s">
        <v>875</v>
      </c>
      <c r="P8" s="10" t="s">
        <v>876</v>
      </c>
      <c r="Q8" s="10" t="s">
        <v>877</v>
      </c>
    </row>
    <row r="9" spans="1:17" ht="33.950000000000003" customHeight="1" x14ac:dyDescent="0.25">
      <c r="A9" s="41" t="s">
        <v>878</v>
      </c>
      <c r="B9" s="26" t="s">
        <v>879</v>
      </c>
      <c r="C9" s="26" t="s">
        <v>155</v>
      </c>
      <c r="D9" s="26" t="s">
        <v>880</v>
      </c>
      <c r="E9" s="26" t="s">
        <v>881</v>
      </c>
      <c r="F9" s="50" t="s">
        <v>152</v>
      </c>
      <c r="G9" s="51" t="s">
        <v>882</v>
      </c>
      <c r="H9" s="45">
        <f ca="1">TODAY()-34</f>
        <v>46211</v>
      </c>
      <c r="I9" s="45">
        <f ca="1">TODAY()-6</f>
        <v>46239</v>
      </c>
      <c r="J9" s="12">
        <f t="shared" ref="J9:J40" ca="1" si="0">IF($H9="","",IF($K9="",TODAY()-$H9,$K9-$H9))</f>
        <v>34</v>
      </c>
      <c r="K9" s="45"/>
      <c r="L9" s="51"/>
      <c r="M9" s="45"/>
      <c r="N9" s="50" t="s">
        <v>124</v>
      </c>
      <c r="O9" s="52" t="s">
        <v>883</v>
      </c>
      <c r="P9" s="25">
        <v>8600</v>
      </c>
      <c r="Q9" s="14" t="s">
        <v>195</v>
      </c>
    </row>
    <row r="10" spans="1:17" ht="33.950000000000003" customHeight="1" x14ac:dyDescent="0.25">
      <c r="A10" s="34" t="s">
        <v>884</v>
      </c>
      <c r="B10" s="30" t="s">
        <v>885</v>
      </c>
      <c r="C10" s="30" t="s">
        <v>160</v>
      </c>
      <c r="D10" s="30" t="s">
        <v>886</v>
      </c>
      <c r="E10" s="30" t="s">
        <v>887</v>
      </c>
      <c r="F10" s="53" t="s">
        <v>152</v>
      </c>
      <c r="G10" s="54" t="s">
        <v>888</v>
      </c>
      <c r="H10" s="38">
        <f ca="1">TODAY()-21</f>
        <v>46224</v>
      </c>
      <c r="I10" s="38">
        <f ca="1">TODAY()-3</f>
        <v>46242</v>
      </c>
      <c r="J10" s="17">
        <f t="shared" ca="1" si="0"/>
        <v>21</v>
      </c>
      <c r="K10" s="38"/>
      <c r="L10" s="54"/>
      <c r="M10" s="38"/>
      <c r="N10" s="53" t="s">
        <v>147</v>
      </c>
      <c r="O10" s="55" t="s">
        <v>889</v>
      </c>
      <c r="P10" s="29">
        <v>12400</v>
      </c>
      <c r="Q10" s="19" t="s">
        <v>195</v>
      </c>
    </row>
    <row r="11" spans="1:17" ht="33.950000000000003" customHeight="1" x14ac:dyDescent="0.25">
      <c r="A11" s="41" t="s">
        <v>890</v>
      </c>
      <c r="B11" s="26" t="s">
        <v>891</v>
      </c>
      <c r="C11" s="26" t="s">
        <v>163</v>
      </c>
      <c r="D11" s="26" t="s">
        <v>892</v>
      </c>
      <c r="E11" s="26" t="s">
        <v>893</v>
      </c>
      <c r="F11" s="50" t="s">
        <v>152</v>
      </c>
      <c r="G11" s="51" t="s">
        <v>894</v>
      </c>
      <c r="H11" s="45">
        <f ca="1">TODAY()-14</f>
        <v>46231</v>
      </c>
      <c r="I11" s="45">
        <f ca="1">TODAY()-2</f>
        <v>46243</v>
      </c>
      <c r="J11" s="12">
        <f t="shared" ca="1" si="0"/>
        <v>14</v>
      </c>
      <c r="K11" s="45"/>
      <c r="L11" s="51"/>
      <c r="M11" s="45"/>
      <c r="N11" s="50" t="s">
        <v>124</v>
      </c>
      <c r="O11" s="52" t="s">
        <v>895</v>
      </c>
      <c r="P11" s="25">
        <v>3200</v>
      </c>
      <c r="Q11" s="14" t="s">
        <v>195</v>
      </c>
    </row>
    <row r="12" spans="1:17" ht="33.950000000000003" customHeight="1" x14ac:dyDescent="0.25">
      <c r="A12" s="34" t="s">
        <v>896</v>
      </c>
      <c r="B12" s="30" t="s">
        <v>897</v>
      </c>
      <c r="C12" s="30" t="s">
        <v>166</v>
      </c>
      <c r="D12" s="30" t="s">
        <v>898</v>
      </c>
      <c r="E12" s="30" t="s">
        <v>899</v>
      </c>
      <c r="F12" s="53" t="s">
        <v>154</v>
      </c>
      <c r="G12" s="54" t="s">
        <v>187</v>
      </c>
      <c r="H12" s="38">
        <f ca="1">TODAY()-28</f>
        <v>46217</v>
      </c>
      <c r="I12" s="38">
        <f ca="1">TODAY()+12</f>
        <v>46257</v>
      </c>
      <c r="J12" s="17">
        <f t="shared" ca="1" si="0"/>
        <v>28</v>
      </c>
      <c r="K12" s="38"/>
      <c r="L12" s="54"/>
      <c r="M12" s="38"/>
      <c r="N12" s="53" t="s">
        <v>147</v>
      </c>
      <c r="O12" s="55" t="s">
        <v>900</v>
      </c>
      <c r="P12" s="29">
        <v>2750</v>
      </c>
      <c r="Q12" s="19" t="s">
        <v>195</v>
      </c>
    </row>
    <row r="13" spans="1:17" ht="33.950000000000003" customHeight="1" x14ac:dyDescent="0.25">
      <c r="A13" s="41" t="s">
        <v>901</v>
      </c>
      <c r="B13" s="26" t="s">
        <v>902</v>
      </c>
      <c r="C13" s="26" t="s">
        <v>162</v>
      </c>
      <c r="D13" s="26" t="s">
        <v>903</v>
      </c>
      <c r="E13" s="26" t="s">
        <v>904</v>
      </c>
      <c r="F13" s="50" t="s">
        <v>152</v>
      </c>
      <c r="G13" s="51" t="s">
        <v>882</v>
      </c>
      <c r="H13" s="45">
        <f ca="1">TODAY()-9</f>
        <v>46236</v>
      </c>
      <c r="I13" s="45">
        <f ca="1">TODAY()-1</f>
        <v>46244</v>
      </c>
      <c r="J13" s="12">
        <f t="shared" ca="1" si="0"/>
        <v>9</v>
      </c>
      <c r="K13" s="45"/>
      <c r="L13" s="51"/>
      <c r="M13" s="45"/>
      <c r="N13" s="50" t="s">
        <v>147</v>
      </c>
      <c r="O13" s="52" t="s">
        <v>905</v>
      </c>
      <c r="P13" s="25">
        <v>480</v>
      </c>
      <c r="Q13" s="14" t="s">
        <v>195</v>
      </c>
    </row>
    <row r="14" spans="1:17" ht="33.950000000000003" customHeight="1" x14ac:dyDescent="0.25">
      <c r="A14" s="34" t="s">
        <v>906</v>
      </c>
      <c r="B14" s="30" t="s">
        <v>907</v>
      </c>
      <c r="C14" s="30" t="s">
        <v>157</v>
      </c>
      <c r="D14" s="30" t="s">
        <v>908</v>
      </c>
      <c r="E14" s="30" t="s">
        <v>909</v>
      </c>
      <c r="F14" s="53" t="s">
        <v>152</v>
      </c>
      <c r="G14" s="54" t="s">
        <v>187</v>
      </c>
      <c r="H14" s="38">
        <f ca="1">TODAY()-18</f>
        <v>46227</v>
      </c>
      <c r="I14" s="38">
        <f ca="1">TODAY()-4</f>
        <v>46241</v>
      </c>
      <c r="J14" s="17">
        <f t="shared" ca="1" si="0"/>
        <v>16</v>
      </c>
      <c r="K14" s="38">
        <f ca="1">TODAY()-2</f>
        <v>46243</v>
      </c>
      <c r="L14" s="54"/>
      <c r="M14" s="38"/>
      <c r="N14" s="53" t="s">
        <v>910</v>
      </c>
      <c r="O14" s="55" t="s">
        <v>911</v>
      </c>
      <c r="P14" s="29">
        <v>1150</v>
      </c>
      <c r="Q14" s="19" t="s">
        <v>195</v>
      </c>
    </row>
    <row r="15" spans="1:17" ht="33.950000000000003" customHeight="1" x14ac:dyDescent="0.25">
      <c r="A15" s="41" t="s">
        <v>912</v>
      </c>
      <c r="B15" s="26" t="s">
        <v>913</v>
      </c>
      <c r="C15" s="26" t="s">
        <v>153</v>
      </c>
      <c r="D15" s="26" t="s">
        <v>914</v>
      </c>
      <c r="E15" s="26" t="s">
        <v>915</v>
      </c>
      <c r="F15" s="50" t="s">
        <v>156</v>
      </c>
      <c r="G15" s="51" t="s">
        <v>227</v>
      </c>
      <c r="H15" s="45">
        <f ca="1">TODAY()-25</f>
        <v>46220</v>
      </c>
      <c r="I15" s="45">
        <f ca="1">TODAY()+20</f>
        <v>46265</v>
      </c>
      <c r="J15" s="12">
        <f t="shared" ca="1" si="0"/>
        <v>25</v>
      </c>
      <c r="K15" s="45"/>
      <c r="L15" s="51"/>
      <c r="M15" s="45"/>
      <c r="N15" s="50" t="s">
        <v>147</v>
      </c>
      <c r="O15" s="52" t="s">
        <v>916</v>
      </c>
      <c r="P15" s="25">
        <v>900</v>
      </c>
      <c r="Q15" s="14" t="s">
        <v>195</v>
      </c>
    </row>
    <row r="16" spans="1:17" ht="33.950000000000003" customHeight="1" x14ac:dyDescent="0.25">
      <c r="A16" s="34" t="s">
        <v>917</v>
      </c>
      <c r="B16" s="30" t="s">
        <v>918</v>
      </c>
      <c r="C16" s="30" t="s">
        <v>165</v>
      </c>
      <c r="D16" s="30" t="s">
        <v>919</v>
      </c>
      <c r="E16" s="30" t="s">
        <v>920</v>
      </c>
      <c r="F16" s="53" t="s">
        <v>154</v>
      </c>
      <c r="G16" s="54" t="s">
        <v>894</v>
      </c>
      <c r="H16" s="38">
        <f ca="1">TODAY()-16</f>
        <v>46229</v>
      </c>
      <c r="I16" s="38">
        <f ca="1">TODAY()+8</f>
        <v>46253</v>
      </c>
      <c r="J16" s="17">
        <f t="shared" ca="1" si="0"/>
        <v>16</v>
      </c>
      <c r="K16" s="38"/>
      <c r="L16" s="54"/>
      <c r="M16" s="38"/>
      <c r="N16" s="53" t="s">
        <v>124</v>
      </c>
      <c r="O16" s="55" t="s">
        <v>921</v>
      </c>
      <c r="P16" s="29">
        <v>640</v>
      </c>
      <c r="Q16" s="19" t="s">
        <v>195</v>
      </c>
    </row>
    <row r="17" spans="1:17" ht="33.950000000000003" customHeight="1" x14ac:dyDescent="0.25">
      <c r="A17" s="41" t="s">
        <v>922</v>
      </c>
      <c r="B17" s="26" t="s">
        <v>923</v>
      </c>
      <c r="C17" s="26" t="s">
        <v>164</v>
      </c>
      <c r="D17" s="26" t="s">
        <v>924</v>
      </c>
      <c r="E17" s="26" t="s">
        <v>925</v>
      </c>
      <c r="F17" s="50" t="s">
        <v>154</v>
      </c>
      <c r="G17" s="51" t="s">
        <v>888</v>
      </c>
      <c r="H17" s="45">
        <f ca="1">TODAY()-12</f>
        <v>46233</v>
      </c>
      <c r="I17" s="45">
        <f ca="1">TODAY()+10</f>
        <v>46255</v>
      </c>
      <c r="J17" s="12">
        <f t="shared" ca="1" si="0"/>
        <v>12</v>
      </c>
      <c r="K17" s="45"/>
      <c r="L17" s="51"/>
      <c r="M17" s="45"/>
      <c r="N17" s="50" t="s">
        <v>147</v>
      </c>
      <c r="O17" s="52" t="s">
        <v>926</v>
      </c>
      <c r="P17" s="25">
        <v>0</v>
      </c>
      <c r="Q17" s="14" t="s">
        <v>195</v>
      </c>
    </row>
    <row r="18" spans="1:17" ht="33.950000000000003" customHeight="1" x14ac:dyDescent="0.25">
      <c r="A18" s="34" t="s">
        <v>927</v>
      </c>
      <c r="B18" s="30" t="s">
        <v>928</v>
      </c>
      <c r="C18" s="30" t="s">
        <v>167</v>
      </c>
      <c r="D18" s="30" t="s">
        <v>929</v>
      </c>
      <c r="E18" s="30" t="s">
        <v>930</v>
      </c>
      <c r="F18" s="53" t="s">
        <v>156</v>
      </c>
      <c r="G18" s="54" t="s">
        <v>227</v>
      </c>
      <c r="H18" s="38">
        <f ca="1">TODAY()-20</f>
        <v>46225</v>
      </c>
      <c r="I18" s="38">
        <f ca="1">TODAY()+18</f>
        <v>46263</v>
      </c>
      <c r="J18" s="17">
        <f t="shared" ca="1" si="0"/>
        <v>20</v>
      </c>
      <c r="K18" s="38"/>
      <c r="L18" s="54"/>
      <c r="M18" s="38"/>
      <c r="N18" s="53" t="s">
        <v>147</v>
      </c>
      <c r="O18" s="55" t="s">
        <v>931</v>
      </c>
      <c r="P18" s="29">
        <v>380</v>
      </c>
      <c r="Q18" s="19" t="s">
        <v>195</v>
      </c>
    </row>
    <row r="19" spans="1:17" ht="33.950000000000003" customHeight="1" x14ac:dyDescent="0.25">
      <c r="A19" s="41" t="s">
        <v>932</v>
      </c>
      <c r="B19" s="26" t="s">
        <v>933</v>
      </c>
      <c r="C19" s="26" t="s">
        <v>161</v>
      </c>
      <c r="D19" s="26" t="s">
        <v>934</v>
      </c>
      <c r="E19" s="26" t="s">
        <v>935</v>
      </c>
      <c r="F19" s="50" t="s">
        <v>152</v>
      </c>
      <c r="G19" s="51" t="s">
        <v>936</v>
      </c>
      <c r="H19" s="45">
        <f ca="1">TODAY()-11</f>
        <v>46234</v>
      </c>
      <c r="I19" s="45">
        <f ca="1">TODAY()-2</f>
        <v>46243</v>
      </c>
      <c r="J19" s="12">
        <f t="shared" ca="1" si="0"/>
        <v>11</v>
      </c>
      <c r="K19" s="45"/>
      <c r="L19" s="51"/>
      <c r="M19" s="45"/>
      <c r="N19" s="50" t="s">
        <v>124</v>
      </c>
      <c r="O19" s="52" t="s">
        <v>937</v>
      </c>
      <c r="P19" s="25">
        <v>1500</v>
      </c>
      <c r="Q19" s="14" t="s">
        <v>195</v>
      </c>
    </row>
    <row r="20" spans="1:17" ht="33.950000000000003" customHeight="1" x14ac:dyDescent="0.25">
      <c r="A20" s="34" t="s">
        <v>938</v>
      </c>
      <c r="B20" s="30" t="s">
        <v>939</v>
      </c>
      <c r="C20" s="30" t="s">
        <v>159</v>
      </c>
      <c r="D20" s="30" t="s">
        <v>940</v>
      </c>
      <c r="E20" s="30" t="s">
        <v>941</v>
      </c>
      <c r="F20" s="53" t="s">
        <v>154</v>
      </c>
      <c r="G20" s="54" t="s">
        <v>882</v>
      </c>
      <c r="H20" s="38">
        <f ca="1">TODAY()-40</f>
        <v>46205</v>
      </c>
      <c r="I20" s="38">
        <f ca="1">TODAY()-20</f>
        <v>46225</v>
      </c>
      <c r="J20" s="17">
        <f t="shared" ca="1" si="0"/>
        <v>18</v>
      </c>
      <c r="K20" s="38">
        <f ca="1">TODAY()-22</f>
        <v>46223</v>
      </c>
      <c r="L20" s="54" t="s">
        <v>942</v>
      </c>
      <c r="M20" s="38">
        <f ca="1">TODAY()-20</f>
        <v>46225</v>
      </c>
      <c r="N20" s="53" t="s">
        <v>943</v>
      </c>
      <c r="O20" s="55" t="s">
        <v>944</v>
      </c>
      <c r="P20" s="29">
        <v>4300</v>
      </c>
      <c r="Q20" s="19" t="s">
        <v>195</v>
      </c>
    </row>
    <row r="21" spans="1:17" ht="26.1" customHeight="1" x14ac:dyDescent="0.25">
      <c r="A21" s="46"/>
      <c r="B21" s="42"/>
      <c r="C21" s="42"/>
      <c r="D21" s="42"/>
      <c r="E21" s="42"/>
      <c r="F21" s="56"/>
      <c r="G21" s="46"/>
      <c r="H21" s="45"/>
      <c r="I21" s="45"/>
      <c r="J21" s="12" t="str">
        <f t="shared" ca="1" si="0"/>
        <v/>
      </c>
      <c r="K21" s="45"/>
      <c r="L21" s="46"/>
      <c r="M21" s="45"/>
      <c r="N21" s="56"/>
      <c r="O21" s="14"/>
      <c r="P21" s="25"/>
      <c r="Q21" s="14"/>
    </row>
    <row r="22" spans="1:17" ht="26.1" customHeight="1" x14ac:dyDescent="0.25">
      <c r="A22" s="39"/>
      <c r="B22" s="35"/>
      <c r="C22" s="35"/>
      <c r="D22" s="35"/>
      <c r="E22" s="35"/>
      <c r="F22" s="57"/>
      <c r="G22" s="39"/>
      <c r="H22" s="38"/>
      <c r="I22" s="38"/>
      <c r="J22" s="17" t="str">
        <f t="shared" ca="1" si="0"/>
        <v/>
      </c>
      <c r="K22" s="38"/>
      <c r="L22" s="39"/>
      <c r="M22" s="38"/>
      <c r="N22" s="57"/>
      <c r="O22" s="19"/>
      <c r="P22" s="29"/>
      <c r="Q22" s="19"/>
    </row>
    <row r="23" spans="1:17" ht="26.1" customHeight="1" x14ac:dyDescent="0.25">
      <c r="A23" s="46"/>
      <c r="B23" s="42"/>
      <c r="C23" s="42"/>
      <c r="D23" s="42"/>
      <c r="E23" s="42"/>
      <c r="F23" s="56"/>
      <c r="G23" s="46"/>
      <c r="H23" s="45"/>
      <c r="I23" s="45"/>
      <c r="J23" s="12" t="str">
        <f t="shared" ca="1" si="0"/>
        <v/>
      </c>
      <c r="K23" s="45"/>
      <c r="L23" s="46"/>
      <c r="M23" s="45"/>
      <c r="N23" s="56"/>
      <c r="O23" s="14"/>
      <c r="P23" s="25"/>
      <c r="Q23" s="14"/>
    </row>
    <row r="24" spans="1:17" ht="26.1" customHeight="1" x14ac:dyDescent="0.25">
      <c r="A24" s="39"/>
      <c r="B24" s="35"/>
      <c r="C24" s="35"/>
      <c r="D24" s="35"/>
      <c r="E24" s="35"/>
      <c r="F24" s="57"/>
      <c r="G24" s="39"/>
      <c r="H24" s="38"/>
      <c r="I24" s="38"/>
      <c r="J24" s="17" t="str">
        <f t="shared" ca="1" si="0"/>
        <v/>
      </c>
      <c r="K24" s="38"/>
      <c r="L24" s="39"/>
      <c r="M24" s="38"/>
      <c r="N24" s="57"/>
      <c r="O24" s="19"/>
      <c r="P24" s="29"/>
      <c r="Q24" s="19"/>
    </row>
    <row r="25" spans="1:17" ht="26.1" customHeight="1" x14ac:dyDescent="0.25">
      <c r="A25" s="46"/>
      <c r="B25" s="42"/>
      <c r="C25" s="42"/>
      <c r="D25" s="42"/>
      <c r="E25" s="42"/>
      <c r="F25" s="56"/>
      <c r="G25" s="46"/>
      <c r="H25" s="45"/>
      <c r="I25" s="45"/>
      <c r="J25" s="12" t="str">
        <f t="shared" ca="1" si="0"/>
        <v/>
      </c>
      <c r="K25" s="45"/>
      <c r="L25" s="46"/>
      <c r="M25" s="45"/>
      <c r="N25" s="56"/>
      <c r="O25" s="14"/>
      <c r="P25" s="25"/>
      <c r="Q25" s="14"/>
    </row>
    <row r="26" spans="1:17" ht="26.1" customHeight="1" x14ac:dyDescent="0.25">
      <c r="A26" s="39"/>
      <c r="B26" s="35"/>
      <c r="C26" s="35"/>
      <c r="D26" s="35"/>
      <c r="E26" s="35"/>
      <c r="F26" s="57"/>
      <c r="G26" s="39"/>
      <c r="H26" s="38"/>
      <c r="I26" s="38"/>
      <c r="J26" s="17" t="str">
        <f t="shared" ca="1" si="0"/>
        <v/>
      </c>
      <c r="K26" s="38"/>
      <c r="L26" s="39"/>
      <c r="M26" s="38"/>
      <c r="N26" s="57"/>
      <c r="O26" s="19"/>
      <c r="P26" s="29"/>
      <c r="Q26" s="19"/>
    </row>
    <row r="27" spans="1:17" ht="26.1" customHeight="1" x14ac:dyDescent="0.25">
      <c r="A27" s="46"/>
      <c r="B27" s="42"/>
      <c r="C27" s="42"/>
      <c r="D27" s="42"/>
      <c r="E27" s="42"/>
      <c r="F27" s="56"/>
      <c r="G27" s="46"/>
      <c r="H27" s="45"/>
      <c r="I27" s="45"/>
      <c r="J27" s="12" t="str">
        <f t="shared" ca="1" si="0"/>
        <v/>
      </c>
      <c r="K27" s="45"/>
      <c r="L27" s="46"/>
      <c r="M27" s="45"/>
      <c r="N27" s="56"/>
      <c r="O27" s="14"/>
      <c r="P27" s="25"/>
      <c r="Q27" s="14"/>
    </row>
    <row r="28" spans="1:17" ht="26.1" customHeight="1" x14ac:dyDescent="0.25">
      <c r="A28" s="39"/>
      <c r="B28" s="35"/>
      <c r="C28" s="35"/>
      <c r="D28" s="35"/>
      <c r="E28" s="35"/>
      <c r="F28" s="57"/>
      <c r="G28" s="39"/>
      <c r="H28" s="38"/>
      <c r="I28" s="38"/>
      <c r="J28" s="17" t="str">
        <f t="shared" ca="1" si="0"/>
        <v/>
      </c>
      <c r="K28" s="38"/>
      <c r="L28" s="39"/>
      <c r="M28" s="38"/>
      <c r="N28" s="57"/>
      <c r="O28" s="19"/>
      <c r="P28" s="29"/>
      <c r="Q28" s="19"/>
    </row>
    <row r="29" spans="1:17" ht="26.1" customHeight="1" x14ac:dyDescent="0.25">
      <c r="A29" s="46"/>
      <c r="B29" s="42"/>
      <c r="C29" s="42"/>
      <c r="D29" s="42"/>
      <c r="E29" s="42"/>
      <c r="F29" s="56"/>
      <c r="G29" s="46"/>
      <c r="H29" s="45"/>
      <c r="I29" s="45"/>
      <c r="J29" s="12" t="str">
        <f t="shared" ca="1" si="0"/>
        <v/>
      </c>
      <c r="K29" s="45"/>
      <c r="L29" s="46"/>
      <c r="M29" s="45"/>
      <c r="N29" s="56"/>
      <c r="O29" s="14"/>
      <c r="P29" s="25"/>
      <c r="Q29" s="14"/>
    </row>
    <row r="30" spans="1:17" ht="26.1" customHeight="1" x14ac:dyDescent="0.25">
      <c r="A30" s="39"/>
      <c r="B30" s="35"/>
      <c r="C30" s="35"/>
      <c r="D30" s="35"/>
      <c r="E30" s="35"/>
      <c r="F30" s="57"/>
      <c r="G30" s="39"/>
      <c r="H30" s="38"/>
      <c r="I30" s="38"/>
      <c r="J30" s="17" t="str">
        <f t="shared" ca="1" si="0"/>
        <v/>
      </c>
      <c r="K30" s="38"/>
      <c r="L30" s="39"/>
      <c r="M30" s="38"/>
      <c r="N30" s="57"/>
      <c r="O30" s="19"/>
      <c r="P30" s="29"/>
      <c r="Q30" s="19"/>
    </row>
    <row r="31" spans="1:17" ht="26.1" customHeight="1" x14ac:dyDescent="0.25">
      <c r="A31" s="46"/>
      <c r="B31" s="42"/>
      <c r="C31" s="42"/>
      <c r="D31" s="42"/>
      <c r="E31" s="42"/>
      <c r="F31" s="56"/>
      <c r="G31" s="46"/>
      <c r="H31" s="45"/>
      <c r="I31" s="45"/>
      <c r="J31" s="12" t="str">
        <f t="shared" ca="1" si="0"/>
        <v/>
      </c>
      <c r="K31" s="45"/>
      <c r="L31" s="46"/>
      <c r="M31" s="45"/>
      <c r="N31" s="56"/>
      <c r="O31" s="14"/>
      <c r="P31" s="25"/>
      <c r="Q31" s="14"/>
    </row>
    <row r="32" spans="1:17" ht="26.1" customHeight="1" x14ac:dyDescent="0.25">
      <c r="A32" s="39"/>
      <c r="B32" s="35"/>
      <c r="C32" s="35"/>
      <c r="D32" s="35"/>
      <c r="E32" s="35"/>
      <c r="F32" s="57"/>
      <c r="G32" s="39"/>
      <c r="H32" s="38"/>
      <c r="I32" s="38"/>
      <c r="J32" s="17" t="str">
        <f t="shared" ca="1" si="0"/>
        <v/>
      </c>
      <c r="K32" s="38"/>
      <c r="L32" s="39"/>
      <c r="M32" s="38"/>
      <c r="N32" s="57"/>
      <c r="O32" s="19"/>
      <c r="P32" s="29"/>
      <c r="Q32" s="19"/>
    </row>
    <row r="33" spans="1:17" ht="26.1" customHeight="1" x14ac:dyDescent="0.25">
      <c r="A33" s="46"/>
      <c r="B33" s="42"/>
      <c r="C33" s="42"/>
      <c r="D33" s="42"/>
      <c r="E33" s="42"/>
      <c r="F33" s="56"/>
      <c r="G33" s="46"/>
      <c r="H33" s="45"/>
      <c r="I33" s="45"/>
      <c r="J33" s="12" t="str">
        <f t="shared" ca="1" si="0"/>
        <v/>
      </c>
      <c r="K33" s="45"/>
      <c r="L33" s="46"/>
      <c r="M33" s="45"/>
      <c r="N33" s="56"/>
      <c r="O33" s="14"/>
      <c r="P33" s="25"/>
      <c r="Q33" s="14"/>
    </row>
    <row r="34" spans="1:17" ht="26.1" customHeight="1" x14ac:dyDescent="0.25">
      <c r="A34" s="39"/>
      <c r="B34" s="35"/>
      <c r="C34" s="35"/>
      <c r="D34" s="35"/>
      <c r="E34" s="35"/>
      <c r="F34" s="57"/>
      <c r="G34" s="39"/>
      <c r="H34" s="38"/>
      <c r="I34" s="38"/>
      <c r="J34" s="17" t="str">
        <f t="shared" ca="1" si="0"/>
        <v/>
      </c>
      <c r="K34" s="38"/>
      <c r="L34" s="39"/>
      <c r="M34" s="38"/>
      <c r="N34" s="57"/>
      <c r="O34" s="19"/>
      <c r="P34" s="29"/>
      <c r="Q34" s="19"/>
    </row>
    <row r="35" spans="1:17" ht="26.1" customHeight="1" x14ac:dyDescent="0.25">
      <c r="A35" s="46"/>
      <c r="B35" s="42"/>
      <c r="C35" s="42"/>
      <c r="D35" s="42"/>
      <c r="E35" s="42"/>
      <c r="F35" s="56"/>
      <c r="G35" s="46"/>
      <c r="H35" s="45"/>
      <c r="I35" s="45"/>
      <c r="J35" s="12" t="str">
        <f t="shared" ca="1" si="0"/>
        <v/>
      </c>
      <c r="K35" s="45"/>
      <c r="L35" s="46"/>
      <c r="M35" s="45"/>
      <c r="N35" s="56"/>
      <c r="O35" s="14"/>
      <c r="P35" s="25"/>
      <c r="Q35" s="14"/>
    </row>
    <row r="36" spans="1:17" ht="26.1" customHeight="1" x14ac:dyDescent="0.25">
      <c r="A36" s="39"/>
      <c r="B36" s="35"/>
      <c r="C36" s="35"/>
      <c r="D36" s="35"/>
      <c r="E36" s="35"/>
      <c r="F36" s="57"/>
      <c r="G36" s="39"/>
      <c r="H36" s="38"/>
      <c r="I36" s="38"/>
      <c r="J36" s="17" t="str">
        <f t="shared" ca="1" si="0"/>
        <v/>
      </c>
      <c r="K36" s="38"/>
      <c r="L36" s="39"/>
      <c r="M36" s="38"/>
      <c r="N36" s="57"/>
      <c r="O36" s="19"/>
      <c r="P36" s="29"/>
      <c r="Q36" s="19"/>
    </row>
    <row r="37" spans="1:17" ht="26.1" customHeight="1" x14ac:dyDescent="0.25">
      <c r="A37" s="46"/>
      <c r="B37" s="42"/>
      <c r="C37" s="42"/>
      <c r="D37" s="42"/>
      <c r="E37" s="42"/>
      <c r="F37" s="56"/>
      <c r="G37" s="46"/>
      <c r="H37" s="45"/>
      <c r="I37" s="45"/>
      <c r="J37" s="12" t="str">
        <f t="shared" ca="1" si="0"/>
        <v/>
      </c>
      <c r="K37" s="45"/>
      <c r="L37" s="46"/>
      <c r="M37" s="45"/>
      <c r="N37" s="56"/>
      <c r="O37" s="14"/>
      <c r="P37" s="25"/>
      <c r="Q37" s="14"/>
    </row>
    <row r="38" spans="1:17" ht="26.1" customHeight="1" x14ac:dyDescent="0.25">
      <c r="A38" s="39"/>
      <c r="B38" s="35"/>
      <c r="C38" s="35"/>
      <c r="D38" s="35"/>
      <c r="E38" s="35"/>
      <c r="F38" s="57"/>
      <c r="G38" s="39"/>
      <c r="H38" s="38"/>
      <c r="I38" s="38"/>
      <c r="J38" s="17" t="str">
        <f t="shared" ca="1" si="0"/>
        <v/>
      </c>
      <c r="K38" s="38"/>
      <c r="L38" s="39"/>
      <c r="M38" s="38"/>
      <c r="N38" s="57"/>
      <c r="O38" s="19"/>
      <c r="P38" s="29"/>
      <c r="Q38" s="19"/>
    </row>
    <row r="39" spans="1:17" ht="26.1" customHeight="1" x14ac:dyDescent="0.25">
      <c r="A39" s="46"/>
      <c r="B39" s="42"/>
      <c r="C39" s="42"/>
      <c r="D39" s="42"/>
      <c r="E39" s="42"/>
      <c r="F39" s="56"/>
      <c r="G39" s="46"/>
      <c r="H39" s="45"/>
      <c r="I39" s="45"/>
      <c r="J39" s="12" t="str">
        <f t="shared" ca="1" si="0"/>
        <v/>
      </c>
      <c r="K39" s="45"/>
      <c r="L39" s="46"/>
      <c r="M39" s="45"/>
      <c r="N39" s="56"/>
      <c r="O39" s="14"/>
      <c r="P39" s="25"/>
      <c r="Q39" s="14"/>
    </row>
    <row r="40" spans="1:17" ht="26.1" customHeight="1" x14ac:dyDescent="0.25">
      <c r="A40" s="39"/>
      <c r="B40" s="35"/>
      <c r="C40" s="35"/>
      <c r="D40" s="35"/>
      <c r="E40" s="35"/>
      <c r="F40" s="57"/>
      <c r="G40" s="39"/>
      <c r="H40" s="38"/>
      <c r="I40" s="38"/>
      <c r="J40" s="17" t="str">
        <f t="shared" ca="1" si="0"/>
        <v/>
      </c>
      <c r="K40" s="38"/>
      <c r="L40" s="39"/>
      <c r="M40" s="38"/>
      <c r="N40" s="57"/>
      <c r="O40" s="19"/>
      <c r="P40" s="29"/>
      <c r="Q40" s="19"/>
    </row>
    <row r="41" spans="1:17" ht="26.1" customHeight="1" x14ac:dyDescent="0.25">
      <c r="A41" s="46"/>
      <c r="B41" s="42"/>
      <c r="C41" s="42"/>
      <c r="D41" s="42"/>
      <c r="E41" s="42"/>
      <c r="F41" s="56"/>
      <c r="G41" s="46"/>
      <c r="H41" s="45"/>
      <c r="I41" s="45"/>
      <c r="J41" s="12" t="str">
        <f t="shared" ref="J41:J72" ca="1" si="1">IF($H41="","",IF($K41="",TODAY()-$H41,$K41-$H41))</f>
        <v/>
      </c>
      <c r="K41" s="45"/>
      <c r="L41" s="46"/>
      <c r="M41" s="45"/>
      <c r="N41" s="56"/>
      <c r="O41" s="14"/>
      <c r="P41" s="25"/>
      <c r="Q41" s="14"/>
    </row>
    <row r="42" spans="1:17" ht="26.1" customHeight="1" x14ac:dyDescent="0.25">
      <c r="A42" s="39"/>
      <c r="B42" s="35"/>
      <c r="C42" s="35"/>
      <c r="D42" s="35"/>
      <c r="E42" s="35"/>
      <c r="F42" s="57"/>
      <c r="G42" s="39"/>
      <c r="H42" s="38"/>
      <c r="I42" s="38"/>
      <c r="J42" s="17" t="str">
        <f t="shared" ca="1" si="1"/>
        <v/>
      </c>
      <c r="K42" s="38"/>
      <c r="L42" s="39"/>
      <c r="M42" s="38"/>
      <c r="N42" s="57"/>
      <c r="O42" s="19"/>
      <c r="P42" s="29"/>
      <c r="Q42" s="19"/>
    </row>
    <row r="43" spans="1:17" ht="26.1" customHeight="1" x14ac:dyDescent="0.25">
      <c r="A43" s="46"/>
      <c r="B43" s="42"/>
      <c r="C43" s="42"/>
      <c r="D43" s="42"/>
      <c r="E43" s="42"/>
      <c r="F43" s="56"/>
      <c r="G43" s="46"/>
      <c r="H43" s="45"/>
      <c r="I43" s="45"/>
      <c r="J43" s="12" t="str">
        <f t="shared" ca="1" si="1"/>
        <v/>
      </c>
      <c r="K43" s="45"/>
      <c r="L43" s="46"/>
      <c r="M43" s="45"/>
      <c r="N43" s="56"/>
      <c r="O43" s="14"/>
      <c r="P43" s="25"/>
      <c r="Q43" s="14"/>
    </row>
    <row r="44" spans="1:17" ht="26.1" customHeight="1" x14ac:dyDescent="0.25">
      <c r="A44" s="39"/>
      <c r="B44" s="35"/>
      <c r="C44" s="35"/>
      <c r="D44" s="35"/>
      <c r="E44" s="35"/>
      <c r="F44" s="57"/>
      <c r="G44" s="39"/>
      <c r="H44" s="38"/>
      <c r="I44" s="38"/>
      <c r="J44" s="17" t="str">
        <f t="shared" ca="1" si="1"/>
        <v/>
      </c>
      <c r="K44" s="38"/>
      <c r="L44" s="39"/>
      <c r="M44" s="38"/>
      <c r="N44" s="57"/>
      <c r="O44" s="19"/>
      <c r="P44" s="29"/>
      <c r="Q44" s="19"/>
    </row>
    <row r="45" spans="1:17" ht="26.1" customHeight="1" x14ac:dyDescent="0.25">
      <c r="A45" s="46"/>
      <c r="B45" s="42"/>
      <c r="C45" s="42"/>
      <c r="D45" s="42"/>
      <c r="E45" s="42"/>
      <c r="F45" s="56"/>
      <c r="G45" s="46"/>
      <c r="H45" s="45"/>
      <c r="I45" s="45"/>
      <c r="J45" s="12" t="str">
        <f t="shared" ca="1" si="1"/>
        <v/>
      </c>
      <c r="K45" s="45"/>
      <c r="L45" s="46"/>
      <c r="M45" s="45"/>
      <c r="N45" s="56"/>
      <c r="O45" s="14"/>
      <c r="P45" s="25"/>
      <c r="Q45" s="14"/>
    </row>
    <row r="46" spans="1:17" ht="26.1" customHeight="1" x14ac:dyDescent="0.25">
      <c r="A46" s="39"/>
      <c r="B46" s="35"/>
      <c r="C46" s="35"/>
      <c r="D46" s="35"/>
      <c r="E46" s="35"/>
      <c r="F46" s="57"/>
      <c r="G46" s="39"/>
      <c r="H46" s="38"/>
      <c r="I46" s="38"/>
      <c r="J46" s="17" t="str">
        <f t="shared" ca="1" si="1"/>
        <v/>
      </c>
      <c r="K46" s="38"/>
      <c r="L46" s="39"/>
      <c r="M46" s="38"/>
      <c r="N46" s="57"/>
      <c r="O46" s="19"/>
      <c r="P46" s="29"/>
      <c r="Q46" s="19"/>
    </row>
    <row r="47" spans="1:17" ht="26.1" customHeight="1" x14ac:dyDescent="0.25">
      <c r="A47" s="46"/>
      <c r="B47" s="42"/>
      <c r="C47" s="42"/>
      <c r="D47" s="42"/>
      <c r="E47" s="42"/>
      <c r="F47" s="56"/>
      <c r="G47" s="46"/>
      <c r="H47" s="45"/>
      <c r="I47" s="45"/>
      <c r="J47" s="12" t="str">
        <f t="shared" ca="1" si="1"/>
        <v/>
      </c>
      <c r="K47" s="45"/>
      <c r="L47" s="46"/>
      <c r="M47" s="45"/>
      <c r="N47" s="56"/>
      <c r="O47" s="14"/>
      <c r="P47" s="25"/>
      <c r="Q47" s="14"/>
    </row>
    <row r="48" spans="1:17" ht="26.1" customHeight="1" x14ac:dyDescent="0.25">
      <c r="A48" s="39"/>
      <c r="B48" s="35"/>
      <c r="C48" s="35"/>
      <c r="D48" s="35"/>
      <c r="E48" s="35"/>
      <c r="F48" s="57"/>
      <c r="G48" s="39"/>
      <c r="H48" s="38"/>
      <c r="I48" s="38"/>
      <c r="J48" s="17" t="str">
        <f t="shared" ca="1" si="1"/>
        <v/>
      </c>
      <c r="K48" s="38"/>
      <c r="L48" s="39"/>
      <c r="M48" s="38"/>
      <c r="N48" s="57"/>
      <c r="O48" s="19"/>
      <c r="P48" s="29"/>
      <c r="Q48" s="19"/>
    </row>
    <row r="49" spans="1:17" ht="26.1" customHeight="1" x14ac:dyDescent="0.25">
      <c r="A49" s="46"/>
      <c r="B49" s="42"/>
      <c r="C49" s="42"/>
      <c r="D49" s="42"/>
      <c r="E49" s="42"/>
      <c r="F49" s="56"/>
      <c r="G49" s="46"/>
      <c r="H49" s="45"/>
      <c r="I49" s="45"/>
      <c r="J49" s="12" t="str">
        <f t="shared" ca="1" si="1"/>
        <v/>
      </c>
      <c r="K49" s="45"/>
      <c r="L49" s="46"/>
      <c r="M49" s="45"/>
      <c r="N49" s="56"/>
      <c r="O49" s="14"/>
      <c r="P49" s="25"/>
      <c r="Q49" s="14"/>
    </row>
    <row r="50" spans="1:17" ht="26.1" customHeight="1" x14ac:dyDescent="0.25">
      <c r="A50" s="39"/>
      <c r="B50" s="35"/>
      <c r="C50" s="35"/>
      <c r="D50" s="35"/>
      <c r="E50" s="35"/>
      <c r="F50" s="57"/>
      <c r="G50" s="39"/>
      <c r="H50" s="38"/>
      <c r="I50" s="38"/>
      <c r="J50" s="17" t="str">
        <f t="shared" ca="1" si="1"/>
        <v/>
      </c>
      <c r="K50" s="38"/>
      <c r="L50" s="39"/>
      <c r="M50" s="38"/>
      <c r="N50" s="57"/>
      <c r="O50" s="19"/>
      <c r="P50" s="29"/>
      <c r="Q50" s="19"/>
    </row>
    <row r="51" spans="1:17" ht="26.1" customHeight="1" x14ac:dyDescent="0.25">
      <c r="A51" s="46"/>
      <c r="B51" s="42"/>
      <c r="C51" s="42"/>
      <c r="D51" s="42"/>
      <c r="E51" s="42"/>
      <c r="F51" s="56"/>
      <c r="G51" s="46"/>
      <c r="H51" s="45"/>
      <c r="I51" s="45"/>
      <c r="J51" s="12" t="str">
        <f t="shared" ca="1" si="1"/>
        <v/>
      </c>
      <c r="K51" s="45"/>
      <c r="L51" s="46"/>
      <c r="M51" s="45"/>
      <c r="N51" s="56"/>
      <c r="O51" s="14"/>
      <c r="P51" s="25"/>
      <c r="Q51" s="14"/>
    </row>
    <row r="52" spans="1:17" ht="26.1" customHeight="1" x14ac:dyDescent="0.25">
      <c r="A52" s="39"/>
      <c r="B52" s="35"/>
      <c r="C52" s="35"/>
      <c r="D52" s="35"/>
      <c r="E52" s="35"/>
      <c r="F52" s="57"/>
      <c r="G52" s="39"/>
      <c r="H52" s="38"/>
      <c r="I52" s="38"/>
      <c r="J52" s="17" t="str">
        <f t="shared" ca="1" si="1"/>
        <v/>
      </c>
      <c r="K52" s="38"/>
      <c r="L52" s="39"/>
      <c r="M52" s="38"/>
      <c r="N52" s="57"/>
      <c r="O52" s="19"/>
      <c r="P52" s="29"/>
      <c r="Q52" s="19"/>
    </row>
    <row r="53" spans="1:17" ht="26.1" customHeight="1" x14ac:dyDescent="0.25">
      <c r="A53" s="46"/>
      <c r="B53" s="42"/>
      <c r="C53" s="42"/>
      <c r="D53" s="42"/>
      <c r="E53" s="42"/>
      <c r="F53" s="56"/>
      <c r="G53" s="46"/>
      <c r="H53" s="45"/>
      <c r="I53" s="45"/>
      <c r="J53" s="12" t="str">
        <f t="shared" ca="1" si="1"/>
        <v/>
      </c>
      <c r="K53" s="45"/>
      <c r="L53" s="46"/>
      <c r="M53" s="45"/>
      <c r="N53" s="56"/>
      <c r="O53" s="14"/>
      <c r="P53" s="25"/>
      <c r="Q53" s="14"/>
    </row>
    <row r="54" spans="1:17" ht="26.1" customHeight="1" x14ac:dyDescent="0.25">
      <c r="A54" s="39"/>
      <c r="B54" s="35"/>
      <c r="C54" s="35"/>
      <c r="D54" s="35"/>
      <c r="E54" s="35"/>
      <c r="F54" s="57"/>
      <c r="G54" s="39"/>
      <c r="H54" s="38"/>
      <c r="I54" s="38"/>
      <c r="J54" s="17" t="str">
        <f t="shared" ca="1" si="1"/>
        <v/>
      </c>
      <c r="K54" s="38"/>
      <c r="L54" s="39"/>
      <c r="M54" s="38"/>
      <c r="N54" s="57"/>
      <c r="O54" s="19"/>
      <c r="P54" s="29"/>
      <c r="Q54" s="19"/>
    </row>
    <row r="55" spans="1:17" ht="26.1" customHeight="1" x14ac:dyDescent="0.25">
      <c r="A55" s="46"/>
      <c r="B55" s="42"/>
      <c r="C55" s="42"/>
      <c r="D55" s="42"/>
      <c r="E55" s="42"/>
      <c r="F55" s="56"/>
      <c r="G55" s="46"/>
      <c r="H55" s="45"/>
      <c r="I55" s="45"/>
      <c r="J55" s="12" t="str">
        <f t="shared" ca="1" si="1"/>
        <v/>
      </c>
      <c r="K55" s="45"/>
      <c r="L55" s="46"/>
      <c r="M55" s="45"/>
      <c r="N55" s="56"/>
      <c r="O55" s="14"/>
      <c r="P55" s="25"/>
      <c r="Q55" s="14"/>
    </row>
    <row r="56" spans="1:17" ht="26.1" customHeight="1" x14ac:dyDescent="0.25">
      <c r="A56" s="39"/>
      <c r="B56" s="35"/>
      <c r="C56" s="35"/>
      <c r="D56" s="35"/>
      <c r="E56" s="35"/>
      <c r="F56" s="57"/>
      <c r="G56" s="39"/>
      <c r="H56" s="38"/>
      <c r="I56" s="38"/>
      <c r="J56" s="17" t="str">
        <f t="shared" ca="1" si="1"/>
        <v/>
      </c>
      <c r="K56" s="38"/>
      <c r="L56" s="39"/>
      <c r="M56" s="38"/>
      <c r="N56" s="57"/>
      <c r="O56" s="19"/>
      <c r="P56" s="29"/>
      <c r="Q56" s="19"/>
    </row>
    <row r="57" spans="1:17" ht="26.1" customHeight="1" x14ac:dyDescent="0.25">
      <c r="A57" s="46"/>
      <c r="B57" s="42"/>
      <c r="C57" s="42"/>
      <c r="D57" s="42"/>
      <c r="E57" s="42"/>
      <c r="F57" s="56"/>
      <c r="G57" s="46"/>
      <c r="H57" s="45"/>
      <c r="I57" s="45"/>
      <c r="J57" s="12" t="str">
        <f t="shared" ca="1" si="1"/>
        <v/>
      </c>
      <c r="K57" s="45"/>
      <c r="L57" s="46"/>
      <c r="M57" s="45"/>
      <c r="N57" s="56"/>
      <c r="O57" s="14"/>
      <c r="P57" s="25"/>
      <c r="Q57" s="14"/>
    </row>
    <row r="58" spans="1:17" ht="26.1" customHeight="1" x14ac:dyDescent="0.25">
      <c r="A58" s="39"/>
      <c r="B58" s="35"/>
      <c r="C58" s="35"/>
      <c r="D58" s="35"/>
      <c r="E58" s="35"/>
      <c r="F58" s="57"/>
      <c r="G58" s="39"/>
      <c r="H58" s="38"/>
      <c r="I58" s="38"/>
      <c r="J58" s="17" t="str">
        <f t="shared" ca="1" si="1"/>
        <v/>
      </c>
      <c r="K58" s="38"/>
      <c r="L58" s="39"/>
      <c r="M58" s="38"/>
      <c r="N58" s="57"/>
      <c r="O58" s="19"/>
      <c r="P58" s="29"/>
      <c r="Q58" s="19"/>
    </row>
    <row r="59" spans="1:17" ht="26.1" customHeight="1" x14ac:dyDescent="0.25">
      <c r="A59" s="46"/>
      <c r="B59" s="42"/>
      <c r="C59" s="42"/>
      <c r="D59" s="42"/>
      <c r="E59" s="42"/>
      <c r="F59" s="56"/>
      <c r="G59" s="46"/>
      <c r="H59" s="45"/>
      <c r="I59" s="45"/>
      <c r="J59" s="12" t="str">
        <f t="shared" ca="1" si="1"/>
        <v/>
      </c>
      <c r="K59" s="45"/>
      <c r="L59" s="46"/>
      <c r="M59" s="45"/>
      <c r="N59" s="56"/>
      <c r="O59" s="14"/>
      <c r="P59" s="25"/>
      <c r="Q59" s="14"/>
    </row>
    <row r="60" spans="1:17" ht="26.1" customHeight="1" x14ac:dyDescent="0.25">
      <c r="A60" s="39"/>
      <c r="B60" s="35"/>
      <c r="C60" s="35"/>
      <c r="D60" s="35"/>
      <c r="E60" s="35"/>
      <c r="F60" s="57"/>
      <c r="G60" s="39"/>
      <c r="H60" s="38"/>
      <c r="I60" s="38"/>
      <c r="J60" s="17" t="str">
        <f t="shared" ca="1" si="1"/>
        <v/>
      </c>
      <c r="K60" s="38"/>
      <c r="L60" s="39"/>
      <c r="M60" s="38"/>
      <c r="N60" s="57"/>
      <c r="O60" s="19"/>
      <c r="P60" s="29"/>
      <c r="Q60" s="19"/>
    </row>
    <row r="61" spans="1:17" ht="26.1" customHeight="1" x14ac:dyDescent="0.25">
      <c r="A61" s="46"/>
      <c r="B61" s="42"/>
      <c r="C61" s="42"/>
      <c r="D61" s="42"/>
      <c r="E61" s="42"/>
      <c r="F61" s="56"/>
      <c r="G61" s="46"/>
      <c r="H61" s="45"/>
      <c r="I61" s="45"/>
      <c r="J61" s="12" t="str">
        <f t="shared" ca="1" si="1"/>
        <v/>
      </c>
      <c r="K61" s="45"/>
      <c r="L61" s="46"/>
      <c r="M61" s="45"/>
      <c r="N61" s="56"/>
      <c r="O61" s="14"/>
      <c r="P61" s="25"/>
      <c r="Q61" s="14"/>
    </row>
    <row r="62" spans="1:17" ht="26.1" customHeight="1" x14ac:dyDescent="0.25">
      <c r="A62" s="39"/>
      <c r="B62" s="35"/>
      <c r="C62" s="35"/>
      <c r="D62" s="35"/>
      <c r="E62" s="35"/>
      <c r="F62" s="57"/>
      <c r="G62" s="39"/>
      <c r="H62" s="38"/>
      <c r="I62" s="38"/>
      <c r="J62" s="17" t="str">
        <f t="shared" ca="1" si="1"/>
        <v/>
      </c>
      <c r="K62" s="38"/>
      <c r="L62" s="39"/>
      <c r="M62" s="38"/>
      <c r="N62" s="57"/>
      <c r="O62" s="19"/>
      <c r="P62" s="29"/>
      <c r="Q62" s="19"/>
    </row>
    <row r="63" spans="1:17" ht="26.1" customHeight="1" x14ac:dyDescent="0.25">
      <c r="A63" s="46"/>
      <c r="B63" s="42"/>
      <c r="C63" s="42"/>
      <c r="D63" s="42"/>
      <c r="E63" s="42"/>
      <c r="F63" s="56"/>
      <c r="G63" s="46"/>
      <c r="H63" s="45"/>
      <c r="I63" s="45"/>
      <c r="J63" s="12" t="str">
        <f t="shared" ca="1" si="1"/>
        <v/>
      </c>
      <c r="K63" s="45"/>
      <c r="L63" s="46"/>
      <c r="M63" s="45"/>
      <c r="N63" s="56"/>
      <c r="O63" s="14"/>
      <c r="P63" s="25"/>
      <c r="Q63" s="14"/>
    </row>
    <row r="64" spans="1:17" ht="26.1" customHeight="1" x14ac:dyDescent="0.25">
      <c r="A64" s="39"/>
      <c r="B64" s="35"/>
      <c r="C64" s="35"/>
      <c r="D64" s="35"/>
      <c r="E64" s="35"/>
      <c r="F64" s="57"/>
      <c r="G64" s="39"/>
      <c r="H64" s="38"/>
      <c r="I64" s="38"/>
      <c r="J64" s="17" t="str">
        <f t="shared" ca="1" si="1"/>
        <v/>
      </c>
      <c r="K64" s="38"/>
      <c r="L64" s="39"/>
      <c r="M64" s="38"/>
      <c r="N64" s="57"/>
      <c r="O64" s="19"/>
      <c r="P64" s="29"/>
      <c r="Q64" s="19"/>
    </row>
    <row r="65" spans="1:17" ht="26.1" customHeight="1" x14ac:dyDescent="0.25">
      <c r="A65" s="46"/>
      <c r="B65" s="42"/>
      <c r="C65" s="42"/>
      <c r="D65" s="42"/>
      <c r="E65" s="42"/>
      <c r="F65" s="56"/>
      <c r="G65" s="46"/>
      <c r="H65" s="45"/>
      <c r="I65" s="45"/>
      <c r="J65" s="12" t="str">
        <f t="shared" ca="1" si="1"/>
        <v/>
      </c>
      <c r="K65" s="45"/>
      <c r="L65" s="46"/>
      <c r="M65" s="45"/>
      <c r="N65" s="56"/>
      <c r="O65" s="14"/>
      <c r="P65" s="25"/>
      <c r="Q65" s="14"/>
    </row>
    <row r="66" spans="1:17" ht="26.1" customHeight="1" x14ac:dyDescent="0.25">
      <c r="A66" s="39"/>
      <c r="B66" s="35"/>
      <c r="C66" s="35"/>
      <c r="D66" s="35"/>
      <c r="E66" s="35"/>
      <c r="F66" s="57"/>
      <c r="G66" s="39"/>
      <c r="H66" s="38"/>
      <c r="I66" s="38"/>
      <c r="J66" s="17" t="str">
        <f t="shared" ca="1" si="1"/>
        <v/>
      </c>
      <c r="K66" s="38"/>
      <c r="L66" s="39"/>
      <c r="M66" s="38"/>
      <c r="N66" s="57"/>
      <c r="O66" s="19"/>
      <c r="P66" s="29"/>
      <c r="Q66" s="19"/>
    </row>
    <row r="67" spans="1:17" ht="26.1" customHeight="1" x14ac:dyDescent="0.25">
      <c r="A67" s="46"/>
      <c r="B67" s="42"/>
      <c r="C67" s="42"/>
      <c r="D67" s="42"/>
      <c r="E67" s="42"/>
      <c r="F67" s="56"/>
      <c r="G67" s="46"/>
      <c r="H67" s="45"/>
      <c r="I67" s="45"/>
      <c r="J67" s="12" t="str">
        <f t="shared" ca="1" si="1"/>
        <v/>
      </c>
      <c r="K67" s="45"/>
      <c r="L67" s="46"/>
      <c r="M67" s="45"/>
      <c r="N67" s="56"/>
      <c r="O67" s="14"/>
      <c r="P67" s="25"/>
      <c r="Q67" s="14"/>
    </row>
    <row r="68" spans="1:17" ht="26.1" customHeight="1" x14ac:dyDescent="0.25">
      <c r="A68" s="39"/>
      <c r="B68" s="35"/>
      <c r="C68" s="35"/>
      <c r="D68" s="35"/>
      <c r="E68" s="35"/>
      <c r="F68" s="57"/>
      <c r="G68" s="39"/>
      <c r="H68" s="38"/>
      <c r="I68" s="38"/>
      <c r="J68" s="17" t="str">
        <f t="shared" ca="1" si="1"/>
        <v/>
      </c>
      <c r="K68" s="38"/>
      <c r="L68" s="39"/>
      <c r="M68" s="38"/>
      <c r="N68" s="57"/>
      <c r="O68" s="19"/>
      <c r="P68" s="29"/>
      <c r="Q68" s="19"/>
    </row>
    <row r="69" spans="1:17" ht="26.1" customHeight="1" x14ac:dyDescent="0.25">
      <c r="A69" s="46"/>
      <c r="B69" s="42"/>
      <c r="C69" s="42"/>
      <c r="D69" s="42"/>
      <c r="E69" s="42"/>
      <c r="F69" s="56"/>
      <c r="G69" s="46"/>
      <c r="H69" s="45"/>
      <c r="I69" s="45"/>
      <c r="J69" s="12" t="str">
        <f t="shared" ca="1" si="1"/>
        <v/>
      </c>
      <c r="K69" s="45"/>
      <c r="L69" s="46"/>
      <c r="M69" s="45"/>
      <c r="N69" s="56"/>
      <c r="O69" s="14"/>
      <c r="P69" s="25"/>
      <c r="Q69" s="14"/>
    </row>
    <row r="70" spans="1:17" ht="26.1" customHeight="1" x14ac:dyDescent="0.25">
      <c r="A70" s="39"/>
      <c r="B70" s="35"/>
      <c r="C70" s="35"/>
      <c r="D70" s="35"/>
      <c r="E70" s="35"/>
      <c r="F70" s="57"/>
      <c r="G70" s="39"/>
      <c r="H70" s="38"/>
      <c r="I70" s="38"/>
      <c r="J70" s="17" t="str">
        <f t="shared" ca="1" si="1"/>
        <v/>
      </c>
      <c r="K70" s="38"/>
      <c r="L70" s="39"/>
      <c r="M70" s="38"/>
      <c r="N70" s="57"/>
      <c r="O70" s="19"/>
      <c r="P70" s="29"/>
      <c r="Q70" s="19"/>
    </row>
    <row r="71" spans="1:17" ht="26.1" customHeight="1" x14ac:dyDescent="0.25">
      <c r="A71" s="46"/>
      <c r="B71" s="42"/>
      <c r="C71" s="42"/>
      <c r="D71" s="42"/>
      <c r="E71" s="42"/>
      <c r="F71" s="56"/>
      <c r="G71" s="46"/>
      <c r="H71" s="45"/>
      <c r="I71" s="45"/>
      <c r="J71" s="12" t="str">
        <f t="shared" ca="1" si="1"/>
        <v/>
      </c>
      <c r="K71" s="45"/>
      <c r="L71" s="46"/>
      <c r="M71" s="45"/>
      <c r="N71" s="56"/>
      <c r="O71" s="14"/>
      <c r="P71" s="25"/>
      <c r="Q71" s="14"/>
    </row>
    <row r="72" spans="1:17" ht="26.1" customHeight="1" x14ac:dyDescent="0.25">
      <c r="A72" s="39"/>
      <c r="B72" s="35"/>
      <c r="C72" s="35"/>
      <c r="D72" s="35"/>
      <c r="E72" s="35"/>
      <c r="F72" s="57"/>
      <c r="G72" s="39"/>
      <c r="H72" s="38"/>
      <c r="I72" s="38"/>
      <c r="J72" s="17" t="str">
        <f t="shared" ca="1" si="1"/>
        <v/>
      </c>
      <c r="K72" s="38"/>
      <c r="L72" s="39"/>
      <c r="M72" s="38"/>
      <c r="N72" s="57"/>
      <c r="O72" s="19"/>
      <c r="P72" s="29"/>
      <c r="Q72" s="19"/>
    </row>
    <row r="73" spans="1:17" ht="26.1" customHeight="1" x14ac:dyDescent="0.25">
      <c r="A73" s="46"/>
      <c r="B73" s="42"/>
      <c r="C73" s="42"/>
      <c r="D73" s="42"/>
      <c r="E73" s="42"/>
      <c r="F73" s="56"/>
      <c r="G73" s="46"/>
      <c r="H73" s="45"/>
      <c r="I73" s="45"/>
      <c r="J73" s="12" t="str">
        <f t="shared" ref="J73:J80" ca="1" si="2">IF($H73="","",IF($K73="",TODAY()-$H73,$K73-$H73))</f>
        <v/>
      </c>
      <c r="K73" s="45"/>
      <c r="L73" s="46"/>
      <c r="M73" s="45"/>
      <c r="N73" s="56"/>
      <c r="O73" s="14"/>
      <c r="P73" s="25"/>
      <c r="Q73" s="14"/>
    </row>
    <row r="74" spans="1:17" ht="26.1" customHeight="1" x14ac:dyDescent="0.25">
      <c r="A74" s="39"/>
      <c r="B74" s="35"/>
      <c r="C74" s="35"/>
      <c r="D74" s="35"/>
      <c r="E74" s="35"/>
      <c r="F74" s="57"/>
      <c r="G74" s="39"/>
      <c r="H74" s="38"/>
      <c r="I74" s="38"/>
      <c r="J74" s="17" t="str">
        <f t="shared" ca="1" si="2"/>
        <v/>
      </c>
      <c r="K74" s="38"/>
      <c r="L74" s="39"/>
      <c r="M74" s="38"/>
      <c r="N74" s="57"/>
      <c r="O74" s="19"/>
      <c r="P74" s="29"/>
      <c r="Q74" s="19"/>
    </row>
    <row r="75" spans="1:17" ht="26.1" customHeight="1" x14ac:dyDescent="0.25">
      <c r="A75" s="46"/>
      <c r="B75" s="42"/>
      <c r="C75" s="42"/>
      <c r="D75" s="42"/>
      <c r="E75" s="42"/>
      <c r="F75" s="56"/>
      <c r="G75" s="46"/>
      <c r="H75" s="45"/>
      <c r="I75" s="45"/>
      <c r="J75" s="12" t="str">
        <f t="shared" ca="1" si="2"/>
        <v/>
      </c>
      <c r="K75" s="45"/>
      <c r="L75" s="46"/>
      <c r="M75" s="45"/>
      <c r="N75" s="56"/>
      <c r="O75" s="14"/>
      <c r="P75" s="25"/>
      <c r="Q75" s="14"/>
    </row>
    <row r="76" spans="1:17" ht="26.1" customHeight="1" x14ac:dyDescent="0.25">
      <c r="A76" s="39"/>
      <c r="B76" s="35"/>
      <c r="C76" s="35"/>
      <c r="D76" s="35"/>
      <c r="E76" s="35"/>
      <c r="F76" s="57"/>
      <c r="G76" s="39"/>
      <c r="H76" s="38"/>
      <c r="I76" s="38"/>
      <c r="J76" s="17" t="str">
        <f t="shared" ca="1" si="2"/>
        <v/>
      </c>
      <c r="K76" s="38"/>
      <c r="L76" s="39"/>
      <c r="M76" s="38"/>
      <c r="N76" s="57"/>
      <c r="O76" s="19"/>
      <c r="P76" s="29"/>
      <c r="Q76" s="19"/>
    </row>
    <row r="77" spans="1:17" ht="26.1" customHeight="1" x14ac:dyDescent="0.25">
      <c r="A77" s="46"/>
      <c r="B77" s="42"/>
      <c r="C77" s="42"/>
      <c r="D77" s="42"/>
      <c r="E77" s="42"/>
      <c r="F77" s="56"/>
      <c r="G77" s="46"/>
      <c r="H77" s="45"/>
      <c r="I77" s="45"/>
      <c r="J77" s="12" t="str">
        <f t="shared" ca="1" si="2"/>
        <v/>
      </c>
      <c r="K77" s="45"/>
      <c r="L77" s="46"/>
      <c r="M77" s="45"/>
      <c r="N77" s="56"/>
      <c r="O77" s="14"/>
      <c r="P77" s="25"/>
      <c r="Q77" s="14"/>
    </row>
    <row r="78" spans="1:17" ht="26.1" customHeight="1" x14ac:dyDescent="0.25">
      <c r="A78" s="39"/>
      <c r="B78" s="35"/>
      <c r="C78" s="35"/>
      <c r="D78" s="35"/>
      <c r="E78" s="35"/>
      <c r="F78" s="57"/>
      <c r="G78" s="39"/>
      <c r="H78" s="38"/>
      <c r="I78" s="38"/>
      <c r="J78" s="17" t="str">
        <f t="shared" ca="1" si="2"/>
        <v/>
      </c>
      <c r="K78" s="38"/>
      <c r="L78" s="39"/>
      <c r="M78" s="38"/>
      <c r="N78" s="57"/>
      <c r="O78" s="19"/>
      <c r="P78" s="29"/>
      <c r="Q78" s="19"/>
    </row>
    <row r="79" spans="1:17" ht="26.1" customHeight="1" x14ac:dyDescent="0.25">
      <c r="A79" s="46"/>
      <c r="B79" s="42"/>
      <c r="C79" s="42"/>
      <c r="D79" s="42"/>
      <c r="E79" s="42"/>
      <c r="F79" s="56"/>
      <c r="G79" s="46"/>
      <c r="H79" s="45"/>
      <c r="I79" s="45"/>
      <c r="J79" s="12" t="str">
        <f t="shared" ca="1" si="2"/>
        <v/>
      </c>
      <c r="K79" s="45"/>
      <c r="L79" s="46"/>
      <c r="M79" s="45"/>
      <c r="N79" s="56"/>
      <c r="O79" s="14"/>
      <c r="P79" s="25"/>
      <c r="Q79" s="14"/>
    </row>
    <row r="80" spans="1:17" ht="26.1" customHeight="1" x14ac:dyDescent="0.25">
      <c r="A80" s="39"/>
      <c r="B80" s="35"/>
      <c r="C80" s="35"/>
      <c r="D80" s="35"/>
      <c r="E80" s="35"/>
      <c r="F80" s="57"/>
      <c r="G80" s="39"/>
      <c r="H80" s="38"/>
      <c r="I80" s="38"/>
      <c r="J80" s="17" t="str">
        <f t="shared" ca="1" si="2"/>
        <v/>
      </c>
      <c r="K80" s="38"/>
      <c r="L80" s="39"/>
      <c r="M80" s="38"/>
      <c r="N80" s="57"/>
      <c r="O80" s="19"/>
      <c r="P80" s="29"/>
      <c r="Q80" s="19"/>
    </row>
    <row r="81" spans="1:17" ht="24" customHeight="1" x14ac:dyDescent="0.25">
      <c r="A81" s="21" t="s">
        <v>945</v>
      </c>
      <c r="B81" s="21"/>
      <c r="C81" s="21"/>
      <c r="D81" s="21"/>
      <c r="E81" s="21" t="str">
        <f>"Logged: "&amp;COUNTIFS($A$9:$A$80,"&lt;&gt;")&amp;"    ·    Open: "&amp;COUNTIFS($A$9:$A$80,"&lt;&gt;",$N$9:$N$80,"&lt;&gt;Verified closed",$N$9:$N$80,"&lt;&gt;Rejected - not a defect")&amp;"    ·    Category A open: "&amp;COUNTIFS($F$9:$F$80,"A*",$N$9:$N$80,"&lt;&gt;Verified closed",$N$9:$N$80,"&lt;&gt;Rejected - not a defect")</f>
        <v>Logged: 12    ·    Open: 11    ·    Category A open: 6</v>
      </c>
      <c r="F81" s="21"/>
      <c r="G81" s="21"/>
      <c r="H81" s="21"/>
      <c r="I81" s="21"/>
      <c r="J81" s="58">
        <f ca="1">IFERROR(ROUND(AVERAGEIF($J$9:$J$80,"&gt;=0"),0),0)</f>
        <v>19</v>
      </c>
      <c r="K81" s="21"/>
      <c r="L81" s="21"/>
      <c r="M81" s="21"/>
      <c r="N81" s="21"/>
      <c r="O81" s="21"/>
      <c r="P81" s="33">
        <f>SUM($P$9:$P$80)</f>
        <v>36300</v>
      </c>
      <c r="Q81" s="21" t="str">
        <f>COUNTIF($Q$9:$Q$80,"Yes")&amp;" back-charged"</f>
        <v>0 back-charged</v>
      </c>
    </row>
    <row r="83" spans="1:17" ht="20.100000000000001" customHeight="1" x14ac:dyDescent="0.25">
      <c r="A83" s="72" t="s">
        <v>100</v>
      </c>
      <c r="B83" s="73"/>
      <c r="C83" s="73"/>
      <c r="D83" s="73"/>
      <c r="E83" s="73"/>
      <c r="F83" s="73"/>
      <c r="G83" s="73"/>
      <c r="H83" s="73"/>
      <c r="I83" s="73"/>
      <c r="J83" s="73"/>
      <c r="K83" s="73"/>
      <c r="L83" s="73"/>
      <c r="M83" s="73"/>
      <c r="N83" s="73"/>
      <c r="O83" s="73"/>
      <c r="P83" s="73"/>
      <c r="Q83" s="73"/>
    </row>
  </sheetData>
  <autoFilter ref="A8:Q80" xr:uid="{00000000-0009-0000-0000-000004000000}"/>
  <mergeCells count="5">
    <mergeCell ref="A6:Q6"/>
    <mergeCell ref="B2:F2"/>
    <mergeCell ref="A83:Q83"/>
    <mergeCell ref="A4:Q4"/>
    <mergeCell ref="G2:Q2"/>
  </mergeCells>
  <conditionalFormatting sqref="A9:Q80">
    <cfRule type="expression" dxfId="26" priority="1">
      <formula>AND($I9&lt;&gt;"",$I9&lt;TODAY(),$K9="",$A9&lt;&gt;"")</formula>
    </cfRule>
  </conditionalFormatting>
  <conditionalFormatting sqref="F9:F80">
    <cfRule type="expression" dxfId="25" priority="2">
      <formula>LEFT($F9,1)="A"</formula>
    </cfRule>
  </conditionalFormatting>
  <conditionalFormatting sqref="N9:N80">
    <cfRule type="cellIs" dxfId="24" priority="3" operator="equal">
      <formula>"Verified closed"</formula>
    </cfRule>
  </conditionalFormatting>
  <hyperlinks>
    <hyperlink ref="A2" r:id="rId1" xr:uid="{00000000-0004-0000-0400-000000000000}"/>
    <hyperlink ref="A83" r:id="rId2" xr:uid="{00000000-0004-0000-0400-000001000000}"/>
  </hyperlinks>
  <pageMargins left="0.3" right="0.3" top="0.45" bottom="0.45" header="0.5" footer="0.5"/>
  <pageSetup paperSize="8"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4">
        <x14:dataValidation type="list" allowBlank="1" showErrorMessage="1" errorTitle="Invalid entry" error="Choose a value from the drop-down list." xr:uid="{00000000-0002-0000-0400-000000000000}">
          <x14:formula1>
            <xm:f>Lists!$H$2:$H$21</xm:f>
          </x14:formula1>
          <xm:sqref>C9:C80</xm:sqref>
        </x14:dataValidation>
        <x14:dataValidation type="list" allowBlank="1" showErrorMessage="1" errorTitle="Invalid entry" error="Choose a value from the drop-down list." xr:uid="{00000000-0002-0000-0400-000001000000}">
          <x14:formula1>
            <xm:f>Lists!$F$2:$F$4</xm:f>
          </x14:formula1>
          <xm:sqref>F9:F80</xm:sqref>
        </x14:dataValidation>
        <x14:dataValidation type="list" allowBlank="1" showErrorMessage="1" errorTitle="Invalid entry" error="Choose a value from the drop-down list." xr:uid="{00000000-0002-0000-0400-000002000000}">
          <x14:formula1>
            <xm:f>Lists!$G$2:$G$7</xm:f>
          </x14:formula1>
          <xm:sqref>N9:N80</xm:sqref>
        </x14:dataValidation>
        <x14:dataValidation type="list" allowBlank="1" showErrorMessage="1" errorTitle="Invalid entry" error="Choose a value from the drop-down list." xr:uid="{00000000-0002-0000-0400-000003000000}">
          <x14:formula1>
            <xm:f>Lists!$B$2:$B$3</xm:f>
          </x14:formula1>
          <xm:sqref>Q9:Q80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1"/>
  <sheetViews>
    <sheetView showGridLines="0" workbookViewId="0">
      <pane xSplit="2" ySplit="8" topLeftCell="C67" activePane="bottomRight" state="frozen"/>
      <selection pane="topRight"/>
      <selection pane="bottomLeft"/>
      <selection pane="bottomRight"/>
    </sheetView>
  </sheetViews>
  <sheetFormatPr defaultRowHeight="15" x14ac:dyDescent="0.25"/>
  <cols>
    <col min="1" max="1" width="10" customWidth="1"/>
    <col min="2" max="2" width="56" customWidth="1"/>
    <col min="3" max="3" width="24" customWidth="1"/>
    <col min="4" max="4" width="20" customWidth="1"/>
    <col min="5" max="5" width="11" customWidth="1"/>
    <col min="6" max="6" width="22" customWidth="1"/>
    <col min="7" max="7" width="13" customWidth="1"/>
    <col min="8" max="8" width="18" customWidth="1"/>
    <col min="9" max="9" width="20" customWidth="1"/>
    <col min="10" max="10" width="14" customWidth="1"/>
    <col min="11" max="11" width="13" customWidth="1"/>
    <col min="12" max="12" width="26" customWidth="1"/>
    <col min="13" max="13" width="22" customWidth="1"/>
    <col min="14" max="14" width="14" customWidth="1"/>
  </cols>
  <sheetData>
    <row r="1" spans="1:14" ht="9.9499999999999993" customHeight="1" x14ac:dyDescent="0.25">
      <c r="A1" s="1"/>
      <c r="B1" s="1"/>
      <c r="C1" s="1"/>
      <c r="D1" s="1"/>
      <c r="E1" s="1"/>
      <c r="F1" s="1"/>
      <c r="G1" s="1"/>
      <c r="H1" s="1"/>
      <c r="I1" s="1"/>
      <c r="J1" s="1"/>
      <c r="K1" s="1"/>
      <c r="L1" s="1"/>
      <c r="M1" s="1"/>
      <c r="N1" s="1"/>
    </row>
    <row r="2" spans="1:14" ht="26.1" customHeight="1" x14ac:dyDescent="0.25">
      <c r="A2" s="2" t="s">
        <v>0</v>
      </c>
      <c r="B2" s="114" t="s">
        <v>946</v>
      </c>
      <c r="C2" s="71"/>
      <c r="D2" s="71"/>
      <c r="E2" s="71"/>
      <c r="F2" s="71"/>
      <c r="G2" s="85" t="s">
        <v>947</v>
      </c>
      <c r="H2" s="71"/>
      <c r="I2" s="71"/>
      <c r="J2" s="71"/>
      <c r="K2" s="71"/>
      <c r="L2" s="71"/>
      <c r="M2" s="71"/>
      <c r="N2" s="71"/>
    </row>
    <row r="3" spans="1:14" ht="14.1" customHeight="1" x14ac:dyDescent="0.25">
      <c r="A3" s="1"/>
      <c r="B3" s="1"/>
      <c r="C3" s="1"/>
      <c r="D3" s="1"/>
      <c r="E3" s="1"/>
      <c r="F3" s="1"/>
      <c r="G3" s="1"/>
      <c r="H3" s="1"/>
      <c r="I3" s="1"/>
      <c r="J3" s="1"/>
      <c r="K3" s="1"/>
      <c r="L3" s="1"/>
      <c r="M3" s="1"/>
      <c r="N3" s="1"/>
    </row>
    <row r="4" spans="1:14" ht="3" customHeight="1" x14ac:dyDescent="0.25">
      <c r="A4" s="88"/>
      <c r="B4" s="88"/>
      <c r="C4" s="88"/>
      <c r="D4" s="88"/>
      <c r="E4" s="88"/>
      <c r="F4" s="88"/>
      <c r="G4" s="88"/>
      <c r="H4" s="88"/>
      <c r="I4" s="88"/>
      <c r="J4" s="88"/>
      <c r="K4" s="88"/>
      <c r="L4" s="88"/>
      <c r="M4" s="88"/>
      <c r="N4" s="88"/>
    </row>
    <row r="6" spans="1:14" ht="30" customHeight="1" x14ac:dyDescent="0.25">
      <c r="A6" s="100" t="s">
        <v>948</v>
      </c>
      <c r="B6" s="71"/>
      <c r="C6" s="71"/>
      <c r="D6" s="71"/>
      <c r="E6" s="71"/>
      <c r="F6" s="71"/>
      <c r="G6" s="71"/>
      <c r="H6" s="71"/>
      <c r="I6" s="71"/>
      <c r="J6" s="71"/>
      <c r="K6" s="71"/>
      <c r="L6" s="71"/>
      <c r="M6" s="71"/>
      <c r="N6" s="71"/>
    </row>
    <row r="7" spans="1:14" ht="6" customHeight="1" x14ac:dyDescent="0.25"/>
    <row r="8" spans="1:14" ht="33.950000000000003" customHeight="1" x14ac:dyDescent="0.25">
      <c r="A8" s="10" t="s">
        <v>172</v>
      </c>
      <c r="B8" s="10" t="s">
        <v>949</v>
      </c>
      <c r="C8" s="10" t="s">
        <v>950</v>
      </c>
      <c r="D8" s="10" t="s">
        <v>951</v>
      </c>
      <c r="E8" s="10" t="s">
        <v>952</v>
      </c>
      <c r="F8" s="10" t="s">
        <v>175</v>
      </c>
      <c r="G8" s="10" t="s">
        <v>953</v>
      </c>
      <c r="H8" s="10" t="s">
        <v>12</v>
      </c>
      <c r="I8" s="10" t="s">
        <v>954</v>
      </c>
      <c r="J8" s="10" t="s">
        <v>955</v>
      </c>
      <c r="K8" s="10" t="s">
        <v>956</v>
      </c>
      <c r="L8" s="10" t="s">
        <v>957</v>
      </c>
      <c r="M8" s="10" t="s">
        <v>78</v>
      </c>
      <c r="N8" s="10" t="s">
        <v>958</v>
      </c>
    </row>
    <row r="9" spans="1:14" ht="26.1" customHeight="1" x14ac:dyDescent="0.25">
      <c r="A9" s="41" t="s">
        <v>959</v>
      </c>
      <c r="B9" s="26" t="s">
        <v>960</v>
      </c>
      <c r="C9" s="26" t="s">
        <v>160</v>
      </c>
      <c r="D9" s="46"/>
      <c r="E9" s="14" t="s">
        <v>186</v>
      </c>
      <c r="F9" s="26"/>
      <c r="G9" s="45"/>
      <c r="H9" s="46"/>
      <c r="I9" s="50"/>
      <c r="J9" s="45"/>
      <c r="K9" s="45"/>
      <c r="L9" s="26"/>
      <c r="M9" s="50" t="str">
        <f t="shared" ref="M9:M40" si="0">IF($B9="","",IF($E9="No","Not required",IF($K9&lt;&gt;"","Accepted",IF($I9="Rejected - resubmit","Rejected - resubmit",IF($I9="Accepted with conditions","Accepted with conditions",IF($G9&lt;&gt;"","Under review","Not submitted"))))))</f>
        <v>Not submitted</v>
      </c>
      <c r="N9" s="52" t="str">
        <f t="shared" ref="N9:N40" si="1">IF($M9="","",IF(OR($M9="Accepted",$M9="Not required"),"","Outstanding"))</f>
        <v>Outstanding</v>
      </c>
    </row>
    <row r="10" spans="1:14" ht="26.1" customHeight="1" x14ac:dyDescent="0.25">
      <c r="A10" s="34" t="s">
        <v>961</v>
      </c>
      <c r="B10" s="30" t="s">
        <v>960</v>
      </c>
      <c r="C10" s="30" t="s">
        <v>161</v>
      </c>
      <c r="D10" s="39"/>
      <c r="E10" s="19" t="s">
        <v>186</v>
      </c>
      <c r="F10" s="30"/>
      <c r="G10" s="38"/>
      <c r="H10" s="39"/>
      <c r="I10" s="53"/>
      <c r="J10" s="38"/>
      <c r="K10" s="38"/>
      <c r="L10" s="30"/>
      <c r="M10" s="53" t="str">
        <f t="shared" si="0"/>
        <v>Not submitted</v>
      </c>
      <c r="N10" s="55" t="str">
        <f t="shared" si="1"/>
        <v>Outstanding</v>
      </c>
    </row>
    <row r="11" spans="1:14" ht="26.1" customHeight="1" x14ac:dyDescent="0.25">
      <c r="A11" s="41" t="s">
        <v>962</v>
      </c>
      <c r="B11" s="26" t="s">
        <v>960</v>
      </c>
      <c r="C11" s="26" t="s">
        <v>162</v>
      </c>
      <c r="D11" s="46"/>
      <c r="E11" s="14" t="s">
        <v>186</v>
      </c>
      <c r="F11" s="26"/>
      <c r="G11" s="45"/>
      <c r="H11" s="46"/>
      <c r="I11" s="50"/>
      <c r="J11" s="45"/>
      <c r="K11" s="45"/>
      <c r="L11" s="26"/>
      <c r="M11" s="50" t="str">
        <f t="shared" si="0"/>
        <v>Not submitted</v>
      </c>
      <c r="N11" s="52" t="str">
        <f t="shared" si="1"/>
        <v>Outstanding</v>
      </c>
    </row>
    <row r="12" spans="1:14" ht="26.1" customHeight="1" x14ac:dyDescent="0.25">
      <c r="A12" s="34" t="s">
        <v>963</v>
      </c>
      <c r="B12" s="30" t="s">
        <v>960</v>
      </c>
      <c r="C12" s="30" t="s">
        <v>163</v>
      </c>
      <c r="D12" s="39"/>
      <c r="E12" s="19" t="s">
        <v>186</v>
      </c>
      <c r="F12" s="30"/>
      <c r="G12" s="38"/>
      <c r="H12" s="39"/>
      <c r="I12" s="53"/>
      <c r="J12" s="38"/>
      <c r="K12" s="38"/>
      <c r="L12" s="30"/>
      <c r="M12" s="53" t="str">
        <f t="shared" si="0"/>
        <v>Not submitted</v>
      </c>
      <c r="N12" s="55" t="str">
        <f t="shared" si="1"/>
        <v>Outstanding</v>
      </c>
    </row>
    <row r="13" spans="1:14" ht="26.1" customHeight="1" x14ac:dyDescent="0.25">
      <c r="A13" s="41" t="s">
        <v>964</v>
      </c>
      <c r="B13" s="26" t="s">
        <v>960</v>
      </c>
      <c r="C13" s="26" t="s">
        <v>164</v>
      </c>
      <c r="D13" s="46"/>
      <c r="E13" s="14" t="s">
        <v>186</v>
      </c>
      <c r="F13" s="26"/>
      <c r="G13" s="45"/>
      <c r="H13" s="46"/>
      <c r="I13" s="50"/>
      <c r="J13" s="45"/>
      <c r="K13" s="45"/>
      <c r="L13" s="26"/>
      <c r="M13" s="50" t="str">
        <f t="shared" si="0"/>
        <v>Not submitted</v>
      </c>
      <c r="N13" s="52" t="str">
        <f t="shared" si="1"/>
        <v>Outstanding</v>
      </c>
    </row>
    <row r="14" spans="1:14" ht="26.1" customHeight="1" x14ac:dyDescent="0.25">
      <c r="A14" s="34" t="s">
        <v>965</v>
      </c>
      <c r="B14" s="30" t="s">
        <v>960</v>
      </c>
      <c r="C14" s="30" t="s">
        <v>966</v>
      </c>
      <c r="D14" s="39"/>
      <c r="E14" s="19" t="s">
        <v>186</v>
      </c>
      <c r="F14" s="30"/>
      <c r="G14" s="38"/>
      <c r="H14" s="39"/>
      <c r="I14" s="53"/>
      <c r="J14" s="38"/>
      <c r="K14" s="38"/>
      <c r="L14" s="30"/>
      <c r="M14" s="53" t="str">
        <f t="shared" si="0"/>
        <v>Not submitted</v>
      </c>
      <c r="N14" s="55" t="str">
        <f t="shared" si="1"/>
        <v>Outstanding</v>
      </c>
    </row>
    <row r="15" spans="1:14" ht="26.1" customHeight="1" x14ac:dyDescent="0.25">
      <c r="A15" s="41" t="s">
        <v>967</v>
      </c>
      <c r="B15" s="26" t="s">
        <v>960</v>
      </c>
      <c r="C15" s="26" t="s">
        <v>968</v>
      </c>
      <c r="D15" s="46"/>
      <c r="E15" s="14" t="s">
        <v>186</v>
      </c>
      <c r="F15" s="26"/>
      <c r="G15" s="45"/>
      <c r="H15" s="46"/>
      <c r="I15" s="50"/>
      <c r="J15" s="45"/>
      <c r="K15" s="45"/>
      <c r="L15" s="26"/>
      <c r="M15" s="50" t="str">
        <f t="shared" si="0"/>
        <v>Not submitted</v>
      </c>
      <c r="N15" s="52" t="str">
        <f t="shared" si="1"/>
        <v>Outstanding</v>
      </c>
    </row>
    <row r="16" spans="1:14" ht="26.1" customHeight="1" x14ac:dyDescent="0.25">
      <c r="A16" s="34" t="s">
        <v>969</v>
      </c>
      <c r="B16" s="30" t="s">
        <v>960</v>
      </c>
      <c r="C16" s="30" t="s">
        <v>970</v>
      </c>
      <c r="D16" s="39"/>
      <c r="E16" s="19" t="s">
        <v>186</v>
      </c>
      <c r="F16" s="30"/>
      <c r="G16" s="38"/>
      <c r="H16" s="39"/>
      <c r="I16" s="53"/>
      <c r="J16" s="38"/>
      <c r="K16" s="38"/>
      <c r="L16" s="30"/>
      <c r="M16" s="53" t="str">
        <f t="shared" si="0"/>
        <v>Not submitted</v>
      </c>
      <c r="N16" s="55" t="str">
        <f t="shared" si="1"/>
        <v>Outstanding</v>
      </c>
    </row>
    <row r="17" spans="1:14" ht="26.1" customHeight="1" x14ac:dyDescent="0.25">
      <c r="A17" s="41" t="s">
        <v>971</v>
      </c>
      <c r="B17" s="26" t="s">
        <v>960</v>
      </c>
      <c r="C17" s="26" t="s">
        <v>972</v>
      </c>
      <c r="D17" s="46"/>
      <c r="E17" s="14" t="s">
        <v>186</v>
      </c>
      <c r="F17" s="26"/>
      <c r="G17" s="45"/>
      <c r="H17" s="46"/>
      <c r="I17" s="50"/>
      <c r="J17" s="45"/>
      <c r="K17" s="45"/>
      <c r="L17" s="26"/>
      <c r="M17" s="50" t="str">
        <f t="shared" si="0"/>
        <v>Not submitted</v>
      </c>
      <c r="N17" s="52" t="str">
        <f t="shared" si="1"/>
        <v>Outstanding</v>
      </c>
    </row>
    <row r="18" spans="1:14" ht="26.1" customHeight="1" x14ac:dyDescent="0.25">
      <c r="A18" s="34" t="s">
        <v>973</v>
      </c>
      <c r="B18" s="30" t="s">
        <v>960</v>
      </c>
      <c r="C18" s="30" t="s">
        <v>974</v>
      </c>
      <c r="D18" s="39"/>
      <c r="E18" s="19" t="s">
        <v>186</v>
      </c>
      <c r="F18" s="30"/>
      <c r="G18" s="38"/>
      <c r="H18" s="39"/>
      <c r="I18" s="53"/>
      <c r="J18" s="38"/>
      <c r="K18" s="38"/>
      <c r="L18" s="30"/>
      <c r="M18" s="53" t="str">
        <f t="shared" si="0"/>
        <v>Not submitted</v>
      </c>
      <c r="N18" s="55" t="str">
        <f t="shared" si="1"/>
        <v>Outstanding</v>
      </c>
    </row>
    <row r="19" spans="1:14" ht="26.1" customHeight="1" x14ac:dyDescent="0.25">
      <c r="A19" s="41" t="s">
        <v>975</v>
      </c>
      <c r="B19" s="26" t="s">
        <v>976</v>
      </c>
      <c r="C19" s="26" t="s">
        <v>977</v>
      </c>
      <c r="D19" s="46"/>
      <c r="E19" s="14" t="s">
        <v>186</v>
      </c>
      <c r="F19" s="26"/>
      <c r="G19" s="45"/>
      <c r="H19" s="46"/>
      <c r="I19" s="50"/>
      <c r="J19" s="45"/>
      <c r="K19" s="45"/>
      <c r="L19" s="26"/>
      <c r="M19" s="50" t="str">
        <f t="shared" si="0"/>
        <v>Not submitted</v>
      </c>
      <c r="N19" s="52" t="str">
        <f t="shared" si="1"/>
        <v>Outstanding</v>
      </c>
    </row>
    <row r="20" spans="1:14" ht="26.1" customHeight="1" x14ac:dyDescent="0.25">
      <c r="A20" s="34" t="s">
        <v>978</v>
      </c>
      <c r="B20" s="30" t="s">
        <v>976</v>
      </c>
      <c r="C20" s="30" t="s">
        <v>979</v>
      </c>
      <c r="D20" s="39"/>
      <c r="E20" s="19" t="s">
        <v>186</v>
      </c>
      <c r="F20" s="30"/>
      <c r="G20" s="38"/>
      <c r="H20" s="39"/>
      <c r="I20" s="53"/>
      <c r="J20" s="38"/>
      <c r="K20" s="38"/>
      <c r="L20" s="30"/>
      <c r="M20" s="53" t="str">
        <f t="shared" si="0"/>
        <v>Not submitted</v>
      </c>
      <c r="N20" s="55" t="str">
        <f t="shared" si="1"/>
        <v>Outstanding</v>
      </c>
    </row>
    <row r="21" spans="1:14" ht="26.1" customHeight="1" x14ac:dyDescent="0.25">
      <c r="A21" s="41" t="s">
        <v>980</v>
      </c>
      <c r="B21" s="26" t="s">
        <v>976</v>
      </c>
      <c r="C21" s="26" t="s">
        <v>165</v>
      </c>
      <c r="D21" s="46"/>
      <c r="E21" s="14" t="s">
        <v>186</v>
      </c>
      <c r="F21" s="26"/>
      <c r="G21" s="45"/>
      <c r="H21" s="46"/>
      <c r="I21" s="50"/>
      <c r="J21" s="45"/>
      <c r="K21" s="45"/>
      <c r="L21" s="26"/>
      <c r="M21" s="50" t="str">
        <f t="shared" si="0"/>
        <v>Not submitted</v>
      </c>
      <c r="N21" s="52" t="str">
        <f t="shared" si="1"/>
        <v>Outstanding</v>
      </c>
    </row>
    <row r="22" spans="1:14" ht="26.1" customHeight="1" x14ac:dyDescent="0.25">
      <c r="A22" s="34" t="s">
        <v>981</v>
      </c>
      <c r="B22" s="30" t="s">
        <v>976</v>
      </c>
      <c r="C22" s="30" t="s">
        <v>160</v>
      </c>
      <c r="D22" s="39"/>
      <c r="E22" s="19" t="s">
        <v>186</v>
      </c>
      <c r="F22" s="30"/>
      <c r="G22" s="38"/>
      <c r="H22" s="39"/>
      <c r="I22" s="53"/>
      <c r="J22" s="38"/>
      <c r="K22" s="38"/>
      <c r="L22" s="30"/>
      <c r="M22" s="53" t="str">
        <f t="shared" si="0"/>
        <v>Not submitted</v>
      </c>
      <c r="N22" s="55" t="str">
        <f t="shared" si="1"/>
        <v>Outstanding</v>
      </c>
    </row>
    <row r="23" spans="1:14" ht="26.1" customHeight="1" x14ac:dyDescent="0.25">
      <c r="A23" s="41" t="s">
        <v>982</v>
      </c>
      <c r="B23" s="26" t="s">
        <v>976</v>
      </c>
      <c r="C23" s="26" t="s">
        <v>161</v>
      </c>
      <c r="D23" s="46"/>
      <c r="E23" s="14" t="s">
        <v>186</v>
      </c>
      <c r="F23" s="26"/>
      <c r="G23" s="45"/>
      <c r="H23" s="46"/>
      <c r="I23" s="50"/>
      <c r="J23" s="45"/>
      <c r="K23" s="45"/>
      <c r="L23" s="26"/>
      <c r="M23" s="50" t="str">
        <f t="shared" si="0"/>
        <v>Not submitted</v>
      </c>
      <c r="N23" s="52" t="str">
        <f t="shared" si="1"/>
        <v>Outstanding</v>
      </c>
    </row>
    <row r="24" spans="1:14" ht="26.1" customHeight="1" x14ac:dyDescent="0.25">
      <c r="A24" s="34" t="s">
        <v>983</v>
      </c>
      <c r="B24" s="30" t="s">
        <v>976</v>
      </c>
      <c r="C24" s="30" t="s">
        <v>162</v>
      </c>
      <c r="D24" s="39"/>
      <c r="E24" s="19" t="s">
        <v>186</v>
      </c>
      <c r="F24" s="30"/>
      <c r="G24" s="38"/>
      <c r="H24" s="39"/>
      <c r="I24" s="53"/>
      <c r="J24" s="38"/>
      <c r="K24" s="38"/>
      <c r="L24" s="30"/>
      <c r="M24" s="53" t="str">
        <f t="shared" si="0"/>
        <v>Not submitted</v>
      </c>
      <c r="N24" s="55" t="str">
        <f t="shared" si="1"/>
        <v>Outstanding</v>
      </c>
    </row>
    <row r="25" spans="1:14" ht="26.1" customHeight="1" x14ac:dyDescent="0.25">
      <c r="A25" s="41" t="s">
        <v>984</v>
      </c>
      <c r="B25" s="26" t="s">
        <v>976</v>
      </c>
      <c r="C25" s="26" t="s">
        <v>163</v>
      </c>
      <c r="D25" s="46"/>
      <c r="E25" s="14" t="s">
        <v>186</v>
      </c>
      <c r="F25" s="26"/>
      <c r="G25" s="45"/>
      <c r="H25" s="46"/>
      <c r="I25" s="50"/>
      <c r="J25" s="45"/>
      <c r="K25" s="45"/>
      <c r="L25" s="26"/>
      <c r="M25" s="50" t="str">
        <f t="shared" si="0"/>
        <v>Not submitted</v>
      </c>
      <c r="N25" s="52" t="str">
        <f t="shared" si="1"/>
        <v>Outstanding</v>
      </c>
    </row>
    <row r="26" spans="1:14" ht="26.1" customHeight="1" x14ac:dyDescent="0.25">
      <c r="A26" s="34" t="s">
        <v>985</v>
      </c>
      <c r="B26" s="30" t="s">
        <v>976</v>
      </c>
      <c r="C26" s="30" t="s">
        <v>974</v>
      </c>
      <c r="D26" s="39"/>
      <c r="E26" s="19" t="s">
        <v>186</v>
      </c>
      <c r="F26" s="30"/>
      <c r="G26" s="38"/>
      <c r="H26" s="39"/>
      <c r="I26" s="53"/>
      <c r="J26" s="38"/>
      <c r="K26" s="38"/>
      <c r="L26" s="30"/>
      <c r="M26" s="53" t="str">
        <f t="shared" si="0"/>
        <v>Not submitted</v>
      </c>
      <c r="N26" s="55" t="str">
        <f t="shared" si="1"/>
        <v>Outstanding</v>
      </c>
    </row>
    <row r="27" spans="1:14" ht="26.1" customHeight="1" x14ac:dyDescent="0.25">
      <c r="A27" s="41" t="s">
        <v>986</v>
      </c>
      <c r="B27" s="26" t="s">
        <v>987</v>
      </c>
      <c r="C27" s="26" t="s">
        <v>988</v>
      </c>
      <c r="D27" s="46"/>
      <c r="E27" s="14" t="s">
        <v>186</v>
      </c>
      <c r="F27" s="26"/>
      <c r="G27" s="45"/>
      <c r="H27" s="46"/>
      <c r="I27" s="50"/>
      <c r="J27" s="45"/>
      <c r="K27" s="45"/>
      <c r="L27" s="26"/>
      <c r="M27" s="50" t="str">
        <f t="shared" si="0"/>
        <v>Not submitted</v>
      </c>
      <c r="N27" s="52" t="str">
        <f t="shared" si="1"/>
        <v>Outstanding</v>
      </c>
    </row>
    <row r="28" spans="1:14" ht="26.1" customHeight="1" x14ac:dyDescent="0.25">
      <c r="A28" s="34" t="s">
        <v>989</v>
      </c>
      <c r="B28" s="30" t="s">
        <v>990</v>
      </c>
      <c r="C28" s="30" t="s">
        <v>988</v>
      </c>
      <c r="D28" s="39"/>
      <c r="E28" s="19" t="s">
        <v>186</v>
      </c>
      <c r="F28" s="30"/>
      <c r="G28" s="38"/>
      <c r="H28" s="39"/>
      <c r="I28" s="53"/>
      <c r="J28" s="38"/>
      <c r="K28" s="38"/>
      <c r="L28" s="30"/>
      <c r="M28" s="53" t="str">
        <f t="shared" si="0"/>
        <v>Not submitted</v>
      </c>
      <c r="N28" s="55" t="str">
        <f t="shared" si="1"/>
        <v>Outstanding</v>
      </c>
    </row>
    <row r="29" spans="1:14" ht="26.1" customHeight="1" x14ac:dyDescent="0.25">
      <c r="A29" s="41" t="s">
        <v>991</v>
      </c>
      <c r="B29" s="26" t="s">
        <v>992</v>
      </c>
      <c r="C29" s="26" t="s">
        <v>988</v>
      </c>
      <c r="D29" s="46"/>
      <c r="E29" s="14" t="s">
        <v>186</v>
      </c>
      <c r="F29" s="26"/>
      <c r="G29" s="45"/>
      <c r="H29" s="46"/>
      <c r="I29" s="50"/>
      <c r="J29" s="45"/>
      <c r="K29" s="45"/>
      <c r="L29" s="26"/>
      <c r="M29" s="50" t="str">
        <f t="shared" si="0"/>
        <v>Not submitted</v>
      </c>
      <c r="N29" s="52" t="str">
        <f t="shared" si="1"/>
        <v>Outstanding</v>
      </c>
    </row>
    <row r="30" spans="1:14" ht="26.1" customHeight="1" x14ac:dyDescent="0.25">
      <c r="A30" s="34" t="s">
        <v>993</v>
      </c>
      <c r="B30" s="30" t="s">
        <v>994</v>
      </c>
      <c r="C30" s="30" t="s">
        <v>988</v>
      </c>
      <c r="D30" s="39"/>
      <c r="E30" s="19" t="s">
        <v>186</v>
      </c>
      <c r="F30" s="30"/>
      <c r="G30" s="38"/>
      <c r="H30" s="39"/>
      <c r="I30" s="53"/>
      <c r="J30" s="38"/>
      <c r="K30" s="38"/>
      <c r="L30" s="30"/>
      <c r="M30" s="53" t="str">
        <f t="shared" si="0"/>
        <v>Not submitted</v>
      </c>
      <c r="N30" s="55" t="str">
        <f t="shared" si="1"/>
        <v>Outstanding</v>
      </c>
    </row>
    <row r="31" spans="1:14" ht="26.1" customHeight="1" x14ac:dyDescent="0.25">
      <c r="A31" s="41" t="s">
        <v>995</v>
      </c>
      <c r="B31" s="26" t="s">
        <v>996</v>
      </c>
      <c r="C31" s="26" t="s">
        <v>988</v>
      </c>
      <c r="D31" s="46"/>
      <c r="E31" s="14" t="s">
        <v>186</v>
      </c>
      <c r="F31" s="26"/>
      <c r="G31" s="45"/>
      <c r="H31" s="46"/>
      <c r="I31" s="50"/>
      <c r="J31" s="45"/>
      <c r="K31" s="45"/>
      <c r="L31" s="26"/>
      <c r="M31" s="50" t="str">
        <f t="shared" si="0"/>
        <v>Not submitted</v>
      </c>
      <c r="N31" s="52" t="str">
        <f t="shared" si="1"/>
        <v>Outstanding</v>
      </c>
    </row>
    <row r="32" spans="1:14" ht="26.1" customHeight="1" x14ac:dyDescent="0.25">
      <c r="A32" s="34" t="s">
        <v>997</v>
      </c>
      <c r="B32" s="30" t="s">
        <v>998</v>
      </c>
      <c r="C32" s="30" t="s">
        <v>979</v>
      </c>
      <c r="D32" s="39"/>
      <c r="E32" s="19" t="s">
        <v>186</v>
      </c>
      <c r="F32" s="30"/>
      <c r="G32" s="38"/>
      <c r="H32" s="39"/>
      <c r="I32" s="53"/>
      <c r="J32" s="38"/>
      <c r="K32" s="38"/>
      <c r="L32" s="30"/>
      <c r="M32" s="53" t="str">
        <f t="shared" si="0"/>
        <v>Not submitted</v>
      </c>
      <c r="N32" s="55" t="str">
        <f t="shared" si="1"/>
        <v>Outstanding</v>
      </c>
    </row>
    <row r="33" spans="1:14" ht="26.1" customHeight="1" x14ac:dyDescent="0.25">
      <c r="A33" s="41" t="s">
        <v>999</v>
      </c>
      <c r="B33" s="26" t="s">
        <v>1000</v>
      </c>
      <c r="C33" s="26" t="s">
        <v>159</v>
      </c>
      <c r="D33" s="46"/>
      <c r="E33" s="14" t="s">
        <v>186</v>
      </c>
      <c r="F33" s="26"/>
      <c r="G33" s="45"/>
      <c r="H33" s="46"/>
      <c r="I33" s="50"/>
      <c r="J33" s="45"/>
      <c r="K33" s="45"/>
      <c r="L33" s="26"/>
      <c r="M33" s="50" t="str">
        <f t="shared" si="0"/>
        <v>Not submitted</v>
      </c>
      <c r="N33" s="52" t="str">
        <f t="shared" si="1"/>
        <v>Outstanding</v>
      </c>
    </row>
    <row r="34" spans="1:14" ht="26.1" customHeight="1" x14ac:dyDescent="0.25">
      <c r="A34" s="34" t="s">
        <v>1001</v>
      </c>
      <c r="B34" s="30" t="s">
        <v>1002</v>
      </c>
      <c r="C34" s="30" t="s">
        <v>155</v>
      </c>
      <c r="D34" s="39"/>
      <c r="E34" s="19" t="s">
        <v>186</v>
      </c>
      <c r="F34" s="30"/>
      <c r="G34" s="38"/>
      <c r="H34" s="39"/>
      <c r="I34" s="53"/>
      <c r="J34" s="38"/>
      <c r="K34" s="38"/>
      <c r="L34" s="30"/>
      <c r="M34" s="53" t="str">
        <f t="shared" si="0"/>
        <v>Not submitted</v>
      </c>
      <c r="N34" s="55" t="str">
        <f t="shared" si="1"/>
        <v>Outstanding</v>
      </c>
    </row>
    <row r="35" spans="1:14" ht="26.1" customHeight="1" x14ac:dyDescent="0.25">
      <c r="A35" s="41" t="s">
        <v>1003</v>
      </c>
      <c r="B35" s="26" t="s">
        <v>1004</v>
      </c>
      <c r="C35" s="26" t="s">
        <v>155</v>
      </c>
      <c r="D35" s="46"/>
      <c r="E35" s="14" t="s">
        <v>186</v>
      </c>
      <c r="F35" s="26"/>
      <c r="G35" s="45"/>
      <c r="H35" s="46"/>
      <c r="I35" s="50"/>
      <c r="J35" s="45"/>
      <c r="K35" s="45"/>
      <c r="L35" s="26"/>
      <c r="M35" s="50" t="str">
        <f t="shared" si="0"/>
        <v>Not submitted</v>
      </c>
      <c r="N35" s="52" t="str">
        <f t="shared" si="1"/>
        <v>Outstanding</v>
      </c>
    </row>
    <row r="36" spans="1:14" ht="26.1" customHeight="1" x14ac:dyDescent="0.25">
      <c r="A36" s="34" t="s">
        <v>1005</v>
      </c>
      <c r="B36" s="30" t="s">
        <v>1006</v>
      </c>
      <c r="C36" s="30" t="s">
        <v>163</v>
      </c>
      <c r="D36" s="39"/>
      <c r="E36" s="19" t="s">
        <v>186</v>
      </c>
      <c r="F36" s="30"/>
      <c r="G36" s="38"/>
      <c r="H36" s="39"/>
      <c r="I36" s="53"/>
      <c r="J36" s="38"/>
      <c r="K36" s="38"/>
      <c r="L36" s="30"/>
      <c r="M36" s="53" t="str">
        <f t="shared" si="0"/>
        <v>Not submitted</v>
      </c>
      <c r="N36" s="55" t="str">
        <f t="shared" si="1"/>
        <v>Outstanding</v>
      </c>
    </row>
    <row r="37" spans="1:14" ht="26.1" customHeight="1" x14ac:dyDescent="0.25">
      <c r="A37" s="41" t="s">
        <v>1007</v>
      </c>
      <c r="B37" s="26" t="s">
        <v>1008</v>
      </c>
      <c r="C37" s="26" t="s">
        <v>163</v>
      </c>
      <c r="D37" s="46"/>
      <c r="E37" s="14" t="s">
        <v>186</v>
      </c>
      <c r="F37" s="26"/>
      <c r="G37" s="45"/>
      <c r="H37" s="46"/>
      <c r="I37" s="50"/>
      <c r="J37" s="45"/>
      <c r="K37" s="45"/>
      <c r="L37" s="26"/>
      <c r="M37" s="50" t="str">
        <f t="shared" si="0"/>
        <v>Not submitted</v>
      </c>
      <c r="N37" s="52" t="str">
        <f t="shared" si="1"/>
        <v>Outstanding</v>
      </c>
    </row>
    <row r="38" spans="1:14" ht="26.1" customHeight="1" x14ac:dyDescent="0.25">
      <c r="A38" s="34" t="s">
        <v>1009</v>
      </c>
      <c r="B38" s="30" t="s">
        <v>1010</v>
      </c>
      <c r="C38" s="30" t="s">
        <v>163</v>
      </c>
      <c r="D38" s="39"/>
      <c r="E38" s="19" t="s">
        <v>186</v>
      </c>
      <c r="F38" s="30"/>
      <c r="G38" s="38"/>
      <c r="H38" s="39"/>
      <c r="I38" s="53"/>
      <c r="J38" s="38"/>
      <c r="K38" s="38"/>
      <c r="L38" s="30"/>
      <c r="M38" s="53" t="str">
        <f t="shared" si="0"/>
        <v>Not submitted</v>
      </c>
      <c r="N38" s="55" t="str">
        <f t="shared" si="1"/>
        <v>Outstanding</v>
      </c>
    </row>
    <row r="39" spans="1:14" ht="26.1" customHeight="1" x14ac:dyDescent="0.25">
      <c r="A39" s="41" t="s">
        <v>1011</v>
      </c>
      <c r="B39" s="26" t="s">
        <v>1012</v>
      </c>
      <c r="C39" s="26" t="s">
        <v>163</v>
      </c>
      <c r="D39" s="46"/>
      <c r="E39" s="14" t="s">
        <v>186</v>
      </c>
      <c r="F39" s="26"/>
      <c r="G39" s="45"/>
      <c r="H39" s="46"/>
      <c r="I39" s="50"/>
      <c r="J39" s="45"/>
      <c r="K39" s="45"/>
      <c r="L39" s="26"/>
      <c r="M39" s="50" t="str">
        <f t="shared" si="0"/>
        <v>Not submitted</v>
      </c>
      <c r="N39" s="52" t="str">
        <f t="shared" si="1"/>
        <v>Outstanding</v>
      </c>
    </row>
    <row r="40" spans="1:14" ht="26.1" customHeight="1" x14ac:dyDescent="0.25">
      <c r="A40" s="34" t="s">
        <v>1013</v>
      </c>
      <c r="B40" s="30" t="s">
        <v>1014</v>
      </c>
      <c r="C40" s="30" t="s">
        <v>163</v>
      </c>
      <c r="D40" s="39"/>
      <c r="E40" s="19" t="s">
        <v>186</v>
      </c>
      <c r="F40" s="30"/>
      <c r="G40" s="38"/>
      <c r="H40" s="39"/>
      <c r="I40" s="53"/>
      <c r="J40" s="38"/>
      <c r="K40" s="38"/>
      <c r="L40" s="30"/>
      <c r="M40" s="53" t="str">
        <f t="shared" si="0"/>
        <v>Not submitted</v>
      </c>
      <c r="N40" s="55" t="str">
        <f t="shared" si="1"/>
        <v>Outstanding</v>
      </c>
    </row>
    <row r="41" spans="1:14" ht="26.1" customHeight="1" x14ac:dyDescent="0.25">
      <c r="A41" s="41" t="s">
        <v>1015</v>
      </c>
      <c r="B41" s="26" t="s">
        <v>1016</v>
      </c>
      <c r="C41" s="26" t="s">
        <v>161</v>
      </c>
      <c r="D41" s="46"/>
      <c r="E41" s="14" t="s">
        <v>186</v>
      </c>
      <c r="F41" s="26"/>
      <c r="G41" s="45"/>
      <c r="H41" s="46"/>
      <c r="I41" s="50"/>
      <c r="J41" s="45"/>
      <c r="K41" s="45"/>
      <c r="L41" s="26"/>
      <c r="M41" s="50" t="str">
        <f t="shared" ref="M41:M72" si="2">IF($B41="","",IF($E41="No","Not required",IF($K41&lt;&gt;"","Accepted",IF($I41="Rejected - resubmit","Rejected - resubmit",IF($I41="Accepted with conditions","Accepted with conditions",IF($G41&lt;&gt;"","Under review","Not submitted"))))))</f>
        <v>Not submitted</v>
      </c>
      <c r="N41" s="52" t="str">
        <f t="shared" ref="N41:N72" si="3">IF($M41="","",IF(OR($M41="Accepted",$M41="Not required"),"","Outstanding"))</f>
        <v>Outstanding</v>
      </c>
    </row>
    <row r="42" spans="1:14" ht="26.1" customHeight="1" x14ac:dyDescent="0.25">
      <c r="A42" s="34" t="s">
        <v>1017</v>
      </c>
      <c r="B42" s="30" t="s">
        <v>1018</v>
      </c>
      <c r="C42" s="30" t="s">
        <v>161</v>
      </c>
      <c r="D42" s="39"/>
      <c r="E42" s="19" t="s">
        <v>186</v>
      </c>
      <c r="F42" s="30"/>
      <c r="G42" s="38"/>
      <c r="H42" s="39"/>
      <c r="I42" s="53"/>
      <c r="J42" s="38"/>
      <c r="K42" s="38"/>
      <c r="L42" s="30"/>
      <c r="M42" s="53" t="str">
        <f t="shared" si="2"/>
        <v>Not submitted</v>
      </c>
      <c r="N42" s="55" t="str">
        <f t="shared" si="3"/>
        <v>Outstanding</v>
      </c>
    </row>
    <row r="43" spans="1:14" ht="26.1" customHeight="1" x14ac:dyDescent="0.25">
      <c r="A43" s="41" t="s">
        <v>1019</v>
      </c>
      <c r="B43" s="26" t="s">
        <v>1020</v>
      </c>
      <c r="C43" s="26" t="s">
        <v>161</v>
      </c>
      <c r="D43" s="46"/>
      <c r="E43" s="14" t="s">
        <v>186</v>
      </c>
      <c r="F43" s="26"/>
      <c r="G43" s="45"/>
      <c r="H43" s="46"/>
      <c r="I43" s="50"/>
      <c r="J43" s="45"/>
      <c r="K43" s="45"/>
      <c r="L43" s="26"/>
      <c r="M43" s="50" t="str">
        <f t="shared" si="2"/>
        <v>Not submitted</v>
      </c>
      <c r="N43" s="52" t="str">
        <f t="shared" si="3"/>
        <v>Outstanding</v>
      </c>
    </row>
    <row r="44" spans="1:14" ht="26.1" customHeight="1" x14ac:dyDescent="0.25">
      <c r="A44" s="34" t="s">
        <v>1021</v>
      </c>
      <c r="B44" s="30" t="s">
        <v>1022</v>
      </c>
      <c r="C44" s="30" t="s">
        <v>162</v>
      </c>
      <c r="D44" s="39"/>
      <c r="E44" s="19" t="s">
        <v>186</v>
      </c>
      <c r="F44" s="30"/>
      <c r="G44" s="38"/>
      <c r="H44" s="39"/>
      <c r="I44" s="53"/>
      <c r="J44" s="38"/>
      <c r="K44" s="38"/>
      <c r="L44" s="30"/>
      <c r="M44" s="53" t="str">
        <f t="shared" si="2"/>
        <v>Not submitted</v>
      </c>
      <c r="N44" s="55" t="str">
        <f t="shared" si="3"/>
        <v>Outstanding</v>
      </c>
    </row>
    <row r="45" spans="1:14" ht="26.1" customHeight="1" x14ac:dyDescent="0.25">
      <c r="A45" s="41" t="s">
        <v>1023</v>
      </c>
      <c r="B45" s="26" t="s">
        <v>1024</v>
      </c>
      <c r="C45" s="26" t="s">
        <v>162</v>
      </c>
      <c r="D45" s="46"/>
      <c r="E45" s="14" t="s">
        <v>186</v>
      </c>
      <c r="F45" s="26"/>
      <c r="G45" s="45"/>
      <c r="H45" s="46"/>
      <c r="I45" s="50"/>
      <c r="J45" s="45"/>
      <c r="K45" s="45"/>
      <c r="L45" s="26"/>
      <c r="M45" s="50" t="str">
        <f t="shared" si="2"/>
        <v>Not submitted</v>
      </c>
      <c r="N45" s="52" t="str">
        <f t="shared" si="3"/>
        <v>Outstanding</v>
      </c>
    </row>
    <row r="46" spans="1:14" ht="26.1" customHeight="1" x14ac:dyDescent="0.25">
      <c r="A46" s="34" t="s">
        <v>1025</v>
      </c>
      <c r="B46" s="30" t="s">
        <v>1026</v>
      </c>
      <c r="C46" s="30" t="s">
        <v>162</v>
      </c>
      <c r="D46" s="39"/>
      <c r="E46" s="19" t="s">
        <v>186</v>
      </c>
      <c r="F46" s="30"/>
      <c r="G46" s="38"/>
      <c r="H46" s="39"/>
      <c r="I46" s="53"/>
      <c r="J46" s="38"/>
      <c r="K46" s="38"/>
      <c r="L46" s="30"/>
      <c r="M46" s="53" t="str">
        <f t="shared" si="2"/>
        <v>Not submitted</v>
      </c>
      <c r="N46" s="55" t="str">
        <f t="shared" si="3"/>
        <v>Outstanding</v>
      </c>
    </row>
    <row r="47" spans="1:14" ht="26.1" customHeight="1" x14ac:dyDescent="0.25">
      <c r="A47" s="41" t="s">
        <v>1027</v>
      </c>
      <c r="B47" s="26" t="s">
        <v>1028</v>
      </c>
      <c r="C47" s="26" t="s">
        <v>162</v>
      </c>
      <c r="D47" s="46"/>
      <c r="E47" s="14" t="s">
        <v>186</v>
      </c>
      <c r="F47" s="26"/>
      <c r="G47" s="45"/>
      <c r="H47" s="46"/>
      <c r="I47" s="50"/>
      <c r="J47" s="45"/>
      <c r="K47" s="45"/>
      <c r="L47" s="26"/>
      <c r="M47" s="50" t="str">
        <f t="shared" si="2"/>
        <v>Not submitted</v>
      </c>
      <c r="N47" s="52" t="str">
        <f t="shared" si="3"/>
        <v>Outstanding</v>
      </c>
    </row>
    <row r="48" spans="1:14" ht="26.1" customHeight="1" x14ac:dyDescent="0.25">
      <c r="A48" s="34" t="s">
        <v>1029</v>
      </c>
      <c r="B48" s="30" t="s">
        <v>1030</v>
      </c>
      <c r="C48" s="30" t="s">
        <v>160</v>
      </c>
      <c r="D48" s="39"/>
      <c r="E48" s="19" t="s">
        <v>186</v>
      </c>
      <c r="F48" s="30"/>
      <c r="G48" s="38"/>
      <c r="H48" s="39"/>
      <c r="I48" s="53"/>
      <c r="J48" s="38"/>
      <c r="K48" s="38"/>
      <c r="L48" s="30"/>
      <c r="M48" s="53" t="str">
        <f t="shared" si="2"/>
        <v>Not submitted</v>
      </c>
      <c r="N48" s="55" t="str">
        <f t="shared" si="3"/>
        <v>Outstanding</v>
      </c>
    </row>
    <row r="49" spans="1:14" ht="26.1" customHeight="1" x14ac:dyDescent="0.25">
      <c r="A49" s="41" t="s">
        <v>1031</v>
      </c>
      <c r="B49" s="26" t="s">
        <v>1032</v>
      </c>
      <c r="C49" s="26" t="s">
        <v>160</v>
      </c>
      <c r="D49" s="46"/>
      <c r="E49" s="14" t="s">
        <v>186</v>
      </c>
      <c r="F49" s="26"/>
      <c r="G49" s="45"/>
      <c r="H49" s="46"/>
      <c r="I49" s="50"/>
      <c r="J49" s="45"/>
      <c r="K49" s="45"/>
      <c r="L49" s="26"/>
      <c r="M49" s="50" t="str">
        <f t="shared" si="2"/>
        <v>Not submitted</v>
      </c>
      <c r="N49" s="52" t="str">
        <f t="shared" si="3"/>
        <v>Outstanding</v>
      </c>
    </row>
    <row r="50" spans="1:14" ht="26.1" customHeight="1" x14ac:dyDescent="0.25">
      <c r="A50" s="34" t="s">
        <v>1033</v>
      </c>
      <c r="B50" s="30" t="s">
        <v>1034</v>
      </c>
      <c r="C50" s="30" t="s">
        <v>160</v>
      </c>
      <c r="D50" s="39"/>
      <c r="E50" s="19" t="s">
        <v>186</v>
      </c>
      <c r="F50" s="30"/>
      <c r="G50" s="38"/>
      <c r="H50" s="39"/>
      <c r="I50" s="53"/>
      <c r="J50" s="38"/>
      <c r="K50" s="38"/>
      <c r="L50" s="30"/>
      <c r="M50" s="53" t="str">
        <f t="shared" si="2"/>
        <v>Not submitted</v>
      </c>
      <c r="N50" s="55" t="str">
        <f t="shared" si="3"/>
        <v>Outstanding</v>
      </c>
    </row>
    <row r="51" spans="1:14" ht="26.1" customHeight="1" x14ac:dyDescent="0.25">
      <c r="A51" s="41" t="s">
        <v>1035</v>
      </c>
      <c r="B51" s="26" t="s">
        <v>1036</v>
      </c>
      <c r="C51" s="26" t="s">
        <v>988</v>
      </c>
      <c r="D51" s="46"/>
      <c r="E51" s="14" t="s">
        <v>186</v>
      </c>
      <c r="F51" s="26"/>
      <c r="G51" s="45"/>
      <c r="H51" s="46"/>
      <c r="I51" s="50"/>
      <c r="J51" s="45"/>
      <c r="K51" s="45"/>
      <c r="L51" s="26"/>
      <c r="M51" s="50" t="str">
        <f t="shared" si="2"/>
        <v>Not submitted</v>
      </c>
      <c r="N51" s="52" t="str">
        <f t="shared" si="3"/>
        <v>Outstanding</v>
      </c>
    </row>
    <row r="52" spans="1:14" ht="26.1" customHeight="1" x14ac:dyDescent="0.25">
      <c r="A52" s="34" t="s">
        <v>1037</v>
      </c>
      <c r="B52" s="30" t="s">
        <v>1038</v>
      </c>
      <c r="C52" s="30" t="s">
        <v>970</v>
      </c>
      <c r="D52" s="39"/>
      <c r="E52" s="19" t="s">
        <v>186</v>
      </c>
      <c r="F52" s="30"/>
      <c r="G52" s="38"/>
      <c r="H52" s="39"/>
      <c r="I52" s="53"/>
      <c r="J52" s="38"/>
      <c r="K52" s="38"/>
      <c r="L52" s="30"/>
      <c r="M52" s="53" t="str">
        <f t="shared" si="2"/>
        <v>Not submitted</v>
      </c>
      <c r="N52" s="55" t="str">
        <f t="shared" si="3"/>
        <v>Outstanding</v>
      </c>
    </row>
    <row r="53" spans="1:14" ht="26.1" customHeight="1" x14ac:dyDescent="0.25">
      <c r="A53" s="41" t="s">
        <v>1039</v>
      </c>
      <c r="B53" s="26" t="s">
        <v>1040</v>
      </c>
      <c r="C53" s="26" t="s">
        <v>968</v>
      </c>
      <c r="D53" s="46"/>
      <c r="E53" s="14" t="s">
        <v>186</v>
      </c>
      <c r="F53" s="26"/>
      <c r="G53" s="45"/>
      <c r="H53" s="46"/>
      <c r="I53" s="50"/>
      <c r="J53" s="45"/>
      <c r="K53" s="45"/>
      <c r="L53" s="26"/>
      <c r="M53" s="50" t="str">
        <f t="shared" si="2"/>
        <v>Not submitted</v>
      </c>
      <c r="N53" s="52" t="str">
        <f t="shared" si="3"/>
        <v>Outstanding</v>
      </c>
    </row>
    <row r="54" spans="1:14" ht="26.1" customHeight="1" x14ac:dyDescent="0.25">
      <c r="A54" s="34" t="s">
        <v>1041</v>
      </c>
      <c r="B54" s="30" t="s">
        <v>1042</v>
      </c>
      <c r="C54" s="30" t="s">
        <v>164</v>
      </c>
      <c r="D54" s="39"/>
      <c r="E54" s="19" t="s">
        <v>186</v>
      </c>
      <c r="F54" s="30"/>
      <c r="G54" s="38"/>
      <c r="H54" s="39"/>
      <c r="I54" s="53"/>
      <c r="J54" s="38"/>
      <c r="K54" s="38"/>
      <c r="L54" s="30"/>
      <c r="M54" s="53" t="str">
        <f t="shared" si="2"/>
        <v>Not submitted</v>
      </c>
      <c r="N54" s="55" t="str">
        <f t="shared" si="3"/>
        <v>Outstanding</v>
      </c>
    </row>
    <row r="55" spans="1:14" ht="26.1" customHeight="1" x14ac:dyDescent="0.25">
      <c r="A55" s="41" t="s">
        <v>1043</v>
      </c>
      <c r="B55" s="26" t="s">
        <v>1044</v>
      </c>
      <c r="C55" s="26" t="s">
        <v>988</v>
      </c>
      <c r="D55" s="46"/>
      <c r="E55" s="14" t="s">
        <v>186</v>
      </c>
      <c r="F55" s="26"/>
      <c r="G55" s="45"/>
      <c r="H55" s="46"/>
      <c r="I55" s="50"/>
      <c r="J55" s="45"/>
      <c r="K55" s="45"/>
      <c r="L55" s="26"/>
      <c r="M55" s="50" t="str">
        <f t="shared" si="2"/>
        <v>Not submitted</v>
      </c>
      <c r="N55" s="52" t="str">
        <f t="shared" si="3"/>
        <v>Outstanding</v>
      </c>
    </row>
    <row r="56" spans="1:14" ht="26.1" customHeight="1" x14ac:dyDescent="0.25">
      <c r="A56" s="34" t="s">
        <v>1045</v>
      </c>
      <c r="B56" s="30" t="s">
        <v>1046</v>
      </c>
      <c r="C56" s="30" t="s">
        <v>157</v>
      </c>
      <c r="D56" s="39"/>
      <c r="E56" s="19" t="s">
        <v>186</v>
      </c>
      <c r="F56" s="30"/>
      <c r="G56" s="38"/>
      <c r="H56" s="39"/>
      <c r="I56" s="53"/>
      <c r="J56" s="38"/>
      <c r="K56" s="38"/>
      <c r="L56" s="30"/>
      <c r="M56" s="53" t="str">
        <f t="shared" si="2"/>
        <v>Not submitted</v>
      </c>
      <c r="N56" s="55" t="str">
        <f t="shared" si="3"/>
        <v>Outstanding</v>
      </c>
    </row>
    <row r="57" spans="1:14" ht="26.1" customHeight="1" x14ac:dyDescent="0.25">
      <c r="A57" s="41" t="s">
        <v>1047</v>
      </c>
      <c r="B57" s="26" t="s">
        <v>1048</v>
      </c>
      <c r="C57" s="26" t="s">
        <v>977</v>
      </c>
      <c r="D57" s="46"/>
      <c r="E57" s="14" t="s">
        <v>186</v>
      </c>
      <c r="F57" s="26"/>
      <c r="G57" s="45"/>
      <c r="H57" s="46"/>
      <c r="I57" s="50"/>
      <c r="J57" s="45"/>
      <c r="K57" s="45"/>
      <c r="L57" s="26"/>
      <c r="M57" s="50" t="str">
        <f t="shared" si="2"/>
        <v>Not submitted</v>
      </c>
      <c r="N57" s="52" t="str">
        <f t="shared" si="3"/>
        <v>Outstanding</v>
      </c>
    </row>
    <row r="58" spans="1:14" ht="26.1" customHeight="1" x14ac:dyDescent="0.25">
      <c r="A58" s="34" t="s">
        <v>1049</v>
      </c>
      <c r="B58" s="30" t="s">
        <v>1050</v>
      </c>
      <c r="C58" s="30" t="s">
        <v>988</v>
      </c>
      <c r="D58" s="39"/>
      <c r="E58" s="19" t="s">
        <v>186</v>
      </c>
      <c r="F58" s="30"/>
      <c r="G58" s="38"/>
      <c r="H58" s="39"/>
      <c r="I58" s="53"/>
      <c r="J58" s="38"/>
      <c r="K58" s="38"/>
      <c r="L58" s="30"/>
      <c r="M58" s="53" t="str">
        <f t="shared" si="2"/>
        <v>Not submitted</v>
      </c>
      <c r="N58" s="55" t="str">
        <f t="shared" si="3"/>
        <v>Outstanding</v>
      </c>
    </row>
    <row r="59" spans="1:14" ht="26.1" customHeight="1" x14ac:dyDescent="0.25">
      <c r="A59" s="41" t="s">
        <v>1051</v>
      </c>
      <c r="B59" s="26" t="s">
        <v>1052</v>
      </c>
      <c r="C59" s="26" t="s">
        <v>1053</v>
      </c>
      <c r="D59" s="46"/>
      <c r="E59" s="14" t="s">
        <v>186</v>
      </c>
      <c r="F59" s="26"/>
      <c r="G59" s="45"/>
      <c r="H59" s="46"/>
      <c r="I59" s="50"/>
      <c r="J59" s="45"/>
      <c r="K59" s="45"/>
      <c r="L59" s="26"/>
      <c r="M59" s="50" t="str">
        <f t="shared" si="2"/>
        <v>Not submitted</v>
      </c>
      <c r="N59" s="52" t="str">
        <f t="shared" si="3"/>
        <v>Outstanding</v>
      </c>
    </row>
    <row r="60" spans="1:14" ht="26.1" customHeight="1" x14ac:dyDescent="0.25">
      <c r="A60" s="34" t="s">
        <v>1054</v>
      </c>
      <c r="B60" s="30" t="s">
        <v>1055</v>
      </c>
      <c r="C60" s="30" t="s">
        <v>1053</v>
      </c>
      <c r="D60" s="39"/>
      <c r="E60" s="19" t="s">
        <v>186</v>
      </c>
      <c r="F60" s="30"/>
      <c r="G60" s="38"/>
      <c r="H60" s="39"/>
      <c r="I60" s="53"/>
      <c r="J60" s="38"/>
      <c r="K60" s="38"/>
      <c r="L60" s="30"/>
      <c r="M60" s="53" t="str">
        <f t="shared" si="2"/>
        <v>Not submitted</v>
      </c>
      <c r="N60" s="55" t="str">
        <f t="shared" si="3"/>
        <v>Outstanding</v>
      </c>
    </row>
    <row r="61" spans="1:14" ht="26.1" customHeight="1" x14ac:dyDescent="0.25">
      <c r="A61" s="41" t="s">
        <v>1056</v>
      </c>
      <c r="B61" s="26" t="s">
        <v>1057</v>
      </c>
      <c r="C61" s="26" t="s">
        <v>966</v>
      </c>
      <c r="D61" s="46"/>
      <c r="E61" s="14" t="s">
        <v>186</v>
      </c>
      <c r="F61" s="26"/>
      <c r="G61" s="45"/>
      <c r="H61" s="46"/>
      <c r="I61" s="50"/>
      <c r="J61" s="45"/>
      <c r="K61" s="45"/>
      <c r="L61" s="26"/>
      <c r="M61" s="50" t="str">
        <f t="shared" si="2"/>
        <v>Not submitted</v>
      </c>
      <c r="N61" s="52" t="str">
        <f t="shared" si="3"/>
        <v>Outstanding</v>
      </c>
    </row>
    <row r="62" spans="1:14" ht="26.1" customHeight="1" x14ac:dyDescent="0.25">
      <c r="A62" s="34" t="s">
        <v>1058</v>
      </c>
      <c r="B62" s="30" t="s">
        <v>1059</v>
      </c>
      <c r="C62" s="30" t="s">
        <v>988</v>
      </c>
      <c r="D62" s="39"/>
      <c r="E62" s="19" t="s">
        <v>186</v>
      </c>
      <c r="F62" s="30"/>
      <c r="G62" s="38"/>
      <c r="H62" s="39"/>
      <c r="I62" s="53"/>
      <c r="J62" s="38"/>
      <c r="K62" s="38"/>
      <c r="L62" s="30"/>
      <c r="M62" s="53" t="str">
        <f t="shared" si="2"/>
        <v>Not submitted</v>
      </c>
      <c r="N62" s="55" t="str">
        <f t="shared" si="3"/>
        <v>Outstanding</v>
      </c>
    </row>
    <row r="63" spans="1:14" ht="26.1" customHeight="1" x14ac:dyDescent="0.25">
      <c r="A63" s="41" t="s">
        <v>1060</v>
      </c>
      <c r="B63" s="26" t="s">
        <v>1061</v>
      </c>
      <c r="C63" s="26" t="s">
        <v>988</v>
      </c>
      <c r="D63" s="46"/>
      <c r="E63" s="14" t="s">
        <v>186</v>
      </c>
      <c r="F63" s="26"/>
      <c r="G63" s="45"/>
      <c r="H63" s="46"/>
      <c r="I63" s="50"/>
      <c r="J63" s="45"/>
      <c r="K63" s="45"/>
      <c r="L63" s="26"/>
      <c r="M63" s="50" t="str">
        <f t="shared" si="2"/>
        <v>Not submitted</v>
      </c>
      <c r="N63" s="52" t="str">
        <f t="shared" si="3"/>
        <v>Outstanding</v>
      </c>
    </row>
    <row r="64" spans="1:14" ht="26.1" customHeight="1" x14ac:dyDescent="0.25">
      <c r="A64" s="34" t="s">
        <v>1062</v>
      </c>
      <c r="B64" s="30" t="s">
        <v>1063</v>
      </c>
      <c r="C64" s="30" t="s">
        <v>1053</v>
      </c>
      <c r="D64" s="39"/>
      <c r="E64" s="19" t="s">
        <v>186</v>
      </c>
      <c r="F64" s="30"/>
      <c r="G64" s="38"/>
      <c r="H64" s="39"/>
      <c r="I64" s="53"/>
      <c r="J64" s="38"/>
      <c r="K64" s="38"/>
      <c r="L64" s="30"/>
      <c r="M64" s="53" t="str">
        <f t="shared" si="2"/>
        <v>Not submitted</v>
      </c>
      <c r="N64" s="55" t="str">
        <f t="shared" si="3"/>
        <v>Outstanding</v>
      </c>
    </row>
    <row r="65" spans="1:14" ht="26.1" customHeight="1" x14ac:dyDescent="0.25">
      <c r="A65" s="41" t="s">
        <v>1064</v>
      </c>
      <c r="B65" s="26" t="s">
        <v>1065</v>
      </c>
      <c r="C65" s="26" t="s">
        <v>165</v>
      </c>
      <c r="D65" s="46"/>
      <c r="E65" s="14" t="s">
        <v>186</v>
      </c>
      <c r="F65" s="26"/>
      <c r="G65" s="45"/>
      <c r="H65" s="46"/>
      <c r="I65" s="50"/>
      <c r="J65" s="45"/>
      <c r="K65" s="45"/>
      <c r="L65" s="26"/>
      <c r="M65" s="50" t="str">
        <f t="shared" si="2"/>
        <v>Not submitted</v>
      </c>
      <c r="N65" s="52" t="str">
        <f t="shared" si="3"/>
        <v>Outstanding</v>
      </c>
    </row>
    <row r="66" spans="1:14" ht="26.1" customHeight="1" x14ac:dyDescent="0.25">
      <c r="A66" s="34" t="s">
        <v>1066</v>
      </c>
      <c r="B66" s="30" t="s">
        <v>1067</v>
      </c>
      <c r="C66" s="30" t="s">
        <v>1053</v>
      </c>
      <c r="D66" s="39"/>
      <c r="E66" s="19" t="s">
        <v>186</v>
      </c>
      <c r="F66" s="30"/>
      <c r="G66" s="38"/>
      <c r="H66" s="39"/>
      <c r="I66" s="53"/>
      <c r="J66" s="38"/>
      <c r="K66" s="38"/>
      <c r="L66" s="30"/>
      <c r="M66" s="53" t="str">
        <f t="shared" si="2"/>
        <v>Not submitted</v>
      </c>
      <c r="N66" s="55" t="str">
        <f t="shared" si="3"/>
        <v>Outstanding</v>
      </c>
    </row>
    <row r="67" spans="1:14" ht="26.1" customHeight="1" x14ac:dyDescent="0.25">
      <c r="A67" s="41"/>
      <c r="B67" s="26"/>
      <c r="C67" s="26"/>
      <c r="D67" s="46"/>
      <c r="E67" s="14"/>
      <c r="F67" s="26"/>
      <c r="G67" s="45"/>
      <c r="H67" s="46"/>
      <c r="I67" s="50"/>
      <c r="J67" s="45"/>
      <c r="K67" s="45"/>
      <c r="L67" s="26"/>
      <c r="M67" s="50" t="str">
        <f t="shared" si="2"/>
        <v/>
      </c>
      <c r="N67" s="52" t="str">
        <f t="shared" si="3"/>
        <v/>
      </c>
    </row>
    <row r="68" spans="1:14" ht="26.1" customHeight="1" x14ac:dyDescent="0.25">
      <c r="A68" s="34"/>
      <c r="B68" s="30"/>
      <c r="C68" s="30"/>
      <c r="D68" s="39"/>
      <c r="E68" s="19"/>
      <c r="F68" s="30"/>
      <c r="G68" s="38"/>
      <c r="H68" s="39"/>
      <c r="I68" s="53"/>
      <c r="J68" s="38"/>
      <c r="K68" s="38"/>
      <c r="L68" s="30"/>
      <c r="M68" s="53" t="str">
        <f t="shared" si="2"/>
        <v/>
      </c>
      <c r="N68" s="55" t="str">
        <f t="shared" si="3"/>
        <v/>
      </c>
    </row>
    <row r="69" spans="1:14" ht="26.1" customHeight="1" x14ac:dyDescent="0.25">
      <c r="A69" s="41"/>
      <c r="B69" s="26"/>
      <c r="C69" s="26"/>
      <c r="D69" s="46"/>
      <c r="E69" s="14"/>
      <c r="F69" s="26"/>
      <c r="G69" s="45"/>
      <c r="H69" s="46"/>
      <c r="I69" s="50"/>
      <c r="J69" s="45"/>
      <c r="K69" s="45"/>
      <c r="L69" s="26"/>
      <c r="M69" s="50" t="str">
        <f t="shared" si="2"/>
        <v/>
      </c>
      <c r="N69" s="52" t="str">
        <f t="shared" si="3"/>
        <v/>
      </c>
    </row>
    <row r="70" spans="1:14" ht="26.1" customHeight="1" x14ac:dyDescent="0.25">
      <c r="A70" s="34"/>
      <c r="B70" s="30"/>
      <c r="C70" s="30"/>
      <c r="D70" s="39"/>
      <c r="E70" s="19"/>
      <c r="F70" s="30"/>
      <c r="G70" s="38"/>
      <c r="H70" s="39"/>
      <c r="I70" s="53"/>
      <c r="J70" s="38"/>
      <c r="K70" s="38"/>
      <c r="L70" s="30"/>
      <c r="M70" s="53" t="str">
        <f t="shared" si="2"/>
        <v/>
      </c>
      <c r="N70" s="55" t="str">
        <f t="shared" si="3"/>
        <v/>
      </c>
    </row>
    <row r="71" spans="1:14" ht="26.1" customHeight="1" x14ac:dyDescent="0.25">
      <c r="A71" s="41"/>
      <c r="B71" s="26"/>
      <c r="C71" s="26"/>
      <c r="D71" s="46"/>
      <c r="E71" s="14"/>
      <c r="F71" s="26"/>
      <c r="G71" s="45"/>
      <c r="H71" s="46"/>
      <c r="I71" s="50"/>
      <c r="J71" s="45"/>
      <c r="K71" s="45"/>
      <c r="L71" s="26"/>
      <c r="M71" s="50" t="str">
        <f t="shared" si="2"/>
        <v/>
      </c>
      <c r="N71" s="52" t="str">
        <f t="shared" si="3"/>
        <v/>
      </c>
    </row>
    <row r="72" spans="1:14" ht="26.1" customHeight="1" x14ac:dyDescent="0.25">
      <c r="A72" s="34"/>
      <c r="B72" s="30"/>
      <c r="C72" s="30"/>
      <c r="D72" s="39"/>
      <c r="E72" s="19"/>
      <c r="F72" s="30"/>
      <c r="G72" s="38"/>
      <c r="H72" s="39"/>
      <c r="I72" s="53"/>
      <c r="J72" s="38"/>
      <c r="K72" s="38"/>
      <c r="L72" s="30"/>
      <c r="M72" s="53" t="str">
        <f t="shared" si="2"/>
        <v/>
      </c>
      <c r="N72" s="55" t="str">
        <f t="shared" si="3"/>
        <v/>
      </c>
    </row>
    <row r="73" spans="1:14" ht="26.1" customHeight="1" x14ac:dyDescent="0.25">
      <c r="A73" s="41"/>
      <c r="B73" s="26"/>
      <c r="C73" s="26"/>
      <c r="D73" s="46"/>
      <c r="E73" s="14"/>
      <c r="F73" s="26"/>
      <c r="G73" s="45"/>
      <c r="H73" s="46"/>
      <c r="I73" s="50"/>
      <c r="J73" s="45"/>
      <c r="K73" s="45"/>
      <c r="L73" s="26"/>
      <c r="M73" s="50" t="str">
        <f t="shared" ref="M73:M78" si="4">IF($B73="","",IF($E73="No","Not required",IF($K73&lt;&gt;"","Accepted",IF($I73="Rejected - resubmit","Rejected - resubmit",IF($I73="Accepted with conditions","Accepted with conditions",IF($G73&lt;&gt;"","Under review","Not submitted"))))))</f>
        <v/>
      </c>
      <c r="N73" s="52" t="str">
        <f t="shared" ref="N73:N78" si="5">IF($M73="","",IF(OR($M73="Accepted",$M73="Not required"),"","Outstanding"))</f>
        <v/>
      </c>
    </row>
    <row r="74" spans="1:14" ht="26.1" customHeight="1" x14ac:dyDescent="0.25">
      <c r="A74" s="34"/>
      <c r="B74" s="30"/>
      <c r="C74" s="30"/>
      <c r="D74" s="39"/>
      <c r="E74" s="19"/>
      <c r="F74" s="30"/>
      <c r="G74" s="38"/>
      <c r="H74" s="39"/>
      <c r="I74" s="53"/>
      <c r="J74" s="38"/>
      <c r="K74" s="38"/>
      <c r="L74" s="30"/>
      <c r="M74" s="53" t="str">
        <f t="shared" si="4"/>
        <v/>
      </c>
      <c r="N74" s="55" t="str">
        <f t="shared" si="5"/>
        <v/>
      </c>
    </row>
    <row r="75" spans="1:14" ht="26.1" customHeight="1" x14ac:dyDescent="0.25">
      <c r="A75" s="41"/>
      <c r="B75" s="26"/>
      <c r="C75" s="26"/>
      <c r="D75" s="46"/>
      <c r="E75" s="14"/>
      <c r="F75" s="26"/>
      <c r="G75" s="45"/>
      <c r="H75" s="46"/>
      <c r="I75" s="50"/>
      <c r="J75" s="45"/>
      <c r="K75" s="45"/>
      <c r="L75" s="26"/>
      <c r="M75" s="50" t="str">
        <f t="shared" si="4"/>
        <v/>
      </c>
      <c r="N75" s="52" t="str">
        <f t="shared" si="5"/>
        <v/>
      </c>
    </row>
    <row r="76" spans="1:14" ht="26.1" customHeight="1" x14ac:dyDescent="0.25">
      <c r="A76" s="34"/>
      <c r="B76" s="30"/>
      <c r="C76" s="30"/>
      <c r="D76" s="39"/>
      <c r="E76" s="19"/>
      <c r="F76" s="30"/>
      <c r="G76" s="38"/>
      <c r="H76" s="39"/>
      <c r="I76" s="53"/>
      <c r="J76" s="38"/>
      <c r="K76" s="38"/>
      <c r="L76" s="30"/>
      <c r="M76" s="53" t="str">
        <f t="shared" si="4"/>
        <v/>
      </c>
      <c r="N76" s="55" t="str">
        <f t="shared" si="5"/>
        <v/>
      </c>
    </row>
    <row r="77" spans="1:14" ht="26.1" customHeight="1" x14ac:dyDescent="0.25">
      <c r="A77" s="41"/>
      <c r="B77" s="26"/>
      <c r="C77" s="26"/>
      <c r="D77" s="46"/>
      <c r="E77" s="14"/>
      <c r="F77" s="26"/>
      <c r="G77" s="45"/>
      <c r="H77" s="46"/>
      <c r="I77" s="50"/>
      <c r="J77" s="45"/>
      <c r="K77" s="45"/>
      <c r="L77" s="26"/>
      <c r="M77" s="50" t="str">
        <f t="shared" si="4"/>
        <v/>
      </c>
      <c r="N77" s="52" t="str">
        <f t="shared" si="5"/>
        <v/>
      </c>
    </row>
    <row r="78" spans="1:14" ht="26.1" customHeight="1" x14ac:dyDescent="0.25">
      <c r="A78" s="34"/>
      <c r="B78" s="30"/>
      <c r="C78" s="30"/>
      <c r="D78" s="39"/>
      <c r="E78" s="19"/>
      <c r="F78" s="30"/>
      <c r="G78" s="38"/>
      <c r="H78" s="39"/>
      <c r="I78" s="53"/>
      <c r="J78" s="38"/>
      <c r="K78" s="38"/>
      <c r="L78" s="30"/>
      <c r="M78" s="53" t="str">
        <f t="shared" si="4"/>
        <v/>
      </c>
      <c r="N78" s="55" t="str">
        <f t="shared" si="5"/>
        <v/>
      </c>
    </row>
    <row r="79" spans="1:14" ht="24" customHeight="1" x14ac:dyDescent="0.25">
      <c r="A79" s="21" t="s">
        <v>945</v>
      </c>
      <c r="B79" s="21" t="str">
        <f>"Required: "&amp;COUNTIFS($E$9:$E$78,"Yes")&amp;"    ·    Accepted: "&amp;COUNTIFS($M$9:$M$78,"Accepted")&amp;"    ·    Outstanding: "&amp;COUNTIFS($N$9:$N$78,"Outstanding")</f>
        <v>Required: 58    ·    Accepted: 0    ·    Outstanding: 58</v>
      </c>
      <c r="C79" s="21"/>
      <c r="D79" s="21"/>
      <c r="E79" s="21"/>
      <c r="F79" s="21"/>
      <c r="G79" s="21"/>
      <c r="H79" s="21"/>
      <c r="I79" s="21"/>
      <c r="J79" s="21"/>
      <c r="K79" s="21"/>
      <c r="L79" s="21"/>
      <c r="M79" s="21"/>
      <c r="N79" s="21">
        <f>COUNTIFS($N$9:$N$78,"Outstanding")</f>
        <v>58</v>
      </c>
    </row>
    <row r="81" spans="1:14" ht="20.100000000000001" customHeight="1" x14ac:dyDescent="0.25">
      <c r="A81" s="72" t="s">
        <v>100</v>
      </c>
      <c r="B81" s="73"/>
      <c r="C81" s="73"/>
      <c r="D81" s="73"/>
      <c r="E81" s="73"/>
      <c r="F81" s="73"/>
      <c r="G81" s="73"/>
      <c r="H81" s="73"/>
      <c r="I81" s="73"/>
      <c r="J81" s="73"/>
      <c r="K81" s="73"/>
      <c r="L81" s="73"/>
      <c r="M81" s="73"/>
      <c r="N81" s="73"/>
    </row>
  </sheetData>
  <autoFilter ref="A8:N78" xr:uid="{00000000-0009-0000-0000-000005000000}"/>
  <mergeCells count="5">
    <mergeCell ref="A6:N6"/>
    <mergeCell ref="B2:F2"/>
    <mergeCell ref="A4:N4"/>
    <mergeCell ref="G2:N2"/>
    <mergeCell ref="A81:N81"/>
  </mergeCells>
  <conditionalFormatting sqref="M9:M78">
    <cfRule type="cellIs" dxfId="23" priority="1" operator="equal">
      <formula>"Accepted"</formula>
    </cfRule>
    <cfRule type="cellIs" dxfId="22" priority="2" operator="equal">
      <formula>"Not required"</formula>
    </cfRule>
    <cfRule type="cellIs" dxfId="21" priority="3" operator="equal">
      <formula>"Rejected - resubmit"</formula>
    </cfRule>
    <cfRule type="cellIs" dxfId="20" priority="4" operator="equal">
      <formula>"Under review"</formula>
    </cfRule>
    <cfRule type="cellIs" dxfId="19" priority="5" operator="equal">
      <formula>"Not submitted"</formula>
    </cfRule>
    <cfRule type="cellIs" dxfId="18" priority="6" operator="equal">
      <formula>"Accepted with conditions"</formula>
    </cfRule>
  </conditionalFormatting>
  <conditionalFormatting sqref="N9:N78">
    <cfRule type="cellIs" dxfId="17" priority="7" operator="equal">
      <formula>"Outstanding"</formula>
    </cfRule>
  </conditionalFormatting>
  <hyperlinks>
    <hyperlink ref="A2" r:id="rId1" xr:uid="{00000000-0004-0000-0500-000000000000}"/>
    <hyperlink ref="A81" r:id="rId2" xr:uid="{00000000-0004-0000-0500-000001000000}"/>
  </hyperlinks>
  <pageMargins left="0.3" right="0.3" top="0.45" bottom="0.45" header="0.5" footer="0.5"/>
  <pageSetup paperSize="8"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3">
        <x14:dataValidation type="list" allowBlank="1" showErrorMessage="1" errorTitle="Invalid entry" error="Choose a value from the drop-down list." xr:uid="{00000000-0002-0000-0500-000000000000}">
          <x14:formula1>
            <xm:f>Lists!$B$2:$B$3</xm:f>
          </x14:formula1>
          <xm:sqref>E9:E78</xm:sqref>
        </x14:dataValidation>
        <x14:dataValidation type="list" allowBlank="1" showErrorMessage="1" errorTitle="Invalid entry" error="Choose a value from the drop-down list." xr:uid="{00000000-0002-0000-0500-000001000000}">
          <x14:formula1>
            <xm:f>Lists!$E$2:$E$11</xm:f>
          </x14:formula1>
          <xm:sqref>F9:F78</xm:sqref>
        </x14:dataValidation>
        <x14:dataValidation type="list" allowBlank="1" showErrorMessage="1" errorTitle="Invalid entry" error="Choose a value from the drop-down list." xr:uid="{00000000-0002-0000-0500-000002000000}">
          <x14:formula1>
            <xm:f>Lists!$I$2:$I$5</xm:f>
          </x14:formula1>
          <xm:sqref>I9:I78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9"/>
  <sheetViews>
    <sheetView showGridLines="0" workbookViewId="0">
      <pane xSplit="2" ySplit="8" topLeftCell="C56" activePane="bottomRight" state="frozen"/>
      <selection pane="topRight"/>
      <selection pane="bottomLeft"/>
      <selection pane="bottomRight"/>
    </sheetView>
  </sheetViews>
  <sheetFormatPr defaultRowHeight="15" x14ac:dyDescent="0.25"/>
  <cols>
    <col min="1" max="1" width="10" customWidth="1"/>
    <col min="2" max="2" width="24" customWidth="1"/>
    <col min="3" max="3" width="26" customWidth="1"/>
    <col min="4" max="4" width="46" customWidth="1"/>
    <col min="5" max="5" width="44" customWidth="1"/>
    <col min="6" max="6" width="22" customWidth="1"/>
    <col min="7" max="7" width="20" customWidth="1"/>
    <col min="8" max="10" width="13" customWidth="1"/>
    <col min="11" max="11" width="18" customWidth="1"/>
    <col min="12" max="12" width="12" customWidth="1"/>
    <col min="13" max="13" width="24" customWidth="1"/>
  </cols>
  <sheetData>
    <row r="1" spans="1:13" ht="9.9499999999999993" customHeight="1" x14ac:dyDescent="0.25">
      <c r="A1" s="1"/>
      <c r="B1" s="1"/>
      <c r="C1" s="1"/>
      <c r="D1" s="1"/>
      <c r="E1" s="1"/>
      <c r="F1" s="1"/>
      <c r="G1" s="1"/>
      <c r="H1" s="1"/>
      <c r="I1" s="1"/>
      <c r="J1" s="1"/>
      <c r="K1" s="1"/>
      <c r="L1" s="1"/>
      <c r="M1" s="1"/>
    </row>
    <row r="2" spans="1:13" ht="26.1" customHeight="1" x14ac:dyDescent="0.25">
      <c r="A2" s="2" t="s">
        <v>0</v>
      </c>
      <c r="B2" s="114" t="s">
        <v>1068</v>
      </c>
      <c r="C2" s="71"/>
      <c r="D2" s="71"/>
      <c r="E2" s="71"/>
      <c r="F2" s="71"/>
      <c r="G2" s="85" t="s">
        <v>1069</v>
      </c>
      <c r="H2" s="71"/>
      <c r="I2" s="71"/>
      <c r="J2" s="71"/>
      <c r="K2" s="71"/>
      <c r="L2" s="71"/>
      <c r="M2" s="71"/>
    </row>
    <row r="3" spans="1:13" ht="14.1" customHeight="1" x14ac:dyDescent="0.25">
      <c r="A3" s="1"/>
      <c r="B3" s="1"/>
      <c r="C3" s="1"/>
      <c r="D3" s="1"/>
      <c r="E3" s="1"/>
      <c r="F3" s="1"/>
      <c r="G3" s="1"/>
      <c r="H3" s="1"/>
      <c r="I3" s="1"/>
      <c r="J3" s="1"/>
      <c r="K3" s="1"/>
      <c r="L3" s="1"/>
      <c r="M3" s="1"/>
    </row>
    <row r="4" spans="1:13" ht="3" customHeight="1" x14ac:dyDescent="0.25">
      <c r="A4" s="88"/>
      <c r="B4" s="88"/>
      <c r="C4" s="88"/>
      <c r="D4" s="88"/>
      <c r="E4" s="88"/>
      <c r="F4" s="88"/>
      <c r="G4" s="88"/>
      <c r="H4" s="88"/>
      <c r="I4" s="88"/>
      <c r="J4" s="88"/>
      <c r="K4" s="88"/>
      <c r="L4" s="88"/>
      <c r="M4" s="88"/>
    </row>
    <row r="6" spans="1:13" ht="30" customHeight="1" x14ac:dyDescent="0.25">
      <c r="A6" s="100" t="s">
        <v>1070</v>
      </c>
      <c r="B6" s="71"/>
      <c r="C6" s="71"/>
      <c r="D6" s="71"/>
      <c r="E6" s="71"/>
      <c r="F6" s="71"/>
      <c r="G6" s="71"/>
      <c r="H6" s="71"/>
      <c r="I6" s="71"/>
      <c r="J6" s="71"/>
      <c r="K6" s="71"/>
      <c r="L6" s="71"/>
      <c r="M6" s="71"/>
    </row>
    <row r="7" spans="1:13" ht="6" customHeight="1" x14ac:dyDescent="0.25"/>
    <row r="8" spans="1:13" ht="33.950000000000003" customHeight="1" x14ac:dyDescent="0.25">
      <c r="A8" s="10" t="s">
        <v>172</v>
      </c>
      <c r="B8" s="10" t="s">
        <v>1071</v>
      </c>
      <c r="C8" s="10" t="s">
        <v>1072</v>
      </c>
      <c r="D8" s="10" t="s">
        <v>1073</v>
      </c>
      <c r="E8" s="10" t="s">
        <v>1074</v>
      </c>
      <c r="F8" s="10" t="s">
        <v>199</v>
      </c>
      <c r="G8" s="10" t="s">
        <v>1075</v>
      </c>
      <c r="H8" s="10" t="s">
        <v>1076</v>
      </c>
      <c r="I8" s="10" t="s">
        <v>1077</v>
      </c>
      <c r="J8" s="10" t="s">
        <v>1078</v>
      </c>
      <c r="K8" s="10" t="s">
        <v>1079</v>
      </c>
      <c r="L8" s="10" t="s">
        <v>1080</v>
      </c>
      <c r="M8" s="10" t="s">
        <v>78</v>
      </c>
    </row>
    <row r="9" spans="1:13" ht="30" customHeight="1" x14ac:dyDescent="0.25">
      <c r="A9" s="41" t="s">
        <v>1081</v>
      </c>
      <c r="B9" s="26" t="s">
        <v>160</v>
      </c>
      <c r="C9" s="26" t="s">
        <v>1082</v>
      </c>
      <c r="D9" s="26" t="s">
        <v>1083</v>
      </c>
      <c r="E9" s="43" t="s">
        <v>1084</v>
      </c>
      <c r="F9" s="26"/>
      <c r="G9" s="26"/>
      <c r="H9" s="45"/>
      <c r="I9" s="45"/>
      <c r="J9" s="14"/>
      <c r="K9" s="46"/>
      <c r="L9" s="45"/>
      <c r="M9" s="50" t="str">
        <f t="shared" ref="M9:M56" ca="1" si="0">IF($B9="","",IF($I9&lt;&gt;"",IF($J9="Pass","Complete",IF($J9="Conditional","Complete with conditions",IF($J9="Fail","Failed - retest required","Awaiting result"))),IF($H9="","Not scheduled",IF($H9&lt;TODAY(),"Overdue","Scheduled"))))</f>
        <v>Not scheduled</v>
      </c>
    </row>
    <row r="10" spans="1:13" ht="30" customHeight="1" x14ac:dyDescent="0.25">
      <c r="A10" s="34" t="s">
        <v>1085</v>
      </c>
      <c r="B10" s="30" t="s">
        <v>160</v>
      </c>
      <c r="C10" s="30" t="s">
        <v>1086</v>
      </c>
      <c r="D10" s="30" t="s">
        <v>1087</v>
      </c>
      <c r="E10" s="36" t="s">
        <v>1088</v>
      </c>
      <c r="F10" s="30"/>
      <c r="G10" s="30"/>
      <c r="H10" s="38"/>
      <c r="I10" s="38"/>
      <c r="J10" s="19"/>
      <c r="K10" s="39"/>
      <c r="L10" s="38"/>
      <c r="M10" s="53" t="str">
        <f t="shared" ca="1" si="0"/>
        <v>Not scheduled</v>
      </c>
    </row>
    <row r="11" spans="1:13" ht="30" customHeight="1" x14ac:dyDescent="0.25">
      <c r="A11" s="41" t="s">
        <v>1089</v>
      </c>
      <c r="B11" s="26" t="s">
        <v>160</v>
      </c>
      <c r="C11" s="26" t="s">
        <v>1090</v>
      </c>
      <c r="D11" s="26" t="s">
        <v>1091</v>
      </c>
      <c r="E11" s="43" t="s">
        <v>1088</v>
      </c>
      <c r="F11" s="26"/>
      <c r="G11" s="26"/>
      <c r="H11" s="45"/>
      <c r="I11" s="45"/>
      <c r="J11" s="14"/>
      <c r="K11" s="46"/>
      <c r="L11" s="45"/>
      <c r="M11" s="50" t="str">
        <f t="shared" ca="1" si="0"/>
        <v>Not scheduled</v>
      </c>
    </row>
    <row r="12" spans="1:13" ht="30" customHeight="1" x14ac:dyDescent="0.25">
      <c r="A12" s="34" t="s">
        <v>1092</v>
      </c>
      <c r="B12" s="30" t="s">
        <v>160</v>
      </c>
      <c r="C12" s="30" t="s">
        <v>1093</v>
      </c>
      <c r="D12" s="30" t="s">
        <v>1094</v>
      </c>
      <c r="E12" s="36" t="s">
        <v>1095</v>
      </c>
      <c r="F12" s="30"/>
      <c r="G12" s="30"/>
      <c r="H12" s="38"/>
      <c r="I12" s="38"/>
      <c r="J12" s="19"/>
      <c r="K12" s="39"/>
      <c r="L12" s="38"/>
      <c r="M12" s="53" t="str">
        <f t="shared" ca="1" si="0"/>
        <v>Not scheduled</v>
      </c>
    </row>
    <row r="13" spans="1:13" ht="30" customHeight="1" x14ac:dyDescent="0.25">
      <c r="A13" s="41" t="s">
        <v>1096</v>
      </c>
      <c r="B13" s="26" t="s">
        <v>160</v>
      </c>
      <c r="C13" s="26" t="s">
        <v>1097</v>
      </c>
      <c r="D13" s="26" t="s">
        <v>1098</v>
      </c>
      <c r="E13" s="43" t="s">
        <v>1099</v>
      </c>
      <c r="F13" s="26"/>
      <c r="G13" s="26"/>
      <c r="H13" s="45"/>
      <c r="I13" s="45"/>
      <c r="J13" s="14"/>
      <c r="K13" s="46"/>
      <c r="L13" s="45"/>
      <c r="M13" s="50" t="str">
        <f t="shared" ca="1" si="0"/>
        <v>Not scheduled</v>
      </c>
    </row>
    <row r="14" spans="1:13" ht="30" customHeight="1" x14ac:dyDescent="0.25">
      <c r="A14" s="34" t="s">
        <v>1100</v>
      </c>
      <c r="B14" s="30" t="s">
        <v>160</v>
      </c>
      <c r="C14" s="30" t="s">
        <v>1101</v>
      </c>
      <c r="D14" s="30" t="s">
        <v>1102</v>
      </c>
      <c r="E14" s="36" t="s">
        <v>1103</v>
      </c>
      <c r="F14" s="30"/>
      <c r="G14" s="30"/>
      <c r="H14" s="38"/>
      <c r="I14" s="38"/>
      <c r="J14" s="19"/>
      <c r="K14" s="39"/>
      <c r="L14" s="38"/>
      <c r="M14" s="53" t="str">
        <f t="shared" ca="1" si="0"/>
        <v>Not scheduled</v>
      </c>
    </row>
    <row r="15" spans="1:13" ht="30" customHeight="1" x14ac:dyDescent="0.25">
      <c r="A15" s="41" t="s">
        <v>1104</v>
      </c>
      <c r="B15" s="26" t="s">
        <v>162</v>
      </c>
      <c r="C15" s="26" t="s">
        <v>1105</v>
      </c>
      <c r="D15" s="26" t="s">
        <v>1106</v>
      </c>
      <c r="E15" s="43" t="s">
        <v>1107</v>
      </c>
      <c r="F15" s="26"/>
      <c r="G15" s="26"/>
      <c r="H15" s="45"/>
      <c r="I15" s="45"/>
      <c r="J15" s="14"/>
      <c r="K15" s="46"/>
      <c r="L15" s="45"/>
      <c r="M15" s="50" t="str">
        <f t="shared" ca="1" si="0"/>
        <v>Not scheduled</v>
      </c>
    </row>
    <row r="16" spans="1:13" ht="30" customHeight="1" x14ac:dyDescent="0.25">
      <c r="A16" s="34" t="s">
        <v>1108</v>
      </c>
      <c r="B16" s="30" t="s">
        <v>162</v>
      </c>
      <c r="C16" s="30" t="s">
        <v>1109</v>
      </c>
      <c r="D16" s="30" t="s">
        <v>1110</v>
      </c>
      <c r="E16" s="36" t="s">
        <v>1111</v>
      </c>
      <c r="F16" s="30"/>
      <c r="G16" s="30"/>
      <c r="H16" s="38"/>
      <c r="I16" s="38"/>
      <c r="J16" s="19"/>
      <c r="K16" s="39"/>
      <c r="L16" s="38"/>
      <c r="M16" s="53" t="str">
        <f t="shared" ca="1" si="0"/>
        <v>Not scheduled</v>
      </c>
    </row>
    <row r="17" spans="1:13" ht="30" customHeight="1" x14ac:dyDescent="0.25">
      <c r="A17" s="41" t="s">
        <v>1112</v>
      </c>
      <c r="B17" s="26" t="s">
        <v>162</v>
      </c>
      <c r="C17" s="26" t="s">
        <v>1113</v>
      </c>
      <c r="D17" s="26" t="s">
        <v>1114</v>
      </c>
      <c r="E17" s="43" t="s">
        <v>1115</v>
      </c>
      <c r="F17" s="26"/>
      <c r="G17" s="26"/>
      <c r="H17" s="45"/>
      <c r="I17" s="45"/>
      <c r="J17" s="14"/>
      <c r="K17" s="46"/>
      <c r="L17" s="45"/>
      <c r="M17" s="50" t="str">
        <f t="shared" ca="1" si="0"/>
        <v>Not scheduled</v>
      </c>
    </row>
    <row r="18" spans="1:13" ht="30" customHeight="1" x14ac:dyDescent="0.25">
      <c r="A18" s="34" t="s">
        <v>1116</v>
      </c>
      <c r="B18" s="30" t="s">
        <v>162</v>
      </c>
      <c r="C18" s="30" t="s">
        <v>1117</v>
      </c>
      <c r="D18" s="30" t="s">
        <v>1118</v>
      </c>
      <c r="E18" s="36" t="s">
        <v>1119</v>
      </c>
      <c r="F18" s="30"/>
      <c r="G18" s="30"/>
      <c r="H18" s="38"/>
      <c r="I18" s="38"/>
      <c r="J18" s="19"/>
      <c r="K18" s="39"/>
      <c r="L18" s="38"/>
      <c r="M18" s="53" t="str">
        <f t="shared" ca="1" si="0"/>
        <v>Not scheduled</v>
      </c>
    </row>
    <row r="19" spans="1:13" ht="30" customHeight="1" x14ac:dyDescent="0.25">
      <c r="A19" s="41" t="s">
        <v>1120</v>
      </c>
      <c r="B19" s="26" t="s">
        <v>163</v>
      </c>
      <c r="C19" s="26" t="s">
        <v>1121</v>
      </c>
      <c r="D19" s="26" t="s">
        <v>1122</v>
      </c>
      <c r="E19" s="43" t="s">
        <v>1123</v>
      </c>
      <c r="F19" s="26"/>
      <c r="G19" s="26"/>
      <c r="H19" s="45"/>
      <c r="I19" s="45"/>
      <c r="J19" s="14"/>
      <c r="K19" s="46"/>
      <c r="L19" s="45"/>
      <c r="M19" s="50" t="str">
        <f t="shared" ca="1" si="0"/>
        <v>Not scheduled</v>
      </c>
    </row>
    <row r="20" spans="1:13" ht="30" customHeight="1" x14ac:dyDescent="0.25">
      <c r="A20" s="34" t="s">
        <v>1124</v>
      </c>
      <c r="B20" s="30" t="s">
        <v>163</v>
      </c>
      <c r="C20" s="30" t="s">
        <v>1125</v>
      </c>
      <c r="D20" s="30" t="s">
        <v>1126</v>
      </c>
      <c r="E20" s="36" t="s">
        <v>1127</v>
      </c>
      <c r="F20" s="30"/>
      <c r="G20" s="30"/>
      <c r="H20" s="38"/>
      <c r="I20" s="38"/>
      <c r="J20" s="19"/>
      <c r="K20" s="39"/>
      <c r="L20" s="38"/>
      <c r="M20" s="53" t="str">
        <f t="shared" ca="1" si="0"/>
        <v>Not scheduled</v>
      </c>
    </row>
    <row r="21" spans="1:13" ht="30" customHeight="1" x14ac:dyDescent="0.25">
      <c r="A21" s="41" t="s">
        <v>1128</v>
      </c>
      <c r="B21" s="26" t="s">
        <v>163</v>
      </c>
      <c r="C21" s="26" t="s">
        <v>1129</v>
      </c>
      <c r="D21" s="26" t="s">
        <v>1130</v>
      </c>
      <c r="E21" s="43" t="s">
        <v>1131</v>
      </c>
      <c r="F21" s="26"/>
      <c r="G21" s="26"/>
      <c r="H21" s="45"/>
      <c r="I21" s="45"/>
      <c r="J21" s="14"/>
      <c r="K21" s="46"/>
      <c r="L21" s="45"/>
      <c r="M21" s="50" t="str">
        <f t="shared" ca="1" si="0"/>
        <v>Not scheduled</v>
      </c>
    </row>
    <row r="22" spans="1:13" ht="30" customHeight="1" x14ac:dyDescent="0.25">
      <c r="A22" s="34" t="s">
        <v>1132</v>
      </c>
      <c r="B22" s="30" t="s">
        <v>163</v>
      </c>
      <c r="C22" s="30" t="s">
        <v>1133</v>
      </c>
      <c r="D22" s="30" t="s">
        <v>1134</v>
      </c>
      <c r="E22" s="36" t="s">
        <v>1135</v>
      </c>
      <c r="F22" s="30"/>
      <c r="G22" s="30"/>
      <c r="H22" s="38"/>
      <c r="I22" s="38"/>
      <c r="J22" s="19"/>
      <c r="K22" s="39"/>
      <c r="L22" s="38"/>
      <c r="M22" s="53" t="str">
        <f t="shared" ca="1" si="0"/>
        <v>Not scheduled</v>
      </c>
    </row>
    <row r="23" spans="1:13" ht="30" customHeight="1" x14ac:dyDescent="0.25">
      <c r="A23" s="41" t="s">
        <v>1136</v>
      </c>
      <c r="B23" s="26" t="s">
        <v>163</v>
      </c>
      <c r="C23" s="26" t="s">
        <v>1137</v>
      </c>
      <c r="D23" s="26" t="s">
        <v>1138</v>
      </c>
      <c r="E23" s="43" t="s">
        <v>1139</v>
      </c>
      <c r="F23" s="26"/>
      <c r="G23" s="26"/>
      <c r="H23" s="45"/>
      <c r="I23" s="45"/>
      <c r="J23" s="14"/>
      <c r="K23" s="46"/>
      <c r="L23" s="45"/>
      <c r="M23" s="50" t="str">
        <f t="shared" ca="1" si="0"/>
        <v>Not scheduled</v>
      </c>
    </row>
    <row r="24" spans="1:13" ht="30" customHeight="1" x14ac:dyDescent="0.25">
      <c r="A24" s="34" t="s">
        <v>1140</v>
      </c>
      <c r="B24" s="30" t="s">
        <v>163</v>
      </c>
      <c r="C24" s="30" t="s">
        <v>1141</v>
      </c>
      <c r="D24" s="30" t="s">
        <v>1142</v>
      </c>
      <c r="E24" s="36" t="s">
        <v>1143</v>
      </c>
      <c r="F24" s="30"/>
      <c r="G24" s="30"/>
      <c r="H24" s="38"/>
      <c r="I24" s="38"/>
      <c r="J24" s="19"/>
      <c r="K24" s="39"/>
      <c r="L24" s="38"/>
      <c r="M24" s="53" t="str">
        <f t="shared" ca="1" si="0"/>
        <v>Not scheduled</v>
      </c>
    </row>
    <row r="25" spans="1:13" ht="30" customHeight="1" x14ac:dyDescent="0.25">
      <c r="A25" s="41" t="s">
        <v>1144</v>
      </c>
      <c r="B25" s="26" t="s">
        <v>161</v>
      </c>
      <c r="C25" s="26" t="s">
        <v>1145</v>
      </c>
      <c r="D25" s="26" t="s">
        <v>1146</v>
      </c>
      <c r="E25" s="43" t="s">
        <v>1147</v>
      </c>
      <c r="F25" s="26"/>
      <c r="G25" s="26"/>
      <c r="H25" s="45"/>
      <c r="I25" s="45"/>
      <c r="J25" s="14"/>
      <c r="K25" s="46"/>
      <c r="L25" s="45"/>
      <c r="M25" s="50" t="str">
        <f t="shared" ca="1" si="0"/>
        <v>Not scheduled</v>
      </c>
    </row>
    <row r="26" spans="1:13" ht="30" customHeight="1" x14ac:dyDescent="0.25">
      <c r="A26" s="34" t="s">
        <v>1148</v>
      </c>
      <c r="B26" s="30" t="s">
        <v>161</v>
      </c>
      <c r="C26" s="30" t="s">
        <v>1149</v>
      </c>
      <c r="D26" s="30" t="s">
        <v>1150</v>
      </c>
      <c r="E26" s="36" t="s">
        <v>1151</v>
      </c>
      <c r="F26" s="30"/>
      <c r="G26" s="30"/>
      <c r="H26" s="38"/>
      <c r="I26" s="38"/>
      <c r="J26" s="19"/>
      <c r="K26" s="39"/>
      <c r="L26" s="38"/>
      <c r="M26" s="53" t="str">
        <f t="shared" ca="1" si="0"/>
        <v>Not scheduled</v>
      </c>
    </row>
    <row r="27" spans="1:13" ht="30" customHeight="1" x14ac:dyDescent="0.25">
      <c r="A27" s="41" t="s">
        <v>1152</v>
      </c>
      <c r="B27" s="26" t="s">
        <v>161</v>
      </c>
      <c r="C27" s="26" t="s">
        <v>1153</v>
      </c>
      <c r="D27" s="26" t="s">
        <v>1154</v>
      </c>
      <c r="E27" s="43" t="s">
        <v>1147</v>
      </c>
      <c r="F27" s="26"/>
      <c r="G27" s="26"/>
      <c r="H27" s="45"/>
      <c r="I27" s="45"/>
      <c r="J27" s="14"/>
      <c r="K27" s="46"/>
      <c r="L27" s="45"/>
      <c r="M27" s="50" t="str">
        <f t="shared" ca="1" si="0"/>
        <v>Not scheduled</v>
      </c>
    </row>
    <row r="28" spans="1:13" ht="30" customHeight="1" x14ac:dyDescent="0.25">
      <c r="A28" s="34" t="s">
        <v>1155</v>
      </c>
      <c r="B28" s="30" t="s">
        <v>161</v>
      </c>
      <c r="C28" s="30" t="s">
        <v>1156</v>
      </c>
      <c r="D28" s="30" t="s">
        <v>1157</v>
      </c>
      <c r="E28" s="36" t="s">
        <v>1158</v>
      </c>
      <c r="F28" s="30"/>
      <c r="G28" s="30"/>
      <c r="H28" s="38"/>
      <c r="I28" s="38"/>
      <c r="J28" s="19"/>
      <c r="K28" s="39"/>
      <c r="L28" s="38"/>
      <c r="M28" s="53" t="str">
        <f t="shared" ca="1" si="0"/>
        <v>Not scheduled</v>
      </c>
    </row>
    <row r="29" spans="1:13" ht="30" customHeight="1" x14ac:dyDescent="0.25">
      <c r="A29" s="41" t="s">
        <v>1159</v>
      </c>
      <c r="B29" s="26" t="s">
        <v>161</v>
      </c>
      <c r="C29" s="26" t="s">
        <v>1160</v>
      </c>
      <c r="D29" s="26" t="s">
        <v>1161</v>
      </c>
      <c r="E29" s="43" t="s">
        <v>1162</v>
      </c>
      <c r="F29" s="26"/>
      <c r="G29" s="26"/>
      <c r="H29" s="45"/>
      <c r="I29" s="45"/>
      <c r="J29" s="14"/>
      <c r="K29" s="46"/>
      <c r="L29" s="45"/>
      <c r="M29" s="50" t="str">
        <f t="shared" ca="1" si="0"/>
        <v>Not scheduled</v>
      </c>
    </row>
    <row r="30" spans="1:13" ht="30" customHeight="1" x14ac:dyDescent="0.25">
      <c r="A30" s="34" t="s">
        <v>1163</v>
      </c>
      <c r="B30" s="30" t="s">
        <v>161</v>
      </c>
      <c r="C30" s="30" t="s">
        <v>1164</v>
      </c>
      <c r="D30" s="30" t="s">
        <v>1165</v>
      </c>
      <c r="E30" s="36" t="s">
        <v>1151</v>
      </c>
      <c r="F30" s="30"/>
      <c r="G30" s="30"/>
      <c r="H30" s="38"/>
      <c r="I30" s="38"/>
      <c r="J30" s="19"/>
      <c r="K30" s="39"/>
      <c r="L30" s="38"/>
      <c r="M30" s="53" t="str">
        <f t="shared" ca="1" si="0"/>
        <v>Not scheduled</v>
      </c>
    </row>
    <row r="31" spans="1:13" ht="30" customHeight="1" x14ac:dyDescent="0.25">
      <c r="A31" s="41" t="s">
        <v>1166</v>
      </c>
      <c r="B31" s="26" t="s">
        <v>161</v>
      </c>
      <c r="C31" s="26" t="s">
        <v>1167</v>
      </c>
      <c r="D31" s="26" t="s">
        <v>1168</v>
      </c>
      <c r="E31" s="43" t="s">
        <v>1169</v>
      </c>
      <c r="F31" s="26"/>
      <c r="G31" s="26"/>
      <c r="H31" s="45"/>
      <c r="I31" s="45"/>
      <c r="J31" s="14"/>
      <c r="K31" s="46"/>
      <c r="L31" s="45"/>
      <c r="M31" s="50" t="str">
        <f t="shared" ca="1" si="0"/>
        <v>Not scheduled</v>
      </c>
    </row>
    <row r="32" spans="1:13" ht="30" customHeight="1" x14ac:dyDescent="0.25">
      <c r="A32" s="34" t="s">
        <v>1170</v>
      </c>
      <c r="B32" s="30" t="s">
        <v>161</v>
      </c>
      <c r="C32" s="30" t="s">
        <v>1171</v>
      </c>
      <c r="D32" s="30" t="s">
        <v>1172</v>
      </c>
      <c r="E32" s="36" t="s">
        <v>1173</v>
      </c>
      <c r="F32" s="30"/>
      <c r="G32" s="30"/>
      <c r="H32" s="38"/>
      <c r="I32" s="38"/>
      <c r="J32" s="19"/>
      <c r="K32" s="39"/>
      <c r="L32" s="38"/>
      <c r="M32" s="53" t="str">
        <f t="shared" ca="1" si="0"/>
        <v>Not scheduled</v>
      </c>
    </row>
    <row r="33" spans="1:13" ht="30" customHeight="1" x14ac:dyDescent="0.25">
      <c r="A33" s="41" t="s">
        <v>1174</v>
      </c>
      <c r="B33" s="26" t="s">
        <v>164</v>
      </c>
      <c r="C33" s="26" t="s">
        <v>1175</v>
      </c>
      <c r="D33" s="26" t="s">
        <v>1176</v>
      </c>
      <c r="E33" s="43" t="s">
        <v>1177</v>
      </c>
      <c r="F33" s="26"/>
      <c r="G33" s="26"/>
      <c r="H33" s="45"/>
      <c r="I33" s="45"/>
      <c r="J33" s="14"/>
      <c r="K33" s="46"/>
      <c r="L33" s="45"/>
      <c r="M33" s="50" t="str">
        <f t="shared" ca="1" si="0"/>
        <v>Not scheduled</v>
      </c>
    </row>
    <row r="34" spans="1:13" ht="30" customHeight="1" x14ac:dyDescent="0.25">
      <c r="A34" s="34" t="s">
        <v>1178</v>
      </c>
      <c r="B34" s="30" t="s">
        <v>164</v>
      </c>
      <c r="C34" s="30" t="s">
        <v>1175</v>
      </c>
      <c r="D34" s="30" t="s">
        <v>1179</v>
      </c>
      <c r="E34" s="36" t="s">
        <v>1180</v>
      </c>
      <c r="F34" s="30"/>
      <c r="G34" s="30"/>
      <c r="H34" s="38"/>
      <c r="I34" s="38"/>
      <c r="J34" s="19"/>
      <c r="K34" s="39"/>
      <c r="L34" s="38"/>
      <c r="M34" s="53" t="str">
        <f t="shared" ca="1" si="0"/>
        <v>Not scheduled</v>
      </c>
    </row>
    <row r="35" spans="1:13" ht="30" customHeight="1" x14ac:dyDescent="0.25">
      <c r="A35" s="41" t="s">
        <v>1181</v>
      </c>
      <c r="B35" s="26" t="s">
        <v>970</v>
      </c>
      <c r="C35" s="26" t="s">
        <v>1182</v>
      </c>
      <c r="D35" s="26" t="s">
        <v>1183</v>
      </c>
      <c r="E35" s="43" t="s">
        <v>1184</v>
      </c>
      <c r="F35" s="26"/>
      <c r="G35" s="26"/>
      <c r="H35" s="45"/>
      <c r="I35" s="45"/>
      <c r="J35" s="14"/>
      <c r="K35" s="46"/>
      <c r="L35" s="45"/>
      <c r="M35" s="50" t="str">
        <f t="shared" ca="1" si="0"/>
        <v>Not scheduled</v>
      </c>
    </row>
    <row r="36" spans="1:13" ht="30" customHeight="1" x14ac:dyDescent="0.25">
      <c r="A36" s="34" t="s">
        <v>1185</v>
      </c>
      <c r="B36" s="30" t="s">
        <v>970</v>
      </c>
      <c r="C36" s="30" t="s">
        <v>1186</v>
      </c>
      <c r="D36" s="30" t="s">
        <v>1187</v>
      </c>
      <c r="E36" s="36" t="s">
        <v>1184</v>
      </c>
      <c r="F36" s="30"/>
      <c r="G36" s="30"/>
      <c r="H36" s="38"/>
      <c r="I36" s="38"/>
      <c r="J36" s="19"/>
      <c r="K36" s="39"/>
      <c r="L36" s="38"/>
      <c r="M36" s="53" t="str">
        <f t="shared" ca="1" si="0"/>
        <v>Not scheduled</v>
      </c>
    </row>
    <row r="37" spans="1:13" ht="30" customHeight="1" x14ac:dyDescent="0.25">
      <c r="A37" s="41" t="s">
        <v>1188</v>
      </c>
      <c r="B37" s="26" t="s">
        <v>966</v>
      </c>
      <c r="C37" s="26" t="s">
        <v>1189</v>
      </c>
      <c r="D37" s="26" t="s">
        <v>1190</v>
      </c>
      <c r="E37" s="43" t="s">
        <v>1191</v>
      </c>
      <c r="F37" s="26"/>
      <c r="G37" s="26"/>
      <c r="H37" s="45"/>
      <c r="I37" s="45"/>
      <c r="J37" s="14"/>
      <c r="K37" s="46"/>
      <c r="L37" s="45"/>
      <c r="M37" s="50" t="str">
        <f t="shared" ca="1" si="0"/>
        <v>Not scheduled</v>
      </c>
    </row>
    <row r="38" spans="1:13" ht="30" customHeight="1" x14ac:dyDescent="0.25">
      <c r="A38" s="34" t="s">
        <v>1192</v>
      </c>
      <c r="B38" s="30" t="s">
        <v>968</v>
      </c>
      <c r="C38" s="30" t="s">
        <v>1193</v>
      </c>
      <c r="D38" s="30" t="s">
        <v>1194</v>
      </c>
      <c r="E38" s="36" t="s">
        <v>1195</v>
      </c>
      <c r="F38" s="30"/>
      <c r="G38" s="30"/>
      <c r="H38" s="38"/>
      <c r="I38" s="38"/>
      <c r="J38" s="19"/>
      <c r="K38" s="39"/>
      <c r="L38" s="38"/>
      <c r="M38" s="53" t="str">
        <f t="shared" ca="1" si="0"/>
        <v>Not scheduled</v>
      </c>
    </row>
    <row r="39" spans="1:13" ht="30" customHeight="1" x14ac:dyDescent="0.25">
      <c r="A39" s="41" t="s">
        <v>1196</v>
      </c>
      <c r="B39" s="26" t="s">
        <v>968</v>
      </c>
      <c r="C39" s="26" t="s">
        <v>1197</v>
      </c>
      <c r="D39" s="26" t="s">
        <v>1198</v>
      </c>
      <c r="E39" s="43" t="s">
        <v>1199</v>
      </c>
      <c r="F39" s="26"/>
      <c r="G39" s="26"/>
      <c r="H39" s="45"/>
      <c r="I39" s="45"/>
      <c r="J39" s="14"/>
      <c r="K39" s="46"/>
      <c r="L39" s="45"/>
      <c r="M39" s="50" t="str">
        <f t="shared" ca="1" si="0"/>
        <v>Not scheduled</v>
      </c>
    </row>
    <row r="40" spans="1:13" ht="30" customHeight="1" x14ac:dyDescent="0.25">
      <c r="A40" s="34" t="s">
        <v>1200</v>
      </c>
      <c r="B40" s="30" t="s">
        <v>1201</v>
      </c>
      <c r="C40" s="30" t="s">
        <v>1202</v>
      </c>
      <c r="D40" s="30" t="s">
        <v>1203</v>
      </c>
      <c r="E40" s="36" t="s">
        <v>1204</v>
      </c>
      <c r="F40" s="30"/>
      <c r="G40" s="30"/>
      <c r="H40" s="38"/>
      <c r="I40" s="38"/>
      <c r="J40" s="19"/>
      <c r="K40" s="39"/>
      <c r="L40" s="38"/>
      <c r="M40" s="53" t="str">
        <f t="shared" ca="1" si="0"/>
        <v>Not scheduled</v>
      </c>
    </row>
    <row r="41" spans="1:13" ht="30" customHeight="1" x14ac:dyDescent="0.25">
      <c r="A41" s="41" t="s">
        <v>1205</v>
      </c>
      <c r="B41" s="26" t="s">
        <v>988</v>
      </c>
      <c r="C41" s="26" t="s">
        <v>1206</v>
      </c>
      <c r="D41" s="26" t="s">
        <v>1207</v>
      </c>
      <c r="E41" s="43" t="s">
        <v>1208</v>
      </c>
      <c r="F41" s="26"/>
      <c r="G41" s="26"/>
      <c r="H41" s="45"/>
      <c r="I41" s="45"/>
      <c r="J41" s="14"/>
      <c r="K41" s="46"/>
      <c r="L41" s="45"/>
      <c r="M41" s="50" t="str">
        <f t="shared" ca="1" si="0"/>
        <v>Not scheduled</v>
      </c>
    </row>
    <row r="42" spans="1:13" ht="30" customHeight="1" x14ac:dyDescent="0.25">
      <c r="A42" s="34" t="s">
        <v>1209</v>
      </c>
      <c r="B42" s="30" t="s">
        <v>988</v>
      </c>
      <c r="C42" s="30" t="s">
        <v>1206</v>
      </c>
      <c r="D42" s="30" t="s">
        <v>1210</v>
      </c>
      <c r="E42" s="36" t="s">
        <v>1208</v>
      </c>
      <c r="F42" s="30"/>
      <c r="G42" s="30"/>
      <c r="H42" s="38"/>
      <c r="I42" s="38"/>
      <c r="J42" s="19"/>
      <c r="K42" s="39"/>
      <c r="L42" s="38"/>
      <c r="M42" s="53" t="str">
        <f t="shared" ca="1" si="0"/>
        <v>Not scheduled</v>
      </c>
    </row>
    <row r="43" spans="1:13" ht="30" customHeight="1" x14ac:dyDescent="0.25">
      <c r="A43" s="41" t="s">
        <v>1211</v>
      </c>
      <c r="B43" s="26" t="s">
        <v>1212</v>
      </c>
      <c r="C43" s="26" t="s">
        <v>1213</v>
      </c>
      <c r="D43" s="26" t="s">
        <v>1214</v>
      </c>
      <c r="E43" s="43" t="s">
        <v>1215</v>
      </c>
      <c r="F43" s="26"/>
      <c r="G43" s="26"/>
      <c r="H43" s="45"/>
      <c r="I43" s="45"/>
      <c r="J43" s="14"/>
      <c r="K43" s="46"/>
      <c r="L43" s="45"/>
      <c r="M43" s="50" t="str">
        <f t="shared" ca="1" si="0"/>
        <v>Not scheduled</v>
      </c>
    </row>
    <row r="44" spans="1:13" ht="30" customHeight="1" x14ac:dyDescent="0.25">
      <c r="A44" s="34" t="s">
        <v>1216</v>
      </c>
      <c r="B44" s="30" t="s">
        <v>155</v>
      </c>
      <c r="C44" s="30" t="s">
        <v>1217</v>
      </c>
      <c r="D44" s="30" t="s">
        <v>1218</v>
      </c>
      <c r="E44" s="36" t="s">
        <v>1219</v>
      </c>
      <c r="F44" s="30"/>
      <c r="G44" s="30"/>
      <c r="H44" s="38"/>
      <c r="I44" s="38"/>
      <c r="J44" s="19"/>
      <c r="K44" s="39"/>
      <c r="L44" s="38"/>
      <c r="M44" s="53" t="str">
        <f t="shared" ca="1" si="0"/>
        <v>Not scheduled</v>
      </c>
    </row>
    <row r="45" spans="1:13" ht="30" customHeight="1" x14ac:dyDescent="0.25">
      <c r="A45" s="41"/>
      <c r="B45" s="26"/>
      <c r="C45" s="26"/>
      <c r="D45" s="26"/>
      <c r="E45" s="43"/>
      <c r="F45" s="26"/>
      <c r="G45" s="26"/>
      <c r="H45" s="45"/>
      <c r="I45" s="45"/>
      <c r="J45" s="14"/>
      <c r="K45" s="46"/>
      <c r="L45" s="45"/>
      <c r="M45" s="50" t="str">
        <f t="shared" ca="1" si="0"/>
        <v/>
      </c>
    </row>
    <row r="46" spans="1:13" ht="30" customHeight="1" x14ac:dyDescent="0.25">
      <c r="A46" s="34"/>
      <c r="B46" s="30"/>
      <c r="C46" s="30"/>
      <c r="D46" s="30"/>
      <c r="E46" s="36"/>
      <c r="F46" s="30"/>
      <c r="G46" s="30"/>
      <c r="H46" s="38"/>
      <c r="I46" s="38"/>
      <c r="J46" s="19"/>
      <c r="K46" s="39"/>
      <c r="L46" s="38"/>
      <c r="M46" s="53" t="str">
        <f t="shared" ca="1" si="0"/>
        <v/>
      </c>
    </row>
    <row r="47" spans="1:13" ht="30" customHeight="1" x14ac:dyDescent="0.25">
      <c r="A47" s="41"/>
      <c r="B47" s="26"/>
      <c r="C47" s="26"/>
      <c r="D47" s="26"/>
      <c r="E47" s="43"/>
      <c r="F47" s="26"/>
      <c r="G47" s="26"/>
      <c r="H47" s="45"/>
      <c r="I47" s="45"/>
      <c r="J47" s="14"/>
      <c r="K47" s="46"/>
      <c r="L47" s="45"/>
      <c r="M47" s="50" t="str">
        <f t="shared" ca="1" si="0"/>
        <v/>
      </c>
    </row>
    <row r="48" spans="1:13" ht="30" customHeight="1" x14ac:dyDescent="0.25">
      <c r="A48" s="34"/>
      <c r="B48" s="30"/>
      <c r="C48" s="30"/>
      <c r="D48" s="30"/>
      <c r="E48" s="36"/>
      <c r="F48" s="30"/>
      <c r="G48" s="30"/>
      <c r="H48" s="38"/>
      <c r="I48" s="38"/>
      <c r="J48" s="19"/>
      <c r="K48" s="39"/>
      <c r="L48" s="38"/>
      <c r="M48" s="53" t="str">
        <f t="shared" ca="1" si="0"/>
        <v/>
      </c>
    </row>
    <row r="49" spans="1:13" ht="30" customHeight="1" x14ac:dyDescent="0.25">
      <c r="A49" s="41"/>
      <c r="B49" s="26"/>
      <c r="C49" s="26"/>
      <c r="D49" s="26"/>
      <c r="E49" s="43"/>
      <c r="F49" s="26"/>
      <c r="G49" s="26"/>
      <c r="H49" s="45"/>
      <c r="I49" s="45"/>
      <c r="J49" s="14"/>
      <c r="K49" s="46"/>
      <c r="L49" s="45"/>
      <c r="M49" s="50" t="str">
        <f t="shared" ca="1" si="0"/>
        <v/>
      </c>
    </row>
    <row r="50" spans="1:13" ht="30" customHeight="1" x14ac:dyDescent="0.25">
      <c r="A50" s="34"/>
      <c r="B50" s="30"/>
      <c r="C50" s="30"/>
      <c r="D50" s="30"/>
      <c r="E50" s="36"/>
      <c r="F50" s="30"/>
      <c r="G50" s="30"/>
      <c r="H50" s="38"/>
      <c r="I50" s="38"/>
      <c r="J50" s="19"/>
      <c r="K50" s="39"/>
      <c r="L50" s="38"/>
      <c r="M50" s="53" t="str">
        <f t="shared" ca="1" si="0"/>
        <v/>
      </c>
    </row>
    <row r="51" spans="1:13" ht="30" customHeight="1" x14ac:dyDescent="0.25">
      <c r="A51" s="41"/>
      <c r="B51" s="26"/>
      <c r="C51" s="26"/>
      <c r="D51" s="26"/>
      <c r="E51" s="43"/>
      <c r="F51" s="26"/>
      <c r="G51" s="26"/>
      <c r="H51" s="45"/>
      <c r="I51" s="45"/>
      <c r="J51" s="14"/>
      <c r="K51" s="46"/>
      <c r="L51" s="45"/>
      <c r="M51" s="50" t="str">
        <f t="shared" ca="1" si="0"/>
        <v/>
      </c>
    </row>
    <row r="52" spans="1:13" ht="30" customHeight="1" x14ac:dyDescent="0.25">
      <c r="A52" s="34"/>
      <c r="B52" s="30"/>
      <c r="C52" s="30"/>
      <c r="D52" s="30"/>
      <c r="E52" s="36"/>
      <c r="F52" s="30"/>
      <c r="G52" s="30"/>
      <c r="H52" s="38"/>
      <c r="I52" s="38"/>
      <c r="J52" s="19"/>
      <c r="K52" s="39"/>
      <c r="L52" s="38"/>
      <c r="M52" s="53" t="str">
        <f t="shared" ca="1" si="0"/>
        <v/>
      </c>
    </row>
    <row r="53" spans="1:13" ht="30" customHeight="1" x14ac:dyDescent="0.25">
      <c r="A53" s="41"/>
      <c r="B53" s="26"/>
      <c r="C53" s="26"/>
      <c r="D53" s="26"/>
      <c r="E53" s="43"/>
      <c r="F53" s="26"/>
      <c r="G53" s="26"/>
      <c r="H53" s="45"/>
      <c r="I53" s="45"/>
      <c r="J53" s="14"/>
      <c r="K53" s="46"/>
      <c r="L53" s="45"/>
      <c r="M53" s="50" t="str">
        <f t="shared" ca="1" si="0"/>
        <v/>
      </c>
    </row>
    <row r="54" spans="1:13" ht="30" customHeight="1" x14ac:dyDescent="0.25">
      <c r="A54" s="34"/>
      <c r="B54" s="30"/>
      <c r="C54" s="30"/>
      <c r="D54" s="30"/>
      <c r="E54" s="36"/>
      <c r="F54" s="30"/>
      <c r="G54" s="30"/>
      <c r="H54" s="38"/>
      <c r="I54" s="38"/>
      <c r="J54" s="19"/>
      <c r="K54" s="39"/>
      <c r="L54" s="38"/>
      <c r="M54" s="53" t="str">
        <f t="shared" ca="1" si="0"/>
        <v/>
      </c>
    </row>
    <row r="55" spans="1:13" ht="30" customHeight="1" x14ac:dyDescent="0.25">
      <c r="A55" s="41"/>
      <c r="B55" s="26"/>
      <c r="C55" s="26"/>
      <c r="D55" s="26"/>
      <c r="E55" s="43"/>
      <c r="F55" s="26"/>
      <c r="G55" s="26"/>
      <c r="H55" s="45"/>
      <c r="I55" s="45"/>
      <c r="J55" s="14"/>
      <c r="K55" s="46"/>
      <c r="L55" s="45"/>
      <c r="M55" s="50" t="str">
        <f t="shared" ca="1" si="0"/>
        <v/>
      </c>
    </row>
    <row r="56" spans="1:13" ht="30" customHeight="1" x14ac:dyDescent="0.25">
      <c r="A56" s="34"/>
      <c r="B56" s="30"/>
      <c r="C56" s="30"/>
      <c r="D56" s="30"/>
      <c r="E56" s="36"/>
      <c r="F56" s="30"/>
      <c r="G56" s="30"/>
      <c r="H56" s="38"/>
      <c r="I56" s="38"/>
      <c r="J56" s="19"/>
      <c r="K56" s="39"/>
      <c r="L56" s="38"/>
      <c r="M56" s="53" t="str">
        <f t="shared" ca="1" si="0"/>
        <v/>
      </c>
    </row>
    <row r="57" spans="1:13" ht="24" customHeight="1" x14ac:dyDescent="0.25">
      <c r="A57" s="21" t="s">
        <v>945</v>
      </c>
      <c r="B57" s="21"/>
      <c r="C57" s="21"/>
      <c r="D57" s="21" t="str">
        <f>"Activities: "&amp;COUNTIFS($B$9:$B$56,"&lt;&gt;")&amp;"    ·    Passed: "&amp;COUNTIFS($J$9:$J$56,"Pass")&amp;"    ·    Failed: "&amp;COUNTIFS($J$9:$J$56,"Fail")&amp;"    ·    Outstanding: "&amp;(COUNTIFS($B$9:$B$56,"&lt;&gt;")-COUNTIFS($J$9:$J$56,"Pass"))</f>
        <v>Activities: 36    ·    Passed: 0    ·    Failed: 0    ·    Outstanding: 36</v>
      </c>
      <c r="E57" s="21"/>
      <c r="F57" s="21"/>
      <c r="G57" s="21"/>
      <c r="H57" s="21"/>
      <c r="I57" s="21"/>
      <c r="J57" s="21"/>
      <c r="K57" s="21"/>
      <c r="L57" s="21"/>
      <c r="M57" s="21"/>
    </row>
    <row r="59" spans="1:13" ht="20.100000000000001" customHeight="1" x14ac:dyDescent="0.25">
      <c r="A59" s="72" t="s">
        <v>100</v>
      </c>
      <c r="B59" s="73"/>
      <c r="C59" s="73"/>
      <c r="D59" s="73"/>
      <c r="E59" s="73"/>
      <c r="F59" s="73"/>
      <c r="G59" s="73"/>
      <c r="H59" s="73"/>
      <c r="I59" s="73"/>
      <c r="J59" s="73"/>
      <c r="K59" s="73"/>
      <c r="L59" s="73"/>
      <c r="M59" s="73"/>
    </row>
  </sheetData>
  <autoFilter ref="A8:M56" xr:uid="{00000000-0009-0000-0000-000006000000}"/>
  <mergeCells count="5">
    <mergeCell ref="B2:F2"/>
    <mergeCell ref="A6:M6"/>
    <mergeCell ref="A4:M4"/>
    <mergeCell ref="A59:M59"/>
    <mergeCell ref="G2:M2"/>
  </mergeCells>
  <conditionalFormatting sqref="M9:M56">
    <cfRule type="cellIs" dxfId="16" priority="1" operator="equal">
      <formula>"Complete"</formula>
    </cfRule>
    <cfRule type="cellIs" dxfId="15" priority="2" operator="equal">
      <formula>"Complete with conditions"</formula>
    </cfRule>
    <cfRule type="cellIs" dxfId="14" priority="3" operator="equal">
      <formula>"Failed - retest required"</formula>
    </cfRule>
    <cfRule type="cellIs" dxfId="13" priority="4" operator="equal">
      <formula>"Overdue"</formula>
    </cfRule>
    <cfRule type="cellIs" dxfId="12" priority="5" operator="equal">
      <formula>"Scheduled"</formula>
    </cfRule>
    <cfRule type="cellIs" dxfId="11" priority="6" operator="equal">
      <formula>"Not scheduled"</formula>
    </cfRule>
    <cfRule type="cellIs" dxfId="10" priority="7" operator="equal">
      <formula>"Awaiting result"</formula>
    </cfRule>
  </conditionalFormatting>
  <hyperlinks>
    <hyperlink ref="A2" r:id="rId1" xr:uid="{00000000-0004-0000-0600-000000000000}"/>
    <hyperlink ref="A59" r:id="rId2" xr:uid="{00000000-0004-0000-0600-000001000000}"/>
  </hyperlinks>
  <pageMargins left="0.3" right="0.3" top="0.45" bottom="0.45" header="0.5" footer="0.5"/>
  <pageSetup paperSize="8"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1">
        <x14:dataValidation type="list" allowBlank="1" showErrorMessage="1" errorTitle="Invalid entry" error="Choose a value from the drop-down list." xr:uid="{00000000-0002-0000-0600-000000000000}">
          <x14:formula1>
            <xm:f>Lists!$J$2:$J$5</xm:f>
          </x14:formula1>
          <xm:sqref>J9:J56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8"/>
  <sheetViews>
    <sheetView showGridLines="0" workbookViewId="0">
      <pane xSplit="2" ySplit="8" topLeftCell="C44" activePane="bottomRight" state="frozen"/>
      <selection pane="topRight"/>
      <selection pane="bottomLeft"/>
      <selection pane="bottomRight"/>
    </sheetView>
  </sheetViews>
  <sheetFormatPr defaultRowHeight="15" x14ac:dyDescent="0.25"/>
  <cols>
    <col min="1" max="1" width="10" customWidth="1"/>
    <col min="2" max="2" width="50" customWidth="1"/>
    <col min="3" max="3" width="30" customWidth="1"/>
    <col min="4" max="4" width="28" customWidth="1"/>
    <col min="5" max="5" width="18" customWidth="1"/>
    <col min="6" max="7" width="13" customWidth="1"/>
    <col min="8" max="8" width="12" customWidth="1"/>
    <col min="9" max="9" width="11" customWidth="1"/>
    <col min="10" max="10" width="24" customWidth="1"/>
    <col min="11" max="11" width="18" customWidth="1"/>
    <col min="12" max="12" width="58" customWidth="1"/>
  </cols>
  <sheetData>
    <row r="1" spans="1:12" ht="9.9499999999999993" customHeight="1" x14ac:dyDescent="0.25">
      <c r="A1" s="1"/>
      <c r="B1" s="1"/>
      <c r="C1" s="1"/>
      <c r="D1" s="1"/>
      <c r="E1" s="1"/>
      <c r="F1" s="1"/>
      <c r="G1" s="1"/>
      <c r="H1" s="1"/>
      <c r="I1" s="1"/>
      <c r="J1" s="1"/>
      <c r="K1" s="1"/>
      <c r="L1" s="1"/>
    </row>
    <row r="2" spans="1:12" ht="26.1" customHeight="1" x14ac:dyDescent="0.25">
      <c r="A2" s="2" t="s">
        <v>0</v>
      </c>
      <c r="B2" s="114" t="s">
        <v>1220</v>
      </c>
      <c r="C2" s="71"/>
      <c r="D2" s="71"/>
      <c r="E2" s="71"/>
      <c r="F2" s="71"/>
      <c r="G2" s="85" t="s">
        <v>1221</v>
      </c>
      <c r="H2" s="71"/>
      <c r="I2" s="71"/>
      <c r="J2" s="71"/>
      <c r="K2" s="71"/>
      <c r="L2" s="71"/>
    </row>
    <row r="3" spans="1:12" ht="14.1" customHeight="1" x14ac:dyDescent="0.25">
      <c r="A3" s="1"/>
      <c r="B3" s="1"/>
      <c r="C3" s="1"/>
      <c r="D3" s="1"/>
      <c r="E3" s="1"/>
      <c r="F3" s="1"/>
      <c r="G3" s="1"/>
      <c r="H3" s="1"/>
      <c r="I3" s="1"/>
      <c r="J3" s="1"/>
      <c r="K3" s="1"/>
      <c r="L3" s="1"/>
    </row>
    <row r="4" spans="1:12" ht="3" customHeight="1" x14ac:dyDescent="0.25">
      <c r="A4" s="88"/>
      <c r="B4" s="88"/>
      <c r="C4" s="88"/>
      <c r="D4" s="88"/>
      <c r="E4" s="88"/>
      <c r="F4" s="88"/>
      <c r="G4" s="88"/>
      <c r="H4" s="88"/>
      <c r="I4" s="88"/>
      <c r="J4" s="88"/>
      <c r="K4" s="88"/>
      <c r="L4" s="88"/>
    </row>
    <row r="6" spans="1:12" ht="30" customHeight="1" x14ac:dyDescent="0.25">
      <c r="A6" s="100" t="s">
        <v>1222</v>
      </c>
      <c r="B6" s="71"/>
      <c r="C6" s="71"/>
      <c r="D6" s="71"/>
      <c r="E6" s="71"/>
      <c r="F6" s="71"/>
      <c r="G6" s="71"/>
      <c r="H6" s="71"/>
      <c r="I6" s="71"/>
      <c r="J6" s="71"/>
      <c r="K6" s="71"/>
      <c r="L6" s="71"/>
    </row>
    <row r="7" spans="1:12" ht="6" customHeight="1" x14ac:dyDescent="0.25"/>
    <row r="8" spans="1:12" ht="33.950000000000003" customHeight="1" x14ac:dyDescent="0.25">
      <c r="A8" s="10" t="s">
        <v>172</v>
      </c>
      <c r="B8" s="10" t="s">
        <v>1223</v>
      </c>
      <c r="C8" s="10" t="s">
        <v>1224</v>
      </c>
      <c r="D8" s="10" t="s">
        <v>1225</v>
      </c>
      <c r="E8" s="10" t="s">
        <v>1226</v>
      </c>
      <c r="F8" s="10" t="s">
        <v>1227</v>
      </c>
      <c r="G8" s="10" t="s">
        <v>1228</v>
      </c>
      <c r="H8" s="10" t="s">
        <v>1229</v>
      </c>
      <c r="I8" s="10" t="s">
        <v>1230</v>
      </c>
      <c r="J8" s="10" t="s">
        <v>1231</v>
      </c>
      <c r="K8" s="10" t="s">
        <v>78</v>
      </c>
      <c r="L8" s="10" t="s">
        <v>1232</v>
      </c>
    </row>
    <row r="9" spans="1:12" ht="33.950000000000003" customHeight="1" x14ac:dyDescent="0.25">
      <c r="A9" s="41" t="s">
        <v>1233</v>
      </c>
      <c r="B9" s="26" t="s">
        <v>1234</v>
      </c>
      <c r="C9" s="59"/>
      <c r="D9" s="26" t="s">
        <v>1235</v>
      </c>
      <c r="E9" s="46"/>
      <c r="F9" s="45"/>
      <c r="G9" s="45"/>
      <c r="H9" s="12" t="str">
        <f t="shared" ref="H9:H45" ca="1" si="0">IF($G9="","",$G9-TODAY())</f>
        <v/>
      </c>
      <c r="I9" s="14"/>
      <c r="J9" s="26"/>
      <c r="K9" s="50" t="str">
        <f t="shared" ref="K9:K45" ca="1" si="1">IF($B9="","",IF($I9&lt;&gt;"Yes","Outstanding",IF(AND($G9&lt;&gt;"",$G9&lt;TODAY()),"Expired",IF(AND($G9&lt;&gt;"",$G9-TODAY()&lt;=60),"Expiring soon","Received"))))</f>
        <v>Outstanding</v>
      </c>
      <c r="L9" s="60" t="s">
        <v>1236</v>
      </c>
    </row>
    <row r="10" spans="1:12" ht="33.950000000000003" customHeight="1" x14ac:dyDescent="0.25">
      <c r="A10" s="34" t="s">
        <v>1237</v>
      </c>
      <c r="B10" s="30" t="s">
        <v>1238</v>
      </c>
      <c r="C10" s="59"/>
      <c r="D10" s="30" t="s">
        <v>1235</v>
      </c>
      <c r="E10" s="39"/>
      <c r="F10" s="38"/>
      <c r="G10" s="38"/>
      <c r="H10" s="17" t="str">
        <f t="shared" ca="1" si="0"/>
        <v/>
      </c>
      <c r="I10" s="19"/>
      <c r="J10" s="30"/>
      <c r="K10" s="53" t="str">
        <f t="shared" ca="1" si="1"/>
        <v>Outstanding</v>
      </c>
      <c r="L10" s="61" t="s">
        <v>1239</v>
      </c>
    </row>
    <row r="11" spans="1:12" ht="33.950000000000003" customHeight="1" x14ac:dyDescent="0.25">
      <c r="A11" s="41" t="s">
        <v>1240</v>
      </c>
      <c r="B11" s="26" t="s">
        <v>1241</v>
      </c>
      <c r="C11" s="59"/>
      <c r="D11" s="26" t="s">
        <v>238</v>
      </c>
      <c r="E11" s="46"/>
      <c r="F11" s="45"/>
      <c r="G11" s="45"/>
      <c r="H11" s="12" t="str">
        <f t="shared" ca="1" si="0"/>
        <v/>
      </c>
      <c r="I11" s="14"/>
      <c r="J11" s="26"/>
      <c r="K11" s="50" t="str">
        <f t="shared" ca="1" si="1"/>
        <v>Outstanding</v>
      </c>
      <c r="L11" s="60" t="s">
        <v>1242</v>
      </c>
    </row>
    <row r="12" spans="1:12" ht="33.950000000000003" customHeight="1" x14ac:dyDescent="0.25">
      <c r="A12" s="34" t="s">
        <v>1243</v>
      </c>
      <c r="B12" s="30" t="s">
        <v>1244</v>
      </c>
      <c r="C12" s="59"/>
      <c r="D12" s="30" t="s">
        <v>1245</v>
      </c>
      <c r="E12" s="39"/>
      <c r="F12" s="38"/>
      <c r="G12" s="38"/>
      <c r="H12" s="17" t="str">
        <f t="shared" ca="1" si="0"/>
        <v/>
      </c>
      <c r="I12" s="19"/>
      <c r="J12" s="30"/>
      <c r="K12" s="53" t="str">
        <f t="shared" ca="1" si="1"/>
        <v>Outstanding</v>
      </c>
      <c r="L12" s="61" t="s">
        <v>1246</v>
      </c>
    </row>
    <row r="13" spans="1:12" ht="33.950000000000003" customHeight="1" x14ac:dyDescent="0.25">
      <c r="A13" s="41" t="s">
        <v>1247</v>
      </c>
      <c r="B13" s="26" t="s">
        <v>1248</v>
      </c>
      <c r="C13" s="59"/>
      <c r="D13" s="26" t="s">
        <v>1249</v>
      </c>
      <c r="E13" s="46"/>
      <c r="F13" s="45"/>
      <c r="G13" s="45"/>
      <c r="H13" s="12" t="str">
        <f t="shared" ca="1" si="0"/>
        <v/>
      </c>
      <c r="I13" s="14"/>
      <c r="J13" s="26"/>
      <c r="K13" s="50" t="str">
        <f t="shared" ca="1" si="1"/>
        <v>Outstanding</v>
      </c>
      <c r="L13" s="60" t="s">
        <v>1250</v>
      </c>
    </row>
    <row r="14" spans="1:12" ht="33.950000000000003" customHeight="1" x14ac:dyDescent="0.25">
      <c r="A14" s="34" t="s">
        <v>1251</v>
      </c>
      <c r="B14" s="30" t="s">
        <v>1252</v>
      </c>
      <c r="C14" s="59"/>
      <c r="D14" s="30" t="s">
        <v>1253</v>
      </c>
      <c r="E14" s="39"/>
      <c r="F14" s="38"/>
      <c r="G14" s="38"/>
      <c r="H14" s="17" t="str">
        <f t="shared" ca="1" si="0"/>
        <v/>
      </c>
      <c r="I14" s="19"/>
      <c r="J14" s="30"/>
      <c r="K14" s="53" t="str">
        <f t="shared" ca="1" si="1"/>
        <v>Outstanding</v>
      </c>
      <c r="L14" s="61" t="s">
        <v>1254</v>
      </c>
    </row>
    <row r="15" spans="1:12" ht="33.950000000000003" customHeight="1" x14ac:dyDescent="0.25">
      <c r="A15" s="41" t="s">
        <v>1255</v>
      </c>
      <c r="B15" s="26" t="s">
        <v>1256</v>
      </c>
      <c r="C15" s="59"/>
      <c r="D15" s="26" t="s">
        <v>1257</v>
      </c>
      <c r="E15" s="46"/>
      <c r="F15" s="45"/>
      <c r="G15" s="45"/>
      <c r="H15" s="12" t="str">
        <f t="shared" ca="1" si="0"/>
        <v/>
      </c>
      <c r="I15" s="14"/>
      <c r="J15" s="26"/>
      <c r="K15" s="50" t="str">
        <f t="shared" ca="1" si="1"/>
        <v>Outstanding</v>
      </c>
      <c r="L15" s="60" t="s">
        <v>1258</v>
      </c>
    </row>
    <row r="16" spans="1:12" ht="33.950000000000003" customHeight="1" x14ac:dyDescent="0.25">
      <c r="A16" s="34" t="s">
        <v>1259</v>
      </c>
      <c r="B16" s="30" t="s">
        <v>1010</v>
      </c>
      <c r="C16" s="59"/>
      <c r="D16" s="30" t="s">
        <v>1260</v>
      </c>
      <c r="E16" s="39"/>
      <c r="F16" s="38"/>
      <c r="G16" s="38"/>
      <c r="H16" s="17" t="str">
        <f t="shared" ca="1" si="0"/>
        <v/>
      </c>
      <c r="I16" s="19"/>
      <c r="J16" s="30"/>
      <c r="K16" s="53" t="str">
        <f t="shared" ca="1" si="1"/>
        <v>Outstanding</v>
      </c>
      <c r="L16" s="61" t="s">
        <v>1261</v>
      </c>
    </row>
    <row r="17" spans="1:12" ht="33.950000000000003" customHeight="1" x14ac:dyDescent="0.25">
      <c r="A17" s="41" t="s">
        <v>1262</v>
      </c>
      <c r="B17" s="26" t="s">
        <v>1263</v>
      </c>
      <c r="C17" s="59"/>
      <c r="D17" s="26" t="s">
        <v>1264</v>
      </c>
      <c r="E17" s="46"/>
      <c r="F17" s="45"/>
      <c r="G17" s="45"/>
      <c r="H17" s="12" t="str">
        <f t="shared" ca="1" si="0"/>
        <v/>
      </c>
      <c r="I17" s="14"/>
      <c r="J17" s="26"/>
      <c r="K17" s="50" t="str">
        <f t="shared" ca="1" si="1"/>
        <v>Outstanding</v>
      </c>
      <c r="L17" s="60" t="s">
        <v>1265</v>
      </c>
    </row>
    <row r="18" spans="1:12" ht="33.950000000000003" customHeight="1" x14ac:dyDescent="0.25">
      <c r="A18" s="34" t="s">
        <v>1266</v>
      </c>
      <c r="B18" s="30" t="s">
        <v>1267</v>
      </c>
      <c r="C18" s="59"/>
      <c r="D18" s="30" t="s">
        <v>1268</v>
      </c>
      <c r="E18" s="39"/>
      <c r="F18" s="38"/>
      <c r="G18" s="38"/>
      <c r="H18" s="17" t="str">
        <f t="shared" ca="1" si="0"/>
        <v/>
      </c>
      <c r="I18" s="19"/>
      <c r="J18" s="30"/>
      <c r="K18" s="53" t="str">
        <f t="shared" ca="1" si="1"/>
        <v>Outstanding</v>
      </c>
      <c r="L18" s="61" t="s">
        <v>1269</v>
      </c>
    </row>
    <row r="19" spans="1:12" ht="33.950000000000003" customHeight="1" x14ac:dyDescent="0.25">
      <c r="A19" s="41" t="s">
        <v>1270</v>
      </c>
      <c r="B19" s="26" t="s">
        <v>1271</v>
      </c>
      <c r="C19" s="59"/>
      <c r="D19" s="26" t="s">
        <v>1272</v>
      </c>
      <c r="E19" s="46"/>
      <c r="F19" s="45"/>
      <c r="G19" s="45"/>
      <c r="H19" s="12" t="str">
        <f t="shared" ca="1" si="0"/>
        <v/>
      </c>
      <c r="I19" s="14"/>
      <c r="J19" s="26"/>
      <c r="K19" s="50" t="str">
        <f t="shared" ca="1" si="1"/>
        <v>Outstanding</v>
      </c>
      <c r="L19" s="60" t="s">
        <v>1273</v>
      </c>
    </row>
    <row r="20" spans="1:12" ht="33.950000000000003" customHeight="1" x14ac:dyDescent="0.25">
      <c r="A20" s="34" t="s">
        <v>1274</v>
      </c>
      <c r="B20" s="30" t="s">
        <v>1275</v>
      </c>
      <c r="C20" s="59"/>
      <c r="D20" s="30" t="s">
        <v>1276</v>
      </c>
      <c r="E20" s="39"/>
      <c r="F20" s="38"/>
      <c r="G20" s="38"/>
      <c r="H20" s="17" t="str">
        <f t="shared" ca="1" si="0"/>
        <v/>
      </c>
      <c r="I20" s="19"/>
      <c r="J20" s="30"/>
      <c r="K20" s="53" t="str">
        <f t="shared" ca="1" si="1"/>
        <v>Outstanding</v>
      </c>
      <c r="L20" s="61" t="s">
        <v>1277</v>
      </c>
    </row>
    <row r="21" spans="1:12" ht="33.950000000000003" customHeight="1" x14ac:dyDescent="0.25">
      <c r="A21" s="41" t="s">
        <v>1278</v>
      </c>
      <c r="B21" s="26" t="s">
        <v>1279</v>
      </c>
      <c r="C21" s="59"/>
      <c r="D21" s="26" t="s">
        <v>1280</v>
      </c>
      <c r="E21" s="46"/>
      <c r="F21" s="45"/>
      <c r="G21" s="45"/>
      <c r="H21" s="12" t="str">
        <f t="shared" ca="1" si="0"/>
        <v/>
      </c>
      <c r="I21" s="14"/>
      <c r="J21" s="26"/>
      <c r="K21" s="50" t="str">
        <f t="shared" ca="1" si="1"/>
        <v>Outstanding</v>
      </c>
      <c r="L21" s="60" t="s">
        <v>1281</v>
      </c>
    </row>
    <row r="22" spans="1:12" ht="33.950000000000003" customHeight="1" x14ac:dyDescent="0.25">
      <c r="A22" s="34" t="s">
        <v>1282</v>
      </c>
      <c r="B22" s="30" t="s">
        <v>1283</v>
      </c>
      <c r="C22" s="59"/>
      <c r="D22" s="30" t="s">
        <v>1284</v>
      </c>
      <c r="E22" s="39"/>
      <c r="F22" s="38"/>
      <c r="G22" s="38"/>
      <c r="H22" s="17" t="str">
        <f t="shared" ca="1" si="0"/>
        <v/>
      </c>
      <c r="I22" s="19"/>
      <c r="J22" s="30"/>
      <c r="K22" s="53" t="str">
        <f t="shared" ca="1" si="1"/>
        <v>Outstanding</v>
      </c>
      <c r="L22" s="61" t="s">
        <v>1285</v>
      </c>
    </row>
    <row r="23" spans="1:12" ht="33.950000000000003" customHeight="1" x14ac:dyDescent="0.25">
      <c r="A23" s="41" t="s">
        <v>1286</v>
      </c>
      <c r="B23" s="26" t="s">
        <v>1287</v>
      </c>
      <c r="C23" s="59"/>
      <c r="D23" s="26" t="s">
        <v>1288</v>
      </c>
      <c r="E23" s="46"/>
      <c r="F23" s="45"/>
      <c r="G23" s="45"/>
      <c r="H23" s="12" t="str">
        <f t="shared" ca="1" si="0"/>
        <v/>
      </c>
      <c r="I23" s="14"/>
      <c r="J23" s="26"/>
      <c r="K23" s="50" t="str">
        <f t="shared" ca="1" si="1"/>
        <v>Outstanding</v>
      </c>
      <c r="L23" s="60" t="s">
        <v>1289</v>
      </c>
    </row>
    <row r="24" spans="1:12" ht="33.950000000000003" customHeight="1" x14ac:dyDescent="0.25">
      <c r="A24" s="34" t="s">
        <v>1290</v>
      </c>
      <c r="B24" s="30" t="s">
        <v>1291</v>
      </c>
      <c r="C24" s="59"/>
      <c r="D24" s="30" t="s">
        <v>1292</v>
      </c>
      <c r="E24" s="39"/>
      <c r="F24" s="38"/>
      <c r="G24" s="38"/>
      <c r="H24" s="17" t="str">
        <f t="shared" ca="1" si="0"/>
        <v/>
      </c>
      <c r="I24" s="19"/>
      <c r="J24" s="30"/>
      <c r="K24" s="53" t="str">
        <f t="shared" ca="1" si="1"/>
        <v>Outstanding</v>
      </c>
      <c r="L24" s="61" t="s">
        <v>1293</v>
      </c>
    </row>
    <row r="25" spans="1:12" ht="33.950000000000003" customHeight="1" x14ac:dyDescent="0.25">
      <c r="A25" s="41" t="s">
        <v>1294</v>
      </c>
      <c r="B25" s="26" t="s">
        <v>1295</v>
      </c>
      <c r="C25" s="59"/>
      <c r="D25" s="26" t="s">
        <v>1296</v>
      </c>
      <c r="E25" s="46"/>
      <c r="F25" s="45"/>
      <c r="G25" s="45"/>
      <c r="H25" s="12" t="str">
        <f t="shared" ca="1" si="0"/>
        <v/>
      </c>
      <c r="I25" s="14"/>
      <c r="J25" s="26"/>
      <c r="K25" s="50" t="str">
        <f t="shared" ca="1" si="1"/>
        <v>Outstanding</v>
      </c>
      <c r="L25" s="60" t="s">
        <v>1297</v>
      </c>
    </row>
    <row r="26" spans="1:12" ht="33.950000000000003" customHeight="1" x14ac:dyDescent="0.25">
      <c r="A26" s="34" t="s">
        <v>1298</v>
      </c>
      <c r="B26" s="30" t="s">
        <v>1299</v>
      </c>
      <c r="C26" s="59"/>
      <c r="D26" s="30" t="s">
        <v>1300</v>
      </c>
      <c r="E26" s="39"/>
      <c r="F26" s="38"/>
      <c r="G26" s="38"/>
      <c r="H26" s="17" t="str">
        <f t="shared" ca="1" si="0"/>
        <v/>
      </c>
      <c r="I26" s="19"/>
      <c r="J26" s="30"/>
      <c r="K26" s="53" t="str">
        <f t="shared" ca="1" si="1"/>
        <v>Outstanding</v>
      </c>
      <c r="L26" s="61" t="s">
        <v>1301</v>
      </c>
    </row>
    <row r="27" spans="1:12" ht="33.950000000000003" customHeight="1" x14ac:dyDescent="0.25">
      <c r="A27" s="41" t="s">
        <v>1302</v>
      </c>
      <c r="B27" s="26" t="s">
        <v>1303</v>
      </c>
      <c r="C27" s="59"/>
      <c r="D27" s="26" t="s">
        <v>1304</v>
      </c>
      <c r="E27" s="46"/>
      <c r="F27" s="45"/>
      <c r="G27" s="45"/>
      <c r="H27" s="12" t="str">
        <f t="shared" ca="1" si="0"/>
        <v/>
      </c>
      <c r="I27" s="14"/>
      <c r="J27" s="26"/>
      <c r="K27" s="50" t="str">
        <f t="shared" ca="1" si="1"/>
        <v>Outstanding</v>
      </c>
      <c r="L27" s="60" t="s">
        <v>1305</v>
      </c>
    </row>
    <row r="28" spans="1:12" ht="33.950000000000003" customHeight="1" x14ac:dyDescent="0.25">
      <c r="A28" s="34" t="s">
        <v>1306</v>
      </c>
      <c r="B28" s="30" t="s">
        <v>1307</v>
      </c>
      <c r="C28" s="59"/>
      <c r="D28" s="30" t="s">
        <v>1308</v>
      </c>
      <c r="E28" s="39"/>
      <c r="F28" s="38"/>
      <c r="G28" s="38"/>
      <c r="H28" s="17" t="str">
        <f t="shared" ca="1" si="0"/>
        <v/>
      </c>
      <c r="I28" s="19"/>
      <c r="J28" s="30"/>
      <c r="K28" s="53" t="str">
        <f t="shared" ca="1" si="1"/>
        <v>Outstanding</v>
      </c>
      <c r="L28" s="61" t="s">
        <v>1309</v>
      </c>
    </row>
    <row r="29" spans="1:12" ht="33.950000000000003" customHeight="1" x14ac:dyDescent="0.25">
      <c r="A29" s="41" t="s">
        <v>1310</v>
      </c>
      <c r="B29" s="26" t="s">
        <v>1311</v>
      </c>
      <c r="C29" s="59"/>
      <c r="D29" s="26" t="s">
        <v>1312</v>
      </c>
      <c r="E29" s="46"/>
      <c r="F29" s="45"/>
      <c r="G29" s="45"/>
      <c r="H29" s="12" t="str">
        <f t="shared" ca="1" si="0"/>
        <v/>
      </c>
      <c r="I29" s="14"/>
      <c r="J29" s="26"/>
      <c r="K29" s="50" t="str">
        <f t="shared" ca="1" si="1"/>
        <v>Outstanding</v>
      </c>
      <c r="L29" s="60" t="s">
        <v>1313</v>
      </c>
    </row>
    <row r="30" spans="1:12" ht="33.950000000000003" customHeight="1" x14ac:dyDescent="0.25">
      <c r="A30" s="34" t="s">
        <v>1314</v>
      </c>
      <c r="B30" s="30" t="s">
        <v>1315</v>
      </c>
      <c r="C30" s="59"/>
      <c r="D30" s="30" t="s">
        <v>1316</v>
      </c>
      <c r="E30" s="39"/>
      <c r="F30" s="38"/>
      <c r="G30" s="38"/>
      <c r="H30" s="17" t="str">
        <f t="shared" ca="1" si="0"/>
        <v/>
      </c>
      <c r="I30" s="19"/>
      <c r="J30" s="30"/>
      <c r="K30" s="53" t="str">
        <f t="shared" ca="1" si="1"/>
        <v>Outstanding</v>
      </c>
      <c r="L30" s="61" t="s">
        <v>1317</v>
      </c>
    </row>
    <row r="31" spans="1:12" ht="33.950000000000003" customHeight="1" x14ac:dyDescent="0.25">
      <c r="A31" s="41" t="s">
        <v>1318</v>
      </c>
      <c r="B31" s="26" t="s">
        <v>1319</v>
      </c>
      <c r="C31" s="59"/>
      <c r="D31" s="26" t="s">
        <v>1320</v>
      </c>
      <c r="E31" s="46"/>
      <c r="F31" s="45"/>
      <c r="G31" s="45"/>
      <c r="H31" s="12" t="str">
        <f t="shared" ca="1" si="0"/>
        <v/>
      </c>
      <c r="I31" s="14"/>
      <c r="J31" s="26"/>
      <c r="K31" s="50" t="str">
        <f t="shared" ca="1" si="1"/>
        <v>Outstanding</v>
      </c>
      <c r="L31" s="60" t="s">
        <v>1321</v>
      </c>
    </row>
    <row r="32" spans="1:12" ht="33.950000000000003" customHeight="1" x14ac:dyDescent="0.25">
      <c r="A32" s="34" t="s">
        <v>1322</v>
      </c>
      <c r="B32" s="30" t="s">
        <v>1323</v>
      </c>
      <c r="C32" s="59"/>
      <c r="D32" s="30" t="s">
        <v>1324</v>
      </c>
      <c r="E32" s="39"/>
      <c r="F32" s="38"/>
      <c r="G32" s="38"/>
      <c r="H32" s="17" t="str">
        <f t="shared" ca="1" si="0"/>
        <v/>
      </c>
      <c r="I32" s="19"/>
      <c r="J32" s="30"/>
      <c r="K32" s="53" t="str">
        <f t="shared" ca="1" si="1"/>
        <v>Outstanding</v>
      </c>
      <c r="L32" s="61" t="s">
        <v>1325</v>
      </c>
    </row>
    <row r="33" spans="1:12" ht="33.950000000000003" customHeight="1" x14ac:dyDescent="0.25">
      <c r="A33" s="41" t="s">
        <v>1326</v>
      </c>
      <c r="B33" s="26" t="s">
        <v>1327</v>
      </c>
      <c r="C33" s="59"/>
      <c r="D33" s="26" t="s">
        <v>1328</v>
      </c>
      <c r="E33" s="46"/>
      <c r="F33" s="45"/>
      <c r="G33" s="45"/>
      <c r="H33" s="12" t="str">
        <f t="shared" ca="1" si="0"/>
        <v/>
      </c>
      <c r="I33" s="14"/>
      <c r="J33" s="26"/>
      <c r="K33" s="50" t="str">
        <f t="shared" ca="1" si="1"/>
        <v>Outstanding</v>
      </c>
      <c r="L33" s="60" t="s">
        <v>1329</v>
      </c>
    </row>
    <row r="34" spans="1:12" ht="33.950000000000003" customHeight="1" x14ac:dyDescent="0.25">
      <c r="A34" s="34" t="s">
        <v>1330</v>
      </c>
      <c r="B34" s="30" t="s">
        <v>1331</v>
      </c>
      <c r="C34" s="59"/>
      <c r="D34" s="30" t="s">
        <v>1332</v>
      </c>
      <c r="E34" s="39"/>
      <c r="F34" s="38"/>
      <c r="G34" s="38"/>
      <c r="H34" s="17" t="str">
        <f t="shared" ca="1" si="0"/>
        <v/>
      </c>
      <c r="I34" s="19"/>
      <c r="J34" s="30"/>
      <c r="K34" s="53" t="str">
        <f t="shared" ca="1" si="1"/>
        <v>Outstanding</v>
      </c>
      <c r="L34" s="61" t="s">
        <v>1333</v>
      </c>
    </row>
    <row r="35" spans="1:12" ht="33.950000000000003" customHeight="1" x14ac:dyDescent="0.25">
      <c r="A35" s="41" t="s">
        <v>1334</v>
      </c>
      <c r="B35" s="26" t="s">
        <v>1335</v>
      </c>
      <c r="C35" s="59"/>
      <c r="D35" s="26" t="s">
        <v>1336</v>
      </c>
      <c r="E35" s="46"/>
      <c r="F35" s="45"/>
      <c r="G35" s="45"/>
      <c r="H35" s="12" t="str">
        <f t="shared" ca="1" si="0"/>
        <v/>
      </c>
      <c r="I35" s="14"/>
      <c r="J35" s="26"/>
      <c r="K35" s="50" t="str">
        <f t="shared" ca="1" si="1"/>
        <v>Outstanding</v>
      </c>
      <c r="L35" s="60" t="s">
        <v>1337</v>
      </c>
    </row>
    <row r="36" spans="1:12" ht="33.950000000000003" customHeight="1" x14ac:dyDescent="0.25">
      <c r="A36" s="34"/>
      <c r="B36" s="30"/>
      <c r="C36" s="59"/>
      <c r="D36" s="30"/>
      <c r="E36" s="39"/>
      <c r="F36" s="38"/>
      <c r="G36" s="38"/>
      <c r="H36" s="17" t="str">
        <f t="shared" ca="1" si="0"/>
        <v/>
      </c>
      <c r="I36" s="19"/>
      <c r="J36" s="30"/>
      <c r="K36" s="53" t="str">
        <f t="shared" ca="1" si="1"/>
        <v/>
      </c>
      <c r="L36" s="61"/>
    </row>
    <row r="37" spans="1:12" ht="33.950000000000003" customHeight="1" x14ac:dyDescent="0.25">
      <c r="A37" s="41"/>
      <c r="B37" s="26"/>
      <c r="C37" s="59"/>
      <c r="D37" s="26"/>
      <c r="E37" s="46"/>
      <c r="F37" s="45"/>
      <c r="G37" s="45"/>
      <c r="H37" s="12" t="str">
        <f t="shared" ca="1" si="0"/>
        <v/>
      </c>
      <c r="I37" s="14"/>
      <c r="J37" s="26"/>
      <c r="K37" s="50" t="str">
        <f t="shared" ca="1" si="1"/>
        <v/>
      </c>
      <c r="L37" s="60"/>
    </row>
    <row r="38" spans="1:12" ht="33.950000000000003" customHeight="1" x14ac:dyDescent="0.25">
      <c r="A38" s="34"/>
      <c r="B38" s="30"/>
      <c r="C38" s="59"/>
      <c r="D38" s="30"/>
      <c r="E38" s="39"/>
      <c r="F38" s="38"/>
      <c r="G38" s="38"/>
      <c r="H38" s="17" t="str">
        <f t="shared" ca="1" si="0"/>
        <v/>
      </c>
      <c r="I38" s="19"/>
      <c r="J38" s="30"/>
      <c r="K38" s="53" t="str">
        <f t="shared" ca="1" si="1"/>
        <v/>
      </c>
      <c r="L38" s="61"/>
    </row>
    <row r="39" spans="1:12" ht="33.950000000000003" customHeight="1" x14ac:dyDescent="0.25">
      <c r="A39" s="41"/>
      <c r="B39" s="26"/>
      <c r="C39" s="59"/>
      <c r="D39" s="26"/>
      <c r="E39" s="46"/>
      <c r="F39" s="45"/>
      <c r="G39" s="45"/>
      <c r="H39" s="12" t="str">
        <f t="shared" ca="1" si="0"/>
        <v/>
      </c>
      <c r="I39" s="14"/>
      <c r="J39" s="26"/>
      <c r="K39" s="50" t="str">
        <f t="shared" ca="1" si="1"/>
        <v/>
      </c>
      <c r="L39" s="60"/>
    </row>
    <row r="40" spans="1:12" ht="33.950000000000003" customHeight="1" x14ac:dyDescent="0.25">
      <c r="A40" s="34"/>
      <c r="B40" s="30"/>
      <c r="C40" s="59"/>
      <c r="D40" s="30"/>
      <c r="E40" s="39"/>
      <c r="F40" s="38"/>
      <c r="G40" s="38"/>
      <c r="H40" s="17" t="str">
        <f t="shared" ca="1" si="0"/>
        <v/>
      </c>
      <c r="I40" s="19"/>
      <c r="J40" s="30"/>
      <c r="K40" s="53" t="str">
        <f t="shared" ca="1" si="1"/>
        <v/>
      </c>
      <c r="L40" s="61"/>
    </row>
    <row r="41" spans="1:12" ht="33.950000000000003" customHeight="1" x14ac:dyDescent="0.25">
      <c r="A41" s="41"/>
      <c r="B41" s="26"/>
      <c r="C41" s="59"/>
      <c r="D41" s="26"/>
      <c r="E41" s="46"/>
      <c r="F41" s="45"/>
      <c r="G41" s="45"/>
      <c r="H41" s="12" t="str">
        <f t="shared" ca="1" si="0"/>
        <v/>
      </c>
      <c r="I41" s="14"/>
      <c r="J41" s="26"/>
      <c r="K41" s="50" t="str">
        <f t="shared" ca="1" si="1"/>
        <v/>
      </c>
      <c r="L41" s="60"/>
    </row>
    <row r="42" spans="1:12" ht="33.950000000000003" customHeight="1" x14ac:dyDescent="0.25">
      <c r="A42" s="34"/>
      <c r="B42" s="30"/>
      <c r="C42" s="59"/>
      <c r="D42" s="30"/>
      <c r="E42" s="39"/>
      <c r="F42" s="38"/>
      <c r="G42" s="38"/>
      <c r="H42" s="17" t="str">
        <f t="shared" ca="1" si="0"/>
        <v/>
      </c>
      <c r="I42" s="19"/>
      <c r="J42" s="30"/>
      <c r="K42" s="53" t="str">
        <f t="shared" ca="1" si="1"/>
        <v/>
      </c>
      <c r="L42" s="61"/>
    </row>
    <row r="43" spans="1:12" ht="33.950000000000003" customHeight="1" x14ac:dyDescent="0.25">
      <c r="A43" s="41"/>
      <c r="B43" s="26"/>
      <c r="C43" s="59"/>
      <c r="D43" s="26"/>
      <c r="E43" s="46"/>
      <c r="F43" s="45"/>
      <c r="G43" s="45"/>
      <c r="H43" s="12" t="str">
        <f t="shared" ca="1" si="0"/>
        <v/>
      </c>
      <c r="I43" s="14"/>
      <c r="J43" s="26"/>
      <c r="K43" s="50" t="str">
        <f t="shared" ca="1" si="1"/>
        <v/>
      </c>
      <c r="L43" s="60"/>
    </row>
    <row r="44" spans="1:12" ht="33.950000000000003" customHeight="1" x14ac:dyDescent="0.25">
      <c r="A44" s="34"/>
      <c r="B44" s="30"/>
      <c r="C44" s="59"/>
      <c r="D44" s="30"/>
      <c r="E44" s="39"/>
      <c r="F44" s="38"/>
      <c r="G44" s="38"/>
      <c r="H44" s="17" t="str">
        <f t="shared" ca="1" si="0"/>
        <v/>
      </c>
      <c r="I44" s="19"/>
      <c r="J44" s="30"/>
      <c r="K44" s="53" t="str">
        <f t="shared" ca="1" si="1"/>
        <v/>
      </c>
      <c r="L44" s="61"/>
    </row>
    <row r="45" spans="1:12" ht="33.950000000000003" customHeight="1" x14ac:dyDescent="0.25">
      <c r="A45" s="41"/>
      <c r="B45" s="26"/>
      <c r="C45" s="59"/>
      <c r="D45" s="26"/>
      <c r="E45" s="46"/>
      <c r="F45" s="45"/>
      <c r="G45" s="45"/>
      <c r="H45" s="12" t="str">
        <f t="shared" ca="1" si="0"/>
        <v/>
      </c>
      <c r="I45" s="14"/>
      <c r="J45" s="26"/>
      <c r="K45" s="50" t="str">
        <f t="shared" ca="1" si="1"/>
        <v/>
      </c>
      <c r="L45" s="60"/>
    </row>
    <row r="46" spans="1:12" ht="24" customHeight="1" x14ac:dyDescent="0.25">
      <c r="A46" s="21" t="s">
        <v>945</v>
      </c>
      <c r="B46" s="21" t="str">
        <f ca="1">"Listed: "&amp;COUNTIFS($B$9:$B$45,"&lt;&gt;")&amp;"    ·    Received: "&amp;COUNTIFS($I$9:$I$45,"Yes")&amp;"    ·    Outstanding: "&amp;COUNTIFS($K$9:$K$45,"Outstanding")</f>
        <v>Listed: 27    ·    Received: 0    ·    Outstanding: 27</v>
      </c>
      <c r="C46" s="21"/>
      <c r="D46" s="21"/>
      <c r="E46" s="21"/>
      <c r="F46" s="21"/>
      <c r="G46" s="21"/>
      <c r="H46" s="21"/>
      <c r="I46" s="21"/>
      <c r="J46" s="21"/>
      <c r="K46" s="21"/>
      <c r="L46" s="21"/>
    </row>
    <row r="48" spans="1:12" ht="20.100000000000001" customHeight="1" x14ac:dyDescent="0.25">
      <c r="A48" s="72" t="s">
        <v>100</v>
      </c>
      <c r="B48" s="73"/>
      <c r="C48" s="73"/>
      <c r="D48" s="73"/>
      <c r="E48" s="73"/>
      <c r="F48" s="73"/>
      <c r="G48" s="73"/>
      <c r="H48" s="73"/>
      <c r="I48" s="73"/>
      <c r="J48" s="73"/>
      <c r="K48" s="73"/>
      <c r="L48" s="73"/>
    </row>
  </sheetData>
  <autoFilter ref="A8:L45" xr:uid="{00000000-0009-0000-0000-000007000000}"/>
  <mergeCells count="5">
    <mergeCell ref="G2:L2"/>
    <mergeCell ref="B2:F2"/>
    <mergeCell ref="A6:L6"/>
    <mergeCell ref="A4:L4"/>
    <mergeCell ref="A48:L48"/>
  </mergeCells>
  <conditionalFormatting sqref="K9:K45">
    <cfRule type="cellIs" dxfId="9" priority="1" operator="equal">
      <formula>"Received"</formula>
    </cfRule>
    <cfRule type="cellIs" dxfId="8" priority="2" operator="equal">
      <formula>"Outstanding"</formula>
    </cfRule>
    <cfRule type="cellIs" dxfId="7" priority="3" operator="equal">
      <formula>"Expiring soon"</formula>
    </cfRule>
    <cfRule type="cellIs" dxfId="6" priority="4" operator="equal">
      <formula>"Expired"</formula>
    </cfRule>
  </conditionalFormatting>
  <hyperlinks>
    <hyperlink ref="A2" r:id="rId1" xr:uid="{00000000-0004-0000-0700-000000000000}"/>
    <hyperlink ref="A48" r:id="rId2" xr:uid="{00000000-0004-0000-0700-000001000000}"/>
  </hyperlinks>
  <pageMargins left="0.3" right="0.3" top="0.45" bottom="0.45" header="0.5" footer="0.5"/>
  <pageSetup paperSize="8"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1">
        <x14:dataValidation type="list" allowBlank="1" showErrorMessage="1" errorTitle="Invalid entry" error="Choose a value from the drop-down list." xr:uid="{00000000-0002-0000-0700-000000000000}">
          <x14:formula1>
            <xm:f>Lists!$B$2:$B$3</xm:f>
          </x14:formula1>
          <xm:sqref>I9:I45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1"/>
  <sheetViews>
    <sheetView showGridLines="0" workbookViewId="0">
      <pane xSplit="2" ySplit="8" topLeftCell="C46" activePane="bottomRight" state="frozen"/>
      <selection pane="topRight"/>
      <selection pane="bottomLeft"/>
      <selection pane="bottomRight"/>
    </sheetView>
  </sheetViews>
  <sheetFormatPr defaultRowHeight="15" x14ac:dyDescent="0.25"/>
  <cols>
    <col min="1" max="1" width="10" customWidth="1"/>
    <col min="2" max="2" width="44" customWidth="1"/>
    <col min="3" max="3" width="26" customWidth="1"/>
    <col min="4" max="4" width="14" customWidth="1"/>
    <col min="5" max="6" width="13" customWidth="1"/>
    <col min="7" max="8" width="14" customWidth="1"/>
    <col min="9" max="9" width="56" customWidth="1"/>
    <col min="10" max="10" width="24" customWidth="1"/>
    <col min="11" max="11" width="16" customWidth="1"/>
  </cols>
  <sheetData>
    <row r="1" spans="1:11" ht="9.9499999999999993" customHeight="1" x14ac:dyDescent="0.25">
      <c r="A1" s="1"/>
      <c r="B1" s="1"/>
      <c r="C1" s="1"/>
      <c r="D1" s="1"/>
      <c r="E1" s="1"/>
      <c r="F1" s="1"/>
      <c r="G1" s="1"/>
      <c r="H1" s="1"/>
      <c r="I1" s="1"/>
      <c r="J1" s="1"/>
      <c r="K1" s="1"/>
    </row>
    <row r="2" spans="1:11" ht="26.1" customHeight="1" x14ac:dyDescent="0.25">
      <c r="A2" s="2" t="s">
        <v>0</v>
      </c>
      <c r="B2" s="114" t="s">
        <v>1338</v>
      </c>
      <c r="C2" s="71"/>
      <c r="D2" s="71"/>
      <c r="E2" s="71"/>
      <c r="F2" s="71"/>
      <c r="G2" s="85" t="s">
        <v>1339</v>
      </c>
      <c r="H2" s="71"/>
      <c r="I2" s="71"/>
      <c r="J2" s="71"/>
      <c r="K2" s="71"/>
    </row>
    <row r="3" spans="1:11" ht="14.1" customHeight="1" x14ac:dyDescent="0.25">
      <c r="A3" s="1"/>
      <c r="B3" s="1"/>
      <c r="C3" s="1"/>
      <c r="D3" s="1"/>
      <c r="E3" s="1"/>
      <c r="F3" s="1"/>
      <c r="G3" s="1"/>
      <c r="H3" s="1"/>
      <c r="I3" s="1"/>
      <c r="J3" s="1"/>
      <c r="K3" s="1"/>
    </row>
    <row r="4" spans="1:11" ht="3" customHeight="1" x14ac:dyDescent="0.25">
      <c r="A4" s="88"/>
      <c r="B4" s="88"/>
      <c r="C4" s="88"/>
      <c r="D4" s="88"/>
      <c r="E4" s="88"/>
      <c r="F4" s="88"/>
      <c r="G4" s="88"/>
      <c r="H4" s="88"/>
      <c r="I4" s="88"/>
      <c r="J4" s="88"/>
      <c r="K4" s="88"/>
    </row>
    <row r="6" spans="1:11" ht="30" customHeight="1" x14ac:dyDescent="0.25">
      <c r="A6" s="100" t="s">
        <v>1340</v>
      </c>
      <c r="B6" s="71"/>
      <c r="C6" s="71"/>
      <c r="D6" s="71"/>
      <c r="E6" s="71"/>
      <c r="F6" s="71"/>
      <c r="G6" s="71"/>
      <c r="H6" s="71"/>
      <c r="I6" s="71"/>
      <c r="J6" s="71"/>
      <c r="K6" s="71"/>
    </row>
    <row r="7" spans="1:11" ht="6" customHeight="1" x14ac:dyDescent="0.25"/>
    <row r="8" spans="1:11" ht="33.950000000000003" customHeight="1" x14ac:dyDescent="0.25">
      <c r="A8" s="10" t="s">
        <v>172</v>
      </c>
      <c r="B8" s="10" t="s">
        <v>1341</v>
      </c>
      <c r="C8" s="10" t="s">
        <v>1342</v>
      </c>
      <c r="D8" s="10" t="s">
        <v>1343</v>
      </c>
      <c r="E8" s="10" t="s">
        <v>1344</v>
      </c>
      <c r="F8" s="10" t="s">
        <v>1345</v>
      </c>
      <c r="G8" s="10" t="s">
        <v>1346</v>
      </c>
      <c r="H8" s="10" t="s">
        <v>1347</v>
      </c>
      <c r="I8" s="10" t="s">
        <v>1348</v>
      </c>
      <c r="J8" s="10" t="s">
        <v>1349</v>
      </c>
      <c r="K8" s="10" t="s">
        <v>78</v>
      </c>
    </row>
    <row r="9" spans="1:11" ht="30" customHeight="1" x14ac:dyDescent="0.25">
      <c r="A9" s="41" t="s">
        <v>1350</v>
      </c>
      <c r="B9" s="26" t="s">
        <v>1351</v>
      </c>
      <c r="C9" s="26"/>
      <c r="D9" s="12">
        <v>12</v>
      </c>
      <c r="E9" s="62"/>
      <c r="F9" s="45" t="str">
        <f t="shared" ref="F9:F48" si="0">IF(OR($D9="",$E9=""),"",EDATE($E9,$D9))</f>
        <v/>
      </c>
      <c r="G9" s="12" t="str">
        <f t="shared" ref="G9:G48" ca="1" si="1">IF($F9="","",$F9-TODAY())</f>
        <v/>
      </c>
      <c r="H9" s="14"/>
      <c r="I9" s="43" t="s">
        <v>1352</v>
      </c>
      <c r="J9" s="26"/>
      <c r="K9" s="50" t="str">
        <f t="shared" ref="K9:K48" ca="1" si="2">IF($B9="","",IF($F9="","Start date not recorded",IF($F9&lt;TODAY(),"Expired",IF($F9-TODAY()&lt;=90,"Expiring soon","Active"))))</f>
        <v>Start date not recorded</v>
      </c>
    </row>
    <row r="10" spans="1:11" ht="30" customHeight="1" x14ac:dyDescent="0.25">
      <c r="A10" s="34" t="s">
        <v>1353</v>
      </c>
      <c r="B10" s="30" t="s">
        <v>1354</v>
      </c>
      <c r="C10" s="30"/>
      <c r="D10" s="17">
        <v>84</v>
      </c>
      <c r="E10" s="62"/>
      <c r="F10" s="38" t="str">
        <f t="shared" si="0"/>
        <v/>
      </c>
      <c r="G10" s="17" t="str">
        <f t="shared" ca="1" si="1"/>
        <v/>
      </c>
      <c r="H10" s="19"/>
      <c r="I10" s="36" t="s">
        <v>1355</v>
      </c>
      <c r="J10" s="30"/>
      <c r="K10" s="53" t="str">
        <f t="shared" ca="1" si="2"/>
        <v>Start date not recorded</v>
      </c>
    </row>
    <row r="11" spans="1:11" ht="30" customHeight="1" x14ac:dyDescent="0.25">
      <c r="A11" s="41" t="s">
        <v>1356</v>
      </c>
      <c r="B11" s="26" t="s">
        <v>1357</v>
      </c>
      <c r="C11" s="26"/>
      <c r="D11" s="12">
        <v>120</v>
      </c>
      <c r="E11" s="62"/>
      <c r="F11" s="45" t="str">
        <f t="shared" si="0"/>
        <v/>
      </c>
      <c r="G11" s="12" t="str">
        <f t="shared" ca="1" si="1"/>
        <v/>
      </c>
      <c r="H11" s="14"/>
      <c r="I11" s="43" t="s">
        <v>1358</v>
      </c>
      <c r="J11" s="26"/>
      <c r="K11" s="50" t="str">
        <f t="shared" ca="1" si="2"/>
        <v>Start date not recorded</v>
      </c>
    </row>
    <row r="12" spans="1:11" ht="30" customHeight="1" x14ac:dyDescent="0.25">
      <c r="A12" s="34" t="s">
        <v>1359</v>
      </c>
      <c r="B12" s="30" t="s">
        <v>1360</v>
      </c>
      <c r="C12" s="30"/>
      <c r="D12" s="17">
        <v>180</v>
      </c>
      <c r="E12" s="62"/>
      <c r="F12" s="38" t="str">
        <f t="shared" si="0"/>
        <v/>
      </c>
      <c r="G12" s="17" t="str">
        <f t="shared" ca="1" si="1"/>
        <v/>
      </c>
      <c r="H12" s="19"/>
      <c r="I12" s="36" t="s">
        <v>1361</v>
      </c>
      <c r="J12" s="30"/>
      <c r="K12" s="53" t="str">
        <f t="shared" ca="1" si="2"/>
        <v>Start date not recorded</v>
      </c>
    </row>
    <row r="13" spans="1:11" ht="30" customHeight="1" x14ac:dyDescent="0.25">
      <c r="A13" s="41" t="s">
        <v>1362</v>
      </c>
      <c r="B13" s="26" t="s">
        <v>1363</v>
      </c>
      <c r="C13" s="26"/>
      <c r="D13" s="12">
        <v>120</v>
      </c>
      <c r="E13" s="62"/>
      <c r="F13" s="45" t="str">
        <f t="shared" si="0"/>
        <v/>
      </c>
      <c r="G13" s="12" t="str">
        <f t="shared" ca="1" si="1"/>
        <v/>
      </c>
      <c r="H13" s="14"/>
      <c r="I13" s="43" t="s">
        <v>1364</v>
      </c>
      <c r="J13" s="26"/>
      <c r="K13" s="50" t="str">
        <f t="shared" ca="1" si="2"/>
        <v>Start date not recorded</v>
      </c>
    </row>
    <row r="14" spans="1:11" ht="30" customHeight="1" x14ac:dyDescent="0.25">
      <c r="A14" s="34" t="s">
        <v>1365</v>
      </c>
      <c r="B14" s="30" t="s">
        <v>1366</v>
      </c>
      <c r="C14" s="30"/>
      <c r="D14" s="17">
        <v>120</v>
      </c>
      <c r="E14" s="62"/>
      <c r="F14" s="38" t="str">
        <f t="shared" si="0"/>
        <v/>
      </c>
      <c r="G14" s="17" t="str">
        <f t="shared" ca="1" si="1"/>
        <v/>
      </c>
      <c r="H14" s="19"/>
      <c r="I14" s="36" t="s">
        <v>1367</v>
      </c>
      <c r="J14" s="30"/>
      <c r="K14" s="53" t="str">
        <f t="shared" ca="1" si="2"/>
        <v>Start date not recorded</v>
      </c>
    </row>
    <row r="15" spans="1:11" ht="30" customHeight="1" x14ac:dyDescent="0.25">
      <c r="A15" s="41" t="s">
        <v>1368</v>
      </c>
      <c r="B15" s="26" t="s">
        <v>1369</v>
      </c>
      <c r="C15" s="26"/>
      <c r="D15" s="12">
        <v>120</v>
      </c>
      <c r="E15" s="62"/>
      <c r="F15" s="45" t="str">
        <f t="shared" si="0"/>
        <v/>
      </c>
      <c r="G15" s="12" t="str">
        <f t="shared" ca="1" si="1"/>
        <v/>
      </c>
      <c r="H15" s="14"/>
      <c r="I15" s="43" t="s">
        <v>1370</v>
      </c>
      <c r="J15" s="26"/>
      <c r="K15" s="50" t="str">
        <f t="shared" ca="1" si="2"/>
        <v>Start date not recorded</v>
      </c>
    </row>
    <row r="16" spans="1:11" ht="30" customHeight="1" x14ac:dyDescent="0.25">
      <c r="A16" s="34" t="s">
        <v>1371</v>
      </c>
      <c r="B16" s="30" t="s">
        <v>1372</v>
      </c>
      <c r="C16" s="30"/>
      <c r="D16" s="17">
        <v>180</v>
      </c>
      <c r="E16" s="62"/>
      <c r="F16" s="38" t="str">
        <f t="shared" si="0"/>
        <v/>
      </c>
      <c r="G16" s="17" t="str">
        <f t="shared" ca="1" si="1"/>
        <v/>
      </c>
      <c r="H16" s="19"/>
      <c r="I16" s="36" t="s">
        <v>1373</v>
      </c>
      <c r="J16" s="30"/>
      <c r="K16" s="53" t="str">
        <f t="shared" ca="1" si="2"/>
        <v>Start date not recorded</v>
      </c>
    </row>
    <row r="17" spans="1:11" ht="30" customHeight="1" x14ac:dyDescent="0.25">
      <c r="A17" s="41" t="s">
        <v>1374</v>
      </c>
      <c r="B17" s="26" t="s">
        <v>1375</v>
      </c>
      <c r="C17" s="26"/>
      <c r="D17" s="12">
        <v>24</v>
      </c>
      <c r="E17" s="62"/>
      <c r="F17" s="45" t="str">
        <f t="shared" si="0"/>
        <v/>
      </c>
      <c r="G17" s="12" t="str">
        <f t="shared" ca="1" si="1"/>
        <v/>
      </c>
      <c r="H17" s="14"/>
      <c r="I17" s="43" t="s">
        <v>1376</v>
      </c>
      <c r="J17" s="26"/>
      <c r="K17" s="50" t="str">
        <f t="shared" ca="1" si="2"/>
        <v>Start date not recorded</v>
      </c>
    </row>
    <row r="18" spans="1:11" ht="30" customHeight="1" x14ac:dyDescent="0.25">
      <c r="A18" s="34" t="s">
        <v>1377</v>
      </c>
      <c r="B18" s="30" t="s">
        <v>1378</v>
      </c>
      <c r="C18" s="30"/>
      <c r="D18" s="17">
        <v>24</v>
      </c>
      <c r="E18" s="62"/>
      <c r="F18" s="38" t="str">
        <f t="shared" si="0"/>
        <v/>
      </c>
      <c r="G18" s="17" t="str">
        <f t="shared" ca="1" si="1"/>
        <v/>
      </c>
      <c r="H18" s="19"/>
      <c r="I18" s="36" t="s">
        <v>1379</v>
      </c>
      <c r="J18" s="30"/>
      <c r="K18" s="53" t="str">
        <f t="shared" ca="1" si="2"/>
        <v>Start date not recorded</v>
      </c>
    </row>
    <row r="19" spans="1:11" ht="30" customHeight="1" x14ac:dyDescent="0.25">
      <c r="A19" s="41" t="s">
        <v>1380</v>
      </c>
      <c r="B19" s="26" t="s">
        <v>1381</v>
      </c>
      <c r="C19" s="26"/>
      <c r="D19" s="12">
        <v>12</v>
      </c>
      <c r="E19" s="62"/>
      <c r="F19" s="45" t="str">
        <f t="shared" si="0"/>
        <v/>
      </c>
      <c r="G19" s="12" t="str">
        <f t="shared" ca="1" si="1"/>
        <v/>
      </c>
      <c r="H19" s="14"/>
      <c r="I19" s="43" t="s">
        <v>1382</v>
      </c>
      <c r="J19" s="26"/>
      <c r="K19" s="50" t="str">
        <f t="shared" ca="1" si="2"/>
        <v>Start date not recorded</v>
      </c>
    </row>
    <row r="20" spans="1:11" ht="30" customHeight="1" x14ac:dyDescent="0.25">
      <c r="A20" s="34" t="s">
        <v>1383</v>
      </c>
      <c r="B20" s="30" t="s">
        <v>1384</v>
      </c>
      <c r="C20" s="30"/>
      <c r="D20" s="17">
        <v>12</v>
      </c>
      <c r="E20" s="62"/>
      <c r="F20" s="38" t="str">
        <f t="shared" si="0"/>
        <v/>
      </c>
      <c r="G20" s="17" t="str">
        <f t="shared" ca="1" si="1"/>
        <v/>
      </c>
      <c r="H20" s="19"/>
      <c r="I20" s="36" t="s">
        <v>1385</v>
      </c>
      <c r="J20" s="30"/>
      <c r="K20" s="53" t="str">
        <f t="shared" ca="1" si="2"/>
        <v>Start date not recorded</v>
      </c>
    </row>
    <row r="21" spans="1:11" ht="30" customHeight="1" x14ac:dyDescent="0.25">
      <c r="A21" s="41" t="s">
        <v>1386</v>
      </c>
      <c r="B21" s="26" t="s">
        <v>1387</v>
      </c>
      <c r="C21" s="26"/>
      <c r="D21" s="12">
        <v>12</v>
      </c>
      <c r="E21" s="62"/>
      <c r="F21" s="45" t="str">
        <f t="shared" si="0"/>
        <v/>
      </c>
      <c r="G21" s="12" t="str">
        <f t="shared" ca="1" si="1"/>
        <v/>
      </c>
      <c r="H21" s="14"/>
      <c r="I21" s="43" t="s">
        <v>1388</v>
      </c>
      <c r="J21" s="26"/>
      <c r="K21" s="50" t="str">
        <f t="shared" ca="1" si="2"/>
        <v>Start date not recorded</v>
      </c>
    </row>
    <row r="22" spans="1:11" ht="30" customHeight="1" x14ac:dyDescent="0.25">
      <c r="A22" s="34" t="s">
        <v>1389</v>
      </c>
      <c r="B22" s="30" t="s">
        <v>1149</v>
      </c>
      <c r="C22" s="30"/>
      <c r="D22" s="17">
        <v>12</v>
      </c>
      <c r="E22" s="62"/>
      <c r="F22" s="38" t="str">
        <f t="shared" si="0"/>
        <v/>
      </c>
      <c r="G22" s="17" t="str">
        <f t="shared" ca="1" si="1"/>
        <v/>
      </c>
      <c r="H22" s="19"/>
      <c r="I22" s="36" t="s">
        <v>1390</v>
      </c>
      <c r="J22" s="30"/>
      <c r="K22" s="53" t="str">
        <f t="shared" ca="1" si="2"/>
        <v>Start date not recorded</v>
      </c>
    </row>
    <row r="23" spans="1:11" ht="30" customHeight="1" x14ac:dyDescent="0.25">
      <c r="A23" s="41" t="s">
        <v>1391</v>
      </c>
      <c r="B23" s="26" t="s">
        <v>1164</v>
      </c>
      <c r="C23" s="26"/>
      <c r="D23" s="12">
        <v>24</v>
      </c>
      <c r="E23" s="62"/>
      <c r="F23" s="45" t="str">
        <f t="shared" si="0"/>
        <v/>
      </c>
      <c r="G23" s="12" t="str">
        <f t="shared" ca="1" si="1"/>
        <v/>
      </c>
      <c r="H23" s="14"/>
      <c r="I23" s="43" t="s">
        <v>1392</v>
      </c>
      <c r="J23" s="26"/>
      <c r="K23" s="50" t="str">
        <f t="shared" ca="1" si="2"/>
        <v>Start date not recorded</v>
      </c>
    </row>
    <row r="24" spans="1:11" ht="30" customHeight="1" x14ac:dyDescent="0.25">
      <c r="A24" s="34" t="s">
        <v>1393</v>
      </c>
      <c r="B24" s="30" t="s">
        <v>1394</v>
      </c>
      <c r="C24" s="30"/>
      <c r="D24" s="17">
        <v>24</v>
      </c>
      <c r="E24" s="62"/>
      <c r="F24" s="38" t="str">
        <f t="shared" si="0"/>
        <v/>
      </c>
      <c r="G24" s="17" t="str">
        <f t="shared" ca="1" si="1"/>
        <v/>
      </c>
      <c r="H24" s="19"/>
      <c r="I24" s="36" t="s">
        <v>1395</v>
      </c>
      <c r="J24" s="30"/>
      <c r="K24" s="53" t="str">
        <f t="shared" ca="1" si="2"/>
        <v>Start date not recorded</v>
      </c>
    </row>
    <row r="25" spans="1:11" ht="30" customHeight="1" x14ac:dyDescent="0.25">
      <c r="A25" s="41" t="s">
        <v>1396</v>
      </c>
      <c r="B25" s="26" t="s">
        <v>1397</v>
      </c>
      <c r="C25" s="26"/>
      <c r="D25" s="12">
        <v>300</v>
      </c>
      <c r="E25" s="62"/>
      <c r="F25" s="45" t="str">
        <f t="shared" si="0"/>
        <v/>
      </c>
      <c r="G25" s="12" t="str">
        <f t="shared" ca="1" si="1"/>
        <v/>
      </c>
      <c r="H25" s="14"/>
      <c r="I25" s="43" t="s">
        <v>1398</v>
      </c>
      <c r="J25" s="26"/>
      <c r="K25" s="50" t="str">
        <f t="shared" ca="1" si="2"/>
        <v>Start date not recorded</v>
      </c>
    </row>
    <row r="26" spans="1:11" ht="30" customHeight="1" x14ac:dyDescent="0.25">
      <c r="A26" s="34" t="s">
        <v>1399</v>
      </c>
      <c r="B26" s="30" t="s">
        <v>1400</v>
      </c>
      <c r="C26" s="30"/>
      <c r="D26" s="17">
        <v>120</v>
      </c>
      <c r="E26" s="62"/>
      <c r="F26" s="38" t="str">
        <f t="shared" si="0"/>
        <v/>
      </c>
      <c r="G26" s="17" t="str">
        <f t="shared" ca="1" si="1"/>
        <v/>
      </c>
      <c r="H26" s="19"/>
      <c r="I26" s="36" t="s">
        <v>1401</v>
      </c>
      <c r="J26" s="30"/>
      <c r="K26" s="53" t="str">
        <f t="shared" ca="1" si="2"/>
        <v>Start date not recorded</v>
      </c>
    </row>
    <row r="27" spans="1:11" ht="30" customHeight="1" x14ac:dyDescent="0.25">
      <c r="A27" s="41" t="s">
        <v>1402</v>
      </c>
      <c r="B27" s="26" t="s">
        <v>1403</v>
      </c>
      <c r="C27" s="26"/>
      <c r="D27" s="12">
        <v>12</v>
      </c>
      <c r="E27" s="62"/>
      <c r="F27" s="45" t="str">
        <f t="shared" si="0"/>
        <v/>
      </c>
      <c r="G27" s="12" t="str">
        <f t="shared" ca="1" si="1"/>
        <v/>
      </c>
      <c r="H27" s="14"/>
      <c r="I27" s="43" t="s">
        <v>1404</v>
      </c>
      <c r="J27" s="26"/>
      <c r="K27" s="50" t="str">
        <f t="shared" ca="1" si="2"/>
        <v>Start date not recorded</v>
      </c>
    </row>
    <row r="28" spans="1:11" ht="30" customHeight="1" x14ac:dyDescent="0.25">
      <c r="A28" s="34" t="s">
        <v>1405</v>
      </c>
      <c r="B28" s="30" t="s">
        <v>1406</v>
      </c>
      <c r="C28" s="30"/>
      <c r="D28" s="17">
        <v>60</v>
      </c>
      <c r="E28" s="62"/>
      <c r="F28" s="38" t="str">
        <f t="shared" si="0"/>
        <v/>
      </c>
      <c r="G28" s="17" t="str">
        <f t="shared" ca="1" si="1"/>
        <v/>
      </c>
      <c r="H28" s="19"/>
      <c r="I28" s="36" t="s">
        <v>1407</v>
      </c>
      <c r="J28" s="30"/>
      <c r="K28" s="53" t="str">
        <f t="shared" ca="1" si="2"/>
        <v>Start date not recorded</v>
      </c>
    </row>
    <row r="29" spans="1:11" ht="30" customHeight="1" x14ac:dyDescent="0.25">
      <c r="A29" s="41" t="s">
        <v>1408</v>
      </c>
      <c r="B29" s="26" t="s">
        <v>1409</v>
      </c>
      <c r="C29" s="26"/>
      <c r="D29" s="12">
        <v>120</v>
      </c>
      <c r="E29" s="62"/>
      <c r="F29" s="45" t="str">
        <f t="shared" si="0"/>
        <v/>
      </c>
      <c r="G29" s="12" t="str">
        <f t="shared" ca="1" si="1"/>
        <v/>
      </c>
      <c r="H29" s="14"/>
      <c r="I29" s="43" t="s">
        <v>1410</v>
      </c>
      <c r="J29" s="26"/>
      <c r="K29" s="50" t="str">
        <f t="shared" ca="1" si="2"/>
        <v>Start date not recorded</v>
      </c>
    </row>
    <row r="30" spans="1:11" ht="30" customHeight="1" x14ac:dyDescent="0.25">
      <c r="A30" s="34" t="s">
        <v>1411</v>
      </c>
      <c r="B30" s="30" t="s">
        <v>1412</v>
      </c>
      <c r="C30" s="30"/>
      <c r="D30" s="17">
        <v>120</v>
      </c>
      <c r="E30" s="62"/>
      <c r="F30" s="38" t="str">
        <f t="shared" si="0"/>
        <v/>
      </c>
      <c r="G30" s="17" t="str">
        <f t="shared" ca="1" si="1"/>
        <v/>
      </c>
      <c r="H30" s="19"/>
      <c r="I30" s="36" t="s">
        <v>1413</v>
      </c>
      <c r="J30" s="30"/>
      <c r="K30" s="53" t="str">
        <f t="shared" ca="1" si="2"/>
        <v>Start date not recorded</v>
      </c>
    </row>
    <row r="31" spans="1:11" ht="30" customHeight="1" x14ac:dyDescent="0.25">
      <c r="A31" s="41" t="s">
        <v>1414</v>
      </c>
      <c r="B31" s="26" t="s">
        <v>1415</v>
      </c>
      <c r="C31" s="26"/>
      <c r="D31" s="12">
        <v>84</v>
      </c>
      <c r="E31" s="62"/>
      <c r="F31" s="45" t="str">
        <f t="shared" si="0"/>
        <v/>
      </c>
      <c r="G31" s="12" t="str">
        <f t="shared" ca="1" si="1"/>
        <v/>
      </c>
      <c r="H31" s="14"/>
      <c r="I31" s="43" t="s">
        <v>1416</v>
      </c>
      <c r="J31" s="26"/>
      <c r="K31" s="50" t="str">
        <f t="shared" ca="1" si="2"/>
        <v>Start date not recorded</v>
      </c>
    </row>
    <row r="32" spans="1:11" ht="30" customHeight="1" x14ac:dyDescent="0.25">
      <c r="A32" s="34" t="s">
        <v>1417</v>
      </c>
      <c r="B32" s="30" t="s">
        <v>1418</v>
      </c>
      <c r="C32" s="30"/>
      <c r="D32" s="17">
        <v>24</v>
      </c>
      <c r="E32" s="62"/>
      <c r="F32" s="38" t="str">
        <f t="shared" si="0"/>
        <v/>
      </c>
      <c r="G32" s="17" t="str">
        <f t="shared" ca="1" si="1"/>
        <v/>
      </c>
      <c r="H32" s="19"/>
      <c r="I32" s="36" t="s">
        <v>1419</v>
      </c>
      <c r="J32" s="30"/>
      <c r="K32" s="53" t="str">
        <f t="shared" ca="1" si="2"/>
        <v>Start date not recorded</v>
      </c>
    </row>
    <row r="33" spans="1:11" ht="30" customHeight="1" x14ac:dyDescent="0.25">
      <c r="A33" s="41" t="s">
        <v>1420</v>
      </c>
      <c r="B33" s="26" t="s">
        <v>1421</v>
      </c>
      <c r="C33" s="26"/>
      <c r="D33" s="12">
        <v>24</v>
      </c>
      <c r="E33" s="62"/>
      <c r="F33" s="45" t="str">
        <f t="shared" si="0"/>
        <v/>
      </c>
      <c r="G33" s="12" t="str">
        <f t="shared" ca="1" si="1"/>
        <v/>
      </c>
      <c r="H33" s="14"/>
      <c r="I33" s="43" t="s">
        <v>1422</v>
      </c>
      <c r="J33" s="26"/>
      <c r="K33" s="50" t="str">
        <f t="shared" ca="1" si="2"/>
        <v>Start date not recorded</v>
      </c>
    </row>
    <row r="34" spans="1:11" ht="30" customHeight="1" x14ac:dyDescent="0.25">
      <c r="A34" s="34" t="s">
        <v>1423</v>
      </c>
      <c r="B34" s="30" t="s">
        <v>1424</v>
      </c>
      <c r="C34" s="30"/>
      <c r="D34" s="17">
        <v>12</v>
      </c>
      <c r="E34" s="62"/>
      <c r="F34" s="38" t="str">
        <f t="shared" si="0"/>
        <v/>
      </c>
      <c r="G34" s="17" t="str">
        <f t="shared" ca="1" si="1"/>
        <v/>
      </c>
      <c r="H34" s="19"/>
      <c r="I34" s="36" t="s">
        <v>1425</v>
      </c>
      <c r="J34" s="30"/>
      <c r="K34" s="53" t="str">
        <f t="shared" ca="1" si="2"/>
        <v>Start date not recorded</v>
      </c>
    </row>
    <row r="35" spans="1:11" ht="30" customHeight="1" x14ac:dyDescent="0.25">
      <c r="A35" s="41" t="s">
        <v>1426</v>
      </c>
      <c r="B35" s="26" t="s">
        <v>1427</v>
      </c>
      <c r="C35" s="26"/>
      <c r="D35" s="12">
        <v>12</v>
      </c>
      <c r="E35" s="62"/>
      <c r="F35" s="45" t="str">
        <f t="shared" si="0"/>
        <v/>
      </c>
      <c r="G35" s="12" t="str">
        <f t="shared" ca="1" si="1"/>
        <v/>
      </c>
      <c r="H35" s="14"/>
      <c r="I35" s="43" t="s">
        <v>1428</v>
      </c>
      <c r="J35" s="26"/>
      <c r="K35" s="50" t="str">
        <f t="shared" ca="1" si="2"/>
        <v>Start date not recorded</v>
      </c>
    </row>
    <row r="36" spans="1:11" ht="30" customHeight="1" x14ac:dyDescent="0.25">
      <c r="A36" s="34" t="s">
        <v>1429</v>
      </c>
      <c r="B36" s="30" t="s">
        <v>1430</v>
      </c>
      <c r="C36" s="30"/>
      <c r="D36" s="17">
        <v>24</v>
      </c>
      <c r="E36" s="62"/>
      <c r="F36" s="38" t="str">
        <f t="shared" si="0"/>
        <v/>
      </c>
      <c r="G36" s="17" t="str">
        <f t="shared" ca="1" si="1"/>
        <v/>
      </c>
      <c r="H36" s="19"/>
      <c r="I36" s="36" t="s">
        <v>1431</v>
      </c>
      <c r="J36" s="30"/>
      <c r="K36" s="53" t="str">
        <f t="shared" ca="1" si="2"/>
        <v>Start date not recorded</v>
      </c>
    </row>
    <row r="37" spans="1:11" ht="30" customHeight="1" x14ac:dyDescent="0.25">
      <c r="A37" s="41"/>
      <c r="B37" s="26"/>
      <c r="C37" s="26"/>
      <c r="D37" s="12"/>
      <c r="E37" s="62"/>
      <c r="F37" s="45" t="str">
        <f t="shared" si="0"/>
        <v/>
      </c>
      <c r="G37" s="12" t="str">
        <f t="shared" ca="1" si="1"/>
        <v/>
      </c>
      <c r="H37" s="14"/>
      <c r="I37" s="43"/>
      <c r="J37" s="26"/>
      <c r="K37" s="50" t="str">
        <f t="shared" ca="1" si="2"/>
        <v/>
      </c>
    </row>
    <row r="38" spans="1:11" ht="30" customHeight="1" x14ac:dyDescent="0.25">
      <c r="A38" s="34"/>
      <c r="B38" s="30"/>
      <c r="C38" s="30"/>
      <c r="D38" s="17"/>
      <c r="E38" s="62"/>
      <c r="F38" s="38" t="str">
        <f t="shared" si="0"/>
        <v/>
      </c>
      <c r="G38" s="17" t="str">
        <f t="shared" ca="1" si="1"/>
        <v/>
      </c>
      <c r="H38" s="19"/>
      <c r="I38" s="36"/>
      <c r="J38" s="30"/>
      <c r="K38" s="53" t="str">
        <f t="shared" ca="1" si="2"/>
        <v/>
      </c>
    </row>
    <row r="39" spans="1:11" ht="30" customHeight="1" x14ac:dyDescent="0.25">
      <c r="A39" s="41"/>
      <c r="B39" s="26"/>
      <c r="C39" s="26"/>
      <c r="D39" s="12"/>
      <c r="E39" s="62"/>
      <c r="F39" s="45" t="str">
        <f t="shared" si="0"/>
        <v/>
      </c>
      <c r="G39" s="12" t="str">
        <f t="shared" ca="1" si="1"/>
        <v/>
      </c>
      <c r="H39" s="14"/>
      <c r="I39" s="43"/>
      <c r="J39" s="26"/>
      <c r="K39" s="50" t="str">
        <f t="shared" ca="1" si="2"/>
        <v/>
      </c>
    </row>
    <row r="40" spans="1:11" ht="30" customHeight="1" x14ac:dyDescent="0.25">
      <c r="A40" s="34"/>
      <c r="B40" s="30"/>
      <c r="C40" s="30"/>
      <c r="D40" s="17"/>
      <c r="E40" s="62"/>
      <c r="F40" s="38" t="str">
        <f t="shared" si="0"/>
        <v/>
      </c>
      <c r="G40" s="17" t="str">
        <f t="shared" ca="1" si="1"/>
        <v/>
      </c>
      <c r="H40" s="19"/>
      <c r="I40" s="36"/>
      <c r="J40" s="30"/>
      <c r="K40" s="53" t="str">
        <f t="shared" ca="1" si="2"/>
        <v/>
      </c>
    </row>
    <row r="41" spans="1:11" ht="30" customHeight="1" x14ac:dyDescent="0.25">
      <c r="A41" s="41"/>
      <c r="B41" s="26"/>
      <c r="C41" s="26"/>
      <c r="D41" s="12"/>
      <c r="E41" s="62"/>
      <c r="F41" s="45" t="str">
        <f t="shared" si="0"/>
        <v/>
      </c>
      <c r="G41" s="12" t="str">
        <f t="shared" ca="1" si="1"/>
        <v/>
      </c>
      <c r="H41" s="14"/>
      <c r="I41" s="43"/>
      <c r="J41" s="26"/>
      <c r="K41" s="50" t="str">
        <f t="shared" ca="1" si="2"/>
        <v/>
      </c>
    </row>
    <row r="42" spans="1:11" ht="30" customHeight="1" x14ac:dyDescent="0.25">
      <c r="A42" s="34"/>
      <c r="B42" s="30"/>
      <c r="C42" s="30"/>
      <c r="D42" s="17"/>
      <c r="E42" s="62"/>
      <c r="F42" s="38" t="str">
        <f t="shared" si="0"/>
        <v/>
      </c>
      <c r="G42" s="17" t="str">
        <f t="shared" ca="1" si="1"/>
        <v/>
      </c>
      <c r="H42" s="19"/>
      <c r="I42" s="36"/>
      <c r="J42" s="30"/>
      <c r="K42" s="53" t="str">
        <f t="shared" ca="1" si="2"/>
        <v/>
      </c>
    </row>
    <row r="43" spans="1:11" ht="30" customHeight="1" x14ac:dyDescent="0.25">
      <c r="A43" s="41"/>
      <c r="B43" s="26"/>
      <c r="C43" s="26"/>
      <c r="D43" s="12"/>
      <c r="E43" s="62"/>
      <c r="F43" s="45" t="str">
        <f t="shared" si="0"/>
        <v/>
      </c>
      <c r="G43" s="12" t="str">
        <f t="shared" ca="1" si="1"/>
        <v/>
      </c>
      <c r="H43" s="14"/>
      <c r="I43" s="43"/>
      <c r="J43" s="26"/>
      <c r="K43" s="50" t="str">
        <f t="shared" ca="1" si="2"/>
        <v/>
      </c>
    </row>
    <row r="44" spans="1:11" ht="30" customHeight="1" x14ac:dyDescent="0.25">
      <c r="A44" s="34"/>
      <c r="B44" s="30"/>
      <c r="C44" s="30"/>
      <c r="D44" s="17"/>
      <c r="E44" s="62"/>
      <c r="F44" s="38" t="str">
        <f t="shared" si="0"/>
        <v/>
      </c>
      <c r="G44" s="17" t="str">
        <f t="shared" ca="1" si="1"/>
        <v/>
      </c>
      <c r="H44" s="19"/>
      <c r="I44" s="36"/>
      <c r="J44" s="30"/>
      <c r="K44" s="53" t="str">
        <f t="shared" ca="1" si="2"/>
        <v/>
      </c>
    </row>
    <row r="45" spans="1:11" ht="30" customHeight="1" x14ac:dyDescent="0.25">
      <c r="A45" s="41"/>
      <c r="B45" s="26"/>
      <c r="C45" s="26"/>
      <c r="D45" s="12"/>
      <c r="E45" s="62"/>
      <c r="F45" s="45" t="str">
        <f t="shared" si="0"/>
        <v/>
      </c>
      <c r="G45" s="12" t="str">
        <f t="shared" ca="1" si="1"/>
        <v/>
      </c>
      <c r="H45" s="14"/>
      <c r="I45" s="43"/>
      <c r="J45" s="26"/>
      <c r="K45" s="50" t="str">
        <f t="shared" ca="1" si="2"/>
        <v/>
      </c>
    </row>
    <row r="46" spans="1:11" ht="30" customHeight="1" x14ac:dyDescent="0.25">
      <c r="A46" s="34"/>
      <c r="B46" s="30"/>
      <c r="C46" s="30"/>
      <c r="D46" s="17"/>
      <c r="E46" s="62"/>
      <c r="F46" s="38" t="str">
        <f t="shared" si="0"/>
        <v/>
      </c>
      <c r="G46" s="17" t="str">
        <f t="shared" ca="1" si="1"/>
        <v/>
      </c>
      <c r="H46" s="19"/>
      <c r="I46" s="36"/>
      <c r="J46" s="30"/>
      <c r="K46" s="53" t="str">
        <f t="shared" ca="1" si="2"/>
        <v/>
      </c>
    </row>
    <row r="47" spans="1:11" ht="30" customHeight="1" x14ac:dyDescent="0.25">
      <c r="A47" s="41"/>
      <c r="B47" s="26"/>
      <c r="C47" s="26"/>
      <c r="D47" s="12"/>
      <c r="E47" s="62"/>
      <c r="F47" s="45" t="str">
        <f t="shared" si="0"/>
        <v/>
      </c>
      <c r="G47" s="12" t="str">
        <f t="shared" ca="1" si="1"/>
        <v/>
      </c>
      <c r="H47" s="14"/>
      <c r="I47" s="43"/>
      <c r="J47" s="26"/>
      <c r="K47" s="50" t="str">
        <f t="shared" ca="1" si="2"/>
        <v/>
      </c>
    </row>
    <row r="48" spans="1:11" ht="30" customHeight="1" x14ac:dyDescent="0.25">
      <c r="A48" s="34"/>
      <c r="B48" s="30"/>
      <c r="C48" s="30"/>
      <c r="D48" s="17"/>
      <c r="E48" s="62"/>
      <c r="F48" s="38" t="str">
        <f t="shared" si="0"/>
        <v/>
      </c>
      <c r="G48" s="17" t="str">
        <f t="shared" ca="1" si="1"/>
        <v/>
      </c>
      <c r="H48" s="19"/>
      <c r="I48" s="36"/>
      <c r="J48" s="30"/>
      <c r="K48" s="53" t="str">
        <f t="shared" ca="1" si="2"/>
        <v/>
      </c>
    </row>
    <row r="49" spans="1:11" ht="24" customHeight="1" x14ac:dyDescent="0.25">
      <c r="A49" s="21" t="s">
        <v>945</v>
      </c>
      <c r="B49" s="21" t="str">
        <f ca="1">"Warranties: "&amp;COUNTIFS($B$9:$B$48,"&lt;&gt;")&amp;"    ·    Certificates on file: "&amp;COUNTIFS($H$9:$H$48,"Yes")&amp;"    ·    Expiring within 90 days: "&amp;COUNTIFS($K$9:$K$48,"Expiring soon")</f>
        <v>Warranties: 28    ·    Certificates on file: 0    ·    Expiring within 90 days: 0</v>
      </c>
      <c r="C49" s="21"/>
      <c r="D49" s="21"/>
      <c r="E49" s="21"/>
      <c r="F49" s="21"/>
      <c r="G49" s="21"/>
      <c r="H49" s="21"/>
      <c r="I49" s="21"/>
      <c r="J49" s="21"/>
      <c r="K49" s="21"/>
    </row>
    <row r="51" spans="1:11" ht="20.100000000000001" customHeight="1" x14ac:dyDescent="0.25">
      <c r="A51" s="72" t="s">
        <v>100</v>
      </c>
      <c r="B51" s="73"/>
      <c r="C51" s="73"/>
      <c r="D51" s="73"/>
      <c r="E51" s="73"/>
      <c r="F51" s="73"/>
      <c r="G51" s="73"/>
      <c r="H51" s="73"/>
      <c r="I51" s="73"/>
      <c r="J51" s="73"/>
      <c r="K51" s="73"/>
    </row>
  </sheetData>
  <autoFilter ref="A8:K48" xr:uid="{00000000-0009-0000-0000-000008000000}"/>
  <mergeCells count="5">
    <mergeCell ref="A6:K6"/>
    <mergeCell ref="A4:K4"/>
    <mergeCell ref="B2:F2"/>
    <mergeCell ref="G2:K2"/>
    <mergeCell ref="A51:K51"/>
  </mergeCells>
  <conditionalFormatting sqref="K9:K48">
    <cfRule type="cellIs" dxfId="5" priority="1" operator="equal">
      <formula>"Active"</formula>
    </cfRule>
    <cfRule type="cellIs" dxfId="4" priority="2" operator="equal">
      <formula>"Expiring soon"</formula>
    </cfRule>
    <cfRule type="cellIs" dxfId="3" priority="3" operator="equal">
      <formula>"Expired"</formula>
    </cfRule>
    <cfRule type="cellIs" dxfId="2" priority="4" operator="equal">
      <formula>"Start date not recorded"</formula>
    </cfRule>
  </conditionalFormatting>
  <hyperlinks>
    <hyperlink ref="A2" r:id="rId1" xr:uid="{00000000-0004-0000-0800-000000000000}"/>
    <hyperlink ref="A51" r:id="rId2" xr:uid="{00000000-0004-0000-0800-000001000000}"/>
  </hyperlinks>
  <pageMargins left="0.3" right="0.3" top="0.45" bottom="0.45" header="0.5" footer="0.5"/>
  <pageSetup paperSize="8"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1">
        <x14:dataValidation type="list" allowBlank="1" showErrorMessage="1" errorTitle="Invalid entry" error="Choose a value from the drop-down list." xr:uid="{00000000-0002-0000-0800-000000000000}">
          <x14:formula1>
            <xm:f>Lists!$B$2:$B$3</xm:f>
          </x14:formula1>
          <xm:sqref>H9:H48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21</vt:i4>
      </vt:variant>
    </vt:vector>
  </HeadingPairs>
  <TitlesOfParts>
    <vt:vector size="32" baseType="lpstr">
      <vt:lpstr>Cover</vt:lpstr>
      <vt:lpstr>Instructions</vt:lpstr>
      <vt:lpstr>Dashboard</vt:lpstr>
      <vt:lpstr>PC Checklist</vt:lpstr>
      <vt:lpstr>Defects Register</vt:lpstr>
      <vt:lpstr>Handover Register</vt:lpstr>
      <vt:lpstr>Commissioning Register</vt:lpstr>
      <vt:lpstr>Certificates Register</vt:lpstr>
      <vt:lpstr>Warranties Register</vt:lpstr>
      <vt:lpstr>PC Sign-Off</vt:lpstr>
      <vt:lpstr>Lists</vt:lpstr>
      <vt:lpstr>ContractForm</vt:lpstr>
      <vt:lpstr>DefectCategory</vt:lpstr>
      <vt:lpstr>DefectStatus</vt:lpstr>
      <vt:lpstr>Discipline</vt:lpstr>
      <vt:lpstr>'Certificates Register'!Print_Titles</vt:lpstr>
      <vt:lpstr>'Commissioning Register'!Print_Titles</vt:lpstr>
      <vt:lpstr>Dashboard!Print_Titles</vt:lpstr>
      <vt:lpstr>'Defects Register'!Print_Titles</vt:lpstr>
      <vt:lpstr>'Handover Register'!Print_Titles</vt:lpstr>
      <vt:lpstr>Instructions!Print_Titles</vt:lpstr>
      <vt:lpstr>'PC Checklist'!Print_Titles</vt:lpstr>
      <vt:lpstr>'PC Sign-Off'!Print_Titles</vt:lpstr>
      <vt:lpstr>'Warranties Register'!Print_Titles</vt:lpstr>
      <vt:lpstr>RAG</vt:lpstr>
      <vt:lpstr>Responsible</vt:lpstr>
      <vt:lpstr>ReviewOutcome</vt:lpstr>
      <vt:lpstr>State</vt:lpstr>
      <vt:lpstr>Status</vt:lpstr>
      <vt:lpstr>TestResult</vt:lpstr>
      <vt:lpstr>YesNo</vt:lpstr>
      <vt:lpstr>YesNoNA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Jefbeck Eje</cp:lastModifiedBy>
  <dcterms:created xsi:type="dcterms:W3CDTF">2026-08-11T04:24:56Z</dcterms:created>
  <dcterms:modified xsi:type="dcterms:W3CDTF">2026-08-11T06:35:42Z</dcterms:modified>
</cp:coreProperties>
</file>