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Project Register" sheetId="3" state="visible" r:id="rId5"/>
    <sheet name="Prioritisation" sheetId="4" state="visible" r:id="rId6"/>
    <sheet name="Project Brief" sheetId="5" state="visible" r:id="rId7"/>
    <sheet name="Funding Summary" sheetId="6" state="visible" r:id="rId8"/>
    <sheet name="Plan Summary" sheetId="7" state="visible" r:id="rId9"/>
    <sheet name="Reference" sheetId="8" state="visible" r:id="rId10"/>
  </sheets>
  <definedNames>
    <definedName function="false" hidden="false" localSheetId="0" name="_xlnm.Print_Area" vbProcedure="false">Cover!$A$1:$G$42</definedName>
    <definedName function="false" hidden="false" localSheetId="5" name="_xlnm.Print_Area" vbProcedure="false">'Funding Summary'!$A$1:$K$46</definedName>
    <definedName function="false" hidden="false" localSheetId="6" name="_xlnm.Print_Area" vbProcedure="false">'Plan Summary'!$A$1:$P$64</definedName>
    <definedName function="false" hidden="false" localSheetId="3" name="_xlnm.Print_Area" vbProcedure="false">Prioritisation!$A$1:$U$48</definedName>
    <definedName function="false" hidden="false" localSheetId="3" name="_xlnm.Print_Titles" vbProcedure="false">Prioritisation!$1:$8</definedName>
    <definedName function="false" hidden="true" localSheetId="3" name="_xlnm._FilterDatabase" vbProcedure="false">Prioritisation!$B$8:$U$38</definedName>
    <definedName function="false" hidden="false" localSheetId="4" name="_xlnm.Print_Area" vbProcedure="false">'Project Brief'!$A$1:$P$1085</definedName>
    <definedName function="false" hidden="false" localSheetId="4" name="_xlnm.Print_Titles" vbProcedure="false">'Project Brief'!$1:$5</definedName>
    <definedName function="false" hidden="false" localSheetId="2" name="_xlnm.Print_Area" vbProcedure="false">'Project Register'!$A$1:$AL$48</definedName>
    <definedName function="false" hidden="false" localSheetId="2" name="_xlnm.Print_Titles" vbProcedure="false">'Project Register'!$B:$D,'Project Register'!$1:$8</definedName>
    <definedName function="false" hidden="true" localSheetId="2" name="_xlnm._FilterDatabase" vbProcedure="false">'Project Register'!$B$8:$AL$38</definedName>
    <definedName function="false" hidden="false" localSheetId="7" name="_xlnm.Print_Area" vbProcedure="false">Reference!$A$1:$K$73</definedName>
    <definedName function="false" hidden="false" localSheetId="1" name="_xlnm.Print_Area" vbProcedure="false">Setup!$A$1:$J$56</definedName>
    <definedName function="false" hidden="false" localSheetId="2" name="_xlnm.Print_Titles" vbProcedure="false">'Project Register'!$1:$8,'Project Register'!$B:$D</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<sst xmlns="http://schemas.openxmlformats.org/spreadsheetml/2006/main" count="1988" uniqueCount="604">
  <si>
    <t xml:space="preserve">Capital Improvement Plan</t>
  </si>
  <si>
    <t xml:space="preserve">A rolling five-year program of capital projects - cost, phasing, funding and priority in one model.</t>
  </si>
  <si>
    <t xml:space="preserve">This workbook holds the whole capital program in one place: every candidate project, what it costs, which year the money is needed, where that money comes from, and where each project ranks when there is not enough to do all of it. Enter the plan period once and every year column re-labels itself, so the plan rolls forward each cycle instead of being rebuilt. Costs are held both in today's money and in the money of the year they are spent, because the second is what has to be appropriated.</t>
  </si>
  <si>
    <t xml:space="preserve">HOW TO USE IT</t>
  </si>
  <si>
    <t xml:space="preserve">Set the plan up.  On Setup enter the organisation, the first year of the plan, the escalation rate and the funding envelope for each year. Every year heading derives from that first year.</t>
  </si>
  <si>
    <t xml:space="preserve">Agree the weightings first.  Set the eight criteria weightings so they total 100 per cent before anyone scores anything. The check cell tells you when they do.</t>
  </si>
  <si>
    <t xml:space="preserve">List every candidate project.  One row each on the Project Register. Enter the total cost, anything already spent, then phase the remaining cost across the years until the check column reads OK.</t>
  </si>
  <si>
    <t xml:space="preserve">Say where the money comes from.  Give each project up to two funding sources and the share each one carries. Anything left over is reported as unfunded - a finding, not an error.</t>
  </si>
  <si>
    <t xml:space="preserve">Write the case before you score it.  Project Brief holds a page for every project on the register - the problem, the options, the scope, the estimate basis, the risks, the benefits, the cost of deferring it and how ready it is. Write those ten fields before the scoring panel meets. Scoring a project nobody can describe is how bad projects get funded. Print the tab and each project comes out as its own A4 page for the committee pack.</t>
  </si>
  <si>
    <t xml:space="preserve">Score each project 1 to 5.  On Prioritisation, score against the eight criteria. The rubric on Reference says what a 1 and a 5 mean, so two assessors land in the same place.</t>
  </si>
  <si>
    <t xml:space="preserve">Read the affordability position.  Funding Summary sets the requirement for each year against the envelope for that year. A shortfall in red is a year to re-phase, fund or defer.</t>
  </si>
  <si>
    <t xml:space="preserve">Take Plan Summary to the board.  Every figure on it is a formula reading the sheets behind it. Nothing on that page is typed.</t>
  </si>
  <si>
    <t xml:space="preserve">Delete the examples.  The 15 example projects are marked EX on the Project Register. Delete those rows and every example banner in the workbook clears.</t>
  </si>
  <si>
    <t xml:space="preserve">WHAT IS IN THE WORKBOOK</t>
  </si>
  <si>
    <t xml:space="preserve">Sheet</t>
  </si>
  <si>
    <t xml:space="preserve">What it does</t>
  </si>
  <si>
    <t xml:space="preserve">Who fills it in</t>
  </si>
  <si>
    <t xml:space="preserve">Setup</t>
  </si>
  <si>
    <t xml:space="preserve">Organisation, plan period, escalation, funding envelope, criteria weightings and priority bands.</t>
  </si>
  <si>
    <t xml:space="preserve">Plan owner, once a cycle</t>
  </si>
  <si>
    <t xml:space="preserve">Project Register</t>
  </si>
  <si>
    <t xml:space="preserve">One row per candidate project: cost, phasing by year, escalation and funding split.</t>
  </si>
  <si>
    <t xml:space="preserve">Sponsors, then the plan owner</t>
  </si>
  <si>
    <t xml:space="preserve">Prioritisation</t>
  </si>
  <si>
    <t xml:space="preserve">Scores each project 1 to 5 against the weighted criteria. Rank and band are calculated.</t>
  </si>
  <si>
    <t xml:space="preserve">Assessment panel</t>
  </si>
  <si>
    <t xml:space="preserve">Project Brief</t>
  </si>
  <si>
    <t xml:space="preserve">One printable page per project - cost, funding, priority and the ten narrative fields that say why it is in the plan.</t>
  </si>
  <si>
    <t xml:space="preserve">Project sponsor, before scoring</t>
  </si>
  <si>
    <t xml:space="preserve">Funding Summary</t>
  </si>
  <si>
    <t xml:space="preserve">Funding by source and year against the envelope, and the unfunded gap.</t>
  </si>
  <si>
    <t xml:space="preserve">Calculated - read only</t>
  </si>
  <si>
    <t xml:space="preserve">Plan Summary</t>
  </si>
  <si>
    <t xml:space="preserve">The board page. Plan value, funded against unfunded, spend by year, category and driver, top ten.</t>
  </si>
  <si>
    <t xml:space="preserve">Reference</t>
  </si>
  <si>
    <t xml:space="preserve">Every dropdown list, the scoring rubric, definitions and cell conventions.</t>
  </si>
  <si>
    <t xml:space="preserve">Plan owner, when lists change</t>
  </si>
  <si>
    <t xml:space="preserve">IMPORTANT</t>
  </si>
  <si>
    <t xml:space="preserve">This template is a planning tool, not advice. The cost, escalation, funding and scoring assumptions in it are examples. Check every figure against your own estimates, your own financial strategy and the terms of the Contract and any funding agreement before you rely on it or publish it. Mastt accepts no liability for decisions taken from this workbook.</t>
  </si>
  <si>
    <t xml:space="preserve">Terminology: this set is written for a global audience. Owner (Client) is the organisation that pays for the work - called the Principal or the Employer in some contracts. Where a term differs by region, both are given on Reference. Amounts are in the organisation's own currency, shown with a neutral $.</t>
  </si>
  <si>
    <t xml:space="preserve">Built with Mastt  |  mastt.com</t>
  </si>
  <si>
    <t xml:space="preserve">CAPITAL IMPROVEMENT PLAN     ·     SETUP</t>
  </si>
  <si>
    <t xml:space="preserve">Enter these once. Every other sheet reads from here by formula. Pale blue cells are yours to type in - everything else is calculated. Change the first year of the plan and every year heading in the workbook moves with it.</t>
  </si>
  <si>
    <t xml:space="preserve">1 · ORGANISATION AND PLAN</t>
  </si>
  <si>
    <t xml:space="preserve">Organisation</t>
  </si>
  <si>
    <t xml:space="preserve">Northgate City</t>
  </si>
  <si>
    <t xml:space="preserve">Plan title</t>
  </si>
  <si>
    <t xml:space="preserve">Plan period</t>
  </si>
  <si>
    <t xml:space="preserve">Plan owner - who maintains this workbook</t>
  </si>
  <si>
    <t xml:space="preserve">Head of Asset Planning</t>
  </si>
  <si>
    <t xml:space="preserve">Approving body</t>
  </si>
  <si>
    <t xml:space="preserve">Finance and Infrastructure Committee</t>
  </si>
  <si>
    <t xml:space="preserve">Plan status</t>
  </si>
  <si>
    <t xml:space="preserve">Draft</t>
  </si>
  <si>
    <t xml:space="preserve">Date prepared</t>
  </si>
  <si>
    <t xml:space="preserve">Currency</t>
  </si>
  <si>
    <t xml:space="preserve">Contract currency, shown as $</t>
  </si>
  <si>
    <t xml:space="preserve">Use one currency across the whole plan.</t>
  </si>
  <si>
    <t xml:space="preserve">The plan owner is the single point of truth for this workbook. Sponsors propose projects; the plan owner decides what enters the register.</t>
  </si>
  <si>
    <t xml:space="preserve">2 · PLAN PERIOD, ESCALATION AND DISCOUNTING</t>
  </si>
  <si>
    <t xml:space="preserve">First year of the plan (Year 1)</t>
  </si>
  <si>
    <t xml:space="preserve">The plan rolls: change this and every year heading in the workbook moves.</t>
  </si>
  <si>
    <t xml:space="preserve">Year label prefix</t>
  </si>
  <si>
    <t xml:space="preserve">FY</t>
  </si>
  <si>
    <t xml:space="preserve">Use FY, or leave it blank for calendar years.</t>
  </si>
  <si>
    <t xml:space="preserve">Cost escalation rate a year</t>
  </si>
  <si>
    <t xml:space="preserve">Applied from Year 2 onwards. Year 1 is already in today's money.</t>
  </si>
  <si>
    <t xml:space="preserve">Discount rate a year</t>
  </si>
  <si>
    <t xml:space="preserve">Used for the present value figure on Plan Summary only.</t>
  </si>
  <si>
    <t xml:space="preserve">Plan year</t>
  </si>
  <si>
    <t xml:space="preserve">Total</t>
  </si>
  <si>
    <t xml:space="preserve">Escalation factor applied to that year</t>
  </si>
  <si>
    <t xml:space="preserve">Discount factor applied to that year</t>
  </si>
  <si>
    <t xml:space="preserve">Year 1 is unescalated - it is already in today's money. Year n is escalated by (1 + rate) ^ (n - 1). Cost that falls beyond the plan is escalated at the Year 6 factor, which is deliberately conservative for a bucket that has no dates in it yet. Discounting brings future cash back to the start of Year 1; it drives the present value figure on Plan Summary and nothing else.</t>
  </si>
  <si>
    <t xml:space="preserve">3 · ANNUAL FUNDING ENVELOPE</t>
  </si>
  <si>
    <t xml:space="preserve">Funding envelope for the year (cash)</t>
  </si>
  <si>
    <t xml:space="preserve">Envelope available inside the plan period (Year 1 to Year 5)</t>
  </si>
  <si>
    <t xml:space="preserve">The envelope is what the organisation can afford to commit in each year under its financial strategy - rates or revenue capacity, borrowing headroom, reserve balances and grants already agreed. It is not the sum of what projects have asked for. Enter it in cash terms, the same basis as the escalated cost.</t>
  </si>
  <si>
    <t xml:space="preserve">4 · PRIORITISATION CRITERIA WEIGHTINGS</t>
  </si>
  <si>
    <t xml:space="preserve">Criterion</t>
  </si>
  <si>
    <t xml:space="preserve">Weighting</t>
  </si>
  <si>
    <t xml:space="preserve">What it measures</t>
  </si>
  <si>
    <t xml:space="preserve">Asset condition and failure risk</t>
  </si>
  <si>
    <t xml:space="preserve">Physical condition, remaining life and failure history of the asset being replaced or renewed.</t>
  </si>
  <si>
    <t xml:space="preserve">Health, safety and compliance</t>
  </si>
  <si>
    <t xml:space="preserve">Risk to life safety, and any written direction or standard the Owner has to meet.</t>
  </si>
  <si>
    <t xml:space="preserve">Service demand and growth</t>
  </si>
  <si>
    <t xml:space="preserve">Capacity against current and committed demand across the plan period.</t>
  </si>
  <si>
    <t xml:space="preserve">Strategic alignment</t>
  </si>
  <si>
    <t xml:space="preserve">Whether the project is a named commitment in an adopted strategy or asset management plan.</t>
  </si>
  <si>
    <t xml:space="preserve">Economic or community benefit</t>
  </si>
  <si>
    <t xml:space="preserve">Measurable benefit to users, the wider economy or the community, evidenced by a business case.</t>
  </si>
  <si>
    <t xml:space="preserve">Deliverability and readiness</t>
  </si>
  <si>
    <t xml:space="preserve">Scope maturity, design, approvals, land and delivery resource. Can it actually start.</t>
  </si>
  <si>
    <t xml:space="preserve">Funding certainty</t>
  </si>
  <si>
    <t xml:space="preserve">How committed the funding is, from nothing identified to executed agreement.</t>
  </si>
  <si>
    <t xml:space="preserve">Consequence of doing nothing</t>
  </si>
  <si>
    <t xml:space="preserve">What happens to service, cost and risk if the project is deferred out of the plan.</t>
  </si>
  <si>
    <t xml:space="preserve">Total weighting</t>
  </si>
  <si>
    <t xml:space="preserve">Weighting check</t>
  </si>
  <si>
    <t xml:space="preserve">Weight the criteria to your own strategy, then leave them alone for the cycle. Changing a weighting after the scores are in re-ranks the plan, and everyone can see it.</t>
  </si>
  <si>
    <t xml:space="preserve">5 · PRIORITY BANDS</t>
  </si>
  <si>
    <t xml:space="preserve">Band</t>
  </si>
  <si>
    <t xml:space="preserve">Weighted score from</t>
  </si>
  <si>
    <t xml:space="preserve">What it means</t>
  </si>
  <si>
    <t xml:space="preserve">Critical</t>
  </si>
  <si>
    <t xml:space="preserve">Fund it. Deferring it carries a risk the Owner has to accept in writing.</t>
  </si>
  <si>
    <t xml:space="preserve">High</t>
  </si>
  <si>
    <t xml:space="preserve">Fund it inside the plan period unless the envelope makes that impossible.</t>
  </si>
  <si>
    <t xml:space="preserve">Medium</t>
  </si>
  <si>
    <t xml:space="preserve">Fund it if the envelope allows, otherwise carry it to the next cycle.</t>
  </si>
  <si>
    <t xml:space="preserve">Low</t>
  </si>
  <si>
    <t xml:space="preserve">Below the Medium threshold. Do not fund it from this plan without a written case.</t>
  </si>
  <si>
    <t xml:space="preserve">Bands are cut from the weighted score, not from cost. A cheap project can be Critical and an expensive one Low - that is the point of scoring before you fund.</t>
  </si>
  <si>
    <t xml:space="preserve">CAPITAL IMPROVEMENT PLAN     ·     PROJECT REGISTER</t>
  </si>
  <si>
    <t xml:space="preserve">One row per candidate project. Type in the pale blue cells only. Phase the REMAINING cost (estimated total less spend already incurred) across the years - the check column reads OK when it ties back. Filter this sheet, do not sort it. Prints A3 landscape, two pages wide.</t>
  </si>
  <si>
    <t xml:space="preserve">IDENTIFICATION</t>
  </si>
  <si>
    <t xml:space="preserve">COST</t>
  </si>
  <si>
    <t xml:space="preserve">PHASING - NOMINAL (today's money)</t>
  </si>
  <si>
    <t xml:space="preserve">PHASING - ESCALATED (cash of the year)</t>
  </si>
  <si>
    <t xml:space="preserve">FUNDING SPLIT</t>
  </si>
  <si>
    <t xml:space="preserve">Who, what and why</t>
  </si>
  <si>
    <t xml:space="preserve">Whole of project</t>
  </si>
  <si>
    <t xml:space="preserve">Only the remaining cost is phased</t>
  </si>
  <si>
    <t xml:space="preserve">Nominal uplifted by the Setup escalation factors</t>
  </si>
  <si>
    <t xml:space="preserve">Share of the escalated in-plan cost</t>
  </si>
  <si>
    <t xml:space="preserve">EX</t>
  </si>
  <si>
    <t xml:space="preserve">Project ID</t>
  </si>
  <si>
    <t xml:space="preserve">Project name</t>
  </si>
  <si>
    <t xml:space="preserve">Description</t>
  </si>
  <si>
    <t xml:space="preserve">Category</t>
  </si>
  <si>
    <t xml:space="preserve">Asset class</t>
  </si>
  <si>
    <t xml:space="preserve">Department / owner</t>
  </si>
  <si>
    <t xml:space="preserve">Driver</t>
  </si>
  <si>
    <t xml:space="preserve">Status</t>
  </si>
  <si>
    <t xml:space="preserve">Delivery lead</t>
  </si>
  <si>
    <t xml:space="preserve">Estimated total cost</t>
  </si>
  <si>
    <t xml:space="preserve">Spend already incurred</t>
  </si>
  <si>
    <t xml:space="preserve">Remaining cost</t>
  </si>
  <si>
    <t xml:space="preserve">Phased total</t>
  </si>
  <si>
    <t xml:space="preserve">Phasing variance</t>
  </si>
  <si>
    <t xml:space="preserve">Check</t>
  </si>
  <si>
    <t xml:space="preserve">Escalated in plan (Y1-Y5)</t>
  </si>
  <si>
    <t xml:space="preserve">Escalated total</t>
  </si>
  <si>
    <t xml:space="preserve">Funding source 1</t>
  </si>
  <si>
    <t xml:space="preserve">Share</t>
  </si>
  <si>
    <t xml:space="preserve">Funding source 2</t>
  </si>
  <si>
    <t xml:space="preserve">Unfunded</t>
  </si>
  <si>
    <t xml:space="preserve">Funded (escalated, in plan)</t>
  </si>
  <si>
    <t xml:space="preserve">Unfunded (escalated, in plan)</t>
  </si>
  <si>
    <t xml:space="preserve">Riverside Bridge deck renewal</t>
  </si>
  <si>
    <t xml:space="preserve">Replace the deck, bearings and barriers on the 1968 river crossing. Load limit lifts on completion.</t>
  </si>
  <si>
    <t xml:space="preserve">Roads and bridges</t>
  </si>
  <si>
    <t xml:space="preserve">Bridge and structure</t>
  </si>
  <si>
    <t xml:space="preserve">Infrastructure and delivery</t>
  </si>
  <si>
    <t xml:space="preserve">Renewal</t>
  </si>
  <si>
    <t xml:space="preserve">Approved</t>
  </si>
  <si>
    <t xml:space="preserve">A. Whitfield</t>
  </si>
  <si>
    <t xml:space="preserve">Grants - government</t>
  </si>
  <si>
    <t xml:space="preserve">Own revenue</t>
  </si>
  <si>
    <t xml:space="preserve">Central water treatment plant upgrade</t>
  </si>
  <si>
    <t xml:space="preserve">Membrane replacement and a second clarifier to meet the drinking water standard the Owner operates to.</t>
  </si>
  <si>
    <t xml:space="preserve">Water and wastewater</t>
  </si>
  <si>
    <t xml:space="preserve">Water network</t>
  </si>
  <si>
    <t xml:space="preserve">Water services</t>
  </si>
  <si>
    <t xml:space="preserve">Compliance and safety</t>
  </si>
  <si>
    <t xml:space="preserve">M. Okonkwo</t>
  </si>
  <si>
    <t xml:space="preserve">Borrowings</t>
  </si>
  <si>
    <t xml:space="preserve">Northgate aquatic centre replacement</t>
  </si>
  <si>
    <t xml:space="preserve">Replace the 1974 pool hall. Concept design only. The largest single call on the plan.</t>
  </si>
  <si>
    <t xml:space="preserve">Buildings</t>
  </si>
  <si>
    <t xml:space="preserve">Building - community</t>
  </si>
  <si>
    <t xml:space="preserve">Community services</t>
  </si>
  <si>
    <t xml:space="preserve">Service improvement</t>
  </si>
  <si>
    <t xml:space="preserve">Proposed</t>
  </si>
  <si>
    <t xml:space="preserve">S. Duarte</t>
  </si>
  <si>
    <t xml:space="preserve">Depot Road reconstruction - stage 2</t>
  </si>
  <si>
    <t xml:space="preserve">Full pavement reconstruction, kerb and drainage over 2.4 km. Stage 1 is complete.</t>
  </si>
  <si>
    <t xml:space="preserve">Road pavement</t>
  </si>
  <si>
    <t xml:space="preserve">In delivery</t>
  </si>
  <si>
    <t xml:space="preserve">Wastewater pump station renewals</t>
  </si>
  <si>
    <t xml:space="preserve">Rolling renewal of 14 stations by condition rank. Two stations a year, funded from the water reserve.</t>
  </si>
  <si>
    <t xml:space="preserve">Wastewater network</t>
  </si>
  <si>
    <t xml:space="preserve">Reserves</t>
  </si>
  <si>
    <t xml:space="preserve">Kingsway Park sports precinct</t>
  </si>
  <si>
    <t xml:space="preserve">Two new playing fields, lighting and a pavilion to serve the eastern growth area.</t>
  </si>
  <si>
    <t xml:space="preserve">Parks and recreation</t>
  </si>
  <si>
    <t xml:space="preserve">Open space</t>
  </si>
  <si>
    <t xml:space="preserve">Parks and open space</t>
  </si>
  <si>
    <t xml:space="preserve">Growth</t>
  </si>
  <si>
    <t xml:space="preserve">L. Fenwick</t>
  </si>
  <si>
    <t xml:space="preserve">Developer contributions</t>
  </si>
  <si>
    <t xml:space="preserve">Fleet replacement program - heavy plant</t>
  </si>
  <si>
    <t xml:space="preserve">Replace graders, trucks and loaders at the end of economic life, on the fleet replacement schedule.</t>
  </si>
  <si>
    <t xml:space="preserve">Fleet and plant</t>
  </si>
  <si>
    <t xml:space="preserve">Vehicle and plant</t>
  </si>
  <si>
    <t xml:space="preserve">Fleet operations</t>
  </si>
  <si>
    <t xml:space="preserve">R. Castillo</t>
  </si>
  <si>
    <t xml:space="preserve">Core network and cyber security uplift</t>
  </si>
  <si>
    <t xml:space="preserve">Segment the operational technology network and replace end-of-support edge hardware.</t>
  </si>
  <si>
    <t xml:space="preserve">Technology</t>
  </si>
  <si>
    <t xml:space="preserve">ICT system</t>
  </si>
  <si>
    <t xml:space="preserve">P. Nkemdirim</t>
  </si>
  <si>
    <t xml:space="preserve">Civic administration building - structural and fire upgrade</t>
  </si>
  <si>
    <t xml:space="preserve">Structural strengthening and fire system replacement. The building stays occupied through the works.</t>
  </si>
  <si>
    <t xml:space="preserve">Building - operational</t>
  </si>
  <si>
    <t xml:space="preserve">Property and facilities</t>
  </si>
  <si>
    <t xml:space="preserve">Harbour catchment flood mitigation</t>
  </si>
  <si>
    <t xml:space="preserve">Trunk drainage, detention basins and overland flow works across the harbour catchment.</t>
  </si>
  <si>
    <t xml:space="preserve">Stormwater</t>
  </si>
  <si>
    <t xml:space="preserve">Land acquisition - eastern growth corridor</t>
  </si>
  <si>
    <t xml:space="preserve">Acquire four parcels for the future arterial and drainage reserve ahead of development.</t>
  </si>
  <si>
    <t xml:space="preserve">Land</t>
  </si>
  <si>
    <t xml:space="preserve">Land holding</t>
  </si>
  <si>
    <t xml:space="preserve">Corporate services</t>
  </si>
  <si>
    <t xml:space="preserve">Asset sales</t>
  </si>
  <si>
    <t xml:space="preserve">Library and learning hub fit-out</t>
  </si>
  <si>
    <t xml:space="preserve">Fit-out of leased floor space as a branch library. Deferred pending a decision on the lease.</t>
  </si>
  <si>
    <t xml:space="preserve">Deferred</t>
  </si>
  <si>
    <t xml:space="preserve">Asset renewal program - minor buildings and structures</t>
  </si>
  <si>
    <t xml:space="preserve">Annual allowance for roof, cladding and plant renewals identified by condition survey.</t>
  </si>
  <si>
    <t xml:space="preserve">Renewals</t>
  </si>
  <si>
    <t xml:space="preserve">Transit interchange upgrade</t>
  </si>
  <si>
    <t xml:space="preserve">Rebuild the interchange with the transport agency. Joint funding is agreed in principle only.</t>
  </si>
  <si>
    <t xml:space="preserve">Other</t>
  </si>
  <si>
    <t xml:space="preserve">Partner contributions</t>
  </si>
  <si>
    <t xml:space="preserve">Solar and battery installation - operational sites</t>
  </si>
  <si>
    <t xml:space="preserve">Rooftop solar and storage at the depot, library and civic building. Payback inside 9 years.</t>
  </si>
  <si>
    <t xml:space="preserve">TOTAL - all projects in the register</t>
  </si>
  <si>
    <t xml:space="preserve">CHECKS - these must read RECONCILED before the plan goes anywhere</t>
  </si>
  <si>
    <t xml:space="preserve">Phasing ties to remaining cost</t>
  </si>
  <si>
    <t xml:space="preserve">Funding shares within 100%</t>
  </si>
  <si>
    <t xml:space="preserve">A share is entered without a source</t>
  </si>
  <si>
    <t xml:space="preserve">Source 1 and source 2 differ</t>
  </si>
  <si>
    <t xml:space="preserve">Escalated total rebuilt from the nominal row</t>
  </si>
  <si>
    <t xml:space="preserve">CAPITAL IMPROVEMENT PLAN     ·     PRIORITISATION SCORING</t>
  </si>
  <si>
    <t xml:space="preserve">Score every project 1 to 5 against each criterion. Reference holds the rubric - what a 1 and a 5 actually mean - so two assessors land in the same place. Project details mirror the Project Register row for row, so do not sort either sheet. Prints A3 landscape.</t>
  </si>
  <si>
    <t xml:space="preserve">PROJECT - mirrored from the register</t>
  </si>
  <si>
    <t xml:space="preserve">SCORE 1 (low) TO 5 (high) AGAINST EACH WEIGHTED CRITERION</t>
  </si>
  <si>
    <t xml:space="preserve">RESULT</t>
  </si>
  <si>
    <t xml:space="preserve">Weighting from Setup</t>
  </si>
  <si>
    <t xml:space="preserve">Set on Setup</t>
  </si>
  <si>
    <t xml:space="preserve">Escalated cost in plan</t>
  </si>
  <si>
    <t xml:space="preserve">Weighted score</t>
  </si>
  <si>
    <t xml:space="preserve">Rank</t>
  </si>
  <si>
    <t xml:space="preserve">Priority band</t>
  </si>
  <si>
    <t xml:space="preserve">Cumulative cost at this rank</t>
  </si>
  <si>
    <t xml:space="preserve">Against the envelope</t>
  </si>
  <si>
    <t xml:space="preserve">CHECKS</t>
  </si>
  <si>
    <t xml:space="preserve">Weightings total 100%</t>
  </si>
  <si>
    <t xml:space="preserve">Every project is fully scored</t>
  </si>
  <si>
    <t xml:space="preserve">Ranks are unique</t>
  </si>
  <si>
    <t xml:space="preserve">Project list matches the register</t>
  </si>
  <si>
    <t xml:space="preserve">Above the line means the project fits inside the funding envelope for the plan period when projects are funded in rank order. It is a planning signal, not a decision - the envelope is spread across years and a project below the line may still be affordable if it can be re-phased.</t>
  </si>
  <si>
    <t xml:space="preserve">CAPITAL IMPROVEMENT PLAN     ·     PROJECT BRIEF</t>
  </si>
  <si>
    <t xml:space="preserve">One block per project, keyed row for row to the Project Register. Type the ten narrative fields - every figure is a formula. Print the tab: one A4 page per project.</t>
  </si>
  <si>
    <t xml:space="preserve">Block ID</t>
  </si>
  <si>
    <t xml:space="preserve">Fields written</t>
  </si>
  <si>
    <t xml:space="preserve">Workings. These two columns sit outside the printed page and feed the narrative checks on Plan Summary.</t>
  </si>
  <si>
    <t xml:space="preserve">PROJECT BRIEF</t>
  </si>
  <si>
    <t xml:space="preserve">Primary driver</t>
  </si>
  <si>
    <t xml:space="preserve">Remaining cost to spend</t>
  </si>
  <si>
    <t xml:space="preserve">Escalated total in the plan</t>
  </si>
  <si>
    <t xml:space="preserve">Beyond the plan (escalated)</t>
  </si>
  <si>
    <t xml:space="preserve">Whole of project, escalated</t>
  </si>
  <si>
    <t xml:space="preserve">Phasing</t>
  </si>
  <si>
    <t xml:space="preserve">Nominal</t>
  </si>
  <si>
    <t xml:space="preserve">Escalated</t>
  </si>
  <si>
    <t xml:space="preserve">FUNDING</t>
  </si>
  <si>
    <t xml:space="preserve">Funding source</t>
  </si>
  <si>
    <t xml:space="preserve">Amount (escalated, in plan)</t>
  </si>
  <si>
    <t xml:space="preserve">Unfunded residual - no source named</t>
  </si>
  <si>
    <t xml:space="preserve">PRIORITY</t>
  </si>
  <si>
    <t xml:space="preserve">Rank in the plan</t>
  </si>
  <si>
    <t xml:space="preserve">THE CASE FOR THE PROJECT - written by the sponsor, before the panel scores it</t>
  </si>
  <si>
    <t xml:space="preserve">Problem or opportunity</t>
  </si>
  <si>
    <t xml:space="preserve">The 1968 deck is delaminated across 40 per cent of its soffit and carries a 22 tonne load limit. Heavy vehicles detour 11 km through the town centre. The next inspection is expected to drop the limit again.</t>
  </si>
  <si>
    <t xml:space="preserve">Options considered and why this one</t>
  </si>
  <si>
    <t xml:space="preserve">Do nothing holds the limit and the detour. Patch and monitor was costed at $4.1M over ten years and still ends in replacement. Deck and bearing replacement resets the asset life and lifts the limit.</t>
  </si>
  <si>
    <t xml:space="preserve">Scope summary</t>
  </si>
  <si>
    <t xml:space="preserve">Replace the deck slab, bearings, joints and barriers across all four spans, with cathodic protection to the piers. The substructure is sound and stays. One lane runs under signals throughout.</t>
  </si>
  <si>
    <t xml:space="preserve">Basis of the cost estimate</t>
  </si>
  <si>
    <t xml:space="preserve">Class 3 estimate from the detailed design, priced at Year 1 rates, accuracy minus 10 to plus 20 per cent. Includes traffic management and 12 per cent contingency. Excludes utility relocation.</t>
  </si>
  <si>
    <t xml:space="preserve">Key delivery risks</t>
  </si>
  <si>
    <t xml:space="preserve">Pier condition is unknown until the deck is off, which could add strengthening. In-stream work is limited to the dry season, so a wet start pushes the whole program a year.</t>
  </si>
  <si>
    <t xml:space="preserve">Dependencies and interfaces</t>
  </si>
  <si>
    <t xml:space="preserve">Needs the water authority approval for in-stream works and a road occupancy licence from the transport agency. Interfaces with Depot Road, which carries the detour traffic.</t>
  </si>
  <si>
    <t xml:space="preserve">Benefits and how they will be measured</t>
  </si>
  <si>
    <t xml:space="preserve">Load limit removed at opening, against the current 22 tonne posting. Heavy vehicle detour down from 11 km to nil. The asset engineer owns both measures.</t>
  </si>
  <si>
    <t xml:space="preserve">Consequence of deferral</t>
  </si>
  <si>
    <t xml:space="preserve">A year of delay adds an inspection cycle and a likely further load restriction. The detour cost to freight operators continues and the patching budget is spent with nothing to show.</t>
  </si>
  <si>
    <t xml:space="preserve">Readiness</t>
  </si>
  <si>
    <t xml:space="preserve">Detailed design complete, in-stream approval lodged, no land required. Procurement is a single lump sum contract with tender documents drafted. Ready to go to market in Year 1.</t>
  </si>
  <si>
    <t xml:space="preserve">Recommended action</t>
  </si>
  <si>
    <t xml:space="preserve">Fund as phased and award early enough to catch the first dry season. Report pier condition to the committee before the strengthening provision is drawn.</t>
  </si>
  <si>
    <t xml:space="preserve">Every figure on this page is drawn live from the Project Register.</t>
  </si>
  <si>
    <t xml:space="preserve">The membrane trains are at the end of their service life and the plant has no redundancy when one is offline. Two turbidity exceedances were recorded last year and the regulator has been notified.</t>
  </si>
  <si>
    <t xml:space="preserve">Do nothing risks a boil water notice for 62,000 connections. Replacing membranes alone defers the capacity problem three years. Membranes plus a second clarifier fixes compliance and redundancy in one shutdown.</t>
  </si>
  <si>
    <t xml:space="preserve">Replace four membrane trains, build a second clarifier, upgrade dosing and the plant control system, and add a 4 ML balance tank. The intake and the trunk pipework stay.</t>
  </si>
  <si>
    <t xml:space="preserve">Concept estimate from the reference design, priced at Year 1 rates, accuracy plus or minus 25 per cent. Includes 15 per cent contingency and commissioning. Excludes any change to the raw water source.</t>
  </si>
  <si>
    <t xml:space="preserve">The plant cannot be taken fully offline, so the work runs in stages behind temporary treatment. Membranes and control hardware sit on a 40 week order book.</t>
  </si>
  <si>
    <t xml:space="preserve">Depends on the borrowing approval in Year 1 and on the pump station renewals for network pressure. The regulator has to accept the staging plan before construction starts.</t>
  </si>
  <si>
    <t xml:space="preserve">Turbidity exceedances at nil against two last year, and full treatment capacity held with one train offline. The water services manager reports monthly.</t>
  </si>
  <si>
    <t xml:space="preserve">A year of delay carries the redundancy gap through another summer peak. A boil water notice costs far more, in response and in standing, than the escalation saved.</t>
  </si>
  <si>
    <t xml:space="preserve">Reference design complete, detailed design starting, the site is owned. Approvals identified but not held. Procurement is design and construct with early contractor involvement.</t>
  </si>
  <si>
    <t xml:space="preserve">Fund and start in Year 1. Do not split the clarifier from the membrane works - they share the shutdown windows and splitting them doubles the temporary treatment cost.</t>
  </si>
  <si>
    <t xml:space="preserve">The 1974 pool hall leaks, the plant is beyond economic repair and the hall closes about four weeks a year for unplanned repairs. Attendance has fallen 18 per cent in three years.</t>
  </si>
  <si>
    <t xml:space="preserve">Do nothing means closure inside five years on plant failure. Refurbishment was costed at $19M and buys perhaps twelve years in a building with the wrong pool mix. Replacement costs more but carries a 50 year life.</t>
  </si>
  <si>
    <t xml:space="preserve">New eight lane 25 metre pool, learn to swim pool, water play area, gym and change rooms on the existing site. The old hall is demolished after the new centre opens.</t>
  </si>
  <si>
    <t xml:space="preserve">Order of magnitude estimate from benchmark rates for three comparable centres, accuracy plus or minus 30 per cent. Includes demolition. Excludes contaminated soil disposal and any car park works.</t>
  </si>
  <si>
    <t xml:space="preserve">The estimate is benchmark only and will move once concept design lands. Building on an operating site restricts the working area, and the market for aquatic centres is thin.</t>
  </si>
  <si>
    <t xml:space="preserve">Depends on the land swap with the sports club for temporary parking and on a decision about the existing hall. Shares a parking strategy with the Kingsway Park precinct.</t>
  </si>
  <si>
    <t xml:space="preserve">Attendance back above 240,000 visits a year from 197,000 now, and unplanned closure days at nil against 28 last year. The community services manager reports quarterly.</t>
  </si>
  <si>
    <t xml:space="preserve">A year of delay raises the chance that plant failure closes the centre before the new one opens, which would leave the city without a public pool for two summers.</t>
  </si>
  <si>
    <t xml:space="preserve">Concept design only. No approvals, the land is owned but the temporary car park is not secured, no procurement route settled. The least ready project of this size in the plan.</t>
  </si>
  <si>
    <t xml:space="preserve">Fund design and the business case in Year 1 only. Do not commit construction money until the design lands and the estimate is rebuilt from a priced bill of quantities.</t>
  </si>
  <si>
    <t xml:space="preserve">The pavement has failed over 2.4 km with rutting beyond 40 mm and 61 defect reports last year. Stage 1 proved the subgrade is the cause, so resurfacing alone will not hold.</t>
  </si>
  <si>
    <t xml:space="preserve">Do nothing means patching at about $380,000 a year with ride quality still falling. A thin overlay was rejected after stage 1 showed subgrade failure. Full reconstruction repeats what worked on stage 1.</t>
  </si>
  <si>
    <t xml:space="preserve">Full depth reconstruction of 2.4 km with new subbase, kerb and channel, drainage pits and line marking, including the two intersections at either end.</t>
  </si>
  <si>
    <t xml:space="preserve">Priced from the stage 1 tendered rates with a 5 per cent uplift, accuracy plus or minus 10 per cent. Includes traffic management. Excludes the shared path, which is funded separately.</t>
  </si>
  <si>
    <t xml:space="preserve">Wet weather is the main exposure - stage 1 lost six weeks to it. Service relocations found in stage 1 may repeat and the utility has not committed to dates.</t>
  </si>
  <si>
    <t xml:space="preserve">Runs after the water main renewal in the same trench line, which has to finish first. This road carries the Riverside Bridge detour, so the two programs cannot overlap.</t>
  </si>
  <si>
    <t xml:space="preserve">Roughness back to the network standard, from 4.1 to below 2.5 IRI on the annual survey. Defect reports below 10 a year against 61. The asset engineer owns it.</t>
  </si>
  <si>
    <t xml:space="preserve">A year of delay leaves the detour route in failed condition while the bridge works run, and forfeits the stage 1 rates, which are held for six months only.</t>
  </si>
  <si>
    <t xml:space="preserve">Design complete, approvals held, contractor already engaged under the stage 1 contract, work is inside the road reserve. The most ready project in the plan.</t>
  </si>
  <si>
    <t xml:space="preserve">Continue as phased. Confirm the utility relocation dates before the Year 1 works order is issued.</t>
  </si>
  <si>
    <t xml:space="preserve">Fourteen stations carry pumps and switchboards past economic life. Six overflow events in two years traced back to pump failure, each one reportable to the environmental regulator.</t>
  </si>
  <si>
    <t xml:space="preserve">Do nothing means run to failure with hire pumps at roughly four times the planned cost. Upgrading only the worst three was rejected because it leaves eleven stations ageing at the same rate.</t>
  </si>
  <si>
    <t xml:space="preserve">Rolling replacement of pumps, switchboards, telemetry and wet well linings at two stations a year, taken in condition rank order from the most recent assessment.</t>
  </si>
  <si>
    <t xml:space="preserve">Unit rate estimate from the last three station renewals, priced at Year 1 rates, accuracy plus or minus 15 per cent. Includes telemetry. Excludes any rising main replacement.</t>
  </si>
  <si>
    <t xml:space="preserve">The condition rank changes if a station fails early, which reorders the program. Switchboard lead times run to 30 weeks and are lengthening.</t>
  </si>
  <si>
    <t xml:space="preserve">Depends on the water reserve holding the balance set in the financial strategy. The telemetry scope interfaces with the network and cyber security uplift.</t>
  </si>
  <si>
    <t xml:space="preserve">Overflow events from pump failure at nil against six in two years, and emergency hire spend below $50,000 a year. The water services manager reports quarterly.</t>
  </si>
  <si>
    <t xml:space="preserve">A year of delay pushes two more stations into run to failure. Each emergency response costs about $180,000 and carries a reportable environmental event with it.</t>
  </si>
  <si>
    <t xml:space="preserve">Standard designs held, no approvals needed beyond the standing environmental authorisation, all sites owned. Procurement is off a panel arrangement already in place.</t>
  </si>
  <si>
    <t xml:space="preserve">Fund the full six years and hold the annual allocation flat, so the condition ranking drives the order of work rather than the budget.</t>
  </si>
  <si>
    <t xml:space="preserve">The eastern growth area adds 6,400 dwellings across the plan period with no district sports provision. Existing fields run at 34 hours a week against a 25 hour capacity and are closing for turf recovery.</t>
  </si>
  <si>
    <t xml:space="preserve">Do nothing pushes demand onto fields already over capacity. Lighting the existing fields adds four hours a week and does not meet the growth. A new precinct is the only option that meets the adopted provision standard.</t>
  </si>
  <si>
    <t xml:space="preserve">Two full size playing fields with sports lighting, a four court pavilion, parking for 120 cars and connecting paths. Irrigation comes off the existing bore.</t>
  </si>
  <si>
    <t xml:space="preserve">Concept estimate from comparable precincts on a cost per field basis, priced at Year 1 rates, accuracy plus or minus 25 per cent. Includes 10 per cent contingency. Excludes land, already in reserve.</t>
  </si>
  <si>
    <t xml:space="preserve">The site is low lying and the geotechnical work is not done, so earthworks could move the estimate. Contribution income depends on a settlement rate the plan does not control.</t>
  </si>
  <si>
    <t xml:space="preserve">Depends on the developer contribution plan being adopted and on the drainage outfall built under the harbour catchment project. Shares parking with the aquatic centre.</t>
  </si>
  <si>
    <t xml:space="preserve">Field hours available up from 25 to 75 a week on the booking system, and closure days for turf recovery at nil against 22 last year. The parks manager reports each season.</t>
  </si>
  <si>
    <t xml:space="preserve">A year of delay lands the first 2,000 dwellings with no provision and moves the shortfall into the next plan at a higher price, with contribution income sitting unspent.</t>
  </si>
  <si>
    <t xml:space="preserve">Concept design only. Planning approval not lodged, land is in public reserve, no procurement route settled. The geotechnical investigation is the next step.</t>
  </si>
  <si>
    <t xml:space="preserve">Fund design and investigation in Year 2. Hold the construction money until the contribution income is banked and the geotechnical result is in.</t>
  </si>
  <si>
    <t xml:space="preserve">Twenty two items of heavy plant are past economic life. Maintenance cost per hour is up 41 per cent in three years and availability has fallen to 78 per cent against a 92 per cent target.</t>
  </si>
  <si>
    <t xml:space="preserve">Do nothing carries rising maintenance and hire costs. Extending life by two years was tested and costs more in hire and downtime than it saves in capital. Replacing on the fleet schedule is the lowest whole of life option.</t>
  </si>
  <si>
    <t xml:space="preserve">Replace six graders, nine trucks and seven loaders at their optimum replacement point, with trade-in of the units they replace. Telematics is fitted to every new unit.</t>
  </si>
  <si>
    <t xml:space="preserve">Priced from current supplier schedules net of trade-in, accuracy plus or minus 5 per cent. Includes delivery and fit-out. Excludes light fleet, which runs on a separate lease.</t>
  </si>
  <si>
    <t xml:space="preserve">Order lead times have moved from 26 to 48 weeks, so a late order slips a full year. Trade-in values are assumed at today's market and could fall.</t>
  </si>
  <si>
    <t xml:space="preserve">Depends on the fleet reserve balance and on workshop capacity for fit-out. No approvals, no land and no interface with any other project in the plan.</t>
  </si>
  <si>
    <t xml:space="preserve">Availability back to 92 per cent from 78, and maintenance cost per hour back to the schedule rate. The fleet manager reports monthly from the maintenance system.</t>
  </si>
  <si>
    <t xml:space="preserve">A year of delay adds about $640,000 in maintenance and hire on the units held over, and the trade-in value falls with every year of age.</t>
  </si>
  <si>
    <t xml:space="preserve">Fully specified, procurement is off an existing supply panel, no approvals or land needed. Orders can be placed as soon as the year is funded.</t>
  </si>
  <si>
    <t xml:space="preserve">Fund at the flat annual rate. Place the Year 1 orders in the first quarter to hold the delivery slots.</t>
  </si>
  <si>
    <t xml:space="preserve">The operational technology network is flat, so a compromise anywhere reaches the water and traffic control systems. Edge hardware at 14 sites is out of support and no longer receives patches.</t>
  </si>
  <si>
    <t xml:space="preserve">Do nothing leaves a known unpatched path into the control systems. Patching alone was rejected because the vendor no longer issues patches for this hardware. Segmentation plus replacement closes the path and restores support.</t>
  </si>
  <si>
    <t xml:space="preserve">Segment the operational technology network from the corporate network, replace end of support switches and firewalls at 14 sites, and add monitoring with a 24 hour response arrangement.</t>
  </si>
  <si>
    <t xml:space="preserve">Vendor quotation plus an implementation estimate from the last uplift, accuracy plus or minus 10 per cent. Includes three years of licensing. Excludes the SCADA application upgrade.</t>
  </si>
  <si>
    <t xml:space="preserve">Cutover at the water plant and the traffic control room needs a maintenance window and both are hard to book. Specialist implementation resource is scarce and priced accordingly.</t>
  </si>
  <si>
    <t xml:space="preserve">Interfaces with the water treatment plant control system, which has to land on the segmented network. The internal audit finding stays open until it is closed by evidence.</t>
  </si>
  <si>
    <t xml:space="preserve">Devices out of support at nil against 14, and mean time to detect below 15 minutes on the monitoring platform. The technology manager reports monthly.</t>
  </si>
  <si>
    <t xml:space="preserve">A year of delay carries an accepted high risk on the register for another year with no mitigation, and the audit finding stays open into the next reporting cycle.</t>
  </si>
  <si>
    <t xml:space="preserve">Design complete, hardware specified, procurement off a standing technology panel. No land, no planning approvals. Work can start as soon as it is funded.</t>
  </si>
  <si>
    <t xml:space="preserve">Fund in full and start in Year 1. Sequence the segmentation ahead of the water plant control upgrade so the new plant lands on the new network.</t>
  </si>
  <si>
    <t xml:space="preserve">The 1971 frame does not meet the current structural and fire standards, and the fire system has failed two consecutive certifications. The building holds 340 staff and the public records archive.</t>
  </si>
  <si>
    <t xml:space="preserve">Do nothing leaves 340 staff in a building that cannot be certified. Relocating everyone and selling the building was tested at $23M and loses the archive. Upgrading in place costs less and keeps the site.</t>
  </si>
  <si>
    <t xml:space="preserve">Strengthen the frame at four core locations, replace fire detection and suppression, upgrade both stairs and rebuild the archive fire compartment. The building stays occupied, floor by floor.</t>
  </si>
  <si>
    <t xml:space="preserve">Class 3 estimate from the structural and fire design, priced at Year 1 rates, accuracy plus or minus 15 per cent. Includes staged decanting and after hours work. Excludes asbestos in the core walls.</t>
  </si>
  <si>
    <t xml:space="preserve">Working around occupied floors is the main cost exposure and the decant space is not confirmed past Year 2. Opening up the core walls could find asbestos.</t>
  </si>
  <si>
    <t xml:space="preserve">Depends on decant space, which is the same leased floor as the library fit-out. The certifying body has to accept the staged approach before work starts.</t>
  </si>
  <si>
    <t xml:space="preserve">Fire certification achieved at the first inspection after completion, against two failures. Structural assessment moved to compliant. The property manager holds both.</t>
  </si>
  <si>
    <t xml:space="preserve">A year of delay carries a third failed certification and the risk of a direction to vacate. Vacating this building costs about $2.1M a year in leased space.</t>
  </si>
  <si>
    <t xml:space="preserve">Structural design complete, fire design at 80 per cent, building approval lodged, site owned. Procurement is a managing contractor because of the staging.</t>
  </si>
  <si>
    <t xml:space="preserve">Fund as phased and start in Year 1. Resolve the decant space before the Year 2 works are committed.</t>
  </si>
  <si>
    <t xml:space="preserve">Four hundred and twenty properties sit in the one in twenty year flood extent and eleven flooded above floor level in the last event. The trunk drainage was built for a catchment half this size.</t>
  </si>
  <si>
    <t xml:space="preserve">Do nothing leaves the properties exposed and the claims rising. Buying back the worst 90 properties was costed at $61M. Catchment works reduce the extent for every property at about a third of that cost.</t>
  </si>
  <si>
    <t xml:space="preserve">Upgrade 3.1 km of trunk drainage, build two detention basins holding 46 ML between them, and formalise the overland flow path through the reserve.</t>
  </si>
  <si>
    <t xml:space="preserve">Concept estimate from the catchment flood study, priced at Year 1 rates, accuracy plus or minus 30 per cent. Includes land compensation for the basin sites. Excludes property level protection.</t>
  </si>
  <si>
    <t xml:space="preserve">Two basin sites are privately held and acquisition could be contested. The modelling is at concept level, so detailed design may change the basin sizing and the cost with it.</t>
  </si>
  <si>
    <t xml:space="preserve">Depends on the grant application for the mitigation program and on acquiring the two basin sites. The Kingsway Park precinct drains to the same outfall.</t>
  </si>
  <si>
    <t xml:space="preserve">Properties in the one in twenty year extent down from 420 to below 70 on the updated flood model, and above floor flooding at nil. Asset planning owns the measure.</t>
  </si>
  <si>
    <t xml:space="preserve">A year of delay carries another wet season at the current exposure. The grant round this funding assumes closes in Year 2 and will not repeat on the same terms.</t>
  </si>
  <si>
    <t xml:space="preserve">Flood study complete, concept design only, land not secured and no approvals held. The grant application is drafted but not lodged.</t>
  </si>
  <si>
    <t xml:space="preserve">Fund design and land acquisition in Year 2. Do not commit construction until the grant is executed and both basin sites are under agreement.</t>
  </si>
  <si>
    <t xml:space="preserve">The arterial and drainage reserve crosses four parcels that are all under development application. Once they are built out the corridor cannot be delivered at any reasonable price.</t>
  </si>
  <si>
    <t xml:space="preserve">Do nothing means buying improved land later or realigning the arterial on a longer route. Acquiring ahead of development was chosen because values in this corridor are rising about 12 per cent a year.</t>
  </si>
  <si>
    <t xml:space="preserve">Acquire four parcels totalling 9.4 hectares for the future arterial alignment and the drainage reserve, by negotiation where the owner will deal.</t>
  </si>
  <si>
    <t xml:space="preserve">Independent valuation of all four parcels held at the valuation date, accuracy plus or minus 10 per cent. Includes acquisition and legal costs. Excludes the cost of a formal process if negotiation fails.</t>
  </si>
  <si>
    <t xml:space="preserve">One owner has refused to negotiate, which puts that parcel into a formal process and adds about twelve months. Valuations move with every approval granted around them.</t>
  </si>
  <si>
    <t xml:space="preserve">Depends on the corridor alignment being confirmed in the transport strategy. The drainage reserve interfaces with the harbour catchment overland flow route.</t>
  </si>
  <si>
    <t xml:space="preserve">Four parcels in ownership against nil, and acquisition cost within 10 per cent of the valuation. Corporate services reports on each settlement.</t>
  </si>
  <si>
    <t xml:space="preserve">A year of delay adds about $900,000 at the current growth in land value, and two of the four parcels may be built out and effectively unavailable.</t>
  </si>
  <si>
    <t xml:space="preserve">Valuations complete, alignment confirmed, negotiations open on three parcels. No design or approvals needed. Ready to settle as soon as it is funded.</t>
  </si>
  <si>
    <t xml:space="preserve">Fund Year 1 and Year 2 in full. Start the formal process on the parcel that will not negotiate now, so the twelve months runs in parallel.</t>
  </si>
  <si>
    <t xml:space="preserve">The branch library closed when the lease ended and the northern suburbs now have no service point within 9 km. Membership in that catchment has fallen 24 per cent since the closure.</t>
  </si>
  <si>
    <t xml:space="preserve">Do nothing leaves the catchment without a branch. A mobile service was costed at $310,000 a year and reaches a third of the users. Fitting out leased floor space restores the service without a new building.</t>
  </si>
  <si>
    <t xml:space="preserve">Fit out 1,100 square metres of leased floor space as a branch library and learning hub, with public computing, meeting rooms and a children's area.</t>
  </si>
  <si>
    <t xml:space="preserve">Fit-out rate per square metre from two recent projects, priced at Year 1 rates, accuracy plus or minus 20 per cent. Includes furniture and technology. Excludes base building works, carried by the landlord.</t>
  </si>
  <si>
    <t xml:space="preserve">The lease is not signed and the make good obligation at the end of the term is not settled. If the landlord will not do the base building works the scope grows.</t>
  </si>
  <si>
    <t xml:space="preserve">Depends entirely on the lease decision, which sits with the property committee. The same floor is being considered as decant space for the civic building upgrade.</t>
  </si>
  <si>
    <t xml:space="preserve">Membership in the northern catchment back to 8,400 from 6,400, and 45,000 visits a year. The community services manager reports quarterly.</t>
  </si>
  <si>
    <t xml:space="preserve">A year of delay is tolerable in service terms. The real exposure is that the floor is leased to someone else and the option is lost for the whole plan period.</t>
  </si>
  <si>
    <t xml:space="preserve">Concept layout only. No lease, no approvals and no procurement route. Deferred until the lease decision is made.</t>
  </si>
  <si>
    <t xml:space="preserve">Hold in the plan as deferred, funded in Year 4 and Year 5. Bring it forward only if the lease is signed.</t>
  </si>
  <si>
    <t xml:space="preserve">The condition survey found 74 building elements at condition 4 or 5, mostly roofs, cladding and mechanical plant. Reactive repairs on those elements cost $840,000 last year.</t>
  </si>
  <si>
    <t xml:space="preserve">Do nothing raises reactive spend and eventually closes community buildings. Renewing only on failure was tested at about 1.7 times the planned rate. An annual allowance renews by condition rank instead.</t>
  </si>
  <si>
    <t xml:space="preserve">An annual allowance for roof, cladding, mechanical and compliance renewals across 38 buildings, drawn against the condition survey and a works program agreed each year.</t>
  </si>
  <si>
    <t xml:space="preserve">Allowance set from the condition survey quantities at current rates, accuracy plus or minus 20 per cent. Includes design and superintendence. Excludes any single item above $500,000, which comes to the register on its own.</t>
  </si>
  <si>
    <t xml:space="preserve">One large failure can consume the allowance and push planned work out. Roofing trade availability is the binding constraint in most years.</t>
  </si>
  <si>
    <t xml:space="preserve">Depends on the condition survey being refreshed every three years. Interfaces with the solar installation, where roof renewal and panels should be done in one visit.</t>
  </si>
  <si>
    <t xml:space="preserve">Elements at condition 4 or 5 down from 74 to below 30 across five years, and reactive spend below $400,000 a year. The property manager reports on the annual works program.</t>
  </si>
  <si>
    <t xml:space="preserve">A year of delay adds about 15 elements to the condition 4 and 5 list and raises reactive spend. On current condition, two community buildings would close for roof failure.</t>
  </si>
  <si>
    <t xml:space="preserve">A standing program with an agreed method, panel contractors in place and no approvals or land needed. The Year 1 works program is drafted.</t>
  </si>
  <si>
    <t xml:space="preserve">Fund the flat annual allowance. Publish the works program each year so the committee can see what the allowance actually bought.</t>
  </si>
  <si>
    <t xml:space="preserve">The interchange handles 4,200 boardings a day on a layout built for 1,500. Buses queue in the through lane and there is no accessible path between the two stops.</t>
  </si>
  <si>
    <t xml:space="preserve">Do nothing leaves an interchange that fails accessibility requirements and delays services. Upgrading the existing stops was tested and does not fix the queuing. A rebuild is the only option the transport agency will co-fund.</t>
  </si>
  <si>
    <t xml:space="preserve">Rebuild the interchange with six bus bays, an accessible concourse, shelters, real time information and a signalised crossing to the rail platform.</t>
  </si>
  <si>
    <t xml:space="preserve">Concept estimate prepared jointly with the transport agency, priced at Year 1 rates, accuracy plus or minus 25 per cent. Includes the signalised crossing. Excludes rail platform works.</t>
  </si>
  <si>
    <t xml:space="preserve">The joint funding is agreed in principle only, with no executed agreement. The agency controls the rail interface and its own program is not confirmed.</t>
  </si>
  <si>
    <t xml:space="preserve">Depends on an executed funding agreement with the transport agency and on the agency's platform works. Interfaces with the road reconstruction on the approach.</t>
  </si>
  <si>
    <t xml:space="preserve">Boarding time per service down from 95 to 60 seconds, and an accessible path of travel provided where there is none today. Transport planning reports with the agency.</t>
  </si>
  <si>
    <t xml:space="preserve">A year of delay is low risk to service, but the agency contribution is tied to its own program. If that program moves, the contribution may not be available at all.</t>
  </si>
  <si>
    <t xml:space="preserve">Concept design agreed in principle, no approvals, land is within the road reserve and the rail corridor. The procurement route depends on which party leads delivery.</t>
  </si>
  <si>
    <t xml:space="preserve">Hold at concept until the funding agreement is executed. Do not phase construction money into the plan on an in principle agreement alone.</t>
  </si>
  <si>
    <t xml:space="preserve">The three largest operational sites spend $1.14M a year on electricity, up 34 per cent in two years. Roof area at all three sites is available and unused.</t>
  </si>
  <si>
    <t xml:space="preserve">Do nothing carries the full electricity cost and the exposure to further rises. A power purchase agreement was tested and returns less over 20 years than owning the assets. Solar with storage gives the better return.</t>
  </si>
  <si>
    <t xml:space="preserve">Install 1.9 MW of rooftop solar and 2.4 MWh of battery storage at the depot, the library and the civic building, with metering and a monitoring platform.</t>
  </si>
  <si>
    <t xml:space="preserve">Supplier quotations for all three sites, accuracy plus or minus 10 per cent. Includes grid connection studies and metering. Excludes roof strengthening, which sits in the minor buildings program.</t>
  </si>
  <si>
    <t xml:space="preserve">Grid connection approval at the depot is not certain and could limit export capacity. Roof condition at the civic building has to be resolved before panels go on.</t>
  </si>
  <si>
    <t xml:space="preserve">Depends on the roof renewals at the civic building and the depot in the minor buildings program. The connection approval sits with the network operator.</t>
  </si>
  <si>
    <t xml:space="preserve">Electricity cost down $310,000 a year against a $1.14M baseline, and payback inside nine years measured from metered generation. The property manager reports annually.</t>
  </si>
  <si>
    <t xml:space="preserve">A year of delay costs about $310,000 in electricity that would have been avoided and pushes the payback out a year. Nothing fails and no service is affected.</t>
  </si>
  <si>
    <t xml:space="preserve">Quotations held, connection applications drafted, sites owned and no planning approval needed. Procurement is a single supply and install contract.</t>
  </si>
  <si>
    <t xml:space="preserve">Fund in Year 2 and Year 3, after the roof renewals. Confirm the depot connection limit before the Year 3 order is placed.</t>
  </si>
  <si>
    <t xml:space="preserve">CAPITAL IMPROVEMENT PLAN     ·     FUNDING SUMMARY</t>
  </si>
  <si>
    <t xml:space="preserve">Every figure here is calculated from the Project Register and the envelope on Setup. Nothing on this sheet is typed. Funding is allocated on the escalated (cash) basis - that is the money that actually has to be appropriated in each year.</t>
  </si>
  <si>
    <t xml:space="preserve">1 · WHAT THE PLAN NEEDS</t>
  </si>
  <si>
    <t xml:space="preserve">Requirement</t>
  </si>
  <si>
    <t xml:space="preserve">Plan requirement - nominal (today's money)</t>
  </si>
  <si>
    <t xml:space="preserve">Plan requirement - escalated (cash)</t>
  </si>
  <si>
    <t xml:space="preserve">Escalation carried in the plan</t>
  </si>
  <si>
    <t xml:space="preserve">The escalated row is the cash the plan needs in each year. It is the nominal phasing on the register uplifted by the Setup escalation factors. Fund against this row, not the nominal one.</t>
  </si>
  <si>
    <t xml:space="preserve">2 · WHERE THE MONEY COMES FROM  (escalated cash)</t>
  </si>
  <si>
    <t xml:space="preserve">% of plan</t>
  </si>
  <si>
    <t xml:space="preserve">Unfunded - no source identified</t>
  </si>
  <si>
    <t xml:space="preserve">TOTAL FUNDING REQUIREMENT</t>
  </si>
  <si>
    <t xml:space="preserve">Unfunded is the share of a project's cost with no source named against it on the register. It is a finding, not an error - it is the number to take to the funding conversation.</t>
  </si>
  <si>
    <t xml:space="preserve">3 · AFFORDABILITY</t>
  </si>
  <si>
    <t xml:space="preserve">Position</t>
  </si>
  <si>
    <t xml:space="preserve">Funding envelope available (from Setup)</t>
  </si>
  <si>
    <t xml:space="preserve">Requirement - escalated (cash)</t>
  </si>
  <si>
    <t xml:space="preserve">Surplus / (shortfall) in the year</t>
  </si>
  <si>
    <t xml:space="preserve">Cumulative envelope</t>
  </si>
  <si>
    <t xml:space="preserve">Cumulative requirement</t>
  </si>
  <si>
    <t xml:space="preserve">Cumulative surplus / (shortfall)</t>
  </si>
  <si>
    <t xml:space="preserve">Of the requirement, the part with no source</t>
  </si>
  <si>
    <t xml:space="preserve">Of the requirement, the part with a source</t>
  </si>
  <si>
    <t xml:space="preserve">Envelope less the funded requirement</t>
  </si>
  <si>
    <t xml:space="preserve">The Plan period column adds Year 1 to Year 5 only - what falls beyond the plan is shown in its own column but is not part of the affordability test, because the envelope for those years is not yet set. The cumulative lines carry a surplus forward, which most organisations can do inside a plan period but not across one. A year that is red on its own line and black cumulatively is a re-phasing problem; red on both lines is a funding problem.</t>
  </si>
  <si>
    <t xml:space="preserve">4 · CHECKS</t>
  </si>
  <si>
    <t xml:space="preserve">Funding sources tie to the requirement</t>
  </si>
  <si>
    <t xml:space="preserve">Every year ties, not just the total</t>
  </si>
  <si>
    <t xml:space="preserve">Escalated rebuilt from the nominal row</t>
  </si>
  <si>
    <t xml:space="preserve">Register phasing is clean</t>
  </si>
  <si>
    <t xml:space="preserve">Unfunded ties to the register</t>
  </si>
  <si>
    <t xml:space="preserve">An envelope has been entered</t>
  </si>
  <si>
    <t xml:space="preserve">CAPITAL IMPROVEMENT PLAN     ·     PLAN SUMMARY</t>
  </si>
  <si>
    <t xml:space="preserve">The board page. Every figure is a formula reading Setup, the Project Register, Prioritisation and Funding Summary. Nothing here is typed. Prints A4 landscape over two pages.</t>
  </si>
  <si>
    <t xml:space="preserve">PLAN AT A GLANCE</t>
  </si>
  <si>
    <t xml:space="preserve">Projects in the plan</t>
  </si>
  <si>
    <t xml:space="preserve">Plan value - nominal</t>
  </si>
  <si>
    <t xml:space="preserve">Plan value - escalated</t>
  </si>
  <si>
    <t xml:space="preserve">Beyond the plan</t>
  </si>
  <si>
    <t xml:space="preserve">Funding envelope</t>
  </si>
  <si>
    <t xml:space="preserve">Surplus / (shortfall)</t>
  </si>
  <si>
    <t xml:space="preserve">Unfunded requirement</t>
  </si>
  <si>
    <t xml:space="preserve">rows on the register</t>
  </si>
  <si>
    <t xml:space="preserve">today's money, Y1 to Y5</t>
  </si>
  <si>
    <t xml:space="preserve">cash, Year 1 to Year 5</t>
  </si>
  <si>
    <t xml:space="preserve">escalated, after Year 5</t>
  </si>
  <si>
    <t xml:space="preserve">Year 1 to Year 5</t>
  </si>
  <si>
    <t xml:space="preserve">envelope less requirement</t>
  </si>
  <si>
    <t xml:space="preserve">no source identified</t>
  </si>
  <si>
    <t xml:space="preserve">SPEND BY YEAR</t>
  </si>
  <si>
    <t xml:space="preserve">SPEND BY CATEGORY</t>
  </si>
  <si>
    <t xml:space="preserve">Year</t>
  </si>
  <si>
    <t xml:space="preserve">Profile</t>
  </si>
  <si>
    <t xml:space="preserve">Total - plan period</t>
  </si>
  <si>
    <t xml:space="preserve">SPEND BY DRIVER</t>
  </si>
  <si>
    <t xml:space="preserve">PROJECTS BY PRIORITY BAND</t>
  </si>
  <si>
    <t xml:space="preserve">Projects</t>
  </si>
  <si>
    <t xml:space="preserve">Share of value</t>
  </si>
  <si>
    <t xml:space="preserve">Statutory</t>
  </si>
  <si>
    <t xml:space="preserve">TOP TEN PROJECTS BY WEIGHTED SCORE</t>
  </si>
  <si>
    <t xml:space="preserve">Project</t>
  </si>
  <si>
    <t xml:space="preserve">Score</t>
  </si>
  <si>
    <t xml:space="preserve">AFFORDABILITY POSITION</t>
  </si>
  <si>
    <t xml:space="preserve">What the plan needs in the plan period (escalated cash)</t>
  </si>
  <si>
    <t xml:space="preserve">What the organisation can afford in the plan period</t>
  </si>
  <si>
    <t xml:space="preserve">Surplus / (shortfall) against the envelope</t>
  </si>
  <si>
    <t xml:space="preserve">Of the requirement, the share with a funding source named</t>
  </si>
  <si>
    <t xml:space="preserve">Of the requirement, the share with no funding source</t>
  </si>
  <si>
    <t xml:space="preserve">Value of the plan in present-value terms (discounted to the start of Year 1)</t>
  </si>
  <si>
    <t xml:space="preserve">Category analysis ties to the register</t>
  </si>
  <si>
    <t xml:space="preserve">Driver analysis ties to the register</t>
  </si>
  <si>
    <t xml:space="preserve">Funded and unfunded add back to the plan</t>
  </si>
  <si>
    <t xml:space="preserve">Priority bands cover every project</t>
  </si>
  <si>
    <t xml:space="preserve">Every project carries a written case</t>
  </si>
  <si>
    <t xml:space="preserve">A brief block for every project</t>
  </si>
  <si>
    <t xml:space="preserve">Spend by year ties to the funding summary</t>
  </si>
  <si>
    <t xml:space="preserve">CAPITAL IMPROVEMENT PLAN     ·     REFERENCE</t>
  </si>
  <si>
    <t xml:space="preserve">Every dropdown in this workbook reads from the lists below. Rename or add entries in place - if you insert a row inside a coloured block the dropdown range follows it. The rubric is what keeps two assessors scoring the same project the same way. Prints A3 landscape.</t>
  </si>
  <si>
    <t xml:space="preserve">1 · DROPDOWN LISTS</t>
  </si>
  <si>
    <t xml:space="preserve">For review</t>
  </si>
  <si>
    <t xml:space="preserve">Endorsed</t>
  </si>
  <si>
    <t xml:space="preserve">Adopted</t>
  </si>
  <si>
    <t xml:space="preserve">Not funded</t>
  </si>
  <si>
    <t xml:space="preserve">Priority band and Score are shown for reference. Band is calculated from the weighted score and the thresholds on Setup - it is never typed.</t>
  </si>
  <si>
    <t xml:space="preserve">2 · SCORING RUBRIC - what a 1 and a 5 actually mean</t>
  </si>
  <si>
    <t xml:space="preserve">Score 1</t>
  </si>
  <si>
    <t xml:space="preserve">Score 3</t>
  </si>
  <si>
    <t xml:space="preserve">Score 5</t>
  </si>
  <si>
    <t xml:space="preserve">Sound condition. Remaining life extends beyond the plan period and there is no failure history.</t>
  </si>
  <si>
    <t xml:space="preserve">Condition is fair and deteriorating. Reactive maintenance is rising but the asset still performs.</t>
  </si>
  <si>
    <t xml:space="preserve">At or past the end of its life, or it has already failed. A condition assessment or failure record proves it.</t>
  </si>
  <si>
    <t xml:space="preserve">No safety or compliance issue. The asset meets the standards that apply to it.</t>
  </si>
  <si>
    <t xml:space="preserve">A known non-conformance with an interim control in place, recorded on the risk register.</t>
  </si>
  <si>
    <t xml:space="preserve">A direct risk to life safety, or a written direction the Owner is required to act on.</t>
  </si>
  <si>
    <t xml:space="preserve">Demand is flat or falling. Existing capacity is adequate for the whole plan period.</t>
  </si>
  <si>
    <t xml:space="preserve">Demand is growing steadily. Capacity constraints appear late in the plan period.</t>
  </si>
  <si>
    <t xml:space="preserve">Capacity is exceeded now, or committed growth lands inside the plan period.</t>
  </si>
  <si>
    <t xml:space="preserve">Not named in any adopted strategy, asset management plan or funding agreement.</t>
  </si>
  <si>
    <t xml:space="preserve">Supports an adopted strategy but is not a named commitment in it.</t>
  </si>
  <si>
    <t xml:space="preserve">A named commitment in an adopted strategy, asset management plan or executed funding agreement.</t>
  </si>
  <si>
    <t xml:space="preserve">Benefit is limited to one site or a small user group and has not been quantified.</t>
  </si>
  <si>
    <t xml:space="preserve">Benefit is measurable for a defined catchment. A concept-level business case exists.</t>
  </si>
  <si>
    <t xml:space="preserve">Benefit is quantified in a business case with a benefit-cost ratio above 1, or it unlocks wider investment.</t>
  </si>
  <si>
    <t xml:space="preserve">Scope is an idea. No estimate basis, no design, no approvals, no delivery resource named.</t>
  </si>
  <si>
    <t xml:space="preserve">Concept design and an order-of-magnitude estimate exist. Approvals are identified but not obtained.</t>
  </si>
  <si>
    <t xml:space="preserve">Design complete or near complete, approvals in hand, land secured, delivery team available. Ready to procure.</t>
  </si>
  <si>
    <t xml:space="preserve">No funding source identified. Nothing committed by anyone.</t>
  </si>
  <si>
    <t xml:space="preserve">A source is identified and likely but not committed - a grant applied for, a reserve not yet resolved.</t>
  </si>
  <si>
    <t xml:space="preserve">Funding is committed in writing for the full amount - adopted budget, executed grant agreement or contribution deed.</t>
  </si>
  <si>
    <t xml:space="preserve">Deferral has little effect. The service continues and costs do not rise materially.</t>
  </si>
  <si>
    <t xml:space="preserve">Deferral raises operating cost or risk, or pushes the problem into the next plan at a higher price.</t>
  </si>
  <si>
    <t xml:space="preserve">Deferral means service failure, closure, a compliance breach or a materially higher cost later.</t>
  </si>
  <si>
    <t xml:space="preserve">A 2 or a 4 sits between the descriptions. Score against evidence you can point to - a condition report, a direction, a business case, an executed agreement. If you cannot point to it, the score is not a 5.</t>
  </si>
  <si>
    <t xml:space="preserve">3 · DEFINITIONS</t>
  </si>
  <si>
    <t xml:space="preserve">Term</t>
  </si>
  <si>
    <t xml:space="preserve">Capital Improvement Plan (CIP)</t>
  </si>
  <si>
    <t xml:space="preserve">A rolling program of capital projects across the plan period, each with a cost, a phasing, a funding source and a priority. It is the pipeline. The annual budget adopts Year 1 of it.</t>
  </si>
  <si>
    <t xml:space="preserve">Owner (Client)</t>
  </si>
  <si>
    <t xml:space="preserve">The organisation that commissions and pays for the work - a council, city or county, agency, university, health service, utility or corporate portfolio. Called the Principal or the Employer in some contracts.</t>
  </si>
  <si>
    <t xml:space="preserve">Contract Administrator / Owner's Representative</t>
  </si>
  <si>
    <t xml:space="preserve">The party named in the Contract to administer it once a project is in delivery. Not a role this plan assigns - it appears in the delivery documents, not here.</t>
  </si>
  <si>
    <t xml:space="preserve">The whole-of-project capital cost, including what has already been spent. Say what the estimate is based on in the description - an idea, a concept estimate and a tendered price carry very different confidence.</t>
  </si>
  <si>
    <t xml:space="preserve">Estimated total cost less spend already incurred. Only the remaining cost is phased across the plan - the money already spent cannot be planned.</t>
  </si>
  <si>
    <t xml:space="preserve">Nominal cost (today's money)</t>
  </si>
  <si>
    <t xml:space="preserve">Cost stated in current-year money with no escalation applied. Use it to compare projects.</t>
  </si>
  <si>
    <t xml:space="preserve">Escalated cost (cash)</t>
  </si>
  <si>
    <t xml:space="preserve">Nominal cost uplifted to the money of the year it is spent. This is the amount that has to be appropriated, and the basis the funding and affordability pages work on.</t>
  </si>
  <si>
    <t xml:space="preserve">Escalation rate</t>
  </si>
  <si>
    <t xml:space="preserve">The expected annual increase in construction cost. Set it once on Setup from your own market data. Year 1 is not escalated; Year n carries (1 + rate) ^ (n - 1).</t>
  </si>
  <si>
    <t xml:space="preserve">Discount rate</t>
  </si>
  <si>
    <t xml:space="preserve">The rate used to bring future cash back to today's value. It drives the present value figure on Plan Summary and nothing else in this model.</t>
  </si>
  <si>
    <t xml:space="preserve">What the organisation can afford to commit in a year under its financial strategy - revenue capacity, borrowing headroom, reserves and grants already agreed. Not the sum of what has been asked for.</t>
  </si>
  <si>
    <t xml:space="preserve">The share of a project's cost with no funding source named against it. Unfunded is not the same as unaffordable - it means no one has yet said where the money comes from.</t>
  </si>
  <si>
    <t xml:space="preserve">Why the project exists: Renewal, Growth, Compliance and safety, Service improvement or Statutory. The mix of drivers across a plan says more about an organisation than any single project does.</t>
  </si>
  <si>
    <t xml:space="preserve">Cost that falls after the last year of the plan period. Carried so the full commitment is visible, and escalated at the Year 6 factor.</t>
  </si>
  <si>
    <t xml:space="preserve">Above / below the line</t>
  </si>
  <si>
    <t xml:space="preserve">Whether a project fits inside the cumulative funding envelope for the plan period when projects are funded in strict rank order.</t>
  </si>
  <si>
    <t xml:space="preserve">Program / Schedule</t>
  </si>
  <si>
    <t xml:space="preserve">The time plan for delivery. This workbook holds only the year a cost lands in; the delivery program sits with the project.</t>
  </si>
  <si>
    <t xml:space="preserve">Variation / Change Order</t>
  </si>
  <si>
    <t xml:space="preserve">An authorised change to the scope or price of a contract in delivery. A variation that moves a project's total cost is a change to this plan and belongs back on the register.</t>
  </si>
  <si>
    <t xml:space="preserve">Substantial Completion (Practical Completion)</t>
  </si>
  <si>
    <t xml:space="preserve">The point at which the works are complete enough for the Owner to use them for their intended purpose. Capital spend on a project largely stops here.</t>
  </si>
  <si>
    <t xml:space="preserve">Defects Liability Period (Warranty Period)</t>
  </si>
  <si>
    <t xml:space="preserve">The period after Substantial Completion in which the contractor has to make good defects. Retention or security is usually held against it.</t>
  </si>
  <si>
    <t xml:space="preserve">4 · TERMINOLOGY - reading this workbook in your own jurisdiction</t>
  </si>
  <si>
    <t xml:space="preserve">Used in this workbook</t>
  </si>
  <si>
    <t xml:space="preserve">Also called</t>
  </si>
  <si>
    <t xml:space="preserve">Owner / Client</t>
  </si>
  <si>
    <t xml:space="preserve">Principal (AU) · Employer (UK, FIDIC)</t>
  </si>
  <si>
    <t xml:space="preserve">Superintendent (AU) · Architect or Engineer to the Contract (UK) · Owner's Rep (US)</t>
  </si>
  <si>
    <t xml:space="preserve">Substantial Completion / Practical Completion</t>
  </si>
  <si>
    <t xml:space="preserve">Both terms mean the same milestone here</t>
  </si>
  <si>
    <t xml:space="preserve">Defects Liability Period / Warranty Period</t>
  </si>
  <si>
    <t xml:space="preserve">Both terms mean the same period here</t>
  </si>
  <si>
    <t xml:space="preserve">Both terms mean the same instrument here</t>
  </si>
  <si>
    <t xml:space="preserve">Both terms mean the delivery time plan here</t>
  </si>
  <si>
    <t xml:space="preserve">Capital Works Program (AU) · Capital Programme (UK) · Capital Improvement Program or Plan (US)</t>
  </si>
  <si>
    <t xml:space="preserve">5 · CELL CONVENTIONS</t>
  </si>
  <si>
    <t xml:space="preserve">You type here</t>
  </si>
  <si>
    <t xml:space="preserve">Pale blue with a cobalt figure. Every other cell is calculated.</t>
  </si>
  <si>
    <t xml:space="preserve">Calculated</t>
  </si>
  <si>
    <t xml:space="preserve">Off-white. Do not overwrite it - you will break the reconciliation checks.</t>
  </si>
  <si>
    <t xml:space="preserve">Grey with a rule above. Always a formula.</t>
  </si>
  <si>
    <t xml:space="preserve">A coloured chip set by formula from the score or the status list.</t>
  </si>
  <si>
    <t xml:space="preserve">Exception</t>
  </si>
  <si>
    <t xml:space="preserve">Red means the model has found something that does not add up. Fix it before you publish.</t>
  </si>
  <si>
    <t xml:space="preserve">Marks an example row. Delete the EX rows and every example banner clears.</t>
  </si>
</sst>
</file>

<file path=xl/styles.xml><?xml version="1.0" encoding="utf-8"?>
<styleSheet xmlns="http://schemas.openxmlformats.org/spreadsheetml/2006/main">
  <numFmts count="9">
    <numFmt numFmtId="164" formatCode="General"/>
    <numFmt numFmtId="165" formatCode="dd\ mmm\ yyyy"/>
    <numFmt numFmtId="166" formatCode="0"/>
    <numFmt numFmtId="167" formatCode="0.0%"/>
    <numFmt numFmtId="168" formatCode="0.0000"/>
    <numFmt numFmtId="169" formatCode="\$#,##0;[RED]&quot;($&quot;#,##0\);\-"/>
    <numFmt numFmtId="170" formatCode="0.00"/>
    <numFmt numFmtId="171" formatCode="0;;\-"/>
    <numFmt numFmtId="172" formatCode="0.0%;\-0.0%;\-"/>
  </numFmts>
  <fonts count="31">
    <font>
      <sz val="11"/>
      <color theme="1"/>
      <name val="Calibri"/>
      <family val="2"/>
      <charset val="1"/>
    </font>
    <font>
      <sz val="10"/>
      <name val="Arial"/>
      <family val="0"/>
    </font>
    <font>
      <sz val="10"/>
      <name val="Arial"/>
      <family val="0"/>
    </font>
    <font>
      <sz val="10"/>
      <name val="Arial"/>
      <family val="0"/>
    </font>
    <font>
      <b val="true"/>
      <sz val="24"/>
      <color rgb="FFFFFFFF"/>
      <name val="Inter"/>
      <family val="0"/>
      <charset val="1"/>
    </font>
    <font>
      <sz val="10.5"/>
      <color rgb="FFBBD6E8"/>
      <name val="Inter"/>
      <family val="0"/>
      <charset val="1"/>
    </font>
    <font>
      <b val="true"/>
      <sz val="11"/>
      <color rgb="FFFFFFFF"/>
      <name val="Inter"/>
      <family val="0"/>
      <charset val="1"/>
    </font>
    <font>
      <sz val="10.5"/>
      <color rgb="FF1D3245"/>
      <name val="Inter"/>
      <family val="0"/>
      <charset val="1"/>
    </font>
    <font>
      <b val="true"/>
      <sz val="11"/>
      <color rgb="FF3480BC"/>
      <name val="Inter"/>
      <family val="0"/>
      <charset val="1"/>
    </font>
    <font>
      <sz val="10"/>
      <color rgb="FF1D3245"/>
      <name val="Inter"/>
      <family val="0"/>
      <charset val="1"/>
    </font>
    <font>
      <b val="true"/>
      <sz val="9.5"/>
      <color rgb="FF0D3C61"/>
      <name val="Inter"/>
      <family val="0"/>
      <charset val="1"/>
    </font>
    <font>
      <b val="true"/>
      <u val="single"/>
      <sz val="10"/>
      <color rgb="FF3480BC"/>
      <name val="Inter"/>
      <family val="0"/>
      <charset val="1"/>
    </font>
    <font>
      <sz val="9.5"/>
      <color rgb="FF1D3245"/>
      <name val="Inter"/>
      <family val="0"/>
      <charset val="1"/>
    </font>
    <font>
      <b val="true"/>
      <sz val="10"/>
      <color rgb="FF1D3245"/>
      <name val="Inter"/>
      <family val="0"/>
      <charset val="1"/>
    </font>
    <font>
      <i val="true"/>
      <sz val="8.5"/>
      <color rgb="FF8E98A2"/>
      <name val="Inter"/>
      <family val="0"/>
      <charset val="1"/>
    </font>
    <font>
      <u val="single"/>
      <sz val="8.5"/>
      <color rgb="FF3480BC"/>
      <name val="Inter"/>
      <family val="0"/>
      <charset val="1"/>
    </font>
    <font>
      <b val="true"/>
      <sz val="13"/>
      <color rgb="FFFFFFFF"/>
      <name val="Inter"/>
      <family val="0"/>
      <charset val="1"/>
    </font>
    <font>
      <b val="true"/>
      <sz val="9.5"/>
      <color rgb="FF1D3245"/>
      <name val="Inter"/>
      <family val="0"/>
      <charset val="1"/>
    </font>
    <font>
      <i val="true"/>
      <sz val="9.5"/>
      <color rgb="FF8E98A2"/>
      <name val="Inter"/>
      <family val="0"/>
      <charset val="1"/>
    </font>
    <font>
      <sz val="10"/>
      <color rgb="FF0D3C61"/>
      <name val="Inter"/>
      <family val="0"/>
      <charset val="1"/>
    </font>
    <font>
      <sz val="9.5"/>
      <color rgb="FF8E98A2"/>
      <name val="Inter"/>
      <family val="0"/>
      <charset val="1"/>
    </font>
    <font>
      <b val="true"/>
      <sz val="9.5"/>
      <color rgb="FFFFFFFF"/>
      <name val="Inter"/>
      <family val="0"/>
      <charset val="1"/>
    </font>
    <font>
      <b val="true"/>
      <sz val="10"/>
      <color rgb="FFFFFFFF"/>
      <name val="Inter"/>
      <family val="0"/>
      <charset val="1"/>
    </font>
    <font>
      <b val="true"/>
      <sz val="8.5"/>
      <color rgb="FF8E98A2"/>
      <name val="Inter"/>
      <family val="0"/>
      <charset val="1"/>
    </font>
    <font>
      <sz val="8.5"/>
      <color rgb="FF8E98A2"/>
      <name val="Inter"/>
      <family val="0"/>
      <charset val="1"/>
    </font>
    <font>
      <b val="true"/>
      <sz val="10.5"/>
      <color rgb="FF1D3245"/>
      <name val="Inter"/>
      <family val="0"/>
      <charset val="1"/>
    </font>
    <font>
      <sz val="9.5"/>
      <color rgb="FF0D3C61"/>
      <name val="Inter"/>
      <family val="0"/>
      <charset val="1"/>
    </font>
    <font>
      <b val="true"/>
      <sz val="10"/>
      <color rgb="FFE31B0C"/>
      <name val="Inter"/>
      <family val="0"/>
      <charset val="1"/>
    </font>
    <font>
      <b val="true"/>
      <sz val="9.5"/>
      <color rgb="FF8E98A2"/>
      <name val="Inter"/>
      <family val="0"/>
      <charset val="1"/>
    </font>
    <font>
      <b val="true"/>
      <sz val="13.5"/>
      <color rgb="FF1D3245"/>
      <name val="Inter"/>
      <family val="0"/>
      <charset val="1"/>
    </font>
    <font>
      <b val="true"/>
      <sz val="9.5"/>
      <color rgb="FF3480BC"/>
      <name val="Inter"/>
      <family val="0"/>
      <charset val="1"/>
    </font>
  </fonts>
  <fills count="18">
    <fill>
      <patternFill patternType="none"/>
    </fill>
    <fill>
      <patternFill patternType="gray125"/>
    </fill>
    <fill>
      <patternFill patternType="solid">
        <fgColor rgb="FF1D3245"/>
        <bgColor rgb="FF0D3C61"/>
      </patternFill>
    </fill>
    <fill>
      <patternFill patternType="solid">
        <fgColor rgb="FF3480BC"/>
        <bgColor rgb="FF339966"/>
      </patternFill>
    </fill>
    <fill>
      <patternFill patternType="solid">
        <fgColor rgb="FF0D3C61"/>
        <bgColor rgb="FF1D3245"/>
      </patternFill>
    </fill>
    <fill>
      <patternFill patternType="solid">
        <fgColor rgb="FFDCE9F4"/>
        <bgColor rgb="FFE3F0FA"/>
      </patternFill>
    </fill>
    <fill>
      <patternFill patternType="solid">
        <fgColor rgb="FFFFFFFF"/>
        <bgColor rgb="FFF6F9FC"/>
      </patternFill>
    </fill>
    <fill>
      <patternFill patternType="solid">
        <fgColor rgb="FFFFF4E0"/>
        <bgColor rgb="FFFDEBE9"/>
      </patternFill>
    </fill>
    <fill>
      <patternFill patternType="solid">
        <fgColor rgb="FFE3F0FA"/>
        <bgColor rgb="FFDCE9F4"/>
      </patternFill>
    </fill>
    <fill>
      <patternFill patternType="solid">
        <fgColor rgb="FFF6F9FC"/>
        <bgColor rgb="FFF5F5F5"/>
      </patternFill>
    </fill>
    <fill>
      <patternFill patternType="solid">
        <fgColor rgb="FFEEEEEE"/>
        <bgColor rgb="FFE8F5E9"/>
      </patternFill>
    </fill>
    <fill>
      <patternFill patternType="solid">
        <fgColor rgb="FFE31B0C"/>
        <bgColor rgb="FF993366"/>
      </patternFill>
    </fill>
    <fill>
      <patternFill patternType="solid">
        <fgColor rgb="FFEC6917"/>
        <bgColor rgb="FFFF9900"/>
      </patternFill>
    </fill>
    <fill>
      <patternFill patternType="solid">
        <fgColor rgb="FFFFB547"/>
        <bgColor rgb="FFFF9900"/>
      </patternFill>
    </fill>
    <fill>
      <patternFill patternType="solid">
        <fgColor rgb="FFE0E0E0"/>
        <bgColor rgb="FFDCE9F4"/>
      </patternFill>
    </fill>
    <fill>
      <patternFill patternType="solid">
        <fgColor rgb="FF215383"/>
        <bgColor rgb="FF0D3C61"/>
      </patternFill>
    </fill>
    <fill>
      <patternFill patternType="solid">
        <fgColor rgb="FFF5F5F5"/>
        <bgColor rgb="FFF6F9FC"/>
      </patternFill>
    </fill>
    <fill>
      <patternFill patternType="solid">
        <fgColor rgb="FFFDEBE9"/>
        <bgColor rgb="FFFFF4E0"/>
      </patternFill>
    </fill>
  </fills>
  <borders count="6">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FFB547"/>
      </left>
      <right style="thin">
        <color rgb="FFFFB547"/>
      </right>
      <top style="thin">
        <color rgb="FFFFB547"/>
      </top>
      <bottom style="thin">
        <color rgb="FFFFB547"/>
      </bottom>
      <diagonal/>
    </border>
    <border diagonalUp="false" diagonalDown="false">
      <left/>
      <right/>
      <top style="thin">
        <color rgb="FF1D3245"/>
      </top>
      <bottom style="double">
        <color rgb="FF1D3245"/>
      </bottom>
      <diagonal/>
    </border>
    <border diagonalUp="false" diagonalDown="false">
      <left/>
      <right/>
      <top style="medium">
        <color rgb="FF3480BC"/>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left" vertical="center" textRotation="0" wrapText="false" indent="1" shrinkToFit="false"/>
      <protection locked="true" hidden="false"/>
    </xf>
    <xf numFmtId="164" fontId="8" fillId="0" borderId="0" xfId="0" applyFont="true" applyBorder="false" applyAlignment="true" applyProtection="false">
      <alignment horizontal="center" vertical="top" textRotation="0" wrapText="fals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left" vertical="center" textRotation="0" wrapText="false" indent="1" shrinkToFit="false"/>
      <protection locked="true" hidden="false"/>
    </xf>
    <xf numFmtId="164" fontId="12" fillId="0" borderId="2" xfId="0" applyFont="true" applyBorder="true" applyAlignment="true" applyProtection="false">
      <alignment horizontal="left" vertical="center" textRotation="0" wrapText="true" indent="1" shrinkToFit="false"/>
      <protection locked="true" hidden="false"/>
    </xf>
    <xf numFmtId="164" fontId="13" fillId="7" borderId="3" xfId="0" applyFont="true" applyBorder="true" applyAlignment="true" applyProtection="false">
      <alignment horizontal="left" vertical="center" textRotation="0" wrapText="false" indent="1" shrinkToFit="false"/>
      <protection locked="true" hidden="false"/>
    </xf>
    <xf numFmtId="164" fontId="12" fillId="7" borderId="3" xfId="0" applyFont="true" applyBorder="true" applyAlignment="true" applyProtection="false">
      <alignment horizontal="left" vertical="top" textRotation="0" wrapText="true" indent="1" shrinkToFit="false"/>
      <protection locked="true" hidden="false"/>
    </xf>
    <xf numFmtId="164" fontId="14" fillId="0" borderId="0" xfId="0" applyFont="true" applyBorder="true" applyAlignment="true" applyProtection="false">
      <alignment horizontal="left" vertical="top" textRotation="0" wrapText="true" indent="1" shrinkToFit="false"/>
      <protection locked="true" hidden="false"/>
    </xf>
    <xf numFmtId="164" fontId="15" fillId="0" borderId="0" xfId="0" applyFont="true" applyBorder="true" applyAlignment="true" applyProtection="false">
      <alignment horizontal="right" vertical="center" textRotation="0" wrapText="false" indent="0" shrinkToFit="false"/>
      <protection locked="true" hidden="false"/>
    </xf>
    <xf numFmtId="164" fontId="16" fillId="2" borderId="0" xfId="0" applyFont="true" applyBorder="true" applyAlignment="true" applyProtection="false">
      <alignment horizontal="left" vertical="center" textRotation="0" wrapText="false" indent="15" shrinkToFit="false"/>
      <protection locked="true" hidden="false"/>
    </xf>
    <xf numFmtId="164" fontId="17" fillId="0" borderId="0" xfId="0" applyFont="true" applyBorder="true" applyAlignment="true" applyProtection="false">
      <alignment horizontal="left" vertical="center" textRotation="0" wrapText="false" indent="1" shrinkToFit="false"/>
      <protection locked="true" hidden="false"/>
    </xf>
    <xf numFmtId="164" fontId="1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false" applyAlignment="true" applyProtection="false">
      <alignment horizontal="left" vertical="center" textRotation="0" wrapText="false" indent="1" shrinkToFit="false"/>
      <protection locked="true" hidden="false"/>
    </xf>
    <xf numFmtId="164" fontId="19" fillId="8" borderId="2" xfId="0" applyFont="true" applyBorder="true" applyAlignment="true" applyProtection="false">
      <alignment horizontal="left" vertical="center" textRotation="0" wrapText="false" indent="1" shrinkToFit="false"/>
      <protection locked="true" hidden="false"/>
    </xf>
    <xf numFmtId="164" fontId="9" fillId="9" borderId="2" xfId="0" applyFont="true" applyBorder="true" applyAlignment="true" applyProtection="false">
      <alignment horizontal="left" vertical="center" textRotation="0" wrapText="false" indent="1" shrinkToFit="false"/>
      <protection locked="true" hidden="false"/>
    </xf>
    <xf numFmtId="165" fontId="19" fillId="8" borderId="2" xfId="0" applyFont="true" applyBorder="true" applyAlignment="true" applyProtection="false">
      <alignment horizontal="left" vertical="center" textRotation="0" wrapText="false" indent="1" shrinkToFit="false"/>
      <protection locked="true" hidden="false"/>
    </xf>
    <xf numFmtId="166" fontId="19" fillId="8" borderId="2" xfId="0" applyFont="true" applyBorder="true" applyAlignment="true" applyProtection="false">
      <alignment horizontal="center" vertical="center" textRotation="0" wrapText="false" indent="1" shrinkToFit="false"/>
      <protection locked="true" hidden="false"/>
    </xf>
    <xf numFmtId="164" fontId="20" fillId="0" borderId="0" xfId="0" applyFont="true" applyBorder="false" applyAlignment="true" applyProtection="false">
      <alignment horizontal="left" vertical="center" textRotation="0" wrapText="false" indent="1" shrinkToFit="false"/>
      <protection locked="true" hidden="false"/>
    </xf>
    <xf numFmtId="164" fontId="19" fillId="8" borderId="2" xfId="0" applyFont="true" applyBorder="true" applyAlignment="true" applyProtection="false">
      <alignment horizontal="center" vertical="center" textRotation="0" wrapText="false" indent="1" shrinkToFit="false"/>
      <protection locked="true" hidden="false"/>
    </xf>
    <xf numFmtId="167" fontId="19" fillId="8" borderId="2" xfId="0" applyFont="true" applyBorder="true" applyAlignment="true" applyProtection="false">
      <alignment horizontal="center" vertical="center" textRotation="0" wrapText="false" indent="1" shrinkToFit="false"/>
      <protection locked="true" hidden="false"/>
    </xf>
    <xf numFmtId="164" fontId="13" fillId="0" borderId="0" xfId="0" applyFont="true" applyBorder="false" applyAlignment="true" applyProtection="false">
      <alignment horizontal="left" vertical="center" textRotation="0" wrapText="false" indent="1"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8" fontId="9" fillId="9" borderId="2" xfId="0" applyFont="true" applyBorder="true" applyAlignment="true" applyProtection="false">
      <alignment horizontal="center" vertical="center" textRotation="0" wrapText="false" indent="1" shrinkToFit="false"/>
      <protection locked="true" hidden="false"/>
    </xf>
    <xf numFmtId="169" fontId="19" fillId="8" borderId="2" xfId="0" applyFont="true" applyBorder="true" applyAlignment="true" applyProtection="false">
      <alignment horizontal="center" vertical="center" textRotation="0" wrapText="false" indent="1" shrinkToFit="false"/>
      <protection locked="true" hidden="false"/>
    </xf>
    <xf numFmtId="169" fontId="13" fillId="9" borderId="2" xfId="0" applyFont="true" applyBorder="true" applyAlignment="true" applyProtection="false">
      <alignment horizontal="center" vertical="center" textRotation="0" wrapText="false" indent="1"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13" fillId="10" borderId="4" xfId="0" applyFont="true" applyBorder="true" applyAlignment="true" applyProtection="false">
      <alignment horizontal="left" vertical="center" textRotation="0" wrapText="false" indent="1" shrinkToFit="false"/>
      <protection locked="true" hidden="false"/>
    </xf>
    <xf numFmtId="167" fontId="13" fillId="10" borderId="4" xfId="0" applyFont="true" applyBorder="true" applyAlignment="true" applyProtection="false">
      <alignment horizontal="center" vertical="center" textRotation="0" wrapText="false" indent="0" shrinkToFit="false"/>
      <protection locked="true" hidden="false"/>
    </xf>
    <xf numFmtId="164" fontId="0" fillId="10" borderId="4" xfId="0" applyFont="false" applyBorder="tru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left" vertical="center" textRotation="0" wrapText="false" indent="1" shrinkToFit="false"/>
      <protection locked="true" hidden="false"/>
    </xf>
    <xf numFmtId="164" fontId="12" fillId="0" borderId="2" xfId="0" applyFont="true" applyBorder="true" applyAlignment="true" applyProtection="false">
      <alignment horizontal="left" vertical="center" textRotation="0" wrapText="false" indent="1" shrinkToFit="false"/>
      <protection locked="true" hidden="false"/>
    </xf>
    <xf numFmtId="164" fontId="21" fillId="11" borderId="2" xfId="0" applyFont="true" applyBorder="true" applyAlignment="true" applyProtection="false">
      <alignment horizontal="center" vertical="center" textRotation="0" wrapText="false" indent="0" shrinkToFit="false"/>
      <protection locked="true" hidden="false"/>
    </xf>
    <xf numFmtId="170" fontId="19" fillId="8" borderId="2" xfId="0" applyFont="true" applyBorder="true" applyAlignment="true" applyProtection="false">
      <alignment horizontal="center" vertical="center" textRotation="0" wrapText="false" indent="1" shrinkToFit="false"/>
      <protection locked="true" hidden="false"/>
    </xf>
    <xf numFmtId="164" fontId="21" fillId="12" borderId="2" xfId="0" applyFont="true" applyBorder="true" applyAlignment="true" applyProtection="false">
      <alignment horizontal="center" vertical="center" textRotation="0" wrapText="false" indent="0" shrinkToFit="false"/>
      <protection locked="true" hidden="false"/>
    </xf>
    <xf numFmtId="164" fontId="17" fillId="13" borderId="2" xfId="0" applyFont="true" applyBorder="true" applyAlignment="true" applyProtection="false">
      <alignment horizontal="center" vertical="center" textRotation="0" wrapText="false" indent="0" shrinkToFit="false"/>
      <protection locked="true" hidden="false"/>
    </xf>
    <xf numFmtId="164" fontId="17" fillId="14" borderId="2" xfId="0" applyFont="true" applyBorder="true" applyAlignment="true" applyProtection="false">
      <alignment horizontal="center" vertical="center" textRotation="0" wrapText="false" indent="0" shrinkToFit="false"/>
      <protection locked="true" hidden="false"/>
    </xf>
    <xf numFmtId="164" fontId="9" fillId="9" borderId="2" xfId="0" applyFont="true" applyBorder="true" applyAlignment="true" applyProtection="false">
      <alignment horizontal="center" vertical="center" textRotation="0" wrapText="false" indent="1" shrinkToFit="false"/>
      <protection locked="true" hidden="false"/>
    </xf>
    <xf numFmtId="164" fontId="22" fillId="3" borderId="0" xfId="0" applyFont="true" applyBorder="true" applyAlignment="true" applyProtection="false">
      <alignment horizontal="left" vertical="center" textRotation="0" wrapText="false" indent="1" shrinkToFit="false"/>
      <protection locked="true" hidden="false"/>
    </xf>
    <xf numFmtId="164" fontId="22" fillId="15" borderId="0" xfId="0" applyFont="true" applyBorder="true" applyAlignment="true" applyProtection="false">
      <alignment horizontal="left" vertical="center" textRotation="0" wrapText="false" indent="1" shrinkToFit="false"/>
      <protection locked="true" hidden="false"/>
    </xf>
    <xf numFmtId="164" fontId="18" fillId="16" borderId="0" xfId="0" applyFont="true" applyBorder="true" applyAlignment="true" applyProtection="false">
      <alignment horizontal="left" vertical="center" textRotation="0" wrapText="false" indent="1" shrinkToFit="false"/>
      <protection locked="true" hidden="false"/>
    </xf>
    <xf numFmtId="164" fontId="19" fillId="8" borderId="2" xfId="0" applyFont="true" applyBorder="true" applyAlignment="true" applyProtection="false">
      <alignment horizontal="left" vertical="center" textRotation="0" wrapText="true" indent="1" shrinkToFit="false"/>
      <protection locked="true" hidden="false"/>
    </xf>
    <xf numFmtId="169" fontId="19" fillId="8" borderId="2" xfId="0" applyFont="true" applyBorder="true" applyAlignment="true" applyProtection="false">
      <alignment horizontal="right" vertical="center" textRotation="0" wrapText="false" indent="1" shrinkToFit="false"/>
      <protection locked="true" hidden="false"/>
    </xf>
    <xf numFmtId="169" fontId="9" fillId="9" borderId="2" xfId="0" applyFont="true" applyBorder="true" applyAlignment="true" applyProtection="false">
      <alignment horizontal="right" vertical="center" textRotation="0" wrapText="false" indent="1" shrinkToFit="false"/>
      <protection locked="true" hidden="false"/>
    </xf>
    <xf numFmtId="164" fontId="13" fillId="9" borderId="2" xfId="0" applyFont="true" applyBorder="true" applyAlignment="true" applyProtection="false">
      <alignment horizontal="center" vertical="center" textRotation="0" wrapText="false" indent="1" shrinkToFit="false"/>
      <protection locked="true" hidden="false"/>
    </xf>
    <xf numFmtId="167" fontId="9" fillId="9" borderId="2" xfId="0" applyFont="true" applyBorder="true" applyAlignment="true" applyProtection="false">
      <alignment horizontal="center" vertical="center" textRotation="0" wrapText="false" indent="1" shrinkToFit="false"/>
      <protection locked="true" hidden="false"/>
    </xf>
    <xf numFmtId="164" fontId="17" fillId="10" borderId="4" xfId="0" applyFont="true" applyBorder="true" applyAlignment="true" applyProtection="false">
      <alignment horizontal="center" vertical="center" textRotation="0" wrapText="false" indent="0" shrinkToFit="false"/>
      <protection locked="true" hidden="false"/>
    </xf>
    <xf numFmtId="169" fontId="17" fillId="10" borderId="4" xfId="0" applyFont="true" applyBorder="true" applyAlignment="true" applyProtection="false">
      <alignment horizontal="right" vertical="center" textRotation="0" wrapText="false" indent="1" shrinkToFit="false"/>
      <protection locked="true" hidden="false"/>
    </xf>
    <xf numFmtId="171" fontId="17" fillId="10" borderId="4" xfId="0" applyFont="true" applyBorder="true" applyAlignment="true" applyProtection="false">
      <alignment horizontal="center" vertical="center" textRotation="0" wrapText="false" indent="0" shrinkToFit="false"/>
      <protection locked="true" hidden="false"/>
    </xf>
    <xf numFmtId="167" fontId="17" fillId="10" borderId="4" xfId="0" applyFont="true" applyBorder="true" applyAlignment="true" applyProtection="false">
      <alignment horizontal="center" vertical="center" textRotation="0" wrapText="false" indent="0" shrinkToFit="false"/>
      <protection locked="true" hidden="false"/>
    </xf>
    <xf numFmtId="164" fontId="22" fillId="4" borderId="0" xfId="0" applyFont="true" applyBorder="true" applyAlignment="true" applyProtection="false">
      <alignment horizontal="left" vertical="center" textRotation="0" wrapText="false" indent="1" shrinkToFit="false"/>
      <protection locked="true" hidden="false"/>
    </xf>
    <xf numFmtId="164" fontId="17" fillId="10" borderId="0" xfId="0" applyFont="true" applyBorder="true" applyAlignment="true" applyProtection="false">
      <alignment horizontal="right" vertical="center" textRotation="0" wrapText="false" indent="1" shrinkToFit="false"/>
      <protection locked="true" hidden="false"/>
    </xf>
    <xf numFmtId="167" fontId="10" fillId="10" borderId="2" xfId="0" applyFont="true" applyBorder="true" applyAlignment="true" applyProtection="false">
      <alignment horizontal="center" vertical="center" textRotation="0" wrapText="false" indent="0" shrinkToFit="false"/>
      <protection locked="true" hidden="false"/>
    </xf>
    <xf numFmtId="164" fontId="0" fillId="10" borderId="0" xfId="0" applyFont="false" applyBorder="false" applyAlignment="false" applyProtection="false">
      <alignment horizontal="general" vertical="bottom" textRotation="0" wrapText="false" indent="0" shrinkToFit="false"/>
      <protection locked="true" hidden="false"/>
    </xf>
    <xf numFmtId="164" fontId="18" fillId="10" borderId="0" xfId="0" applyFont="true" applyBorder="true" applyAlignment="true" applyProtection="false">
      <alignment horizontal="left" vertical="center" textRotation="0" wrapText="false" indent="1" shrinkToFit="false"/>
      <protection locked="true" hidden="false"/>
    </xf>
    <xf numFmtId="164" fontId="9" fillId="9" borderId="2" xfId="0" applyFont="true" applyBorder="true" applyAlignment="true" applyProtection="false">
      <alignment horizontal="left" vertical="center" textRotation="0" wrapText="true" indent="1" shrinkToFit="false"/>
      <protection locked="true" hidden="false"/>
    </xf>
    <xf numFmtId="170" fontId="13" fillId="9" borderId="2" xfId="0" applyFont="true" applyBorder="true" applyAlignment="true" applyProtection="false">
      <alignment horizontal="center" vertical="center" textRotation="0" wrapText="false" indent="1" shrinkToFit="false"/>
      <protection locked="true" hidden="false"/>
    </xf>
    <xf numFmtId="166" fontId="13" fillId="9" borderId="2" xfId="0" applyFont="true" applyBorder="true" applyAlignment="true" applyProtection="false">
      <alignment horizontal="center" vertical="center" textRotation="0" wrapText="false" indent="1" shrinkToFit="false"/>
      <protection locked="true" hidden="false"/>
    </xf>
    <xf numFmtId="164" fontId="17" fillId="0" borderId="0" xfId="0" applyFont="true" applyBorder="true" applyAlignment="true" applyProtection="false">
      <alignment horizontal="left" vertical="center" textRotation="0" wrapText="true" indent="1" shrinkToFit="false"/>
      <protection locked="true" hidden="false"/>
    </xf>
    <xf numFmtId="164" fontId="23" fillId="0" borderId="0" xfId="0" applyFont="true" applyBorder="false" applyAlignment="true" applyProtection="false">
      <alignment horizontal="center" vertical="center" textRotation="0" wrapText="false" indent="0" shrinkToFit="false"/>
      <protection locked="true" hidden="false"/>
    </xf>
    <xf numFmtId="164" fontId="23" fillId="0" borderId="0" xfId="0" applyFont="true" applyBorder="fals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center" vertical="center" textRotation="0" wrapText="false" indent="0" shrinkToFit="false"/>
      <protection locked="true" hidden="false"/>
    </xf>
    <xf numFmtId="164" fontId="6" fillId="4" borderId="0" xfId="0" applyFont="true" applyBorder="true" applyAlignment="true" applyProtection="false">
      <alignment horizontal="left" vertical="center" textRotation="0" wrapText="true" indent="1" shrinkToFit="false"/>
      <protection locked="true" hidden="false"/>
    </xf>
    <xf numFmtId="164" fontId="24" fillId="0" borderId="0" xfId="0" applyFont="true" applyBorder="false" applyAlignment="true" applyProtection="false">
      <alignment horizontal="center" vertical="center" textRotation="0" wrapText="false" indent="0" shrinkToFit="false"/>
      <protection locked="true" hidden="false"/>
    </xf>
    <xf numFmtId="166" fontId="24" fillId="0" borderId="0" xfId="0" applyFont="true" applyBorder="false" applyAlignment="true" applyProtection="false">
      <alignment horizontal="center" vertical="center" textRotation="0" wrapText="false" indent="0" shrinkToFit="false"/>
      <protection locked="true" hidden="false"/>
    </xf>
    <xf numFmtId="164" fontId="18" fillId="0" borderId="0" xfId="0" applyFont="true" applyBorder="true" applyAlignment="true" applyProtection="false">
      <alignment horizontal="left" vertical="center" textRotation="0" wrapText="true" indent="1" shrinkToFit="false"/>
      <protection locked="true" hidden="false"/>
    </xf>
    <xf numFmtId="164" fontId="20" fillId="0" borderId="0" xfId="0" applyFont="true" applyBorder="true" applyAlignment="true" applyProtection="false">
      <alignment horizontal="left" vertical="center" textRotation="0" wrapText="false" indent="1" shrinkToFit="true"/>
      <protection locked="true" hidden="false"/>
    </xf>
    <xf numFmtId="164" fontId="12" fillId="9" borderId="2" xfId="0" applyFont="true" applyBorder="true" applyAlignment="true" applyProtection="false">
      <alignment horizontal="left" vertical="center" textRotation="0" wrapText="false" indent="1" shrinkToFit="true"/>
      <protection locked="true" hidden="false"/>
    </xf>
    <xf numFmtId="164" fontId="21" fillId="3" borderId="0" xfId="0" applyFont="true" applyBorder="true" applyAlignment="true" applyProtection="false">
      <alignment horizontal="left" vertical="center" textRotation="0" wrapText="false" indent="1" shrinkToFit="false"/>
      <protection locked="true" hidden="false"/>
    </xf>
    <xf numFmtId="169" fontId="25" fillId="9" borderId="2" xfId="0" applyFont="true" applyBorder="true" applyAlignment="true" applyProtection="false">
      <alignment horizontal="right" vertical="center" textRotation="0" wrapText="false" indent="1" shrinkToFit="true"/>
      <protection locked="true" hidden="false"/>
    </xf>
    <xf numFmtId="169" fontId="12" fillId="9" borderId="2" xfId="0" applyFont="true" applyBorder="true" applyAlignment="true" applyProtection="false">
      <alignment horizontal="right" vertical="center" textRotation="0" wrapText="false" indent="1" shrinkToFit="true"/>
      <protection locked="true" hidden="false"/>
    </xf>
    <xf numFmtId="169" fontId="17" fillId="9" borderId="2" xfId="0" applyFont="true" applyBorder="true" applyAlignment="true" applyProtection="false">
      <alignment horizontal="right" vertical="center" textRotation="0" wrapText="false" indent="1" shrinkToFit="true"/>
      <protection locked="true" hidden="false"/>
    </xf>
    <xf numFmtId="164" fontId="10" fillId="5" borderId="1" xfId="0" applyFont="true" applyBorder="true" applyAlignment="true" applyProtection="false">
      <alignment horizontal="left" vertical="center" textRotation="0" wrapText="false" indent="1" shrinkToFit="false"/>
      <protection locked="true" hidden="false"/>
    </xf>
    <xf numFmtId="164" fontId="10" fillId="5" borderId="1" xfId="0" applyFont="true" applyBorder="true" applyAlignment="true" applyProtection="false">
      <alignment horizontal="center" vertical="center" textRotation="0" wrapText="false" indent="0" shrinkToFit="true"/>
      <protection locked="true" hidden="false"/>
    </xf>
    <xf numFmtId="164" fontId="20" fillId="0" borderId="0" xfId="0" applyFont="true" applyBorder="true" applyAlignment="true" applyProtection="false">
      <alignment horizontal="left" vertical="center" textRotation="0" wrapText="false" indent="1" shrinkToFit="false"/>
      <protection locked="true" hidden="false"/>
    </xf>
    <xf numFmtId="164" fontId="10" fillId="5" borderId="1" xfId="0" applyFont="true" applyBorder="true" applyAlignment="true" applyProtection="false">
      <alignment horizontal="right" vertical="center" textRotation="0" wrapText="false" indent="1" shrinkToFit="false"/>
      <protection locked="true" hidden="false"/>
    </xf>
    <xf numFmtId="172" fontId="12" fillId="9" borderId="2" xfId="0" applyFont="true" applyBorder="true" applyAlignment="true" applyProtection="false">
      <alignment horizontal="center" vertical="center" textRotation="0" wrapText="false" indent="0" shrinkToFit="false"/>
      <protection locked="true" hidden="false"/>
    </xf>
    <xf numFmtId="164" fontId="17" fillId="9" borderId="2" xfId="0" applyFont="true" applyBorder="true" applyAlignment="true" applyProtection="false">
      <alignment horizontal="left" vertical="center" textRotation="0" wrapText="false" indent="1" shrinkToFit="false"/>
      <protection locked="true" hidden="false"/>
    </xf>
    <xf numFmtId="172" fontId="17" fillId="9" borderId="2" xfId="0" applyFont="true" applyBorder="true" applyAlignment="true" applyProtection="false">
      <alignment horizontal="center" vertical="center" textRotation="0" wrapText="false" indent="0" shrinkToFit="false"/>
      <protection locked="true" hidden="false"/>
    </xf>
    <xf numFmtId="170" fontId="25" fillId="9" borderId="2" xfId="0" applyFont="true" applyBorder="true" applyAlignment="true" applyProtection="false">
      <alignment horizontal="center" vertical="center" textRotation="0" wrapText="false" indent="1" shrinkToFit="true"/>
      <protection locked="true" hidden="false"/>
    </xf>
    <xf numFmtId="164" fontId="25" fillId="9" borderId="2" xfId="0" applyFont="true" applyBorder="true" applyAlignment="true" applyProtection="false">
      <alignment horizontal="center" vertical="center" textRotation="0" wrapText="false" indent="1" shrinkToFit="true"/>
      <protection locked="true" hidden="false"/>
    </xf>
    <xf numFmtId="164" fontId="17" fillId="9" borderId="2" xfId="0" applyFont="true" applyBorder="true" applyAlignment="true" applyProtection="false">
      <alignment horizontal="center" vertical="center" textRotation="0" wrapText="false" indent="0" shrinkToFit="false"/>
      <protection locked="true" hidden="false"/>
    </xf>
    <xf numFmtId="164" fontId="10" fillId="16" borderId="2" xfId="0" applyFont="true" applyBorder="true" applyAlignment="true" applyProtection="false">
      <alignment horizontal="left" vertical="top" textRotation="0" wrapText="true" indent="1" shrinkToFit="false"/>
      <protection locked="true" hidden="false"/>
    </xf>
    <xf numFmtId="164" fontId="26" fillId="8" borderId="2" xfId="0" applyFont="true" applyBorder="true" applyAlignment="true" applyProtection="false">
      <alignment horizontal="left" vertical="top" textRotation="0" wrapText="true" indent="1" shrinkToFit="false"/>
      <protection locked="true" hidden="false"/>
    </xf>
    <xf numFmtId="169" fontId="13" fillId="9" borderId="2" xfId="0" applyFont="true" applyBorder="true" applyAlignment="true" applyProtection="false">
      <alignment horizontal="right" vertical="center" textRotation="0" wrapText="false" indent="1" shrinkToFit="false"/>
      <protection locked="true" hidden="false"/>
    </xf>
    <xf numFmtId="164" fontId="27" fillId="0" borderId="0" xfId="0" applyFont="true" applyBorder="false" applyAlignment="true" applyProtection="false">
      <alignment horizontal="left" vertical="center" textRotation="0" wrapText="false" indent="1" shrinkToFit="false"/>
      <protection locked="true" hidden="false"/>
    </xf>
    <xf numFmtId="169" fontId="27" fillId="9" borderId="2" xfId="0" applyFont="true" applyBorder="true" applyAlignment="true" applyProtection="false">
      <alignment horizontal="right" vertical="center" textRotation="0" wrapText="false" indent="1" shrinkToFit="false"/>
      <protection locked="true" hidden="false"/>
    </xf>
    <xf numFmtId="167" fontId="27" fillId="9" borderId="2" xfId="0" applyFont="true" applyBorder="true" applyAlignment="true" applyProtection="false">
      <alignment horizontal="center" vertical="center" textRotation="0" wrapText="false" indent="1" shrinkToFit="false"/>
      <protection locked="true" hidden="false"/>
    </xf>
    <xf numFmtId="169" fontId="13" fillId="10" borderId="4" xfId="0" applyFont="true" applyBorder="true" applyAlignment="true" applyProtection="false">
      <alignment horizontal="right" vertical="center" textRotation="0" wrapText="false" indent="1" shrinkToFit="false"/>
      <protection locked="true" hidden="false"/>
    </xf>
    <xf numFmtId="164" fontId="28" fillId="16" borderId="5" xfId="0" applyFont="true" applyBorder="true" applyAlignment="true" applyProtection="false">
      <alignment horizontal="center" vertical="bottom" textRotation="0" wrapText="true" indent="0" shrinkToFit="false"/>
      <protection locked="true" hidden="false"/>
    </xf>
    <xf numFmtId="166" fontId="29" fillId="16" borderId="0" xfId="0" applyFont="true" applyBorder="true" applyAlignment="true" applyProtection="false">
      <alignment horizontal="center" vertical="center" textRotation="0" wrapText="false" indent="0" shrinkToFit="false"/>
      <protection locked="true" hidden="false"/>
    </xf>
    <xf numFmtId="169" fontId="29" fillId="16" borderId="0" xfId="0" applyFont="true" applyBorder="true" applyAlignment="true" applyProtection="false">
      <alignment horizontal="center" vertical="center" textRotation="0" wrapText="false" indent="0" shrinkToFit="false"/>
      <protection locked="true" hidden="false"/>
    </xf>
    <xf numFmtId="164" fontId="18" fillId="16" borderId="0" xfId="0" applyFont="true" applyBorder="true" applyAlignment="true" applyProtection="false">
      <alignment horizontal="center" vertical="top" textRotation="0" wrapText="true" indent="0" shrinkToFit="false"/>
      <protection locked="true" hidden="false"/>
    </xf>
    <xf numFmtId="164" fontId="30" fillId="9" borderId="2" xfId="0" applyFont="true" applyBorder="true" applyAlignment="true" applyProtection="false">
      <alignment horizontal="left" vertical="center" textRotation="0" wrapText="false" indent="1" shrinkToFit="false"/>
      <protection locked="true" hidden="false"/>
    </xf>
    <xf numFmtId="169" fontId="13" fillId="10" borderId="4" xfId="0" applyFont="true" applyBorder="true" applyAlignment="true" applyProtection="false">
      <alignment horizontal="right" vertical="center" textRotation="0" wrapText="false" indent="1" shrinkToFit="true"/>
      <protection locked="true" hidden="false"/>
    </xf>
    <xf numFmtId="167" fontId="13" fillId="10" borderId="4" xfId="0" applyFont="true" applyBorder="true" applyAlignment="true" applyProtection="false">
      <alignment horizontal="right" vertical="center" textRotation="0" wrapText="false" indent="1" shrinkToFit="tru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9" fontId="18" fillId="9" borderId="2" xfId="0" applyFont="true" applyBorder="true" applyAlignment="true" applyProtection="false">
      <alignment horizontal="right" vertical="center" textRotation="0" wrapText="false" indent="1" shrinkToFit="false"/>
      <protection locked="true" hidden="false"/>
    </xf>
    <xf numFmtId="167" fontId="13" fillId="10" borderId="4" xfId="0" applyFont="true" applyBorder="true" applyAlignment="true" applyProtection="false">
      <alignment horizontal="center" vertical="center" textRotation="0" wrapText="false" indent="0" shrinkToFit="true"/>
      <protection locked="true" hidden="false"/>
    </xf>
    <xf numFmtId="171" fontId="9" fillId="9" borderId="2" xfId="0" applyFont="true" applyBorder="true" applyAlignment="true" applyProtection="false">
      <alignment horizontal="center" vertical="center" textRotation="0" wrapText="false" indent="1" shrinkToFit="false"/>
      <protection locked="true" hidden="false"/>
    </xf>
    <xf numFmtId="171" fontId="13" fillId="10" borderId="4" xfId="0" applyFont="true" applyBorder="true" applyAlignment="true" applyProtection="false">
      <alignment horizontal="center" vertical="center" textRotation="0" wrapText="false" indent="0" shrinkToFit="true"/>
      <protection locked="true" hidden="false"/>
    </xf>
    <xf numFmtId="166" fontId="9" fillId="9" borderId="2" xfId="0" applyFont="true" applyBorder="true" applyAlignment="true" applyProtection="false">
      <alignment horizontal="center" vertical="center" textRotation="0" wrapText="false" indent="1" shrinkToFit="false"/>
      <protection locked="true" hidden="false"/>
    </xf>
    <xf numFmtId="170" fontId="9" fillId="9" borderId="2" xfId="0" applyFont="true" applyBorder="true" applyAlignment="true" applyProtection="false">
      <alignment horizontal="center" vertical="center" textRotation="0" wrapText="false" indent="1" shrinkToFit="false"/>
      <protection locked="true" hidden="false"/>
    </xf>
    <xf numFmtId="164" fontId="9" fillId="0" borderId="0" xfId="0" applyFont="true" applyBorder="true" applyAlignment="true" applyProtection="false">
      <alignment horizontal="left" vertical="center" textRotation="0" wrapText="false" indent="1" shrinkToFit="false"/>
      <protection locked="true" hidden="false"/>
    </xf>
    <xf numFmtId="164" fontId="25" fillId="8" borderId="2" xfId="0" applyFont="true" applyBorder="true" applyAlignment="true" applyProtection="false">
      <alignment horizontal="left" vertical="center" textRotation="0" wrapText="true" indent="1" shrinkToFit="false"/>
      <protection locked="true" hidden="false"/>
    </xf>
    <xf numFmtId="164" fontId="26" fillId="8" borderId="2" xfId="0" applyFont="true" applyBorder="true" applyAlignment="true" applyProtection="false">
      <alignment horizontal="left" vertical="center" textRotation="0" wrapText="true" indent="1" shrinkToFit="false"/>
      <protection locked="true" hidden="false"/>
    </xf>
    <xf numFmtId="164" fontId="26" fillId="8" borderId="2" xfId="0" applyFont="true" applyBorder="true" applyAlignment="true" applyProtection="false">
      <alignment horizontal="center" vertical="center" textRotation="0" wrapText="false" indent="0" shrinkToFit="false"/>
      <protection locked="true" hidden="false"/>
    </xf>
    <xf numFmtId="164" fontId="17" fillId="0" borderId="2" xfId="0" applyFont="true" applyBorder="true" applyAlignment="true" applyProtection="false">
      <alignment horizontal="left" vertical="top" textRotation="0" wrapText="true" indent="1" shrinkToFit="false"/>
      <protection locked="true" hidden="false"/>
    </xf>
    <xf numFmtId="164" fontId="12" fillId="0" borderId="2" xfId="0" applyFont="true" applyBorder="true" applyAlignment="true" applyProtection="false">
      <alignment horizontal="left" vertical="top" textRotation="0" wrapText="true" indent="1" shrinkToFit="false"/>
      <protection locked="true" hidden="false"/>
    </xf>
    <xf numFmtId="164" fontId="17" fillId="0" borderId="2" xfId="0" applyFont="true" applyBorder="true" applyAlignment="true" applyProtection="false">
      <alignment horizontal="left" vertical="center" textRotation="0" wrapText="true" indent="1" shrinkToFit="false"/>
      <protection locked="true" hidden="false"/>
    </xf>
    <xf numFmtId="164" fontId="12" fillId="0" borderId="0" xfId="0" applyFont="true" applyBorder="true" applyAlignment="true" applyProtection="false">
      <alignment horizontal="left" vertical="center" textRotation="0" wrapText="false" indent="1" shrinkToFit="false"/>
      <protection locked="true" hidden="false"/>
    </xf>
    <xf numFmtId="164" fontId="27" fillId="17" borderId="2" xfId="0" applyFont="true" applyBorder="true" applyAlignment="true" applyProtection="false">
      <alignment horizontal="lef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9">
    <dxf>
      <font>
        <name val="Inter"/>
        <charset val="1"/>
        <family val="0"/>
        <b val="1"/>
        <color rgb="FF1D3245"/>
        <sz val="9"/>
      </font>
      <fill>
        <patternFill>
          <bgColor rgb="FFFFF4E0"/>
        </patternFill>
      </fill>
    </dxf>
    <dxf>
      <font>
        <name val="Inter"/>
        <charset val="1"/>
        <family val="0"/>
        <b val="1"/>
        <color rgb="FFE31B0C"/>
        <sz val="9"/>
      </font>
      <fill>
        <patternFill>
          <bgColor rgb="FFFDEBE9"/>
        </patternFill>
      </fill>
    </dxf>
    <dxf>
      <font>
        <name val="Inter"/>
        <charset val="1"/>
        <family val="0"/>
        <b val="1"/>
        <color rgb="FF1B5E20"/>
        <sz val="9"/>
      </font>
      <fill>
        <patternFill>
          <bgColor rgb="FFE8F5E9"/>
        </patternFill>
      </fill>
    </dxf>
    <dxf>
      <fill>
        <patternFill patternType="solid">
          <fgColor rgb="FFDCE9F4"/>
          <bgColor rgb="FF000000"/>
        </patternFill>
      </fill>
    </dxf>
    <dxf>
      <fill>
        <patternFill patternType="solid">
          <fgColor rgb="FFFFB547"/>
          <bgColor rgb="FF000000"/>
        </patternFill>
      </fill>
    </dxf>
    <dxf>
      <fill>
        <patternFill patternType="solid">
          <bgColor rgb="FF000000"/>
        </patternFill>
      </fill>
    </dxf>
    <dxf>
      <fill>
        <patternFill patternType="solid">
          <fgColor rgb="FF000000"/>
          <bgColor rgb="FF000000"/>
        </patternFill>
      </fill>
    </dxf>
    <dxf>
      <fill>
        <patternFill patternType="solid">
          <fgColor rgb="FF0D3C61"/>
          <bgColor rgb="FF000000"/>
        </patternFill>
      </fill>
    </dxf>
    <dxf>
      <fill>
        <patternFill patternType="solid">
          <fgColor rgb="FF1D3245"/>
          <bgColor rgb="FF000000"/>
        </patternFill>
      </fill>
    </dxf>
    <dxf>
      <fill>
        <patternFill patternType="solid">
          <fgColor rgb="FFF6F9FC"/>
          <bgColor rgb="FF000000"/>
        </patternFill>
      </fill>
    </dxf>
    <dxf>
      <fill>
        <patternFill patternType="solid">
          <fgColor rgb="FFE3F0FA"/>
          <bgColor rgb="FF000000"/>
        </patternFill>
      </fill>
    </dxf>
    <dxf>
      <fill>
        <patternFill patternType="solid">
          <fgColor rgb="FFE8F5E9"/>
          <bgColor rgb="FF000000"/>
        </patternFill>
      </fill>
    </dxf>
    <dxf>
      <fill>
        <patternFill patternType="solid">
          <fgColor rgb="FFEEEEEE"/>
          <bgColor rgb="FF000000"/>
        </patternFill>
      </fill>
    </dxf>
    <dxf>
      <fill>
        <patternFill patternType="solid">
          <fgColor rgb="FFFFF4E0"/>
          <bgColor rgb="FF000000"/>
        </patternFill>
      </fill>
    </dxf>
    <dxf>
      <fill>
        <patternFill patternType="solid">
          <fgColor rgb="FF1B5E20"/>
          <bgColor rgb="FF000000"/>
        </patternFill>
      </fill>
    </dxf>
    <dxf>
      <fill>
        <patternFill patternType="solid">
          <fgColor rgb="FF215383"/>
          <bgColor rgb="FF000000"/>
        </patternFill>
      </fill>
    </dxf>
    <dxf>
      <fill>
        <patternFill patternType="solid">
          <fgColor rgb="FF8A5300"/>
          <bgColor rgb="FF000000"/>
        </patternFill>
      </fill>
    </dxf>
    <dxf>
      <fill>
        <patternFill patternType="solid">
          <fgColor rgb="FF8E98A2"/>
          <bgColor rgb="FF000000"/>
        </patternFill>
      </fill>
    </dxf>
    <dxf>
      <font>
        <name val="Inter"/>
        <charset val="1"/>
        <family val="0"/>
        <b val="1"/>
        <color rgb="FF215383"/>
        <sz val="9"/>
      </font>
      <fill>
        <patternFill>
          <bgColor rgb="FFE3F0FA"/>
        </patternFill>
      </fill>
    </dxf>
    <dxf>
      <font>
        <name val="Inter"/>
        <charset val="1"/>
        <family val="0"/>
        <b val="1"/>
        <color rgb="FF8A5300"/>
        <sz val="9"/>
      </font>
      <fill>
        <patternFill>
          <bgColor rgb="FFFFF4E0"/>
        </patternFill>
      </fill>
    </dxf>
    <dxf>
      <font>
        <name val="Inter"/>
        <charset val="1"/>
        <family val="0"/>
        <b val="1"/>
        <color rgb="FF8E98A2"/>
        <sz val="9"/>
      </font>
      <fill>
        <patternFill>
          <bgColor rgb="FFEEEEEE"/>
        </patternFill>
      </fill>
    </dxf>
    <dxf>
      <font>
        <name val="Inter"/>
        <charset val="1"/>
        <family val="0"/>
        <b val="1"/>
        <color rgb="FFFFFFFF"/>
        <sz val="9"/>
      </font>
      <fill>
        <patternFill>
          <bgColor rgb="FFE31B0C"/>
        </patternFill>
      </fill>
    </dxf>
    <dxf>
      <font>
        <name val="Inter"/>
        <charset val="1"/>
        <family val="0"/>
        <b val="1"/>
        <color rgb="FFE31B0C"/>
        <sz val="10"/>
      </font>
      <fill>
        <patternFill>
          <bgColor rgb="FFFDEBE9"/>
        </patternFill>
      </fill>
    </dxf>
    <dxf>
      <font>
        <name val="Inter"/>
        <charset val="1"/>
        <family val="0"/>
        <b val="1"/>
        <color rgb="FF1D3245"/>
        <sz val="10"/>
      </font>
      <fill>
        <patternFill>
          <bgColor rgb="FFFFF4E0"/>
        </patternFill>
      </fill>
    </dxf>
    <dxf>
      <font>
        <name val="Inter"/>
        <charset val="1"/>
        <family val="0"/>
        <b val="1"/>
        <color rgb="FFFFFFFF"/>
        <sz val="10"/>
      </font>
      <fill>
        <patternFill>
          <bgColor rgb="FFE31B0C"/>
        </patternFill>
      </fill>
    </dxf>
    <dxf>
      <font>
        <name val="Inter"/>
        <charset val="1"/>
        <family val="0"/>
        <b val="1"/>
        <color rgb="FF1D3245"/>
        <sz val="9"/>
      </font>
      <fill>
        <patternFill>
          <bgColor rgb="FFFFB547"/>
        </patternFill>
      </fill>
    </dxf>
    <dxf>
      <fill>
        <patternFill patternType="solid">
          <fgColor rgb="FFE0E0E0"/>
          <bgColor rgb="FF000000"/>
        </patternFill>
      </fill>
    </dxf>
    <dxf>
      <fill>
        <patternFill patternType="solid">
          <fgColor rgb="FFE31B0C"/>
          <bgColor rgb="FF000000"/>
        </patternFill>
      </fill>
    </dxf>
    <dxf>
      <fill>
        <patternFill patternType="solid">
          <fgColor rgb="FFEC6917"/>
          <bgColor rgb="FF000000"/>
        </patternFill>
      </fill>
    </dxf>
    <dxf>
      <fill>
        <patternFill patternType="solid">
          <fgColor rgb="FFFFFFFF"/>
          <bgColor rgb="FF000000"/>
        </patternFill>
      </fill>
    </dxf>
    <dxf>
      <fill>
        <patternFill patternType="solid">
          <fgColor rgb="FFFDEBE9"/>
          <bgColor rgb="FF000000"/>
        </patternFill>
      </fill>
    </dxf>
    <dxf>
      <font>
        <name val="Inter"/>
        <charset val="1"/>
        <family val="0"/>
        <b val="1"/>
        <color rgb="FFE31B0C"/>
      </font>
      <fill>
        <patternFill>
          <bgColor rgb="FFFDEBE9"/>
        </patternFill>
      </fill>
    </dxf>
    <dxf>
      <font>
        <name val="Inter"/>
        <charset val="1"/>
        <family val="0"/>
        <b val="1"/>
        <color rgb="FFFFFFFF"/>
        <sz val="9"/>
      </font>
      <fill>
        <patternFill>
          <bgColor rgb="FFEC6917"/>
        </patternFill>
      </fill>
    </dxf>
    <dxf>
      <font>
        <name val="Inter"/>
        <charset val="1"/>
        <family val="0"/>
        <b val="1"/>
        <color rgb="FF1D3245"/>
        <sz val="9"/>
      </font>
      <fill>
        <patternFill>
          <bgColor rgb="FFE0E0E0"/>
        </patternFill>
      </fill>
    </dxf>
    <dxf>
      <font>
        <name val="Inter"/>
        <charset val="1"/>
        <family val="0"/>
        <color rgb="FF1D3245"/>
        <sz val="9"/>
      </font>
      <fill>
        <patternFill>
          <bgColor rgb="FFFFF4E0"/>
        </patternFill>
      </fill>
    </dxf>
    <dxf>
      <font>
        <name val="Inter"/>
        <charset val="1"/>
        <family val="0"/>
        <b val="1"/>
        <color rgb="FF1B5E20"/>
        <sz val="10"/>
      </font>
      <fill>
        <patternFill>
          <bgColor rgb="FFE8F5E9"/>
        </patternFill>
      </fill>
    </dxf>
    <dxf>
      <font>
        <name val="Inter"/>
        <charset val="1"/>
        <family val="0"/>
        <b val="1"/>
        <color rgb="FFE31B0C"/>
        <sz val="13"/>
      </font>
      <fill>
        <patternFill>
          <bgColor rgb="FFFDEBE9"/>
        </patternFill>
      </fill>
    </dxf>
    <dxf>
      <font>
        <name val="Inter"/>
        <charset val="1"/>
        <family val="0"/>
        <b val="1"/>
        <color rgb="FF1D3245"/>
        <sz val="13"/>
      </font>
      <fill>
        <patternFill>
          <bgColor rgb="FFFFF4E0"/>
        </patternFill>
      </fill>
    </dxf>
    <dxf>
      <font>
        <name val="Inter"/>
        <charset val="1"/>
        <family val="0"/>
        <b val="1"/>
        <color rgb="FF1D3245"/>
        <sz val="10"/>
      </font>
      <fill>
        <patternFill>
          <bgColor rgb="FFFFF4E0"/>
        </patternFill>
      </fill>
    </dxf>
  </dxfs>
  <colors>
    <indexedColors>
      <rgbColor rgb="FF000000"/>
      <rgbColor rgb="FFFFFFFF"/>
      <rgbColor rgb="FFE31B0C"/>
      <rgbColor rgb="FF00FF00"/>
      <rgbColor rgb="FF0000FF"/>
      <rgbColor rgb="FFFFFF00"/>
      <rgbColor rgb="FFFF00FF"/>
      <rgbColor rgb="FF00FFFF"/>
      <rgbColor rgb="FF800000"/>
      <rgbColor rgb="FF1B5E20"/>
      <rgbColor rgb="FF000080"/>
      <rgbColor rgb="FF808000"/>
      <rgbColor rgb="FF800080"/>
      <rgbColor rgb="FF008080"/>
      <rgbColor rgb="FFE0E0E0"/>
      <rgbColor rgb="FF808080"/>
      <rgbColor rgb="FF9999FF"/>
      <rgbColor rgb="FF993366"/>
      <rgbColor rgb="FFFFF4E0"/>
      <rgbColor rgb="FFE3F0FA"/>
      <rgbColor rgb="FF660066"/>
      <rgbColor rgb="FFFF8080"/>
      <rgbColor rgb="FF0066CC"/>
      <rgbColor rgb="FFBBD6E8"/>
      <rgbColor rgb="FF000080"/>
      <rgbColor rgb="FFFF00FF"/>
      <rgbColor rgb="FFFFFF00"/>
      <rgbColor rgb="FF00FFFF"/>
      <rgbColor rgb="FF800080"/>
      <rgbColor rgb="FF800000"/>
      <rgbColor rgb="FF008080"/>
      <rgbColor rgb="FF0000FF"/>
      <rgbColor rgb="FF00CCFF"/>
      <rgbColor rgb="FFE8F5E9"/>
      <rgbColor rgb="FFDCE9F4"/>
      <rgbColor rgb="FFFDEBE9"/>
      <rgbColor rgb="FFF5F5F5"/>
      <rgbColor rgb="FFF6F9FC"/>
      <rgbColor rgb="FFCC99FF"/>
      <rgbColor rgb="FFEEEEEE"/>
      <rgbColor rgb="FF3480BC"/>
      <rgbColor rgb="FF33CCCC"/>
      <rgbColor rgb="FF99CC00"/>
      <rgbColor rgb="FFFFB547"/>
      <rgbColor rgb="FFFF9900"/>
      <rgbColor rgb="FFEC6917"/>
      <rgbColor rgb="FF666699"/>
      <rgbColor rgb="FF8E98A2"/>
      <rgbColor rgb="FF0D3C61"/>
      <rgbColor rgb="FF339966"/>
      <rgbColor rgb="FF003300"/>
      <rgbColor rgb="FF333300"/>
      <rgbColor rgb="FF8A5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1</xdr:row>
      <xdr:rowOff>0</xdr:rowOff>
    </xdr:from>
    <xdr:to>
      <xdr:col>3</xdr:col>
      <xdr:colOff>533520</xdr:colOff>
      <xdr:row>3</xdr:row>
      <xdr:rowOff>28080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423720" y="152280"/>
          <a:ext cx="1942920" cy="580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47520</xdr:rowOff>
    </xdr:from>
    <xdr:to>
      <xdr:col>1</xdr:col>
      <xdr:colOff>914040</xdr:colOff>
      <xdr:row>0</xdr:row>
      <xdr:rowOff>294840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52720" y="47520"/>
          <a:ext cx="837720" cy="2473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47520</xdr:rowOff>
    </xdr:from>
    <xdr:to>
      <xdr:col>2</xdr:col>
      <xdr:colOff>596520</xdr:colOff>
      <xdr:row>0</xdr:row>
      <xdr:rowOff>294840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52720" y="47520"/>
          <a:ext cx="837720" cy="24732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47520</xdr:rowOff>
    </xdr:from>
    <xdr:to>
      <xdr:col>2</xdr:col>
      <xdr:colOff>596520</xdr:colOff>
      <xdr:row>0</xdr:row>
      <xdr:rowOff>294840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52720" y="47520"/>
          <a:ext cx="837720" cy="24732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47520</xdr:rowOff>
    </xdr:from>
    <xdr:to>
      <xdr:col>2</xdr:col>
      <xdr:colOff>448560</xdr:colOff>
      <xdr:row>0</xdr:row>
      <xdr:rowOff>294840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47520"/>
          <a:ext cx="837720" cy="24732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47520</xdr:rowOff>
    </xdr:from>
    <xdr:to>
      <xdr:col>1</xdr:col>
      <xdr:colOff>914040</xdr:colOff>
      <xdr:row>0</xdr:row>
      <xdr:rowOff>294840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52720" y="47520"/>
          <a:ext cx="837720" cy="2473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47520</xdr:rowOff>
    </xdr:from>
    <xdr:to>
      <xdr:col>1</xdr:col>
      <xdr:colOff>914040</xdr:colOff>
      <xdr:row>0</xdr:row>
      <xdr:rowOff>294840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47520"/>
          <a:ext cx="837720" cy="24732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47520</xdr:rowOff>
    </xdr:from>
    <xdr:to>
      <xdr:col>1</xdr:col>
      <xdr:colOff>914040</xdr:colOff>
      <xdr:row>0</xdr:row>
      <xdr:rowOff>294840</xdr:rowOff>
    </xdr:to>
    <xdr:pic>
      <xdr:nvPicPr>
        <xdr:cNvPr id="7"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47520"/>
          <a:ext cx="837720" cy="2473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hyperlink" Target="https://www.mastt.com/" TargetMode="External"/><Relationship Id="rId4" Type="http://schemas.openxmlformats.org/officeDocument/2006/relationships/hyperlink" Target="https://www.mastt.com/" TargetMode="External"/><Relationship Id="rId5" Type="http://schemas.openxmlformats.org/officeDocument/2006/relationships/hyperlink" Target="https://www.mastt.com/" TargetMode="External"/><Relationship Id="rId6" Type="http://schemas.openxmlformats.org/officeDocument/2006/relationships/hyperlink" Target="https://www.mastt.com/" TargetMode="External"/><Relationship Id="rId7" Type="http://schemas.openxmlformats.org/officeDocument/2006/relationships/hyperlink" Target="https://www.mastt.com/" TargetMode="External"/><Relationship Id="rId8" Type="http://schemas.openxmlformats.org/officeDocument/2006/relationships/hyperlink" Target="https://www.mastt.com/" TargetMode="External"/><Relationship Id="rId9" Type="http://schemas.openxmlformats.org/officeDocument/2006/relationships/hyperlink" Target="https://www.mastt.com/" TargetMode="External"/><Relationship Id="rId10" Type="http://schemas.openxmlformats.org/officeDocument/2006/relationships/hyperlink" Target="https://www.mastt.com/" TargetMode="External"/><Relationship Id="rId11" Type="http://schemas.openxmlformats.org/officeDocument/2006/relationships/hyperlink" Target="https://www.mastt.com/" TargetMode="External"/><Relationship Id="rId12" Type="http://schemas.openxmlformats.org/officeDocument/2006/relationships/hyperlink" Target="https://www.mastt.com/" TargetMode="External"/><Relationship Id="rId13" Type="http://schemas.openxmlformats.org/officeDocument/2006/relationships/hyperlink" Target="https://www.mastt.com/" TargetMode="External"/><Relationship Id="rId14" Type="http://schemas.openxmlformats.org/officeDocument/2006/relationships/hyperlink" Target="https://www.mastt.com/" TargetMode="External"/><Relationship Id="rId15" Type="http://schemas.openxmlformats.org/officeDocument/2006/relationships/hyperlink" Target="https://www.mastt.com/" TargetMode="External"/><Relationship Id="rId16" Type="http://schemas.openxmlformats.org/officeDocument/2006/relationships/hyperlink" Target="https://www.mastt.com/" TargetMode="External"/><Relationship Id="rId17" Type="http://schemas.openxmlformats.org/officeDocument/2006/relationships/hyperlink" Target="https://www.mastt.com/" TargetMode="External"/><Relationship Id="rId18" Type="http://schemas.openxmlformats.org/officeDocument/2006/relationships/hyperlink" Target="https://www.mastt.com/" TargetMode="External"/><Relationship Id="rId19" Type="http://schemas.openxmlformats.org/officeDocument/2006/relationships/hyperlink" Target="https://www.mastt.com/" TargetMode="External"/><Relationship Id="rId20" Type="http://schemas.openxmlformats.org/officeDocument/2006/relationships/hyperlink" Target="https://www.mastt.com/" TargetMode="External"/><Relationship Id="rId21" Type="http://schemas.openxmlformats.org/officeDocument/2006/relationships/hyperlink" Target="https://www.mastt.com/" TargetMode="External"/><Relationship Id="rId22" Type="http://schemas.openxmlformats.org/officeDocument/2006/relationships/hyperlink" Target="https://www.mastt.com/" TargetMode="External"/><Relationship Id="rId23" Type="http://schemas.openxmlformats.org/officeDocument/2006/relationships/hyperlink" Target="https://www.mastt.com/" TargetMode="External"/><Relationship Id="rId24" Type="http://schemas.openxmlformats.org/officeDocument/2006/relationships/hyperlink" Target="https://www.mastt.com/" TargetMode="External"/><Relationship Id="rId25" Type="http://schemas.openxmlformats.org/officeDocument/2006/relationships/hyperlink" Target="https://www.mastt.com/" TargetMode="External"/><Relationship Id="rId26" Type="http://schemas.openxmlformats.org/officeDocument/2006/relationships/hyperlink" Target="https://www.mastt.com/" TargetMode="External"/><Relationship Id="rId27" Type="http://schemas.openxmlformats.org/officeDocument/2006/relationships/hyperlink" Target="https://www.mastt.com/" TargetMode="External"/><Relationship Id="rId28" Type="http://schemas.openxmlformats.org/officeDocument/2006/relationships/hyperlink" Target="https://www.mastt.com/" TargetMode="External"/><Relationship Id="rId29" Type="http://schemas.openxmlformats.org/officeDocument/2006/relationships/hyperlink" Target="https://www.mastt.com/" TargetMode="External"/><Relationship Id="rId30" Type="http://schemas.openxmlformats.org/officeDocument/2006/relationships/hyperlink" Target="https://www.mastt.com/" TargetMode="External"/><Relationship Id="rId3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B1:G4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3.5"/>
    <col collapsed="false" customWidth="true" hidden="false" outlineLevel="0" max="3" min="3" style="0" width="20"/>
    <col collapsed="false" customWidth="true" hidden="false" outlineLevel="0" max="4" min="4" style="0" width="44"/>
    <col collapsed="false" customWidth="true" hidden="false" outlineLevel="0" max="5" min="5" style="0" width="26"/>
    <col collapsed="false" customWidth="true" hidden="false" outlineLevel="0" max="6" min="6" style="0" width="11"/>
    <col collapsed="false" customWidth="true" hidden="false" outlineLevel="0" max="7" min="7" style="0" width="3"/>
  </cols>
  <sheetData>
    <row r="1" customFormat="false" ht="12" hidden="false" customHeight="true" outlineLevel="0" collapsed="false">
      <c r="B1" s="1"/>
      <c r="C1" s="1"/>
      <c r="D1" s="1"/>
      <c r="E1" s="1"/>
      <c r="F1" s="1"/>
      <c r="G1" s="1"/>
    </row>
    <row r="2" customFormat="false" ht="21.75" hidden="false" customHeight="true" outlineLevel="0" collapsed="false">
      <c r="B2" s="1"/>
      <c r="C2" s="1"/>
      <c r="D2" s="1"/>
      <c r="E2" s="1"/>
      <c r="F2" s="1"/>
      <c r="G2" s="1"/>
    </row>
    <row r="3" customFormat="false" ht="21.75" hidden="false" customHeight="true" outlineLevel="0" collapsed="false">
      <c r="B3" s="1"/>
      <c r="C3" s="1"/>
      <c r="D3" s="1"/>
      <c r="E3" s="1"/>
      <c r="F3" s="1"/>
      <c r="G3" s="1"/>
    </row>
    <row r="4" customFormat="false" ht="21.75" hidden="false" customHeight="true" outlineLevel="0" collapsed="false">
      <c r="B4" s="1"/>
      <c r="C4" s="1"/>
      <c r="D4" s="1"/>
      <c r="E4" s="1"/>
      <c r="F4" s="1"/>
      <c r="G4" s="1"/>
    </row>
    <row r="5" customFormat="false" ht="33.75" hidden="false" customHeight="true" outlineLevel="0" collapsed="false">
      <c r="B5" s="1"/>
      <c r="C5" s="2" t="s">
        <v>0</v>
      </c>
      <c r="D5" s="2"/>
      <c r="E5" s="2"/>
      <c r="F5" s="2"/>
      <c r="G5" s="1"/>
    </row>
    <row r="6" customFormat="false" ht="18" hidden="false" customHeight="true" outlineLevel="0" collapsed="false">
      <c r="B6" s="1"/>
      <c r="C6" s="3" t="s">
        <v>1</v>
      </c>
      <c r="D6" s="3"/>
      <c r="E6" s="3"/>
      <c r="F6" s="3"/>
      <c r="G6" s="1"/>
    </row>
    <row r="7" customFormat="false" ht="13.5" hidden="false" customHeight="true" outlineLevel="0" collapsed="false">
      <c r="B7" s="1"/>
      <c r="C7" s="1"/>
      <c r="D7" s="1"/>
      <c r="E7" s="1"/>
      <c r="F7" s="1"/>
      <c r="G7" s="1"/>
    </row>
    <row r="8" customFormat="false" ht="4.5" hidden="false" customHeight="true" outlineLevel="0" collapsed="false">
      <c r="B8" s="4"/>
      <c r="C8" s="4"/>
      <c r="D8" s="4"/>
      <c r="E8" s="4"/>
      <c r="F8" s="4"/>
      <c r="G8" s="4"/>
    </row>
    <row r="9" customFormat="false" ht="7.5" hidden="false" customHeight="true" outlineLevel="0" collapsed="false"/>
    <row r="10" customFormat="false" ht="21.75" hidden="false" customHeight="true" outlineLevel="0" collapsed="false">
      <c r="C10" s="5" t="s">
        <v>2</v>
      </c>
      <c r="D10" s="5"/>
      <c r="E10" s="5"/>
      <c r="F10" s="5"/>
    </row>
    <row r="11" customFormat="false" ht="21.75" hidden="false" customHeight="true" outlineLevel="0" collapsed="false">
      <c r="C11" s="5"/>
      <c r="D11" s="5"/>
      <c r="E11" s="5"/>
      <c r="F11" s="5"/>
    </row>
    <row r="12" customFormat="false" ht="21.75" hidden="false" customHeight="true" outlineLevel="0" collapsed="false">
      <c r="C12" s="5"/>
      <c r="D12" s="5"/>
      <c r="E12" s="5"/>
      <c r="F12" s="5"/>
    </row>
    <row r="13" customFormat="false" ht="21.75" hidden="false" customHeight="true" outlineLevel="0" collapsed="false">
      <c r="C13" s="5"/>
      <c r="D13" s="5"/>
      <c r="E13" s="5"/>
      <c r="F13" s="5"/>
    </row>
    <row r="15" customFormat="false" ht="21.75" hidden="false" customHeight="true" outlineLevel="0" collapsed="false">
      <c r="B15" s="6" t="s">
        <v>3</v>
      </c>
      <c r="C15" s="6"/>
      <c r="D15" s="6"/>
      <c r="E15" s="6"/>
      <c r="F15" s="6"/>
      <c r="G15" s="6"/>
    </row>
    <row r="16" customFormat="false" ht="31.5" hidden="false" customHeight="true" outlineLevel="0" collapsed="false">
      <c r="B16" s="7" t="n">
        <v>1</v>
      </c>
      <c r="C16" s="8" t="s">
        <v>4</v>
      </c>
      <c r="D16" s="8"/>
      <c r="E16" s="8"/>
      <c r="F16" s="8"/>
    </row>
    <row r="17" customFormat="false" ht="31.5" hidden="false" customHeight="true" outlineLevel="0" collapsed="false">
      <c r="B17" s="7" t="n">
        <v>2</v>
      </c>
      <c r="C17" s="8" t="s">
        <v>5</v>
      </c>
      <c r="D17" s="8"/>
      <c r="E17" s="8"/>
      <c r="F17" s="8"/>
    </row>
    <row r="18" customFormat="false" ht="44.25" hidden="false" customHeight="true" outlineLevel="0" collapsed="false">
      <c r="B18" s="7" t="n">
        <v>3</v>
      </c>
      <c r="C18" s="8" t="s">
        <v>6</v>
      </c>
      <c r="D18" s="8"/>
      <c r="E18" s="8"/>
      <c r="F18" s="8"/>
    </row>
    <row r="19" customFormat="false" ht="31.5" hidden="false" customHeight="true" outlineLevel="0" collapsed="false">
      <c r="B19" s="7" t="n">
        <v>4</v>
      </c>
      <c r="C19" s="8" t="s">
        <v>7</v>
      </c>
      <c r="D19" s="8"/>
      <c r="E19" s="8"/>
      <c r="F19" s="8"/>
    </row>
    <row r="20" customFormat="false" ht="71.25" hidden="false" customHeight="true" outlineLevel="0" collapsed="false">
      <c r="B20" s="7" t="n">
        <v>5</v>
      </c>
      <c r="C20" s="8" t="s">
        <v>8</v>
      </c>
      <c r="D20" s="8"/>
      <c r="E20" s="8"/>
      <c r="F20" s="8"/>
    </row>
    <row r="21" customFormat="false" ht="31.5" hidden="false" customHeight="true" outlineLevel="0" collapsed="false">
      <c r="B21" s="7" t="n">
        <v>6</v>
      </c>
      <c r="C21" s="8" t="s">
        <v>9</v>
      </c>
      <c r="D21" s="8"/>
      <c r="E21" s="8"/>
      <c r="F21" s="8"/>
    </row>
    <row r="22" customFormat="false" ht="31.5" hidden="false" customHeight="true" outlineLevel="0" collapsed="false">
      <c r="B22" s="7" t="n">
        <v>7</v>
      </c>
      <c r="C22" s="8" t="s">
        <v>10</v>
      </c>
      <c r="D22" s="8"/>
      <c r="E22" s="8"/>
      <c r="F22" s="8"/>
    </row>
    <row r="23" customFormat="false" ht="31.5" hidden="false" customHeight="true" outlineLevel="0" collapsed="false">
      <c r="B23" s="7" t="n">
        <v>8</v>
      </c>
      <c r="C23" s="8" t="s">
        <v>11</v>
      </c>
      <c r="D23" s="8"/>
      <c r="E23" s="8"/>
      <c r="F23" s="8"/>
    </row>
    <row r="24" customFormat="false" ht="31.5" hidden="false" customHeight="true" outlineLevel="0" collapsed="false">
      <c r="B24" s="7" t="n">
        <v>9</v>
      </c>
      <c r="C24" s="8" t="s">
        <v>12</v>
      </c>
      <c r="D24" s="8"/>
      <c r="E24" s="8"/>
      <c r="F24" s="8"/>
    </row>
    <row r="26" customFormat="false" ht="21.75" hidden="false" customHeight="true" outlineLevel="0" collapsed="false">
      <c r="B26" s="6" t="s">
        <v>13</v>
      </c>
      <c r="C26" s="6"/>
      <c r="D26" s="6"/>
      <c r="E26" s="6"/>
      <c r="F26" s="6"/>
      <c r="G26" s="6"/>
    </row>
    <row r="27" customFormat="false" ht="19.5" hidden="false" customHeight="true" outlineLevel="0" collapsed="false">
      <c r="B27" s="9"/>
      <c r="C27" s="9" t="s">
        <v>14</v>
      </c>
      <c r="D27" s="9" t="s">
        <v>15</v>
      </c>
      <c r="E27" s="9" t="s">
        <v>16</v>
      </c>
      <c r="F27" s="9"/>
    </row>
    <row r="28" customFormat="false" ht="42.75" hidden="false" customHeight="true" outlineLevel="0" collapsed="false">
      <c r="B28" s="10"/>
      <c r="C28" s="11" t="s">
        <v>17</v>
      </c>
      <c r="D28" s="12" t="s">
        <v>18</v>
      </c>
      <c r="E28" s="12" t="s">
        <v>19</v>
      </c>
      <c r="F28" s="12"/>
    </row>
    <row r="29" customFormat="false" ht="30" hidden="false" customHeight="true" outlineLevel="0" collapsed="false">
      <c r="B29" s="10"/>
      <c r="C29" s="11" t="s">
        <v>20</v>
      </c>
      <c r="D29" s="12" t="s">
        <v>21</v>
      </c>
      <c r="E29" s="12" t="s">
        <v>22</v>
      </c>
      <c r="F29" s="12"/>
    </row>
    <row r="30" customFormat="false" ht="42.75" hidden="false" customHeight="true" outlineLevel="0" collapsed="false">
      <c r="B30" s="10"/>
      <c r="C30" s="11" t="s">
        <v>23</v>
      </c>
      <c r="D30" s="12" t="s">
        <v>24</v>
      </c>
      <c r="E30" s="12" t="s">
        <v>25</v>
      </c>
      <c r="F30" s="12"/>
    </row>
    <row r="31" customFormat="false" ht="42.75" hidden="false" customHeight="true" outlineLevel="0" collapsed="false">
      <c r="B31" s="10"/>
      <c r="C31" s="11" t="s">
        <v>26</v>
      </c>
      <c r="D31" s="12" t="s">
        <v>27</v>
      </c>
      <c r="E31" s="12" t="s">
        <v>28</v>
      </c>
      <c r="F31" s="12"/>
    </row>
    <row r="32" customFormat="false" ht="30" hidden="false" customHeight="true" outlineLevel="0" collapsed="false">
      <c r="B32" s="10"/>
      <c r="C32" s="11" t="s">
        <v>29</v>
      </c>
      <c r="D32" s="12" t="s">
        <v>30</v>
      </c>
      <c r="E32" s="12" t="s">
        <v>31</v>
      </c>
      <c r="F32" s="12"/>
    </row>
    <row r="33" customFormat="false" ht="42.75" hidden="false" customHeight="true" outlineLevel="0" collapsed="false">
      <c r="B33" s="10"/>
      <c r="C33" s="11" t="s">
        <v>32</v>
      </c>
      <c r="D33" s="12" t="s">
        <v>33</v>
      </c>
      <c r="E33" s="12" t="s">
        <v>31</v>
      </c>
      <c r="F33" s="12"/>
    </row>
    <row r="34" customFormat="false" ht="30" hidden="false" customHeight="true" outlineLevel="0" collapsed="false">
      <c r="B34" s="10"/>
      <c r="C34" s="11" t="s">
        <v>34</v>
      </c>
      <c r="D34" s="12" t="s">
        <v>35</v>
      </c>
      <c r="E34" s="12" t="s">
        <v>36</v>
      </c>
      <c r="F34" s="12"/>
    </row>
    <row r="36" customFormat="false" ht="18" hidden="false" customHeight="true" outlineLevel="0" collapsed="false">
      <c r="B36" s="13" t="s">
        <v>37</v>
      </c>
      <c r="C36" s="13"/>
      <c r="D36" s="13"/>
      <c r="E36" s="13"/>
      <c r="F36" s="13"/>
    </row>
    <row r="37" customFormat="false" ht="27.75" hidden="false" customHeight="true" outlineLevel="0" collapsed="false">
      <c r="B37" s="14" t="s">
        <v>38</v>
      </c>
      <c r="C37" s="14"/>
      <c r="D37" s="14"/>
      <c r="E37" s="14"/>
      <c r="F37" s="14"/>
    </row>
    <row r="38" customFormat="false" ht="27.75" hidden="false" customHeight="true" outlineLevel="0" collapsed="false">
      <c r="B38" s="14"/>
      <c r="C38" s="14"/>
      <c r="D38" s="14"/>
      <c r="E38" s="14"/>
      <c r="F38" s="14"/>
    </row>
    <row r="40" customFormat="false" ht="18.75" hidden="false" customHeight="true" outlineLevel="0" collapsed="false">
      <c r="B40" s="15" t="s">
        <v>39</v>
      </c>
      <c r="C40" s="15"/>
      <c r="D40" s="15"/>
      <c r="E40" s="15"/>
      <c r="F40" s="15"/>
    </row>
    <row r="41" customFormat="false" ht="18.75" hidden="false" customHeight="true" outlineLevel="0" collapsed="false">
      <c r="B41" s="15"/>
      <c r="C41" s="15"/>
      <c r="D41" s="15"/>
      <c r="E41" s="15"/>
      <c r="F41" s="15"/>
    </row>
    <row r="42" customFormat="false" ht="15" hidden="false" customHeight="false" outlineLevel="0" collapsed="false">
      <c r="B42" s="16" t="s">
        <v>40</v>
      </c>
      <c r="C42" s="16"/>
      <c r="D42" s="16"/>
      <c r="E42" s="16"/>
      <c r="F42" s="16"/>
      <c r="G42" s="16"/>
    </row>
  </sheetData>
  <mergeCells count="26">
    <mergeCell ref="C5:F5"/>
    <mergeCell ref="C6:F6"/>
    <mergeCell ref="B8:G8"/>
    <mergeCell ref="C10:F13"/>
    <mergeCell ref="B15:G15"/>
    <mergeCell ref="C16:F16"/>
    <mergeCell ref="C17:F17"/>
    <mergeCell ref="C18:F18"/>
    <mergeCell ref="C19:F19"/>
    <mergeCell ref="C20:F20"/>
    <mergeCell ref="C21:F21"/>
    <mergeCell ref="C22:F22"/>
    <mergeCell ref="C23:F23"/>
    <mergeCell ref="C24:F24"/>
    <mergeCell ref="B26:G26"/>
    <mergeCell ref="E28:F28"/>
    <mergeCell ref="E29:F29"/>
    <mergeCell ref="E30:F30"/>
    <mergeCell ref="E31:F31"/>
    <mergeCell ref="E32:F32"/>
    <mergeCell ref="E33:F33"/>
    <mergeCell ref="E34:F34"/>
    <mergeCell ref="B36:F36"/>
    <mergeCell ref="B37:F38"/>
    <mergeCell ref="B40:F41"/>
    <mergeCell ref="B42:G42"/>
  </mergeCells>
  <hyperlinks>
    <hyperlink ref="C28" location="'Setup'!A1" display="Setup"/>
    <hyperlink ref="C29" location="'Project Register'!A1" display="Project Register"/>
    <hyperlink ref="C30" location="'Prioritisation'!A1" display="Prioritisation"/>
    <hyperlink ref="C31" location="'Project Brief'!A1" display="Project Brief"/>
    <hyperlink ref="C32" location="'Funding Summary'!A1" display="Funding Summary"/>
    <hyperlink ref="C33" location="'Plan Summary'!A1" display="Plan Summary"/>
    <hyperlink ref="C34" location="'Reference'!A1" display="Reference"/>
    <hyperlink ref="B42" r:id="rId1" display="Built with Mastt  |  mastt.com"/>
  </hyperlink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I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40"/>
    <col collapsed="false" customWidth="true" hidden="false" outlineLevel="0" max="9" min="3" style="0" width="17"/>
    <col collapsed="false" customWidth="true" hidden="false" outlineLevel="0" max="10" min="10" style="0" width="2.5"/>
  </cols>
  <sheetData>
    <row r="1" customFormat="false" ht="33.75" hidden="false" customHeight="true" outlineLevel="0" collapsed="false">
      <c r="B1" s="17" t="s">
        <v>41</v>
      </c>
      <c r="C1" s="17"/>
      <c r="D1" s="17"/>
      <c r="E1" s="17"/>
      <c r="F1" s="17"/>
      <c r="G1" s="17"/>
      <c r="H1" s="17"/>
      <c r="I1" s="17"/>
    </row>
    <row r="2" customFormat="false" ht="4.5" hidden="false" customHeight="true" outlineLevel="0" collapsed="false">
      <c r="B2" s="4"/>
      <c r="C2" s="4"/>
      <c r="D2" s="4"/>
      <c r="E2" s="4"/>
      <c r="F2" s="4"/>
      <c r="G2" s="4"/>
      <c r="H2" s="4"/>
      <c r="I2" s="4"/>
    </row>
    <row r="3" customFormat="false" ht="18" hidden="false" customHeight="true" outlineLevel="0" collapsed="false">
      <c r="B3" s="18" t="str">
        <f aca="false">IF(COUNTIF('Project Register'!$B$9:$B$38,"EX")=0,"","EXAMPLE DATA - the 15 rows marked EX on the Project Register are worked examples. Delete or overwrite them, and this banner clears.")</f>
        <v>EXAMPLE DATA - the 15 rows marked EX on the Project Register are worked examples. Delete or overwrite them, and this banner clears.</v>
      </c>
      <c r="C3" s="18"/>
      <c r="D3" s="18"/>
      <c r="E3" s="18"/>
      <c r="F3" s="18"/>
      <c r="G3" s="18"/>
      <c r="H3" s="18"/>
      <c r="I3" s="18"/>
    </row>
    <row r="4" customFormat="false" ht="30" hidden="false" customHeight="true" outlineLevel="0" collapsed="false">
      <c r="B4" s="19" t="s">
        <v>42</v>
      </c>
      <c r="C4" s="19"/>
      <c r="D4" s="19"/>
      <c r="E4" s="19"/>
      <c r="F4" s="19"/>
      <c r="G4" s="19"/>
      <c r="H4" s="19"/>
      <c r="I4" s="19"/>
    </row>
    <row r="6" customFormat="false" ht="21.75" hidden="false" customHeight="true" outlineLevel="0" collapsed="false">
      <c r="B6" s="6" t="s">
        <v>43</v>
      </c>
      <c r="C6" s="6"/>
      <c r="D6" s="6"/>
      <c r="E6" s="6"/>
      <c r="F6" s="6"/>
      <c r="G6" s="6"/>
      <c r="H6" s="6"/>
      <c r="I6" s="6"/>
    </row>
    <row r="7" customFormat="false" ht="18" hidden="false" customHeight="true" outlineLevel="0" collapsed="false">
      <c r="B7" s="20" t="s">
        <v>44</v>
      </c>
      <c r="C7" s="21" t="s">
        <v>45</v>
      </c>
      <c r="D7" s="21"/>
      <c r="E7" s="21"/>
      <c r="F7" s="21"/>
    </row>
    <row r="8" customFormat="false" ht="18" hidden="false" customHeight="true" outlineLevel="0" collapsed="false">
      <c r="B8" s="20" t="s">
        <v>46</v>
      </c>
      <c r="C8" s="21" t="s">
        <v>0</v>
      </c>
      <c r="D8" s="21"/>
      <c r="E8" s="21"/>
      <c r="F8" s="21"/>
    </row>
    <row r="9" customFormat="false" ht="18" hidden="false" customHeight="true" outlineLevel="0" collapsed="false">
      <c r="B9" s="20" t="s">
        <v>47</v>
      </c>
      <c r="C9" s="22" t="str">
        <f aca="false">Setup!$C$23&amp;" to "&amp;Setup!$G$23&amp;"  (5 years, plus what falls beyond)"</f>
        <v>FY2027 to FY2031  (5 years, plus what falls beyond)</v>
      </c>
      <c r="D9" s="22"/>
      <c r="E9" s="22"/>
      <c r="F9" s="22"/>
    </row>
    <row r="10" customFormat="false" ht="18" hidden="false" customHeight="true" outlineLevel="0" collapsed="false">
      <c r="B10" s="20" t="s">
        <v>48</v>
      </c>
      <c r="C10" s="21" t="s">
        <v>49</v>
      </c>
      <c r="D10" s="21"/>
      <c r="E10" s="21"/>
      <c r="F10" s="21"/>
    </row>
    <row r="11" customFormat="false" ht="18" hidden="false" customHeight="true" outlineLevel="0" collapsed="false">
      <c r="B11" s="20" t="s">
        <v>50</v>
      </c>
      <c r="C11" s="21" t="s">
        <v>51</v>
      </c>
      <c r="D11" s="21"/>
      <c r="E11" s="21"/>
      <c r="F11" s="21"/>
    </row>
    <row r="12" customFormat="false" ht="18" hidden="false" customHeight="true" outlineLevel="0" collapsed="false">
      <c r="B12" s="20" t="s">
        <v>52</v>
      </c>
      <c r="C12" s="21" t="s">
        <v>53</v>
      </c>
    </row>
    <row r="13" customFormat="false" ht="18" hidden="false" customHeight="true" outlineLevel="0" collapsed="false">
      <c r="B13" s="20" t="s">
        <v>54</v>
      </c>
      <c r="C13" s="23" t="n">
        <f aca="true">TODAY()</f>
        <v>46246</v>
      </c>
    </row>
    <row r="14" customFormat="false" ht="18" hidden="false" customHeight="true" outlineLevel="0" collapsed="false">
      <c r="B14" s="20" t="s">
        <v>55</v>
      </c>
      <c r="C14" s="21" t="s">
        <v>56</v>
      </c>
      <c r="D14" s="21"/>
      <c r="E14" s="21"/>
      <c r="F14" s="21"/>
      <c r="G14" s="15" t="s">
        <v>57</v>
      </c>
      <c r="H14" s="15"/>
      <c r="I14" s="15"/>
    </row>
    <row r="15" customFormat="false" ht="13.5" hidden="false" customHeight="true" outlineLevel="0" collapsed="false">
      <c r="B15" s="15" t="s">
        <v>58</v>
      </c>
      <c r="C15" s="15"/>
      <c r="D15" s="15"/>
      <c r="E15" s="15"/>
      <c r="F15" s="15"/>
      <c r="G15" s="15"/>
      <c r="H15" s="15"/>
      <c r="I15" s="15"/>
    </row>
    <row r="17" customFormat="false" ht="21.75" hidden="false" customHeight="true" outlineLevel="0" collapsed="false">
      <c r="B17" s="6" t="s">
        <v>59</v>
      </c>
      <c r="C17" s="6"/>
      <c r="D17" s="6"/>
      <c r="E17" s="6"/>
      <c r="F17" s="6"/>
      <c r="G17" s="6"/>
      <c r="H17" s="6"/>
      <c r="I17" s="6"/>
    </row>
    <row r="18" customFormat="false" ht="18" hidden="false" customHeight="true" outlineLevel="0" collapsed="false">
      <c r="B18" s="20" t="s">
        <v>60</v>
      </c>
      <c r="C18" s="24" t="n">
        <v>2027</v>
      </c>
      <c r="D18" s="25" t="s">
        <v>61</v>
      </c>
    </row>
    <row r="19" customFormat="false" ht="18" hidden="false" customHeight="true" outlineLevel="0" collapsed="false">
      <c r="B19" s="20" t="s">
        <v>62</v>
      </c>
      <c r="C19" s="26" t="s">
        <v>63</v>
      </c>
      <c r="D19" s="25" t="s">
        <v>64</v>
      </c>
    </row>
    <row r="20" customFormat="false" ht="18" hidden="false" customHeight="true" outlineLevel="0" collapsed="false">
      <c r="B20" s="20" t="s">
        <v>65</v>
      </c>
      <c r="C20" s="27" t="n">
        <v>0.035</v>
      </c>
      <c r="D20" s="25" t="s">
        <v>66</v>
      </c>
    </row>
    <row r="21" customFormat="false" ht="18" hidden="false" customHeight="true" outlineLevel="0" collapsed="false">
      <c r="B21" s="20" t="s">
        <v>67</v>
      </c>
      <c r="C21" s="27" t="n">
        <v>0.05</v>
      </c>
      <c r="D21" s="25" t="s">
        <v>68</v>
      </c>
    </row>
    <row r="23" customFormat="false" ht="19.5" hidden="false" customHeight="true" outlineLevel="0" collapsed="false">
      <c r="B23" s="28" t="s">
        <v>69</v>
      </c>
      <c r="C23" s="29" t="str">
        <f aca="false">Setup!$C$19&amp;TEXT(Setup!$C$18+0,"0")</f>
        <v>FY2027</v>
      </c>
      <c r="D23" s="29" t="str">
        <f aca="false">Setup!$C$19&amp;TEXT(Setup!$C$18+1,"0")</f>
        <v>FY2028</v>
      </c>
      <c r="E23" s="29" t="str">
        <f aca="false">Setup!$C$19&amp;TEXT(Setup!$C$18+2,"0")</f>
        <v>FY2029</v>
      </c>
      <c r="F23" s="29" t="str">
        <f aca="false">Setup!$C$19&amp;TEXT(Setup!$C$18+3,"0")</f>
        <v>FY2030</v>
      </c>
      <c r="G23" s="29" t="str">
        <f aca="false">Setup!$C$19&amp;TEXT(Setup!$C$18+4,"0")</f>
        <v>FY2031</v>
      </c>
      <c r="H23" s="29" t="str">
        <f aca="false">"Beyond "&amp;Setup!$C$19&amp;TEXT(Setup!$C$18+4,"0")</f>
        <v>Beyond FY2031</v>
      </c>
      <c r="I23" s="29" t="s">
        <v>70</v>
      </c>
    </row>
    <row r="24" customFormat="false" ht="18" hidden="false" customHeight="true" outlineLevel="0" collapsed="false">
      <c r="B24" s="20" t="s">
        <v>71</v>
      </c>
      <c r="C24" s="30" t="n">
        <f aca="false">(1+Setup!$C$20)^0</f>
        <v>1</v>
      </c>
      <c r="D24" s="30" t="n">
        <f aca="false">(1+Setup!$C$20)^1</f>
        <v>1.035</v>
      </c>
      <c r="E24" s="30" t="n">
        <f aca="false">(1+Setup!$C$20)^2</f>
        <v>1.071225</v>
      </c>
      <c r="F24" s="30" t="n">
        <f aca="false">(1+Setup!$C$20)^3</f>
        <v>1.108717875</v>
      </c>
      <c r="G24" s="30" t="n">
        <f aca="false">(1+Setup!$C$20)^4</f>
        <v>1.147523000625</v>
      </c>
      <c r="H24" s="30" t="n">
        <f aca="false">(1+Setup!$C$20)^5</f>
        <v>1.18768630564687</v>
      </c>
    </row>
    <row r="25" customFormat="false" ht="18" hidden="false" customHeight="true" outlineLevel="0" collapsed="false">
      <c r="B25" s="20" t="s">
        <v>72</v>
      </c>
      <c r="C25" s="30" t="n">
        <f aca="false">1/(1+Setup!$C$21)^0</f>
        <v>1</v>
      </c>
      <c r="D25" s="30" t="n">
        <f aca="false">1/(1+Setup!$C$21)^1</f>
        <v>0.952380952380952</v>
      </c>
      <c r="E25" s="30" t="n">
        <f aca="false">1/(1+Setup!$C$21)^2</f>
        <v>0.90702947845805</v>
      </c>
      <c r="F25" s="30" t="n">
        <f aca="false">1/(1+Setup!$C$21)^3</f>
        <v>0.863837598531476</v>
      </c>
      <c r="G25" s="30" t="n">
        <f aca="false">1/(1+Setup!$C$21)^4</f>
        <v>0.822702474791882</v>
      </c>
      <c r="H25" s="30" t="n">
        <f aca="false">1/(1+Setup!$C$21)^5</f>
        <v>0.783526166468459</v>
      </c>
    </row>
    <row r="26" customFormat="false" ht="13.5" hidden="false" customHeight="true" outlineLevel="0" collapsed="false">
      <c r="B26" s="15" t="s">
        <v>73</v>
      </c>
      <c r="C26" s="15"/>
      <c r="D26" s="15"/>
      <c r="E26" s="15"/>
      <c r="F26" s="15"/>
      <c r="G26" s="15"/>
      <c r="H26" s="15"/>
      <c r="I26" s="15"/>
    </row>
    <row r="27" customFormat="false" ht="13.5" hidden="false" customHeight="true" outlineLevel="0" collapsed="false">
      <c r="B27" s="15"/>
      <c r="C27" s="15"/>
      <c r="D27" s="15"/>
      <c r="E27" s="15"/>
      <c r="F27" s="15"/>
      <c r="G27" s="15"/>
      <c r="H27" s="15"/>
      <c r="I27" s="15"/>
    </row>
    <row r="29" customFormat="false" ht="21.75" hidden="false" customHeight="true" outlineLevel="0" collapsed="false">
      <c r="B29" s="6" t="s">
        <v>74</v>
      </c>
      <c r="C29" s="6"/>
      <c r="D29" s="6"/>
      <c r="E29" s="6"/>
      <c r="F29" s="6"/>
      <c r="G29" s="6"/>
      <c r="H29" s="6"/>
      <c r="I29" s="6"/>
    </row>
    <row r="30" customFormat="false" ht="18" hidden="false" customHeight="true" outlineLevel="0" collapsed="false">
      <c r="B30" s="20" t="s">
        <v>75</v>
      </c>
      <c r="C30" s="31" t="n">
        <v>30000000</v>
      </c>
      <c r="D30" s="31" t="n">
        <v>46000000</v>
      </c>
      <c r="E30" s="31" t="n">
        <v>50000000</v>
      </c>
      <c r="F30" s="31" t="n">
        <v>48000000</v>
      </c>
      <c r="G30" s="31" t="n">
        <v>40000000</v>
      </c>
      <c r="H30" s="31" t="n">
        <v>45000000</v>
      </c>
      <c r="I30" s="32" t="n">
        <f aca="false">SUM(C30:H30)</f>
        <v>259000000</v>
      </c>
    </row>
    <row r="31" customFormat="false" ht="18" hidden="false" customHeight="true" outlineLevel="0" collapsed="false">
      <c r="B31" s="20" t="s">
        <v>76</v>
      </c>
      <c r="C31" s="10"/>
      <c r="D31" s="10"/>
      <c r="E31" s="10"/>
      <c r="F31" s="10"/>
      <c r="G31" s="10"/>
      <c r="H31" s="10"/>
      <c r="I31" s="32" t="n">
        <f aca="false">SUM(C30:G30)</f>
        <v>214000000</v>
      </c>
    </row>
    <row r="32" customFormat="false" ht="25.5" hidden="false" customHeight="true" outlineLevel="0" collapsed="false">
      <c r="B32" s="15" t="s">
        <v>77</v>
      </c>
      <c r="C32" s="15"/>
      <c r="D32" s="15"/>
      <c r="E32" s="15"/>
      <c r="F32" s="15"/>
      <c r="G32" s="15"/>
      <c r="H32" s="15"/>
      <c r="I32" s="15"/>
    </row>
    <row r="34" customFormat="false" ht="21.75" hidden="false" customHeight="true" outlineLevel="0" collapsed="false">
      <c r="B34" s="6" t="s">
        <v>78</v>
      </c>
      <c r="C34" s="6"/>
      <c r="D34" s="6"/>
      <c r="E34" s="6"/>
      <c r="F34" s="6"/>
      <c r="G34" s="6"/>
      <c r="H34" s="6"/>
      <c r="I34" s="6"/>
    </row>
    <row r="35" customFormat="false" ht="21" hidden="false" customHeight="true" outlineLevel="0" collapsed="false">
      <c r="B35" s="9" t="s">
        <v>79</v>
      </c>
      <c r="C35" s="9" t="s">
        <v>80</v>
      </c>
      <c r="D35" s="9" t="s">
        <v>81</v>
      </c>
      <c r="E35" s="33"/>
      <c r="F35" s="33"/>
      <c r="G35" s="33"/>
      <c r="H35" s="33"/>
      <c r="I35" s="33"/>
    </row>
    <row r="36" customFormat="false" ht="16.5" hidden="false" customHeight="true" outlineLevel="0" collapsed="false">
      <c r="B36" s="20" t="s">
        <v>82</v>
      </c>
      <c r="C36" s="27" t="n">
        <v>0.15</v>
      </c>
      <c r="D36" s="25" t="s">
        <v>83</v>
      </c>
    </row>
    <row r="37" customFormat="false" ht="16.5" hidden="false" customHeight="true" outlineLevel="0" collapsed="false">
      <c r="B37" s="20" t="s">
        <v>84</v>
      </c>
      <c r="C37" s="27" t="n">
        <v>0.2</v>
      </c>
      <c r="D37" s="25" t="s">
        <v>85</v>
      </c>
    </row>
    <row r="38" customFormat="false" ht="16.5" hidden="false" customHeight="true" outlineLevel="0" collapsed="false">
      <c r="B38" s="20" t="s">
        <v>86</v>
      </c>
      <c r="C38" s="27" t="n">
        <v>0.12</v>
      </c>
      <c r="D38" s="25" t="s">
        <v>87</v>
      </c>
    </row>
    <row r="39" customFormat="false" ht="16.5" hidden="false" customHeight="true" outlineLevel="0" collapsed="false">
      <c r="B39" s="20" t="s">
        <v>88</v>
      </c>
      <c r="C39" s="27" t="n">
        <v>0.12</v>
      </c>
      <c r="D39" s="25" t="s">
        <v>89</v>
      </c>
    </row>
    <row r="40" customFormat="false" ht="16.5" hidden="false" customHeight="true" outlineLevel="0" collapsed="false">
      <c r="B40" s="20" t="s">
        <v>90</v>
      </c>
      <c r="C40" s="27" t="n">
        <v>0.12</v>
      </c>
      <c r="D40" s="25" t="s">
        <v>91</v>
      </c>
    </row>
    <row r="41" customFormat="false" ht="16.5" hidden="false" customHeight="true" outlineLevel="0" collapsed="false">
      <c r="B41" s="20" t="s">
        <v>92</v>
      </c>
      <c r="C41" s="27" t="n">
        <v>0.1</v>
      </c>
      <c r="D41" s="25" t="s">
        <v>93</v>
      </c>
    </row>
    <row r="42" customFormat="false" ht="16.5" hidden="false" customHeight="true" outlineLevel="0" collapsed="false">
      <c r="B42" s="20" t="s">
        <v>94</v>
      </c>
      <c r="C42" s="27" t="n">
        <v>0.09</v>
      </c>
      <c r="D42" s="25" t="s">
        <v>95</v>
      </c>
    </row>
    <row r="43" customFormat="false" ht="16.5" hidden="false" customHeight="true" outlineLevel="0" collapsed="false">
      <c r="B43" s="20" t="s">
        <v>96</v>
      </c>
      <c r="C43" s="27" t="n">
        <v>0.1</v>
      </c>
      <c r="D43" s="25" t="s">
        <v>97</v>
      </c>
    </row>
    <row r="44" customFormat="false" ht="15" hidden="false" customHeight="false" outlineLevel="0" collapsed="false">
      <c r="B44" s="34" t="s">
        <v>98</v>
      </c>
      <c r="C44" s="35" t="n">
        <f aca="false">SUM(C36:C43)</f>
        <v>1</v>
      </c>
      <c r="D44" s="36"/>
      <c r="E44" s="36"/>
      <c r="F44" s="36"/>
      <c r="G44" s="36"/>
      <c r="H44" s="36"/>
      <c r="I44" s="36"/>
    </row>
    <row r="45" customFormat="false" ht="18" hidden="false" customHeight="true" outlineLevel="0" collapsed="false">
      <c r="B45" s="37" t="s">
        <v>99</v>
      </c>
      <c r="D45" s="38" t="str">
        <f aca="false">IF(ROUND($C$44,6)=1,"RECONCILED - the eight criteria total 100%","EXCEPTION - the criteria total "&amp;TEXT($C$44,"0.0%")&amp;". Adjust them until they total 100%.")</f>
        <v>RECONCILED - the eight criteria total 100%</v>
      </c>
      <c r="E45" s="38"/>
      <c r="F45" s="38"/>
      <c r="G45" s="38"/>
      <c r="H45" s="38"/>
      <c r="I45" s="38"/>
    </row>
    <row r="46" customFormat="false" ht="13.5" hidden="false" customHeight="true" outlineLevel="0" collapsed="false">
      <c r="B46" s="15" t="s">
        <v>100</v>
      </c>
      <c r="C46" s="15"/>
      <c r="D46" s="15"/>
      <c r="E46" s="15"/>
      <c r="F46" s="15"/>
      <c r="G46" s="15"/>
      <c r="H46" s="15"/>
      <c r="I46" s="15"/>
    </row>
    <row r="48" customFormat="false" ht="21.75" hidden="false" customHeight="true" outlineLevel="0" collapsed="false">
      <c r="B48" s="6" t="s">
        <v>101</v>
      </c>
      <c r="C48" s="6"/>
      <c r="D48" s="6"/>
      <c r="E48" s="6"/>
      <c r="F48" s="6"/>
      <c r="G48" s="6"/>
      <c r="H48" s="6"/>
      <c r="I48" s="6"/>
    </row>
    <row r="49" customFormat="false" ht="21" hidden="false" customHeight="true" outlineLevel="0" collapsed="false">
      <c r="B49" s="9" t="s">
        <v>102</v>
      </c>
      <c r="C49" s="9" t="s">
        <v>103</v>
      </c>
      <c r="D49" s="9" t="s">
        <v>104</v>
      </c>
      <c r="E49" s="33"/>
      <c r="F49" s="33"/>
      <c r="G49" s="33"/>
      <c r="H49" s="33"/>
      <c r="I49" s="33"/>
    </row>
    <row r="50" customFormat="false" ht="16.5" hidden="false" customHeight="true" outlineLevel="0" collapsed="false">
      <c r="B50" s="39" t="s">
        <v>105</v>
      </c>
      <c r="C50" s="40" t="n">
        <v>4.2</v>
      </c>
      <c r="D50" s="25" t="s">
        <v>106</v>
      </c>
    </row>
    <row r="51" customFormat="false" ht="16.5" hidden="false" customHeight="true" outlineLevel="0" collapsed="false">
      <c r="B51" s="41" t="s">
        <v>107</v>
      </c>
      <c r="C51" s="40" t="n">
        <v>3.5</v>
      </c>
      <c r="D51" s="25" t="s">
        <v>108</v>
      </c>
    </row>
    <row r="52" customFormat="false" ht="16.5" hidden="false" customHeight="true" outlineLevel="0" collapsed="false">
      <c r="B52" s="42" t="s">
        <v>109</v>
      </c>
      <c r="C52" s="40" t="n">
        <v>2.5</v>
      </c>
      <c r="D52" s="25" t="s">
        <v>110</v>
      </c>
    </row>
    <row r="53" customFormat="false" ht="16.5" hidden="false" customHeight="true" outlineLevel="0" collapsed="false">
      <c r="B53" s="43" t="s">
        <v>111</v>
      </c>
      <c r="C53" s="44" t="str">
        <f aca="false">"below "&amp;TEXT($C$52,"0.00")</f>
        <v>below 2.50</v>
      </c>
      <c r="D53" s="25" t="s">
        <v>112</v>
      </c>
    </row>
    <row r="54" customFormat="false" ht="13.5" hidden="false" customHeight="true" outlineLevel="0" collapsed="false">
      <c r="B54" s="15" t="s">
        <v>113</v>
      </c>
      <c r="C54" s="15"/>
      <c r="D54" s="15"/>
      <c r="E54" s="15"/>
      <c r="F54" s="15"/>
      <c r="G54" s="15"/>
      <c r="H54" s="15"/>
      <c r="I54" s="15"/>
    </row>
    <row r="56" customFormat="false" ht="15" hidden="false" customHeight="false" outlineLevel="0" collapsed="false">
      <c r="B56" s="16" t="s">
        <v>40</v>
      </c>
      <c r="C56" s="16"/>
      <c r="D56" s="16"/>
      <c r="E56" s="16"/>
      <c r="F56" s="16"/>
      <c r="G56" s="16"/>
      <c r="H56" s="16"/>
      <c r="I56" s="16"/>
    </row>
  </sheetData>
  <mergeCells count="23">
    <mergeCell ref="B1:I1"/>
    <mergeCell ref="B2:I2"/>
    <mergeCell ref="B3:I3"/>
    <mergeCell ref="B4:I4"/>
    <mergeCell ref="B6:I6"/>
    <mergeCell ref="C7:F7"/>
    <mergeCell ref="C8:F8"/>
    <mergeCell ref="C9:F9"/>
    <mergeCell ref="C10:F10"/>
    <mergeCell ref="C11:F11"/>
    <mergeCell ref="C14:F14"/>
    <mergeCell ref="G14:I14"/>
    <mergeCell ref="B15:I15"/>
    <mergeCell ref="B17:I17"/>
    <mergeCell ref="B26:I27"/>
    <mergeCell ref="B29:I29"/>
    <mergeCell ref="B32:I32"/>
    <mergeCell ref="B34:I34"/>
    <mergeCell ref="D45:I45"/>
    <mergeCell ref="B46:I46"/>
    <mergeCell ref="B48:I48"/>
    <mergeCell ref="B54:I54"/>
    <mergeCell ref="B56:I56"/>
  </mergeCells>
  <conditionalFormatting sqref="B3:I3">
    <cfRule type="expression" priority="2" aboveAverage="0" equalAverage="0" bottom="0" percent="0" rank="0" text="" dxfId="0">
      <formula>LEN($B$3)&gt;0</formula>
    </cfRule>
  </conditionalFormatting>
  <conditionalFormatting sqref="D45:I45">
    <cfRule type="expression" priority="3" aboveAverage="0" equalAverage="0" bottom="0" percent="0" rank="0" text="" dxfId="1">
      <formula>ISNUMBER(SEARCH("EXCEPTION",$D$45))</formula>
    </cfRule>
    <cfRule type="expression" priority="4" aboveAverage="0" equalAverage="0" bottom="0" percent="0" rank="0" text="" dxfId="2">
      <formula>ISNUMBER(SEARCH("RECONCILED",$D$45))</formula>
    </cfRule>
  </conditionalFormatting>
  <dataValidations count="1">
    <dataValidation allowBlank="true" error="Pick a value from the list on the Reference sheet." errorStyle="warning" errorTitle="Not on the list" operator="between" showDropDown="false" showErrorMessage="false" showInputMessage="false" sqref="C12" type="list">
      <formula1>Reference!$I$8:$I$11</formula1>
      <formula2>0</formula2>
    </dataValidation>
  </dataValidations>
  <hyperlinks>
    <hyperlink ref="B56" r:id="rId1" display="Built with Mastt  |  mastt.com"/>
  </hyperlink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33" man="true" max="16383" min="0"/>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B1:AL48"/>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4" ySplit="8" topLeftCell="E9" activePane="bottomRight" state="frozen"/>
      <selection pane="topLeft" activeCell="A1" activeCellId="0" sqref="A1"/>
      <selection pane="topRight" activeCell="E1" activeCellId="0" sqref="E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4.5"/>
    <col collapsed="false" customWidth="true" hidden="false" outlineLevel="0" max="3" min="3" style="0" width="10"/>
    <col collapsed="false" customWidth="true" hidden="false" outlineLevel="0" max="4" min="4" style="0" width="34"/>
    <col collapsed="false" customWidth="true" hidden="false" outlineLevel="0" max="5" min="5" style="0" width="52"/>
    <col collapsed="false" customWidth="true" hidden="false" outlineLevel="0" max="6" min="6" style="0" width="24"/>
    <col collapsed="false" customWidth="true" hidden="false" outlineLevel="0" max="7" min="7" style="0" width="23"/>
    <col collapsed="false" customWidth="true" hidden="false" outlineLevel="0" max="8" min="8" style="0" width="27"/>
    <col collapsed="false" customWidth="true" hidden="false" outlineLevel="0" max="9" min="9" style="0" width="24"/>
    <col collapsed="false" customWidth="true" hidden="false" outlineLevel="0" max="10" min="10" style="0" width="13"/>
    <col collapsed="false" customWidth="true" hidden="false" outlineLevel="0" max="14" min="11" style="0" width="15"/>
    <col collapsed="false" customWidth="true" hidden="false" outlineLevel="0" max="20" min="15" style="0" width="14"/>
    <col collapsed="false" customWidth="true" hidden="false" outlineLevel="0" max="21" min="21" style="0" width="15.51"/>
    <col collapsed="false" customWidth="true" hidden="false" outlineLevel="0" max="22" min="22" style="0" width="13"/>
    <col collapsed="false" customWidth="true" hidden="false" outlineLevel="0" max="23" min="23" style="0" width="8"/>
    <col collapsed="false" customWidth="true" hidden="false" outlineLevel="0" max="29" min="24" style="0" width="14"/>
    <col collapsed="false" customWidth="true" hidden="false" outlineLevel="0" max="31" min="30" style="0" width="15"/>
    <col collapsed="false" customWidth="true" hidden="false" outlineLevel="0" max="32" min="32" style="0" width="25"/>
    <col collapsed="false" customWidth="true" hidden="false" outlineLevel="0" max="33" min="33" style="0" width="8"/>
    <col collapsed="false" customWidth="true" hidden="false" outlineLevel="0" max="34" min="34" style="0" width="25"/>
    <col collapsed="false" customWidth="true" hidden="false" outlineLevel="0" max="35" min="35" style="0" width="8"/>
    <col collapsed="false" customWidth="true" hidden="false" outlineLevel="0" max="36" min="36" style="0" width="11"/>
    <col collapsed="false" customWidth="true" hidden="false" outlineLevel="0" max="38" min="37" style="0" width="15"/>
    <col collapsed="false" customWidth="true" hidden="false" outlineLevel="0" max="39" min="39" style="0" width="2.5"/>
  </cols>
  <sheetData>
    <row r="1" customFormat="false" ht="33.75" hidden="false" customHeight="true" outlineLevel="0" collapsed="false">
      <c r="B1" s="17" t="s">
        <v>114</v>
      </c>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row>
    <row r="2" customFormat="false" ht="4.5" hidden="false" customHeight="true" outlineLevel="0" collapsed="false">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3" customFormat="false" ht="18" hidden="false" customHeight="true" outlineLevel="0" collapsed="false">
      <c r="B3" s="18" t="str">
        <f aca="false">IF(COUNTIF('Project Register'!$B$9:$B$38,"EX")=0,"","EXAMPLE DATA - the 15 rows marked EX on the Project Register are worked examples. Delete or overwrite them, and this banner clears.")</f>
        <v>EXAMPLE DATA - the 15 rows marked EX on the Project Register are worked examples. Delete or overwrite them, and this banner clears.</v>
      </c>
      <c r="C3" s="18"/>
      <c r="D3" s="18"/>
      <c r="E3" s="18"/>
      <c r="F3" s="18"/>
      <c r="G3" s="18"/>
      <c r="H3" s="18"/>
      <c r="I3" s="18"/>
      <c r="J3" s="18"/>
      <c r="K3" s="18"/>
      <c r="L3" s="18"/>
      <c r="M3" s="18"/>
      <c r="N3" s="18"/>
      <c r="O3" s="18"/>
      <c r="P3" s="18"/>
      <c r="Q3" s="18"/>
      <c r="R3" s="18"/>
      <c r="S3" s="18"/>
      <c r="T3" s="18"/>
      <c r="U3" s="18"/>
      <c r="V3" s="18"/>
      <c r="W3" s="18"/>
    </row>
    <row r="4" customFormat="false" ht="30" hidden="false" customHeight="true" outlineLevel="0" collapsed="false">
      <c r="B4" s="19" t="s">
        <v>115</v>
      </c>
      <c r="C4" s="19"/>
      <c r="D4" s="19"/>
      <c r="E4" s="19"/>
      <c r="F4" s="19"/>
      <c r="G4" s="19"/>
      <c r="H4" s="19"/>
      <c r="I4" s="19"/>
      <c r="J4" s="19"/>
      <c r="K4" s="19"/>
      <c r="L4" s="19"/>
      <c r="M4" s="19"/>
      <c r="N4" s="19"/>
      <c r="O4" s="19"/>
      <c r="P4" s="19"/>
      <c r="Q4" s="19"/>
      <c r="R4" s="19"/>
      <c r="S4" s="19"/>
      <c r="T4" s="19"/>
      <c r="U4" s="19"/>
      <c r="V4" s="19"/>
      <c r="W4" s="19"/>
    </row>
    <row r="6" customFormat="false" ht="21.75" hidden="false" customHeight="true" outlineLevel="0" collapsed="false">
      <c r="B6" s="45" t="s">
        <v>116</v>
      </c>
      <c r="C6" s="45"/>
      <c r="D6" s="45"/>
      <c r="E6" s="45"/>
      <c r="F6" s="45"/>
      <c r="G6" s="45"/>
      <c r="H6" s="45"/>
      <c r="I6" s="45"/>
      <c r="J6" s="45"/>
      <c r="K6" s="45"/>
      <c r="L6" s="45" t="s">
        <v>117</v>
      </c>
      <c r="M6" s="45"/>
      <c r="N6" s="45"/>
      <c r="O6" s="45" t="s">
        <v>118</v>
      </c>
      <c r="P6" s="45"/>
      <c r="Q6" s="45"/>
      <c r="R6" s="45"/>
      <c r="S6" s="45"/>
      <c r="T6" s="45"/>
      <c r="U6" s="45"/>
      <c r="V6" s="45"/>
      <c r="W6" s="45"/>
      <c r="X6" s="46" t="s">
        <v>119</v>
      </c>
      <c r="Y6" s="46"/>
      <c r="Z6" s="46"/>
      <c r="AA6" s="46"/>
      <c r="AB6" s="46"/>
      <c r="AC6" s="46"/>
      <c r="AD6" s="46"/>
      <c r="AE6" s="46"/>
      <c r="AF6" s="46" t="s">
        <v>120</v>
      </c>
      <c r="AG6" s="46"/>
      <c r="AH6" s="46"/>
      <c r="AI6" s="46"/>
      <c r="AJ6" s="46"/>
      <c r="AK6" s="46"/>
      <c r="AL6" s="46"/>
    </row>
    <row r="7" customFormat="false" ht="15.75" hidden="false" customHeight="true" outlineLevel="0" collapsed="false">
      <c r="B7" s="47" t="s">
        <v>121</v>
      </c>
      <c r="C7" s="47"/>
      <c r="D7" s="47"/>
      <c r="E7" s="47"/>
      <c r="F7" s="47"/>
      <c r="G7" s="47"/>
      <c r="H7" s="47"/>
      <c r="I7" s="47"/>
      <c r="J7" s="47"/>
      <c r="K7" s="47"/>
      <c r="L7" s="47" t="s">
        <v>122</v>
      </c>
      <c r="M7" s="47"/>
      <c r="N7" s="47"/>
      <c r="O7" s="47" t="s">
        <v>123</v>
      </c>
      <c r="P7" s="47"/>
      <c r="Q7" s="47"/>
      <c r="R7" s="47"/>
      <c r="S7" s="47"/>
      <c r="T7" s="47"/>
      <c r="U7" s="47"/>
      <c r="V7" s="47"/>
      <c r="W7" s="47"/>
      <c r="X7" s="47" t="s">
        <v>124</v>
      </c>
      <c r="Y7" s="47"/>
      <c r="Z7" s="47"/>
      <c r="AA7" s="47"/>
      <c r="AB7" s="47"/>
      <c r="AC7" s="47"/>
      <c r="AD7" s="47"/>
      <c r="AE7" s="47"/>
      <c r="AF7" s="47" t="s">
        <v>125</v>
      </c>
      <c r="AG7" s="47"/>
      <c r="AH7" s="47"/>
      <c r="AI7" s="47"/>
      <c r="AJ7" s="47"/>
      <c r="AK7" s="47"/>
      <c r="AL7" s="47"/>
    </row>
    <row r="8" customFormat="false" ht="42" hidden="false" customHeight="true" outlineLevel="0" collapsed="false">
      <c r="B8" s="9" t="s">
        <v>126</v>
      </c>
      <c r="C8" s="9" t="s">
        <v>127</v>
      </c>
      <c r="D8" s="9" t="s">
        <v>128</v>
      </c>
      <c r="E8" s="9" t="s">
        <v>129</v>
      </c>
      <c r="F8" s="9" t="s">
        <v>130</v>
      </c>
      <c r="G8" s="9" t="s">
        <v>131</v>
      </c>
      <c r="H8" s="9" t="s">
        <v>132</v>
      </c>
      <c r="I8" s="9" t="s">
        <v>133</v>
      </c>
      <c r="J8" s="9" t="s">
        <v>134</v>
      </c>
      <c r="K8" s="9" t="s">
        <v>135</v>
      </c>
      <c r="L8" s="9" t="s">
        <v>136</v>
      </c>
      <c r="M8" s="9" t="s">
        <v>137</v>
      </c>
      <c r="N8" s="9" t="s">
        <v>138</v>
      </c>
      <c r="O8" s="9" t="str">
        <f aca="false">Setup!$C$23</f>
        <v>FY2027</v>
      </c>
      <c r="P8" s="9" t="str">
        <f aca="false">Setup!$D$23</f>
        <v>FY2028</v>
      </c>
      <c r="Q8" s="9" t="str">
        <f aca="false">Setup!$E$23</f>
        <v>FY2029</v>
      </c>
      <c r="R8" s="9" t="str">
        <f aca="false">Setup!$F$23</f>
        <v>FY2030</v>
      </c>
      <c r="S8" s="9" t="str">
        <f aca="false">Setup!$G$23</f>
        <v>FY2031</v>
      </c>
      <c r="T8" s="9" t="str">
        <f aca="false">Setup!$H$23</f>
        <v>Beyond FY2031</v>
      </c>
      <c r="U8" s="9" t="s">
        <v>139</v>
      </c>
      <c r="V8" s="9" t="s">
        <v>140</v>
      </c>
      <c r="W8" s="9" t="s">
        <v>141</v>
      </c>
      <c r="X8" s="9" t="str">
        <f aca="false">Setup!$C$23&amp;" esc"</f>
        <v>FY2027 esc</v>
      </c>
      <c r="Y8" s="9" t="str">
        <f aca="false">Setup!$D$23&amp;" esc"</f>
        <v>FY2028 esc</v>
      </c>
      <c r="Z8" s="9" t="str">
        <f aca="false">Setup!$E$23&amp;" esc"</f>
        <v>FY2029 esc</v>
      </c>
      <c r="AA8" s="9" t="str">
        <f aca="false">Setup!$F$23&amp;" esc"</f>
        <v>FY2030 esc</v>
      </c>
      <c r="AB8" s="9" t="str">
        <f aca="false">Setup!$G$23&amp;" esc"</f>
        <v>FY2031 esc</v>
      </c>
      <c r="AC8" s="9" t="str">
        <f aca="false">Setup!$H$23&amp;" esc"</f>
        <v>Beyond FY2031 esc</v>
      </c>
      <c r="AD8" s="9" t="s">
        <v>142</v>
      </c>
      <c r="AE8" s="9" t="s">
        <v>143</v>
      </c>
      <c r="AF8" s="9" t="s">
        <v>144</v>
      </c>
      <c r="AG8" s="9" t="s">
        <v>145</v>
      </c>
      <c r="AH8" s="9" t="s">
        <v>146</v>
      </c>
      <c r="AI8" s="9" t="s">
        <v>145</v>
      </c>
      <c r="AJ8" s="9" t="s">
        <v>147</v>
      </c>
      <c r="AK8" s="9" t="s">
        <v>148</v>
      </c>
      <c r="AL8" s="9" t="s">
        <v>149</v>
      </c>
    </row>
    <row r="9" customFormat="false" ht="25.5" hidden="false" customHeight="true" outlineLevel="0" collapsed="false">
      <c r="B9" s="42" t="s">
        <v>126</v>
      </c>
      <c r="C9" s="44" t="str">
        <f aca="false">IF($D9="","","CIP-"&amp;TEXT(ROW()-8,"000"))</f>
        <v>CIP-001</v>
      </c>
      <c r="D9" s="48" t="s">
        <v>150</v>
      </c>
      <c r="E9" s="48" t="s">
        <v>151</v>
      </c>
      <c r="F9" s="48" t="s">
        <v>152</v>
      </c>
      <c r="G9" s="48" t="s">
        <v>153</v>
      </c>
      <c r="H9" s="48" t="s">
        <v>154</v>
      </c>
      <c r="I9" s="48" t="s">
        <v>155</v>
      </c>
      <c r="J9" s="48" t="s">
        <v>156</v>
      </c>
      <c r="K9" s="48" t="s">
        <v>157</v>
      </c>
      <c r="L9" s="49" t="n">
        <v>12400000</v>
      </c>
      <c r="M9" s="49" t="n">
        <v>400000</v>
      </c>
      <c r="N9" s="50" t="n">
        <f aca="false">IF($D9="","",$L9-$M9)</f>
        <v>12000000</v>
      </c>
      <c r="O9" s="49" t="n">
        <v>2000000</v>
      </c>
      <c r="P9" s="49" t="n">
        <v>6000000</v>
      </c>
      <c r="Q9" s="49" t="n">
        <v>4000000</v>
      </c>
      <c r="R9" s="49" t="n">
        <v>0</v>
      </c>
      <c r="S9" s="49" t="n">
        <v>0</v>
      </c>
      <c r="T9" s="49" t="n">
        <v>0</v>
      </c>
      <c r="U9" s="50" t="n">
        <f aca="false">IF($D9="","",SUM($O9:$T9))</f>
        <v>12000000</v>
      </c>
      <c r="V9" s="50" t="n">
        <f aca="false">IF($D9="","",$N9-$U9)</f>
        <v>0</v>
      </c>
      <c r="W9" s="51" t="str">
        <f aca="false">IF($D9="","",IF(ABS($N9-$U9)&lt;1,"OK","CHECK"))</f>
        <v>OK</v>
      </c>
      <c r="X9" s="50" t="n">
        <f aca="false">IF($D9="","",$O9*Setup!$C$24)</f>
        <v>2000000</v>
      </c>
      <c r="Y9" s="50" t="n">
        <f aca="false">IF($D9="","",$P9*Setup!$D$24)</f>
        <v>6210000</v>
      </c>
      <c r="Z9" s="50" t="n">
        <f aca="false">IF($D9="","",$Q9*Setup!$E$24)</f>
        <v>4284900</v>
      </c>
      <c r="AA9" s="50" t="n">
        <f aca="false">IF($D9="","",$R9*Setup!$F$24)</f>
        <v>0</v>
      </c>
      <c r="AB9" s="50" t="n">
        <f aca="false">IF($D9="","",$S9*Setup!$G$24)</f>
        <v>0</v>
      </c>
      <c r="AC9" s="50" t="n">
        <f aca="false">IF($D9="","",$T9*Setup!$H$24)</f>
        <v>0</v>
      </c>
      <c r="AD9" s="50" t="n">
        <f aca="false">IF($D9="","",SUM($X9:$AB9))</f>
        <v>12494900</v>
      </c>
      <c r="AE9" s="50" t="n">
        <f aca="false">IF($D9="","",$AD9+$AC9)</f>
        <v>12494900</v>
      </c>
      <c r="AF9" s="48" t="s">
        <v>158</v>
      </c>
      <c r="AG9" s="27" t="n">
        <v>0.6</v>
      </c>
      <c r="AH9" s="48" t="s">
        <v>159</v>
      </c>
      <c r="AI9" s="27" t="n">
        <v>0.4</v>
      </c>
      <c r="AJ9" s="52" t="n">
        <f aca="false">IF($D9="","",1-$AG9-$AI9)</f>
        <v>0</v>
      </c>
      <c r="AK9" s="50" t="n">
        <f aca="false">IF($D9="","",$AD9*($AG9+$AI9))</f>
        <v>12494900</v>
      </c>
      <c r="AL9" s="50" t="n">
        <f aca="false">IF($D9="","",$AD9*$AJ9)</f>
        <v>0</v>
      </c>
    </row>
    <row r="10" customFormat="false" ht="25.5" hidden="false" customHeight="true" outlineLevel="0" collapsed="false">
      <c r="B10" s="42" t="s">
        <v>126</v>
      </c>
      <c r="C10" s="44" t="str">
        <f aca="false">IF($D10="","","CIP-"&amp;TEXT(ROW()-8,"000"))</f>
        <v>CIP-002</v>
      </c>
      <c r="D10" s="48" t="s">
        <v>160</v>
      </c>
      <c r="E10" s="48" t="s">
        <v>161</v>
      </c>
      <c r="F10" s="48" t="s">
        <v>162</v>
      </c>
      <c r="G10" s="48" t="s">
        <v>163</v>
      </c>
      <c r="H10" s="48" t="s">
        <v>164</v>
      </c>
      <c r="I10" s="48" t="s">
        <v>165</v>
      </c>
      <c r="J10" s="48" t="s">
        <v>156</v>
      </c>
      <c r="K10" s="48" t="s">
        <v>166</v>
      </c>
      <c r="L10" s="49" t="n">
        <v>38000000</v>
      </c>
      <c r="M10" s="49" t="n">
        <v>1500000</v>
      </c>
      <c r="N10" s="50" t="n">
        <f aca="false">IF($D10="","",$L10-$M10)</f>
        <v>36500000</v>
      </c>
      <c r="O10" s="49" t="n">
        <v>4500000</v>
      </c>
      <c r="P10" s="49" t="n">
        <v>12000000</v>
      </c>
      <c r="Q10" s="49" t="n">
        <v>12000000</v>
      </c>
      <c r="R10" s="49" t="n">
        <v>8000000</v>
      </c>
      <c r="S10" s="49" t="n">
        <v>0</v>
      </c>
      <c r="T10" s="49" t="n">
        <v>0</v>
      </c>
      <c r="U10" s="50" t="n">
        <f aca="false">IF($D10="","",SUM($O10:$T10))</f>
        <v>36500000</v>
      </c>
      <c r="V10" s="50" t="n">
        <f aca="false">IF($D10="","",$N10-$U10)</f>
        <v>0</v>
      </c>
      <c r="W10" s="51" t="str">
        <f aca="false">IF($D10="","",IF(ABS($N10-$U10)&lt;1,"OK","CHECK"))</f>
        <v>OK</v>
      </c>
      <c r="X10" s="50" t="n">
        <f aca="false">IF($D10="","",$O10*Setup!$C$24)</f>
        <v>4500000</v>
      </c>
      <c r="Y10" s="50" t="n">
        <f aca="false">IF($D10="","",$P10*Setup!$D$24)</f>
        <v>12420000</v>
      </c>
      <c r="Z10" s="50" t="n">
        <f aca="false">IF($D10="","",$Q10*Setup!$E$24)</f>
        <v>12854700</v>
      </c>
      <c r="AA10" s="50" t="n">
        <f aca="false">IF($D10="","",$R10*Setup!$F$24)</f>
        <v>8869743</v>
      </c>
      <c r="AB10" s="50" t="n">
        <f aca="false">IF($D10="","",$S10*Setup!$G$24)</f>
        <v>0</v>
      </c>
      <c r="AC10" s="50" t="n">
        <f aca="false">IF($D10="","",$T10*Setup!$H$24)</f>
        <v>0</v>
      </c>
      <c r="AD10" s="50" t="n">
        <f aca="false">IF($D10="","",SUM($X10:$AB10))</f>
        <v>38644443</v>
      </c>
      <c r="AE10" s="50" t="n">
        <f aca="false">IF($D10="","",$AD10+$AC10)</f>
        <v>38644443</v>
      </c>
      <c r="AF10" s="48" t="s">
        <v>167</v>
      </c>
      <c r="AG10" s="27" t="n">
        <v>0.7</v>
      </c>
      <c r="AH10" s="48" t="s">
        <v>159</v>
      </c>
      <c r="AI10" s="27" t="n">
        <v>0.3</v>
      </c>
      <c r="AJ10" s="52" t="n">
        <f aca="false">IF($D10="","",1-$AG10-$AI10)</f>
        <v>0</v>
      </c>
      <c r="AK10" s="50" t="n">
        <f aca="false">IF($D10="","",$AD10*($AG10+$AI10))</f>
        <v>38644443</v>
      </c>
      <c r="AL10" s="50" t="n">
        <f aca="false">IF($D10="","",$AD10*$AJ10)</f>
        <v>0</v>
      </c>
    </row>
    <row r="11" customFormat="false" ht="25.5" hidden="false" customHeight="true" outlineLevel="0" collapsed="false">
      <c r="B11" s="42" t="s">
        <v>126</v>
      </c>
      <c r="C11" s="44" t="str">
        <f aca="false">IF($D11="","","CIP-"&amp;TEXT(ROW()-8,"000"))</f>
        <v>CIP-003</v>
      </c>
      <c r="D11" s="48" t="s">
        <v>168</v>
      </c>
      <c r="E11" s="48" t="s">
        <v>169</v>
      </c>
      <c r="F11" s="48" t="s">
        <v>170</v>
      </c>
      <c r="G11" s="48" t="s">
        <v>171</v>
      </c>
      <c r="H11" s="48" t="s">
        <v>172</v>
      </c>
      <c r="I11" s="48" t="s">
        <v>173</v>
      </c>
      <c r="J11" s="48" t="s">
        <v>174</v>
      </c>
      <c r="K11" s="48" t="s">
        <v>175</v>
      </c>
      <c r="L11" s="49" t="n">
        <v>46000000</v>
      </c>
      <c r="M11" s="49" t="n">
        <v>750000</v>
      </c>
      <c r="N11" s="50" t="n">
        <f aca="false">IF($D11="","",$L11-$M11)</f>
        <v>45250000</v>
      </c>
      <c r="O11" s="49" t="n">
        <v>1250000</v>
      </c>
      <c r="P11" s="49" t="n">
        <v>6000000</v>
      </c>
      <c r="Q11" s="49" t="n">
        <v>14000000</v>
      </c>
      <c r="R11" s="49" t="n">
        <v>16000000</v>
      </c>
      <c r="S11" s="49" t="n">
        <v>8000000</v>
      </c>
      <c r="T11" s="49" t="n">
        <v>0</v>
      </c>
      <c r="U11" s="50" t="n">
        <f aca="false">IF($D11="","",SUM($O11:$T11))</f>
        <v>45250000</v>
      </c>
      <c r="V11" s="50" t="n">
        <f aca="false">IF($D11="","",$N11-$U11)</f>
        <v>0</v>
      </c>
      <c r="W11" s="51" t="str">
        <f aca="false">IF($D11="","",IF(ABS($N11-$U11)&lt;1,"OK","CHECK"))</f>
        <v>OK</v>
      </c>
      <c r="X11" s="50" t="n">
        <f aca="false">IF($D11="","",$O11*Setup!$C$24)</f>
        <v>1250000</v>
      </c>
      <c r="Y11" s="50" t="n">
        <f aca="false">IF($D11="","",$P11*Setup!$D$24)</f>
        <v>6210000</v>
      </c>
      <c r="Z11" s="50" t="n">
        <f aca="false">IF($D11="","",$Q11*Setup!$E$24)</f>
        <v>14997150</v>
      </c>
      <c r="AA11" s="50" t="n">
        <f aca="false">IF($D11="","",$R11*Setup!$F$24)</f>
        <v>17739486</v>
      </c>
      <c r="AB11" s="50" t="n">
        <f aca="false">IF($D11="","",$S11*Setup!$G$24)</f>
        <v>9180184.005</v>
      </c>
      <c r="AC11" s="50" t="n">
        <f aca="false">IF($D11="","",$T11*Setup!$H$24)</f>
        <v>0</v>
      </c>
      <c r="AD11" s="50" t="n">
        <f aca="false">IF($D11="","",SUM($X11:$AB11))</f>
        <v>49376820.005</v>
      </c>
      <c r="AE11" s="50" t="n">
        <f aca="false">IF($D11="","",$AD11+$AC11)</f>
        <v>49376820.005</v>
      </c>
      <c r="AF11" s="48" t="s">
        <v>167</v>
      </c>
      <c r="AG11" s="27" t="n">
        <v>0.5</v>
      </c>
      <c r="AH11" s="48" t="s">
        <v>158</v>
      </c>
      <c r="AI11" s="27" t="n">
        <v>0.2</v>
      </c>
      <c r="AJ11" s="52" t="n">
        <f aca="false">IF($D11="","",1-$AG11-$AI11)</f>
        <v>0.3</v>
      </c>
      <c r="AK11" s="50" t="n">
        <f aca="false">IF($D11="","",$AD11*($AG11+$AI11))</f>
        <v>34563774.0035</v>
      </c>
      <c r="AL11" s="50" t="n">
        <f aca="false">IF($D11="","",$AD11*$AJ11)</f>
        <v>14813046.0015</v>
      </c>
    </row>
    <row r="12" customFormat="false" ht="25.5" hidden="false" customHeight="true" outlineLevel="0" collapsed="false">
      <c r="B12" s="42" t="s">
        <v>126</v>
      </c>
      <c r="C12" s="44" t="str">
        <f aca="false">IF($D12="","","CIP-"&amp;TEXT(ROW()-8,"000"))</f>
        <v>CIP-004</v>
      </c>
      <c r="D12" s="48" t="s">
        <v>176</v>
      </c>
      <c r="E12" s="48" t="s">
        <v>177</v>
      </c>
      <c r="F12" s="48" t="s">
        <v>152</v>
      </c>
      <c r="G12" s="48" t="s">
        <v>178</v>
      </c>
      <c r="H12" s="48" t="s">
        <v>154</v>
      </c>
      <c r="I12" s="48" t="s">
        <v>155</v>
      </c>
      <c r="J12" s="48" t="s">
        <v>179</v>
      </c>
      <c r="K12" s="48" t="s">
        <v>157</v>
      </c>
      <c r="L12" s="49" t="n">
        <v>8600000</v>
      </c>
      <c r="M12" s="49" t="n">
        <v>2600000</v>
      </c>
      <c r="N12" s="50" t="n">
        <f aca="false">IF($D12="","",$L12-$M12)</f>
        <v>6000000</v>
      </c>
      <c r="O12" s="49" t="n">
        <v>3500000</v>
      </c>
      <c r="P12" s="49" t="n">
        <v>2500000</v>
      </c>
      <c r="Q12" s="49" t="n">
        <v>0</v>
      </c>
      <c r="R12" s="49" t="n">
        <v>0</v>
      </c>
      <c r="S12" s="49" t="n">
        <v>0</v>
      </c>
      <c r="T12" s="49" t="n">
        <v>0</v>
      </c>
      <c r="U12" s="50" t="n">
        <f aca="false">IF($D12="","",SUM($O12:$T12))</f>
        <v>6000000</v>
      </c>
      <c r="V12" s="50" t="n">
        <f aca="false">IF($D12="","",$N12-$U12)</f>
        <v>0</v>
      </c>
      <c r="W12" s="51" t="str">
        <f aca="false">IF($D12="","",IF(ABS($N12-$U12)&lt;1,"OK","CHECK"))</f>
        <v>OK</v>
      </c>
      <c r="X12" s="50" t="n">
        <f aca="false">IF($D12="","",$O12*Setup!$C$24)</f>
        <v>3500000</v>
      </c>
      <c r="Y12" s="50" t="n">
        <f aca="false">IF($D12="","",$P12*Setup!$D$24)</f>
        <v>2587500</v>
      </c>
      <c r="Z12" s="50" t="n">
        <f aca="false">IF($D12="","",$Q12*Setup!$E$24)</f>
        <v>0</v>
      </c>
      <c r="AA12" s="50" t="n">
        <f aca="false">IF($D12="","",$R12*Setup!$F$24)</f>
        <v>0</v>
      </c>
      <c r="AB12" s="50" t="n">
        <f aca="false">IF($D12="","",$S12*Setup!$G$24)</f>
        <v>0</v>
      </c>
      <c r="AC12" s="50" t="n">
        <f aca="false">IF($D12="","",$T12*Setup!$H$24)</f>
        <v>0</v>
      </c>
      <c r="AD12" s="50" t="n">
        <f aca="false">IF($D12="","",SUM($X12:$AB12))</f>
        <v>6087500</v>
      </c>
      <c r="AE12" s="50" t="n">
        <f aca="false">IF($D12="","",$AD12+$AC12)</f>
        <v>6087500</v>
      </c>
      <c r="AF12" s="48" t="s">
        <v>159</v>
      </c>
      <c r="AG12" s="27" t="n">
        <v>1</v>
      </c>
      <c r="AH12" s="48"/>
      <c r="AI12" s="27"/>
      <c r="AJ12" s="52" t="n">
        <f aca="false">IF($D12="","",1-$AG12-$AI12)</f>
        <v>0</v>
      </c>
      <c r="AK12" s="50" t="n">
        <f aca="false">IF($D12="","",$AD12*($AG12+$AI12))</f>
        <v>6087500</v>
      </c>
      <c r="AL12" s="50" t="n">
        <f aca="false">IF($D12="","",$AD12*$AJ12)</f>
        <v>0</v>
      </c>
    </row>
    <row r="13" customFormat="false" ht="25.5" hidden="false" customHeight="true" outlineLevel="0" collapsed="false">
      <c r="B13" s="42" t="s">
        <v>126</v>
      </c>
      <c r="C13" s="44" t="str">
        <f aca="false">IF($D13="","","CIP-"&amp;TEXT(ROW()-8,"000"))</f>
        <v>CIP-005</v>
      </c>
      <c r="D13" s="48" t="s">
        <v>180</v>
      </c>
      <c r="E13" s="48" t="s">
        <v>181</v>
      </c>
      <c r="F13" s="48" t="s">
        <v>162</v>
      </c>
      <c r="G13" s="48" t="s">
        <v>182</v>
      </c>
      <c r="H13" s="48" t="s">
        <v>164</v>
      </c>
      <c r="I13" s="48" t="s">
        <v>155</v>
      </c>
      <c r="J13" s="48" t="s">
        <v>156</v>
      </c>
      <c r="K13" s="48" t="s">
        <v>166</v>
      </c>
      <c r="L13" s="49" t="n">
        <v>9000000</v>
      </c>
      <c r="M13" s="49" t="n">
        <v>0</v>
      </c>
      <c r="N13" s="50" t="n">
        <f aca="false">IF($D13="","",$L13-$M13)</f>
        <v>9000000</v>
      </c>
      <c r="O13" s="49" t="n">
        <v>1500000</v>
      </c>
      <c r="P13" s="49" t="n">
        <v>1500000</v>
      </c>
      <c r="Q13" s="49" t="n">
        <v>1500000</v>
      </c>
      <c r="R13" s="49" t="n">
        <v>1500000</v>
      </c>
      <c r="S13" s="49" t="n">
        <v>1500000</v>
      </c>
      <c r="T13" s="49" t="n">
        <v>1500000</v>
      </c>
      <c r="U13" s="50" t="n">
        <f aca="false">IF($D13="","",SUM($O13:$T13))</f>
        <v>9000000</v>
      </c>
      <c r="V13" s="50" t="n">
        <f aca="false">IF($D13="","",$N13-$U13)</f>
        <v>0</v>
      </c>
      <c r="W13" s="51" t="str">
        <f aca="false">IF($D13="","",IF(ABS($N13-$U13)&lt;1,"OK","CHECK"))</f>
        <v>OK</v>
      </c>
      <c r="X13" s="50" t="n">
        <f aca="false">IF($D13="","",$O13*Setup!$C$24)</f>
        <v>1500000</v>
      </c>
      <c r="Y13" s="50" t="n">
        <f aca="false">IF($D13="","",$P13*Setup!$D$24)</f>
        <v>1552500</v>
      </c>
      <c r="Z13" s="50" t="n">
        <f aca="false">IF($D13="","",$Q13*Setup!$E$24)</f>
        <v>1606837.5</v>
      </c>
      <c r="AA13" s="50" t="n">
        <f aca="false">IF($D13="","",$R13*Setup!$F$24)</f>
        <v>1663076.8125</v>
      </c>
      <c r="AB13" s="50" t="n">
        <f aca="false">IF($D13="","",$S13*Setup!$G$24)</f>
        <v>1721284.5009375</v>
      </c>
      <c r="AC13" s="50" t="n">
        <f aca="false">IF($D13="","",$T13*Setup!$H$24)</f>
        <v>1781529.45847031</v>
      </c>
      <c r="AD13" s="50" t="n">
        <f aca="false">IF($D13="","",SUM($X13:$AB13))</f>
        <v>8043698.8134375</v>
      </c>
      <c r="AE13" s="50" t="n">
        <f aca="false">IF($D13="","",$AD13+$AC13)</f>
        <v>9825228.27190781</v>
      </c>
      <c r="AF13" s="48" t="s">
        <v>183</v>
      </c>
      <c r="AG13" s="27" t="n">
        <v>0.6</v>
      </c>
      <c r="AH13" s="48" t="s">
        <v>159</v>
      </c>
      <c r="AI13" s="27" t="n">
        <v>0.4</v>
      </c>
      <c r="AJ13" s="52" t="n">
        <f aca="false">IF($D13="","",1-$AG13-$AI13)</f>
        <v>0</v>
      </c>
      <c r="AK13" s="50" t="n">
        <f aca="false">IF($D13="","",$AD13*($AG13+$AI13))</f>
        <v>8043698.8134375</v>
      </c>
      <c r="AL13" s="50" t="n">
        <f aca="false">IF($D13="","",$AD13*$AJ13)</f>
        <v>0</v>
      </c>
    </row>
    <row r="14" customFormat="false" ht="25.5" hidden="false" customHeight="true" outlineLevel="0" collapsed="false">
      <c r="B14" s="42" t="s">
        <v>126</v>
      </c>
      <c r="C14" s="44" t="str">
        <f aca="false">IF($D14="","","CIP-"&amp;TEXT(ROW()-8,"000"))</f>
        <v>CIP-006</v>
      </c>
      <c r="D14" s="48" t="s">
        <v>184</v>
      </c>
      <c r="E14" s="48" t="s">
        <v>185</v>
      </c>
      <c r="F14" s="48" t="s">
        <v>186</v>
      </c>
      <c r="G14" s="48" t="s">
        <v>187</v>
      </c>
      <c r="H14" s="48" t="s">
        <v>188</v>
      </c>
      <c r="I14" s="48" t="s">
        <v>189</v>
      </c>
      <c r="J14" s="48" t="s">
        <v>174</v>
      </c>
      <c r="K14" s="48" t="s">
        <v>190</v>
      </c>
      <c r="L14" s="49" t="n">
        <v>14500000</v>
      </c>
      <c r="M14" s="49" t="n">
        <v>250000</v>
      </c>
      <c r="N14" s="50" t="n">
        <f aca="false">IF($D14="","",$L14-$M14)</f>
        <v>14250000</v>
      </c>
      <c r="O14" s="49" t="n">
        <v>0</v>
      </c>
      <c r="P14" s="49" t="n">
        <v>2250000</v>
      </c>
      <c r="Q14" s="49" t="n">
        <v>6000000</v>
      </c>
      <c r="R14" s="49" t="n">
        <v>6000000</v>
      </c>
      <c r="S14" s="49" t="n">
        <v>0</v>
      </c>
      <c r="T14" s="49" t="n">
        <v>0</v>
      </c>
      <c r="U14" s="50" t="n">
        <f aca="false">IF($D14="","",SUM($O14:$T14))</f>
        <v>14250000</v>
      </c>
      <c r="V14" s="50" t="n">
        <f aca="false">IF($D14="","",$N14-$U14)</f>
        <v>0</v>
      </c>
      <c r="W14" s="51" t="str">
        <f aca="false">IF($D14="","",IF(ABS($N14-$U14)&lt;1,"OK","CHECK"))</f>
        <v>OK</v>
      </c>
      <c r="X14" s="50" t="n">
        <f aca="false">IF($D14="","",$O14*Setup!$C$24)</f>
        <v>0</v>
      </c>
      <c r="Y14" s="50" t="n">
        <f aca="false">IF($D14="","",$P14*Setup!$D$24)</f>
        <v>2328750</v>
      </c>
      <c r="Z14" s="50" t="n">
        <f aca="false">IF($D14="","",$Q14*Setup!$E$24)</f>
        <v>6427350</v>
      </c>
      <c r="AA14" s="50" t="n">
        <f aca="false">IF($D14="","",$R14*Setup!$F$24)</f>
        <v>6652307.25</v>
      </c>
      <c r="AB14" s="50" t="n">
        <f aca="false">IF($D14="","",$S14*Setup!$G$24)</f>
        <v>0</v>
      </c>
      <c r="AC14" s="50" t="n">
        <f aca="false">IF($D14="","",$T14*Setup!$H$24)</f>
        <v>0</v>
      </c>
      <c r="AD14" s="50" t="n">
        <f aca="false">IF($D14="","",SUM($X14:$AB14))</f>
        <v>15408407.25</v>
      </c>
      <c r="AE14" s="50" t="n">
        <f aca="false">IF($D14="","",$AD14+$AC14)</f>
        <v>15408407.25</v>
      </c>
      <c r="AF14" s="48" t="s">
        <v>191</v>
      </c>
      <c r="AG14" s="27" t="n">
        <v>0.55</v>
      </c>
      <c r="AH14" s="48" t="s">
        <v>158</v>
      </c>
      <c r="AI14" s="27" t="n">
        <v>0.25</v>
      </c>
      <c r="AJ14" s="52" t="n">
        <f aca="false">IF($D14="","",1-$AG14-$AI14)</f>
        <v>0.2</v>
      </c>
      <c r="AK14" s="50" t="n">
        <f aca="false">IF($D14="","",$AD14*($AG14+$AI14))</f>
        <v>12326725.8</v>
      </c>
      <c r="AL14" s="50" t="n">
        <f aca="false">IF($D14="","",$AD14*$AJ14)</f>
        <v>3081681.45</v>
      </c>
    </row>
    <row r="15" customFormat="false" ht="25.5" hidden="false" customHeight="true" outlineLevel="0" collapsed="false">
      <c r="B15" s="42" t="s">
        <v>126</v>
      </c>
      <c r="C15" s="44" t="str">
        <f aca="false">IF($D15="","","CIP-"&amp;TEXT(ROW()-8,"000"))</f>
        <v>CIP-007</v>
      </c>
      <c r="D15" s="48" t="s">
        <v>192</v>
      </c>
      <c r="E15" s="48" t="s">
        <v>193</v>
      </c>
      <c r="F15" s="48" t="s">
        <v>194</v>
      </c>
      <c r="G15" s="48" t="s">
        <v>195</v>
      </c>
      <c r="H15" s="48" t="s">
        <v>196</v>
      </c>
      <c r="I15" s="48" t="s">
        <v>155</v>
      </c>
      <c r="J15" s="48" t="s">
        <v>156</v>
      </c>
      <c r="K15" s="48" t="s">
        <v>197</v>
      </c>
      <c r="L15" s="49" t="n">
        <v>11000000</v>
      </c>
      <c r="M15" s="49" t="n">
        <v>0</v>
      </c>
      <c r="N15" s="50" t="n">
        <f aca="false">IF($D15="","",$L15-$M15)</f>
        <v>11000000</v>
      </c>
      <c r="O15" s="49" t="n">
        <v>2000000</v>
      </c>
      <c r="P15" s="49" t="n">
        <v>2000000</v>
      </c>
      <c r="Q15" s="49" t="n">
        <v>2000000</v>
      </c>
      <c r="R15" s="49" t="n">
        <v>2500000</v>
      </c>
      <c r="S15" s="49" t="n">
        <v>2500000</v>
      </c>
      <c r="T15" s="49" t="n">
        <v>0</v>
      </c>
      <c r="U15" s="50" t="n">
        <f aca="false">IF($D15="","",SUM($O15:$T15))</f>
        <v>11000000</v>
      </c>
      <c r="V15" s="50" t="n">
        <f aca="false">IF($D15="","",$N15-$U15)</f>
        <v>0</v>
      </c>
      <c r="W15" s="51" t="str">
        <f aca="false">IF($D15="","",IF(ABS($N15-$U15)&lt;1,"OK","CHECK"))</f>
        <v>OK</v>
      </c>
      <c r="X15" s="50" t="n">
        <f aca="false">IF($D15="","",$O15*Setup!$C$24)</f>
        <v>2000000</v>
      </c>
      <c r="Y15" s="50" t="n">
        <f aca="false">IF($D15="","",$P15*Setup!$D$24)</f>
        <v>2070000</v>
      </c>
      <c r="Z15" s="50" t="n">
        <f aca="false">IF($D15="","",$Q15*Setup!$E$24)</f>
        <v>2142450</v>
      </c>
      <c r="AA15" s="50" t="n">
        <f aca="false">IF($D15="","",$R15*Setup!$F$24)</f>
        <v>2771794.6875</v>
      </c>
      <c r="AB15" s="50" t="n">
        <f aca="false">IF($D15="","",$S15*Setup!$G$24)</f>
        <v>2868807.5015625</v>
      </c>
      <c r="AC15" s="50" t="n">
        <f aca="false">IF($D15="","",$T15*Setup!$H$24)</f>
        <v>0</v>
      </c>
      <c r="AD15" s="50" t="n">
        <f aca="false">IF($D15="","",SUM($X15:$AB15))</f>
        <v>11853052.1890625</v>
      </c>
      <c r="AE15" s="50" t="n">
        <f aca="false">IF($D15="","",$AD15+$AC15)</f>
        <v>11853052.1890625</v>
      </c>
      <c r="AF15" s="48" t="s">
        <v>183</v>
      </c>
      <c r="AG15" s="27" t="n">
        <v>1</v>
      </c>
      <c r="AH15" s="48"/>
      <c r="AI15" s="27"/>
      <c r="AJ15" s="52" t="n">
        <f aca="false">IF($D15="","",1-$AG15-$AI15)</f>
        <v>0</v>
      </c>
      <c r="AK15" s="50" t="n">
        <f aca="false">IF($D15="","",$AD15*($AG15+$AI15))</f>
        <v>11853052.1890625</v>
      </c>
      <c r="AL15" s="50" t="n">
        <f aca="false">IF($D15="","",$AD15*$AJ15)</f>
        <v>0</v>
      </c>
    </row>
    <row r="16" customFormat="false" ht="25.5" hidden="false" customHeight="true" outlineLevel="0" collapsed="false">
      <c r="B16" s="42" t="s">
        <v>126</v>
      </c>
      <c r="C16" s="44" t="str">
        <f aca="false">IF($D16="","","CIP-"&amp;TEXT(ROW()-8,"000"))</f>
        <v>CIP-008</v>
      </c>
      <c r="D16" s="48" t="s">
        <v>198</v>
      </c>
      <c r="E16" s="48" t="s">
        <v>199</v>
      </c>
      <c r="F16" s="48" t="s">
        <v>200</v>
      </c>
      <c r="G16" s="48" t="s">
        <v>201</v>
      </c>
      <c r="H16" s="48" t="s">
        <v>200</v>
      </c>
      <c r="I16" s="48" t="s">
        <v>165</v>
      </c>
      <c r="J16" s="48" t="s">
        <v>156</v>
      </c>
      <c r="K16" s="48" t="s">
        <v>202</v>
      </c>
      <c r="L16" s="49" t="n">
        <v>6200000</v>
      </c>
      <c r="M16" s="49" t="n">
        <v>200000</v>
      </c>
      <c r="N16" s="50" t="n">
        <f aca="false">IF($D16="","",$L16-$M16)</f>
        <v>6000000</v>
      </c>
      <c r="O16" s="49" t="n">
        <v>2400000</v>
      </c>
      <c r="P16" s="49" t="n">
        <v>2100000</v>
      </c>
      <c r="Q16" s="49" t="n">
        <v>1500000</v>
      </c>
      <c r="R16" s="49" t="n">
        <v>0</v>
      </c>
      <c r="S16" s="49" t="n">
        <v>0</v>
      </c>
      <c r="T16" s="49" t="n">
        <v>0</v>
      </c>
      <c r="U16" s="50" t="n">
        <f aca="false">IF($D16="","",SUM($O16:$T16))</f>
        <v>6000000</v>
      </c>
      <c r="V16" s="50" t="n">
        <f aca="false">IF($D16="","",$N16-$U16)</f>
        <v>0</v>
      </c>
      <c r="W16" s="51" t="str">
        <f aca="false">IF($D16="","",IF(ABS($N16-$U16)&lt;1,"OK","CHECK"))</f>
        <v>OK</v>
      </c>
      <c r="X16" s="50" t="n">
        <f aca="false">IF($D16="","",$O16*Setup!$C$24)</f>
        <v>2400000</v>
      </c>
      <c r="Y16" s="50" t="n">
        <f aca="false">IF($D16="","",$P16*Setup!$D$24)</f>
        <v>2173500</v>
      </c>
      <c r="Z16" s="50" t="n">
        <f aca="false">IF($D16="","",$Q16*Setup!$E$24)</f>
        <v>1606837.5</v>
      </c>
      <c r="AA16" s="50" t="n">
        <f aca="false">IF($D16="","",$R16*Setup!$F$24)</f>
        <v>0</v>
      </c>
      <c r="AB16" s="50" t="n">
        <f aca="false">IF($D16="","",$S16*Setup!$G$24)</f>
        <v>0</v>
      </c>
      <c r="AC16" s="50" t="n">
        <f aca="false">IF($D16="","",$T16*Setup!$H$24)</f>
        <v>0</v>
      </c>
      <c r="AD16" s="50" t="n">
        <f aca="false">IF($D16="","",SUM($X16:$AB16))</f>
        <v>6180337.5</v>
      </c>
      <c r="AE16" s="50" t="n">
        <f aca="false">IF($D16="","",$AD16+$AC16)</f>
        <v>6180337.5</v>
      </c>
      <c r="AF16" s="48" t="s">
        <v>159</v>
      </c>
      <c r="AG16" s="27" t="n">
        <v>1</v>
      </c>
      <c r="AH16" s="48"/>
      <c r="AI16" s="27"/>
      <c r="AJ16" s="52" t="n">
        <f aca="false">IF($D16="","",1-$AG16-$AI16)</f>
        <v>0</v>
      </c>
      <c r="AK16" s="50" t="n">
        <f aca="false">IF($D16="","",$AD16*($AG16+$AI16))</f>
        <v>6180337.5</v>
      </c>
      <c r="AL16" s="50" t="n">
        <f aca="false">IF($D16="","",$AD16*$AJ16)</f>
        <v>0</v>
      </c>
    </row>
    <row r="17" customFormat="false" ht="25.5" hidden="false" customHeight="true" outlineLevel="0" collapsed="false">
      <c r="B17" s="42" t="s">
        <v>126</v>
      </c>
      <c r="C17" s="44" t="str">
        <f aca="false">IF($D17="","","CIP-"&amp;TEXT(ROW()-8,"000"))</f>
        <v>CIP-009</v>
      </c>
      <c r="D17" s="48" t="s">
        <v>203</v>
      </c>
      <c r="E17" s="48" t="s">
        <v>204</v>
      </c>
      <c r="F17" s="48" t="s">
        <v>170</v>
      </c>
      <c r="G17" s="48" t="s">
        <v>205</v>
      </c>
      <c r="H17" s="48" t="s">
        <v>206</v>
      </c>
      <c r="I17" s="48" t="s">
        <v>165</v>
      </c>
      <c r="J17" s="48" t="s">
        <v>156</v>
      </c>
      <c r="K17" s="48" t="s">
        <v>175</v>
      </c>
      <c r="L17" s="49" t="n">
        <v>10800000</v>
      </c>
      <c r="M17" s="49" t="n">
        <v>300000</v>
      </c>
      <c r="N17" s="50" t="n">
        <f aca="false">IF($D17="","",$L17-$M17)</f>
        <v>10500000</v>
      </c>
      <c r="O17" s="49" t="n">
        <v>1500000</v>
      </c>
      <c r="P17" s="49" t="n">
        <v>4500000</v>
      </c>
      <c r="Q17" s="49" t="n">
        <v>4500000</v>
      </c>
      <c r="R17" s="49" t="n">
        <v>0</v>
      </c>
      <c r="S17" s="49" t="n">
        <v>0</v>
      </c>
      <c r="T17" s="49" t="n">
        <v>0</v>
      </c>
      <c r="U17" s="50" t="n">
        <f aca="false">IF($D17="","",SUM($O17:$T17))</f>
        <v>10500000</v>
      </c>
      <c r="V17" s="50" t="n">
        <f aca="false">IF($D17="","",$N17-$U17)</f>
        <v>0</v>
      </c>
      <c r="W17" s="51" t="str">
        <f aca="false">IF($D17="","",IF(ABS($N17-$U17)&lt;1,"OK","CHECK"))</f>
        <v>OK</v>
      </c>
      <c r="X17" s="50" t="n">
        <f aca="false">IF($D17="","",$O17*Setup!$C$24)</f>
        <v>1500000</v>
      </c>
      <c r="Y17" s="50" t="n">
        <f aca="false">IF($D17="","",$P17*Setup!$D$24)</f>
        <v>4657500</v>
      </c>
      <c r="Z17" s="50" t="n">
        <f aca="false">IF($D17="","",$Q17*Setup!$E$24)</f>
        <v>4820512.5</v>
      </c>
      <c r="AA17" s="50" t="n">
        <f aca="false">IF($D17="","",$R17*Setup!$F$24)</f>
        <v>0</v>
      </c>
      <c r="AB17" s="50" t="n">
        <f aca="false">IF($D17="","",$S17*Setup!$G$24)</f>
        <v>0</v>
      </c>
      <c r="AC17" s="50" t="n">
        <f aca="false">IF($D17="","",$T17*Setup!$H$24)</f>
        <v>0</v>
      </c>
      <c r="AD17" s="50" t="n">
        <f aca="false">IF($D17="","",SUM($X17:$AB17))</f>
        <v>10978012.5</v>
      </c>
      <c r="AE17" s="50" t="n">
        <f aca="false">IF($D17="","",$AD17+$AC17)</f>
        <v>10978012.5</v>
      </c>
      <c r="AF17" s="48" t="s">
        <v>159</v>
      </c>
      <c r="AG17" s="27" t="n">
        <v>0.6</v>
      </c>
      <c r="AH17" s="48" t="s">
        <v>183</v>
      </c>
      <c r="AI17" s="27" t="n">
        <v>0.4</v>
      </c>
      <c r="AJ17" s="52" t="n">
        <f aca="false">IF($D17="","",1-$AG17-$AI17)</f>
        <v>0</v>
      </c>
      <c r="AK17" s="50" t="n">
        <f aca="false">IF($D17="","",$AD17*($AG17+$AI17))</f>
        <v>10978012.5</v>
      </c>
      <c r="AL17" s="50" t="n">
        <f aca="false">IF($D17="","",$AD17*$AJ17)</f>
        <v>0</v>
      </c>
    </row>
    <row r="18" customFormat="false" ht="25.5" hidden="false" customHeight="true" outlineLevel="0" collapsed="false">
      <c r="B18" s="42" t="s">
        <v>126</v>
      </c>
      <c r="C18" s="44" t="str">
        <f aca="false">IF($D18="","","CIP-"&amp;TEXT(ROW()-8,"000"))</f>
        <v>CIP-010</v>
      </c>
      <c r="D18" s="48" t="s">
        <v>207</v>
      </c>
      <c r="E18" s="48" t="s">
        <v>208</v>
      </c>
      <c r="F18" s="48" t="s">
        <v>162</v>
      </c>
      <c r="G18" s="48" t="s">
        <v>209</v>
      </c>
      <c r="H18" s="48" t="s">
        <v>154</v>
      </c>
      <c r="I18" s="48" t="s">
        <v>165</v>
      </c>
      <c r="J18" s="48" t="s">
        <v>174</v>
      </c>
      <c r="K18" s="48" t="s">
        <v>166</v>
      </c>
      <c r="L18" s="49" t="n">
        <v>22000000</v>
      </c>
      <c r="M18" s="49" t="n">
        <v>0</v>
      </c>
      <c r="N18" s="50" t="n">
        <f aca="false">IF($D18="","",$L18-$M18)</f>
        <v>22000000</v>
      </c>
      <c r="O18" s="49" t="n">
        <v>0</v>
      </c>
      <c r="P18" s="49" t="n">
        <v>1000000</v>
      </c>
      <c r="Q18" s="49" t="n">
        <v>4000000</v>
      </c>
      <c r="R18" s="49" t="n">
        <v>7000000</v>
      </c>
      <c r="S18" s="49" t="n">
        <v>7000000</v>
      </c>
      <c r="T18" s="49" t="n">
        <v>3000000</v>
      </c>
      <c r="U18" s="50" t="n">
        <f aca="false">IF($D18="","",SUM($O18:$T18))</f>
        <v>22000000</v>
      </c>
      <c r="V18" s="50" t="n">
        <f aca="false">IF($D18="","",$N18-$U18)</f>
        <v>0</v>
      </c>
      <c r="W18" s="51" t="str">
        <f aca="false">IF($D18="","",IF(ABS($N18-$U18)&lt;1,"OK","CHECK"))</f>
        <v>OK</v>
      </c>
      <c r="X18" s="50" t="n">
        <f aca="false">IF($D18="","",$O18*Setup!$C$24)</f>
        <v>0</v>
      </c>
      <c r="Y18" s="50" t="n">
        <f aca="false">IF($D18="","",$P18*Setup!$D$24)</f>
        <v>1035000</v>
      </c>
      <c r="Z18" s="50" t="n">
        <f aca="false">IF($D18="","",$Q18*Setup!$E$24)</f>
        <v>4284900</v>
      </c>
      <c r="AA18" s="50" t="n">
        <f aca="false">IF($D18="","",$R18*Setup!$F$24)</f>
        <v>7761025.125</v>
      </c>
      <c r="AB18" s="50" t="n">
        <f aca="false">IF($D18="","",$S18*Setup!$G$24)</f>
        <v>8032661.004375</v>
      </c>
      <c r="AC18" s="50" t="n">
        <f aca="false">IF($D18="","",$T18*Setup!$H$24)</f>
        <v>3563058.91694062</v>
      </c>
      <c r="AD18" s="50" t="n">
        <f aca="false">IF($D18="","",SUM($X18:$AB18))</f>
        <v>21113586.129375</v>
      </c>
      <c r="AE18" s="50" t="n">
        <f aca="false">IF($D18="","",$AD18+$AC18)</f>
        <v>24676645.0463156</v>
      </c>
      <c r="AF18" s="48" t="s">
        <v>158</v>
      </c>
      <c r="AG18" s="27" t="n">
        <v>0.45</v>
      </c>
      <c r="AH18" s="48" t="s">
        <v>167</v>
      </c>
      <c r="AI18" s="27" t="n">
        <v>0.25</v>
      </c>
      <c r="AJ18" s="52" t="n">
        <f aca="false">IF($D18="","",1-$AG18-$AI18)</f>
        <v>0.3</v>
      </c>
      <c r="AK18" s="50" t="n">
        <f aca="false">IF($D18="","",$AD18*($AG18+$AI18))</f>
        <v>14779510.2905625</v>
      </c>
      <c r="AL18" s="50" t="n">
        <f aca="false">IF($D18="","",$AD18*$AJ18)</f>
        <v>6334075.8388125</v>
      </c>
    </row>
    <row r="19" customFormat="false" ht="25.5" hidden="false" customHeight="true" outlineLevel="0" collapsed="false">
      <c r="B19" s="42" t="s">
        <v>126</v>
      </c>
      <c r="C19" s="44" t="str">
        <f aca="false">IF($D19="","","CIP-"&amp;TEXT(ROW()-8,"000"))</f>
        <v>CIP-011</v>
      </c>
      <c r="D19" s="48" t="s">
        <v>210</v>
      </c>
      <c r="E19" s="48" t="s">
        <v>211</v>
      </c>
      <c r="F19" s="48" t="s">
        <v>212</v>
      </c>
      <c r="G19" s="48" t="s">
        <v>213</v>
      </c>
      <c r="H19" s="48" t="s">
        <v>214</v>
      </c>
      <c r="I19" s="48" t="s">
        <v>189</v>
      </c>
      <c r="J19" s="48" t="s">
        <v>156</v>
      </c>
      <c r="K19" s="48" t="s">
        <v>190</v>
      </c>
      <c r="L19" s="49" t="n">
        <v>7500000</v>
      </c>
      <c r="M19" s="49" t="n">
        <v>0</v>
      </c>
      <c r="N19" s="50" t="n">
        <f aca="false">IF($D19="","",$L19-$M19)</f>
        <v>7500000</v>
      </c>
      <c r="O19" s="49" t="n">
        <v>3000000</v>
      </c>
      <c r="P19" s="49" t="n">
        <v>4500000</v>
      </c>
      <c r="Q19" s="49" t="n">
        <v>0</v>
      </c>
      <c r="R19" s="49" t="n">
        <v>0</v>
      </c>
      <c r="S19" s="49" t="n">
        <v>0</v>
      </c>
      <c r="T19" s="49" t="n">
        <v>0</v>
      </c>
      <c r="U19" s="50" t="n">
        <f aca="false">IF($D19="","",SUM($O19:$T19))</f>
        <v>7500000</v>
      </c>
      <c r="V19" s="50" t="n">
        <f aca="false">IF($D19="","",$N19-$U19)</f>
        <v>0</v>
      </c>
      <c r="W19" s="51" t="str">
        <f aca="false">IF($D19="","",IF(ABS($N19-$U19)&lt;1,"OK","CHECK"))</f>
        <v>OK</v>
      </c>
      <c r="X19" s="50" t="n">
        <f aca="false">IF($D19="","",$O19*Setup!$C$24)</f>
        <v>3000000</v>
      </c>
      <c r="Y19" s="50" t="n">
        <f aca="false">IF($D19="","",$P19*Setup!$D$24)</f>
        <v>4657500</v>
      </c>
      <c r="Z19" s="50" t="n">
        <f aca="false">IF($D19="","",$Q19*Setup!$E$24)</f>
        <v>0</v>
      </c>
      <c r="AA19" s="50" t="n">
        <f aca="false">IF($D19="","",$R19*Setup!$F$24)</f>
        <v>0</v>
      </c>
      <c r="AB19" s="50" t="n">
        <f aca="false">IF($D19="","",$S19*Setup!$G$24)</f>
        <v>0</v>
      </c>
      <c r="AC19" s="50" t="n">
        <f aca="false">IF($D19="","",$T19*Setup!$H$24)</f>
        <v>0</v>
      </c>
      <c r="AD19" s="50" t="n">
        <f aca="false">IF($D19="","",SUM($X19:$AB19))</f>
        <v>7657500</v>
      </c>
      <c r="AE19" s="50" t="n">
        <f aca="false">IF($D19="","",$AD19+$AC19)</f>
        <v>7657500</v>
      </c>
      <c r="AF19" s="48" t="s">
        <v>191</v>
      </c>
      <c r="AG19" s="27" t="n">
        <v>0.6</v>
      </c>
      <c r="AH19" s="48" t="s">
        <v>215</v>
      </c>
      <c r="AI19" s="27" t="n">
        <v>0.4</v>
      </c>
      <c r="AJ19" s="52" t="n">
        <f aca="false">IF($D19="","",1-$AG19-$AI19)</f>
        <v>0</v>
      </c>
      <c r="AK19" s="50" t="n">
        <f aca="false">IF($D19="","",$AD19*($AG19+$AI19))</f>
        <v>7657500</v>
      </c>
      <c r="AL19" s="50" t="n">
        <f aca="false">IF($D19="","",$AD19*$AJ19)</f>
        <v>0</v>
      </c>
    </row>
    <row r="20" customFormat="false" ht="25.5" hidden="false" customHeight="true" outlineLevel="0" collapsed="false">
      <c r="B20" s="42" t="s">
        <v>126</v>
      </c>
      <c r="C20" s="44" t="str">
        <f aca="false">IF($D20="","","CIP-"&amp;TEXT(ROW()-8,"000"))</f>
        <v>CIP-012</v>
      </c>
      <c r="D20" s="48" t="s">
        <v>216</v>
      </c>
      <c r="E20" s="48" t="s">
        <v>217</v>
      </c>
      <c r="F20" s="48" t="s">
        <v>170</v>
      </c>
      <c r="G20" s="48" t="s">
        <v>171</v>
      </c>
      <c r="H20" s="48" t="s">
        <v>172</v>
      </c>
      <c r="I20" s="48" t="s">
        <v>173</v>
      </c>
      <c r="J20" s="48" t="s">
        <v>218</v>
      </c>
      <c r="K20" s="48" t="s">
        <v>175</v>
      </c>
      <c r="L20" s="49" t="n">
        <v>5400000</v>
      </c>
      <c r="M20" s="49" t="n">
        <v>0</v>
      </c>
      <c r="N20" s="50" t="n">
        <f aca="false">IF($D20="","",$L20-$M20)</f>
        <v>5400000</v>
      </c>
      <c r="O20" s="49" t="n">
        <v>0</v>
      </c>
      <c r="P20" s="49" t="n">
        <v>0</v>
      </c>
      <c r="Q20" s="49" t="n">
        <v>0</v>
      </c>
      <c r="R20" s="49" t="n">
        <v>1400000</v>
      </c>
      <c r="S20" s="49" t="n">
        <v>4000000</v>
      </c>
      <c r="T20" s="49" t="n">
        <v>0</v>
      </c>
      <c r="U20" s="50" t="n">
        <f aca="false">IF($D20="","",SUM($O20:$T20))</f>
        <v>5400000</v>
      </c>
      <c r="V20" s="50" t="n">
        <f aca="false">IF($D20="","",$N20-$U20)</f>
        <v>0</v>
      </c>
      <c r="W20" s="51" t="str">
        <f aca="false">IF($D20="","",IF(ABS($N20-$U20)&lt;1,"OK","CHECK"))</f>
        <v>OK</v>
      </c>
      <c r="X20" s="50" t="n">
        <f aca="false">IF($D20="","",$O20*Setup!$C$24)</f>
        <v>0</v>
      </c>
      <c r="Y20" s="50" t="n">
        <f aca="false">IF($D20="","",$P20*Setup!$D$24)</f>
        <v>0</v>
      </c>
      <c r="Z20" s="50" t="n">
        <f aca="false">IF($D20="","",$Q20*Setup!$E$24)</f>
        <v>0</v>
      </c>
      <c r="AA20" s="50" t="n">
        <f aca="false">IF($D20="","",$R20*Setup!$F$24)</f>
        <v>1552205.025</v>
      </c>
      <c r="AB20" s="50" t="n">
        <f aca="false">IF($D20="","",$S20*Setup!$G$24)</f>
        <v>4590092.0025</v>
      </c>
      <c r="AC20" s="50" t="n">
        <f aca="false">IF($D20="","",$T20*Setup!$H$24)</f>
        <v>0</v>
      </c>
      <c r="AD20" s="50" t="n">
        <f aca="false">IF($D20="","",SUM($X20:$AB20))</f>
        <v>6142297.0275</v>
      </c>
      <c r="AE20" s="50" t="n">
        <f aca="false">IF($D20="","",$AD20+$AC20)</f>
        <v>6142297.0275</v>
      </c>
      <c r="AF20" s="48" t="s">
        <v>159</v>
      </c>
      <c r="AG20" s="27" t="n">
        <v>0.5</v>
      </c>
      <c r="AH20" s="48"/>
      <c r="AI20" s="27"/>
      <c r="AJ20" s="52" t="n">
        <f aca="false">IF($D20="","",1-$AG20-$AI20)</f>
        <v>0.5</v>
      </c>
      <c r="AK20" s="50" t="n">
        <f aca="false">IF($D20="","",$AD20*($AG20+$AI20))</f>
        <v>3071148.51375</v>
      </c>
      <c r="AL20" s="50" t="n">
        <f aca="false">IF($D20="","",$AD20*$AJ20)</f>
        <v>3071148.51375</v>
      </c>
    </row>
    <row r="21" customFormat="false" ht="25.5" hidden="false" customHeight="true" outlineLevel="0" collapsed="false">
      <c r="B21" s="42" t="s">
        <v>126</v>
      </c>
      <c r="C21" s="44" t="str">
        <f aca="false">IF($D21="","","CIP-"&amp;TEXT(ROW()-8,"000"))</f>
        <v>CIP-013</v>
      </c>
      <c r="D21" s="48" t="s">
        <v>219</v>
      </c>
      <c r="E21" s="48" t="s">
        <v>220</v>
      </c>
      <c r="F21" s="48" t="s">
        <v>221</v>
      </c>
      <c r="G21" s="48" t="s">
        <v>205</v>
      </c>
      <c r="H21" s="48" t="s">
        <v>206</v>
      </c>
      <c r="I21" s="48" t="s">
        <v>155</v>
      </c>
      <c r="J21" s="48" t="s">
        <v>156</v>
      </c>
      <c r="K21" s="48" t="s">
        <v>197</v>
      </c>
      <c r="L21" s="49" t="n">
        <v>6000000</v>
      </c>
      <c r="M21" s="49" t="n">
        <v>0</v>
      </c>
      <c r="N21" s="50" t="n">
        <f aca="false">IF($D21="","",$L21-$M21)</f>
        <v>6000000</v>
      </c>
      <c r="O21" s="49" t="n">
        <v>1200000</v>
      </c>
      <c r="P21" s="49" t="n">
        <v>1200000</v>
      </c>
      <c r="Q21" s="49" t="n">
        <v>1200000</v>
      </c>
      <c r="R21" s="49" t="n">
        <v>1200000</v>
      </c>
      <c r="S21" s="49" t="n">
        <v>1200000</v>
      </c>
      <c r="T21" s="49" t="n">
        <v>0</v>
      </c>
      <c r="U21" s="50" t="n">
        <f aca="false">IF($D21="","",SUM($O21:$T21))</f>
        <v>6000000</v>
      </c>
      <c r="V21" s="50" t="n">
        <f aca="false">IF($D21="","",$N21-$U21)</f>
        <v>0</v>
      </c>
      <c r="W21" s="51" t="str">
        <f aca="false">IF($D21="","",IF(ABS($N21-$U21)&lt;1,"OK","CHECK"))</f>
        <v>OK</v>
      </c>
      <c r="X21" s="50" t="n">
        <f aca="false">IF($D21="","",$O21*Setup!$C$24)</f>
        <v>1200000</v>
      </c>
      <c r="Y21" s="50" t="n">
        <f aca="false">IF($D21="","",$P21*Setup!$D$24)</f>
        <v>1242000</v>
      </c>
      <c r="Z21" s="50" t="n">
        <f aca="false">IF($D21="","",$Q21*Setup!$E$24)</f>
        <v>1285470</v>
      </c>
      <c r="AA21" s="50" t="n">
        <f aca="false">IF($D21="","",$R21*Setup!$F$24)</f>
        <v>1330461.45</v>
      </c>
      <c r="AB21" s="50" t="n">
        <f aca="false">IF($D21="","",$S21*Setup!$G$24)</f>
        <v>1377027.60075</v>
      </c>
      <c r="AC21" s="50" t="n">
        <f aca="false">IF($D21="","",$T21*Setup!$H$24)</f>
        <v>0</v>
      </c>
      <c r="AD21" s="50" t="n">
        <f aca="false">IF($D21="","",SUM($X21:$AB21))</f>
        <v>6434959.05075</v>
      </c>
      <c r="AE21" s="50" t="n">
        <f aca="false">IF($D21="","",$AD21+$AC21)</f>
        <v>6434959.05075</v>
      </c>
      <c r="AF21" s="48" t="s">
        <v>159</v>
      </c>
      <c r="AG21" s="27" t="n">
        <v>1</v>
      </c>
      <c r="AH21" s="48"/>
      <c r="AI21" s="27"/>
      <c r="AJ21" s="52" t="n">
        <f aca="false">IF($D21="","",1-$AG21-$AI21)</f>
        <v>0</v>
      </c>
      <c r="AK21" s="50" t="n">
        <f aca="false">IF($D21="","",$AD21*($AG21+$AI21))</f>
        <v>6434959.05075</v>
      </c>
      <c r="AL21" s="50" t="n">
        <f aca="false">IF($D21="","",$AD21*$AJ21)</f>
        <v>0</v>
      </c>
    </row>
    <row r="22" customFormat="false" ht="25.5" hidden="false" customHeight="true" outlineLevel="0" collapsed="false">
      <c r="B22" s="42" t="s">
        <v>126</v>
      </c>
      <c r="C22" s="44" t="str">
        <f aca="false">IF($D22="","","CIP-"&amp;TEXT(ROW()-8,"000"))</f>
        <v>CIP-014</v>
      </c>
      <c r="D22" s="48" t="s">
        <v>222</v>
      </c>
      <c r="E22" s="48" t="s">
        <v>223</v>
      </c>
      <c r="F22" s="48" t="s">
        <v>152</v>
      </c>
      <c r="G22" s="48" t="s">
        <v>224</v>
      </c>
      <c r="H22" s="48" t="s">
        <v>154</v>
      </c>
      <c r="I22" s="48" t="s">
        <v>189</v>
      </c>
      <c r="J22" s="48" t="s">
        <v>174</v>
      </c>
      <c r="K22" s="48" t="s">
        <v>157</v>
      </c>
      <c r="L22" s="49" t="n">
        <v>18000000</v>
      </c>
      <c r="M22" s="49" t="n">
        <v>0</v>
      </c>
      <c r="N22" s="50" t="n">
        <f aca="false">IF($D22="","",$L22-$M22)</f>
        <v>18000000</v>
      </c>
      <c r="O22" s="49" t="n">
        <v>0</v>
      </c>
      <c r="P22" s="49" t="n">
        <v>0</v>
      </c>
      <c r="Q22" s="49" t="n">
        <v>2000000</v>
      </c>
      <c r="R22" s="49" t="n">
        <v>5000000</v>
      </c>
      <c r="S22" s="49" t="n">
        <v>6000000</v>
      </c>
      <c r="T22" s="49" t="n">
        <v>5000000</v>
      </c>
      <c r="U22" s="50" t="n">
        <f aca="false">IF($D22="","",SUM($O22:$T22))</f>
        <v>18000000</v>
      </c>
      <c r="V22" s="50" t="n">
        <f aca="false">IF($D22="","",$N22-$U22)</f>
        <v>0</v>
      </c>
      <c r="W22" s="51" t="str">
        <f aca="false">IF($D22="","",IF(ABS($N22-$U22)&lt;1,"OK","CHECK"))</f>
        <v>OK</v>
      </c>
      <c r="X22" s="50" t="n">
        <f aca="false">IF($D22="","",$O22*Setup!$C$24)</f>
        <v>0</v>
      </c>
      <c r="Y22" s="50" t="n">
        <f aca="false">IF($D22="","",$P22*Setup!$D$24)</f>
        <v>0</v>
      </c>
      <c r="Z22" s="50" t="n">
        <f aca="false">IF($D22="","",$Q22*Setup!$E$24)</f>
        <v>2142450</v>
      </c>
      <c r="AA22" s="50" t="n">
        <f aca="false">IF($D22="","",$R22*Setup!$F$24)</f>
        <v>5543589.375</v>
      </c>
      <c r="AB22" s="50" t="n">
        <f aca="false">IF($D22="","",$S22*Setup!$G$24)</f>
        <v>6885138.00375</v>
      </c>
      <c r="AC22" s="50" t="n">
        <f aca="false">IF($D22="","",$T22*Setup!$H$24)</f>
        <v>5938431.52823437</v>
      </c>
      <c r="AD22" s="50" t="n">
        <f aca="false">IF($D22="","",SUM($X22:$AB22))</f>
        <v>14571177.37875</v>
      </c>
      <c r="AE22" s="50" t="n">
        <f aca="false">IF($D22="","",$AD22+$AC22)</f>
        <v>20509608.9069844</v>
      </c>
      <c r="AF22" s="48" t="s">
        <v>225</v>
      </c>
      <c r="AG22" s="27" t="n">
        <v>0.4</v>
      </c>
      <c r="AH22" s="48" t="s">
        <v>158</v>
      </c>
      <c r="AI22" s="27" t="n">
        <v>0.3</v>
      </c>
      <c r="AJ22" s="52" t="n">
        <f aca="false">IF($D22="","",1-$AG22-$AI22)</f>
        <v>0.3</v>
      </c>
      <c r="AK22" s="50" t="n">
        <f aca="false">IF($D22="","",$AD22*($AG22+$AI22))</f>
        <v>10199824.165125</v>
      </c>
      <c r="AL22" s="50" t="n">
        <f aca="false">IF($D22="","",$AD22*$AJ22)</f>
        <v>4371353.213625</v>
      </c>
    </row>
    <row r="23" customFormat="false" ht="25.5" hidden="false" customHeight="true" outlineLevel="0" collapsed="false">
      <c r="B23" s="42" t="s">
        <v>126</v>
      </c>
      <c r="C23" s="44" t="str">
        <f aca="false">IF($D23="","","CIP-"&amp;TEXT(ROW()-8,"000"))</f>
        <v>CIP-015</v>
      </c>
      <c r="D23" s="48" t="s">
        <v>226</v>
      </c>
      <c r="E23" s="48" t="s">
        <v>227</v>
      </c>
      <c r="F23" s="48" t="s">
        <v>170</v>
      </c>
      <c r="G23" s="48" t="s">
        <v>205</v>
      </c>
      <c r="H23" s="48" t="s">
        <v>206</v>
      </c>
      <c r="I23" s="48" t="s">
        <v>173</v>
      </c>
      <c r="J23" s="48" t="s">
        <v>174</v>
      </c>
      <c r="K23" s="48" t="s">
        <v>202</v>
      </c>
      <c r="L23" s="49" t="n">
        <v>4200000</v>
      </c>
      <c r="M23" s="49" t="n">
        <v>0</v>
      </c>
      <c r="N23" s="50" t="n">
        <f aca="false">IF($D23="","",$L23-$M23)</f>
        <v>4200000</v>
      </c>
      <c r="O23" s="49" t="n">
        <v>0</v>
      </c>
      <c r="P23" s="49" t="n">
        <v>1200000</v>
      </c>
      <c r="Q23" s="49" t="n">
        <v>3000000</v>
      </c>
      <c r="R23" s="49" t="n">
        <v>0</v>
      </c>
      <c r="S23" s="49" t="n">
        <v>0</v>
      </c>
      <c r="T23" s="49" t="n">
        <v>0</v>
      </c>
      <c r="U23" s="50" t="n">
        <f aca="false">IF($D23="","",SUM($O23:$T23))</f>
        <v>4200000</v>
      </c>
      <c r="V23" s="50" t="n">
        <f aca="false">IF($D23="","",$N23-$U23)</f>
        <v>0</v>
      </c>
      <c r="W23" s="51" t="str">
        <f aca="false">IF($D23="","",IF(ABS($N23-$U23)&lt;1,"OK","CHECK"))</f>
        <v>OK</v>
      </c>
      <c r="X23" s="50" t="n">
        <f aca="false">IF($D23="","",$O23*Setup!$C$24)</f>
        <v>0</v>
      </c>
      <c r="Y23" s="50" t="n">
        <f aca="false">IF($D23="","",$P23*Setup!$D$24)</f>
        <v>1242000</v>
      </c>
      <c r="Z23" s="50" t="n">
        <f aca="false">IF($D23="","",$Q23*Setup!$E$24)</f>
        <v>3213675</v>
      </c>
      <c r="AA23" s="50" t="n">
        <f aca="false">IF($D23="","",$R23*Setup!$F$24)</f>
        <v>0</v>
      </c>
      <c r="AB23" s="50" t="n">
        <f aca="false">IF($D23="","",$S23*Setup!$G$24)</f>
        <v>0</v>
      </c>
      <c r="AC23" s="50" t="n">
        <f aca="false">IF($D23="","",$T23*Setup!$H$24)</f>
        <v>0</v>
      </c>
      <c r="AD23" s="50" t="n">
        <f aca="false">IF($D23="","",SUM($X23:$AB23))</f>
        <v>4455675</v>
      </c>
      <c r="AE23" s="50" t="n">
        <f aca="false">IF($D23="","",$AD23+$AC23)</f>
        <v>4455675</v>
      </c>
      <c r="AF23" s="48" t="s">
        <v>159</v>
      </c>
      <c r="AG23" s="27" t="n">
        <v>0.5</v>
      </c>
      <c r="AH23" s="48" t="s">
        <v>215</v>
      </c>
      <c r="AI23" s="27" t="n">
        <v>0.5</v>
      </c>
      <c r="AJ23" s="52" t="n">
        <f aca="false">IF($D23="","",1-$AG23-$AI23)</f>
        <v>0</v>
      </c>
      <c r="AK23" s="50" t="n">
        <f aca="false">IF($D23="","",$AD23*($AG23+$AI23))</f>
        <v>4455675</v>
      </c>
      <c r="AL23" s="50" t="n">
        <f aca="false">IF($D23="","",$AD23*$AJ23)</f>
        <v>0</v>
      </c>
    </row>
    <row r="24" customFormat="false" ht="25.5" hidden="false" customHeight="true" outlineLevel="0" collapsed="false">
      <c r="C24" s="44" t="str">
        <f aca="false">IF($D24="","","CIP-"&amp;TEXT(ROW()-8,"000"))</f>
        <v/>
      </c>
      <c r="D24" s="48"/>
      <c r="E24" s="48"/>
      <c r="F24" s="48"/>
      <c r="G24" s="48"/>
      <c r="H24" s="48"/>
      <c r="I24" s="48"/>
      <c r="J24" s="48"/>
      <c r="K24" s="48"/>
      <c r="L24" s="49"/>
      <c r="M24" s="49"/>
      <c r="N24" s="50" t="str">
        <f aca="false">IF($D24="","",$L24-$M24)</f>
        <v/>
      </c>
      <c r="O24" s="49"/>
      <c r="P24" s="49"/>
      <c r="Q24" s="49"/>
      <c r="R24" s="49"/>
      <c r="S24" s="49"/>
      <c r="T24" s="49"/>
      <c r="U24" s="50" t="str">
        <f aca="false">IF($D24="","",SUM($O24:$T24))</f>
        <v/>
      </c>
      <c r="V24" s="50" t="str">
        <f aca="false">IF($D24="","",$N24-$U24)</f>
        <v/>
      </c>
      <c r="W24" s="51" t="str">
        <f aca="false">IF($D24="","",IF(ABS($N24-$U24)&lt;1,"OK","CHECK"))</f>
        <v/>
      </c>
      <c r="X24" s="50" t="str">
        <f aca="false">IF($D24="","",$O24*Setup!$C$24)</f>
        <v/>
      </c>
      <c r="Y24" s="50" t="str">
        <f aca="false">IF($D24="","",$P24*Setup!$D$24)</f>
        <v/>
      </c>
      <c r="Z24" s="50" t="str">
        <f aca="false">IF($D24="","",$Q24*Setup!$E$24)</f>
        <v/>
      </c>
      <c r="AA24" s="50" t="str">
        <f aca="false">IF($D24="","",$R24*Setup!$F$24)</f>
        <v/>
      </c>
      <c r="AB24" s="50" t="str">
        <f aca="false">IF($D24="","",$S24*Setup!$G$24)</f>
        <v/>
      </c>
      <c r="AC24" s="50" t="str">
        <f aca="false">IF($D24="","",$T24*Setup!$H$24)</f>
        <v/>
      </c>
      <c r="AD24" s="50" t="str">
        <f aca="false">IF($D24="","",SUM($X24:$AB24))</f>
        <v/>
      </c>
      <c r="AE24" s="50" t="str">
        <f aca="false">IF($D24="","",$AD24+$AC24)</f>
        <v/>
      </c>
      <c r="AF24" s="48"/>
      <c r="AG24" s="27"/>
      <c r="AH24" s="48"/>
      <c r="AI24" s="27"/>
      <c r="AJ24" s="52" t="str">
        <f aca="false">IF($D24="","",1-$AG24-$AI24)</f>
        <v/>
      </c>
      <c r="AK24" s="50" t="str">
        <f aca="false">IF($D24="","",$AD24*($AG24+$AI24))</f>
        <v/>
      </c>
      <c r="AL24" s="50" t="str">
        <f aca="false">IF($D24="","",$AD24*$AJ24)</f>
        <v/>
      </c>
    </row>
    <row r="25" customFormat="false" ht="25.5" hidden="false" customHeight="true" outlineLevel="0" collapsed="false">
      <c r="C25" s="44" t="str">
        <f aca="false">IF($D25="","","CIP-"&amp;TEXT(ROW()-8,"000"))</f>
        <v/>
      </c>
      <c r="D25" s="48"/>
      <c r="E25" s="48"/>
      <c r="F25" s="48"/>
      <c r="G25" s="48"/>
      <c r="H25" s="48"/>
      <c r="I25" s="48"/>
      <c r="J25" s="48"/>
      <c r="K25" s="48"/>
      <c r="L25" s="49"/>
      <c r="M25" s="49"/>
      <c r="N25" s="50" t="str">
        <f aca="false">IF($D25="","",$L25-$M25)</f>
        <v/>
      </c>
      <c r="O25" s="49"/>
      <c r="P25" s="49"/>
      <c r="Q25" s="49"/>
      <c r="R25" s="49"/>
      <c r="S25" s="49"/>
      <c r="T25" s="49"/>
      <c r="U25" s="50" t="str">
        <f aca="false">IF($D25="","",SUM($O25:$T25))</f>
        <v/>
      </c>
      <c r="V25" s="50" t="str">
        <f aca="false">IF($D25="","",$N25-$U25)</f>
        <v/>
      </c>
      <c r="W25" s="51" t="str">
        <f aca="false">IF($D25="","",IF(ABS($N25-$U25)&lt;1,"OK","CHECK"))</f>
        <v/>
      </c>
      <c r="X25" s="50" t="str">
        <f aca="false">IF($D25="","",$O25*Setup!$C$24)</f>
        <v/>
      </c>
      <c r="Y25" s="50" t="str">
        <f aca="false">IF($D25="","",$P25*Setup!$D$24)</f>
        <v/>
      </c>
      <c r="Z25" s="50" t="str">
        <f aca="false">IF($D25="","",$Q25*Setup!$E$24)</f>
        <v/>
      </c>
      <c r="AA25" s="50" t="str">
        <f aca="false">IF($D25="","",$R25*Setup!$F$24)</f>
        <v/>
      </c>
      <c r="AB25" s="50" t="str">
        <f aca="false">IF($D25="","",$S25*Setup!$G$24)</f>
        <v/>
      </c>
      <c r="AC25" s="50" t="str">
        <f aca="false">IF($D25="","",$T25*Setup!$H$24)</f>
        <v/>
      </c>
      <c r="AD25" s="50" t="str">
        <f aca="false">IF($D25="","",SUM($X25:$AB25))</f>
        <v/>
      </c>
      <c r="AE25" s="50" t="str">
        <f aca="false">IF($D25="","",$AD25+$AC25)</f>
        <v/>
      </c>
      <c r="AF25" s="48"/>
      <c r="AG25" s="27"/>
      <c r="AH25" s="48"/>
      <c r="AI25" s="27"/>
      <c r="AJ25" s="52" t="str">
        <f aca="false">IF($D25="","",1-$AG25-$AI25)</f>
        <v/>
      </c>
      <c r="AK25" s="50" t="str">
        <f aca="false">IF($D25="","",$AD25*($AG25+$AI25))</f>
        <v/>
      </c>
      <c r="AL25" s="50" t="str">
        <f aca="false">IF($D25="","",$AD25*$AJ25)</f>
        <v/>
      </c>
    </row>
    <row r="26" customFormat="false" ht="25.5" hidden="false" customHeight="true" outlineLevel="0" collapsed="false">
      <c r="C26" s="44" t="str">
        <f aca="false">IF($D26="","","CIP-"&amp;TEXT(ROW()-8,"000"))</f>
        <v/>
      </c>
      <c r="D26" s="48"/>
      <c r="E26" s="48"/>
      <c r="F26" s="48"/>
      <c r="G26" s="48"/>
      <c r="H26" s="48"/>
      <c r="I26" s="48"/>
      <c r="J26" s="48"/>
      <c r="K26" s="48"/>
      <c r="L26" s="49"/>
      <c r="M26" s="49"/>
      <c r="N26" s="50" t="str">
        <f aca="false">IF($D26="","",$L26-$M26)</f>
        <v/>
      </c>
      <c r="O26" s="49"/>
      <c r="P26" s="49"/>
      <c r="Q26" s="49"/>
      <c r="R26" s="49"/>
      <c r="S26" s="49"/>
      <c r="T26" s="49"/>
      <c r="U26" s="50" t="str">
        <f aca="false">IF($D26="","",SUM($O26:$T26))</f>
        <v/>
      </c>
      <c r="V26" s="50" t="str">
        <f aca="false">IF($D26="","",$N26-$U26)</f>
        <v/>
      </c>
      <c r="W26" s="51" t="str">
        <f aca="false">IF($D26="","",IF(ABS($N26-$U26)&lt;1,"OK","CHECK"))</f>
        <v/>
      </c>
      <c r="X26" s="50" t="str">
        <f aca="false">IF($D26="","",$O26*Setup!$C$24)</f>
        <v/>
      </c>
      <c r="Y26" s="50" t="str">
        <f aca="false">IF($D26="","",$P26*Setup!$D$24)</f>
        <v/>
      </c>
      <c r="Z26" s="50" t="str">
        <f aca="false">IF($D26="","",$Q26*Setup!$E$24)</f>
        <v/>
      </c>
      <c r="AA26" s="50" t="str">
        <f aca="false">IF($D26="","",$R26*Setup!$F$24)</f>
        <v/>
      </c>
      <c r="AB26" s="50" t="str">
        <f aca="false">IF($D26="","",$S26*Setup!$G$24)</f>
        <v/>
      </c>
      <c r="AC26" s="50" t="str">
        <f aca="false">IF($D26="","",$T26*Setup!$H$24)</f>
        <v/>
      </c>
      <c r="AD26" s="50" t="str">
        <f aca="false">IF($D26="","",SUM($X26:$AB26))</f>
        <v/>
      </c>
      <c r="AE26" s="50" t="str">
        <f aca="false">IF($D26="","",$AD26+$AC26)</f>
        <v/>
      </c>
      <c r="AF26" s="48"/>
      <c r="AG26" s="27"/>
      <c r="AH26" s="48"/>
      <c r="AI26" s="27"/>
      <c r="AJ26" s="52" t="str">
        <f aca="false">IF($D26="","",1-$AG26-$AI26)</f>
        <v/>
      </c>
      <c r="AK26" s="50" t="str">
        <f aca="false">IF($D26="","",$AD26*($AG26+$AI26))</f>
        <v/>
      </c>
      <c r="AL26" s="50" t="str">
        <f aca="false">IF($D26="","",$AD26*$AJ26)</f>
        <v/>
      </c>
    </row>
    <row r="27" customFormat="false" ht="25.5" hidden="false" customHeight="true" outlineLevel="0" collapsed="false">
      <c r="C27" s="44" t="str">
        <f aca="false">IF($D27="","","CIP-"&amp;TEXT(ROW()-8,"000"))</f>
        <v/>
      </c>
      <c r="D27" s="48"/>
      <c r="E27" s="48"/>
      <c r="F27" s="48"/>
      <c r="G27" s="48"/>
      <c r="H27" s="48"/>
      <c r="I27" s="48"/>
      <c r="J27" s="48"/>
      <c r="K27" s="48"/>
      <c r="L27" s="49"/>
      <c r="M27" s="49"/>
      <c r="N27" s="50" t="str">
        <f aca="false">IF($D27="","",$L27-$M27)</f>
        <v/>
      </c>
      <c r="O27" s="49"/>
      <c r="P27" s="49"/>
      <c r="Q27" s="49"/>
      <c r="R27" s="49"/>
      <c r="S27" s="49"/>
      <c r="T27" s="49"/>
      <c r="U27" s="50" t="str">
        <f aca="false">IF($D27="","",SUM($O27:$T27))</f>
        <v/>
      </c>
      <c r="V27" s="50" t="str">
        <f aca="false">IF($D27="","",$N27-$U27)</f>
        <v/>
      </c>
      <c r="W27" s="51" t="str">
        <f aca="false">IF($D27="","",IF(ABS($N27-$U27)&lt;1,"OK","CHECK"))</f>
        <v/>
      </c>
      <c r="X27" s="50" t="str">
        <f aca="false">IF($D27="","",$O27*Setup!$C$24)</f>
        <v/>
      </c>
      <c r="Y27" s="50" t="str">
        <f aca="false">IF($D27="","",$P27*Setup!$D$24)</f>
        <v/>
      </c>
      <c r="Z27" s="50" t="str">
        <f aca="false">IF($D27="","",$Q27*Setup!$E$24)</f>
        <v/>
      </c>
      <c r="AA27" s="50" t="str">
        <f aca="false">IF($D27="","",$R27*Setup!$F$24)</f>
        <v/>
      </c>
      <c r="AB27" s="50" t="str">
        <f aca="false">IF($D27="","",$S27*Setup!$G$24)</f>
        <v/>
      </c>
      <c r="AC27" s="50" t="str">
        <f aca="false">IF($D27="","",$T27*Setup!$H$24)</f>
        <v/>
      </c>
      <c r="AD27" s="50" t="str">
        <f aca="false">IF($D27="","",SUM($X27:$AB27))</f>
        <v/>
      </c>
      <c r="AE27" s="50" t="str">
        <f aca="false">IF($D27="","",$AD27+$AC27)</f>
        <v/>
      </c>
      <c r="AF27" s="48"/>
      <c r="AG27" s="27"/>
      <c r="AH27" s="48"/>
      <c r="AI27" s="27"/>
      <c r="AJ27" s="52" t="str">
        <f aca="false">IF($D27="","",1-$AG27-$AI27)</f>
        <v/>
      </c>
      <c r="AK27" s="50" t="str">
        <f aca="false">IF($D27="","",$AD27*($AG27+$AI27))</f>
        <v/>
      </c>
      <c r="AL27" s="50" t="str">
        <f aca="false">IF($D27="","",$AD27*$AJ27)</f>
        <v/>
      </c>
    </row>
    <row r="28" customFormat="false" ht="25.5" hidden="false" customHeight="true" outlineLevel="0" collapsed="false">
      <c r="C28" s="44" t="str">
        <f aca="false">IF($D28="","","CIP-"&amp;TEXT(ROW()-8,"000"))</f>
        <v/>
      </c>
      <c r="D28" s="48"/>
      <c r="E28" s="48"/>
      <c r="F28" s="48"/>
      <c r="G28" s="48"/>
      <c r="H28" s="48"/>
      <c r="I28" s="48"/>
      <c r="J28" s="48"/>
      <c r="K28" s="48"/>
      <c r="L28" s="49"/>
      <c r="M28" s="49"/>
      <c r="N28" s="50" t="str">
        <f aca="false">IF($D28="","",$L28-$M28)</f>
        <v/>
      </c>
      <c r="O28" s="49"/>
      <c r="P28" s="49"/>
      <c r="Q28" s="49"/>
      <c r="R28" s="49"/>
      <c r="S28" s="49"/>
      <c r="T28" s="49"/>
      <c r="U28" s="50" t="str">
        <f aca="false">IF($D28="","",SUM($O28:$T28))</f>
        <v/>
      </c>
      <c r="V28" s="50" t="str">
        <f aca="false">IF($D28="","",$N28-$U28)</f>
        <v/>
      </c>
      <c r="W28" s="51" t="str">
        <f aca="false">IF($D28="","",IF(ABS($N28-$U28)&lt;1,"OK","CHECK"))</f>
        <v/>
      </c>
      <c r="X28" s="50" t="str">
        <f aca="false">IF($D28="","",$O28*Setup!$C$24)</f>
        <v/>
      </c>
      <c r="Y28" s="50" t="str">
        <f aca="false">IF($D28="","",$P28*Setup!$D$24)</f>
        <v/>
      </c>
      <c r="Z28" s="50" t="str">
        <f aca="false">IF($D28="","",$Q28*Setup!$E$24)</f>
        <v/>
      </c>
      <c r="AA28" s="50" t="str">
        <f aca="false">IF($D28="","",$R28*Setup!$F$24)</f>
        <v/>
      </c>
      <c r="AB28" s="50" t="str">
        <f aca="false">IF($D28="","",$S28*Setup!$G$24)</f>
        <v/>
      </c>
      <c r="AC28" s="50" t="str">
        <f aca="false">IF($D28="","",$T28*Setup!$H$24)</f>
        <v/>
      </c>
      <c r="AD28" s="50" t="str">
        <f aca="false">IF($D28="","",SUM($X28:$AB28))</f>
        <v/>
      </c>
      <c r="AE28" s="50" t="str">
        <f aca="false">IF($D28="","",$AD28+$AC28)</f>
        <v/>
      </c>
      <c r="AF28" s="48"/>
      <c r="AG28" s="27"/>
      <c r="AH28" s="48"/>
      <c r="AI28" s="27"/>
      <c r="AJ28" s="52" t="str">
        <f aca="false">IF($D28="","",1-$AG28-$AI28)</f>
        <v/>
      </c>
      <c r="AK28" s="50" t="str">
        <f aca="false">IF($D28="","",$AD28*($AG28+$AI28))</f>
        <v/>
      </c>
      <c r="AL28" s="50" t="str">
        <f aca="false">IF($D28="","",$AD28*$AJ28)</f>
        <v/>
      </c>
    </row>
    <row r="29" customFormat="false" ht="25.5" hidden="false" customHeight="true" outlineLevel="0" collapsed="false">
      <c r="C29" s="44" t="str">
        <f aca="false">IF($D29="","","CIP-"&amp;TEXT(ROW()-8,"000"))</f>
        <v/>
      </c>
      <c r="D29" s="48"/>
      <c r="E29" s="48"/>
      <c r="F29" s="48"/>
      <c r="G29" s="48"/>
      <c r="H29" s="48"/>
      <c r="I29" s="48"/>
      <c r="J29" s="48"/>
      <c r="K29" s="48"/>
      <c r="L29" s="49"/>
      <c r="M29" s="49"/>
      <c r="N29" s="50" t="str">
        <f aca="false">IF($D29="","",$L29-$M29)</f>
        <v/>
      </c>
      <c r="O29" s="49"/>
      <c r="P29" s="49"/>
      <c r="Q29" s="49"/>
      <c r="R29" s="49"/>
      <c r="S29" s="49"/>
      <c r="T29" s="49"/>
      <c r="U29" s="50" t="str">
        <f aca="false">IF($D29="","",SUM($O29:$T29))</f>
        <v/>
      </c>
      <c r="V29" s="50" t="str">
        <f aca="false">IF($D29="","",$N29-$U29)</f>
        <v/>
      </c>
      <c r="W29" s="51" t="str">
        <f aca="false">IF($D29="","",IF(ABS($N29-$U29)&lt;1,"OK","CHECK"))</f>
        <v/>
      </c>
      <c r="X29" s="50" t="str">
        <f aca="false">IF($D29="","",$O29*Setup!$C$24)</f>
        <v/>
      </c>
      <c r="Y29" s="50" t="str">
        <f aca="false">IF($D29="","",$P29*Setup!$D$24)</f>
        <v/>
      </c>
      <c r="Z29" s="50" t="str">
        <f aca="false">IF($D29="","",$Q29*Setup!$E$24)</f>
        <v/>
      </c>
      <c r="AA29" s="50" t="str">
        <f aca="false">IF($D29="","",$R29*Setup!$F$24)</f>
        <v/>
      </c>
      <c r="AB29" s="50" t="str">
        <f aca="false">IF($D29="","",$S29*Setup!$G$24)</f>
        <v/>
      </c>
      <c r="AC29" s="50" t="str">
        <f aca="false">IF($D29="","",$T29*Setup!$H$24)</f>
        <v/>
      </c>
      <c r="AD29" s="50" t="str">
        <f aca="false">IF($D29="","",SUM($X29:$AB29))</f>
        <v/>
      </c>
      <c r="AE29" s="50" t="str">
        <f aca="false">IF($D29="","",$AD29+$AC29)</f>
        <v/>
      </c>
      <c r="AF29" s="48"/>
      <c r="AG29" s="27"/>
      <c r="AH29" s="48"/>
      <c r="AI29" s="27"/>
      <c r="AJ29" s="52" t="str">
        <f aca="false">IF($D29="","",1-$AG29-$AI29)</f>
        <v/>
      </c>
      <c r="AK29" s="50" t="str">
        <f aca="false">IF($D29="","",$AD29*($AG29+$AI29))</f>
        <v/>
      </c>
      <c r="AL29" s="50" t="str">
        <f aca="false">IF($D29="","",$AD29*$AJ29)</f>
        <v/>
      </c>
    </row>
    <row r="30" customFormat="false" ht="25.5" hidden="false" customHeight="true" outlineLevel="0" collapsed="false">
      <c r="C30" s="44" t="str">
        <f aca="false">IF($D30="","","CIP-"&amp;TEXT(ROW()-8,"000"))</f>
        <v/>
      </c>
      <c r="D30" s="48"/>
      <c r="E30" s="48"/>
      <c r="F30" s="48"/>
      <c r="G30" s="48"/>
      <c r="H30" s="48"/>
      <c r="I30" s="48"/>
      <c r="J30" s="48"/>
      <c r="K30" s="48"/>
      <c r="L30" s="49"/>
      <c r="M30" s="49"/>
      <c r="N30" s="50" t="str">
        <f aca="false">IF($D30="","",$L30-$M30)</f>
        <v/>
      </c>
      <c r="O30" s="49"/>
      <c r="P30" s="49"/>
      <c r="Q30" s="49"/>
      <c r="R30" s="49"/>
      <c r="S30" s="49"/>
      <c r="T30" s="49"/>
      <c r="U30" s="50" t="str">
        <f aca="false">IF($D30="","",SUM($O30:$T30))</f>
        <v/>
      </c>
      <c r="V30" s="50" t="str">
        <f aca="false">IF($D30="","",$N30-$U30)</f>
        <v/>
      </c>
      <c r="W30" s="51" t="str">
        <f aca="false">IF($D30="","",IF(ABS($N30-$U30)&lt;1,"OK","CHECK"))</f>
        <v/>
      </c>
      <c r="X30" s="50" t="str">
        <f aca="false">IF($D30="","",$O30*Setup!$C$24)</f>
        <v/>
      </c>
      <c r="Y30" s="50" t="str">
        <f aca="false">IF($D30="","",$P30*Setup!$D$24)</f>
        <v/>
      </c>
      <c r="Z30" s="50" t="str">
        <f aca="false">IF($D30="","",$Q30*Setup!$E$24)</f>
        <v/>
      </c>
      <c r="AA30" s="50" t="str">
        <f aca="false">IF($D30="","",$R30*Setup!$F$24)</f>
        <v/>
      </c>
      <c r="AB30" s="50" t="str">
        <f aca="false">IF($D30="","",$S30*Setup!$G$24)</f>
        <v/>
      </c>
      <c r="AC30" s="50" t="str">
        <f aca="false">IF($D30="","",$T30*Setup!$H$24)</f>
        <v/>
      </c>
      <c r="AD30" s="50" t="str">
        <f aca="false">IF($D30="","",SUM($X30:$AB30))</f>
        <v/>
      </c>
      <c r="AE30" s="50" t="str">
        <f aca="false">IF($D30="","",$AD30+$AC30)</f>
        <v/>
      </c>
      <c r="AF30" s="48"/>
      <c r="AG30" s="27"/>
      <c r="AH30" s="48"/>
      <c r="AI30" s="27"/>
      <c r="AJ30" s="52" t="str">
        <f aca="false">IF($D30="","",1-$AG30-$AI30)</f>
        <v/>
      </c>
      <c r="AK30" s="50" t="str">
        <f aca="false">IF($D30="","",$AD30*($AG30+$AI30))</f>
        <v/>
      </c>
      <c r="AL30" s="50" t="str">
        <f aca="false">IF($D30="","",$AD30*$AJ30)</f>
        <v/>
      </c>
    </row>
    <row r="31" customFormat="false" ht="25.5" hidden="false" customHeight="true" outlineLevel="0" collapsed="false">
      <c r="C31" s="44" t="str">
        <f aca="false">IF($D31="","","CIP-"&amp;TEXT(ROW()-8,"000"))</f>
        <v/>
      </c>
      <c r="D31" s="48"/>
      <c r="E31" s="48"/>
      <c r="F31" s="48"/>
      <c r="G31" s="48"/>
      <c r="H31" s="48"/>
      <c r="I31" s="48"/>
      <c r="J31" s="48"/>
      <c r="K31" s="48"/>
      <c r="L31" s="49"/>
      <c r="M31" s="49"/>
      <c r="N31" s="50" t="str">
        <f aca="false">IF($D31="","",$L31-$M31)</f>
        <v/>
      </c>
      <c r="O31" s="49"/>
      <c r="P31" s="49"/>
      <c r="Q31" s="49"/>
      <c r="R31" s="49"/>
      <c r="S31" s="49"/>
      <c r="T31" s="49"/>
      <c r="U31" s="50" t="str">
        <f aca="false">IF($D31="","",SUM($O31:$T31))</f>
        <v/>
      </c>
      <c r="V31" s="50" t="str">
        <f aca="false">IF($D31="","",$N31-$U31)</f>
        <v/>
      </c>
      <c r="W31" s="51" t="str">
        <f aca="false">IF($D31="","",IF(ABS($N31-$U31)&lt;1,"OK","CHECK"))</f>
        <v/>
      </c>
      <c r="X31" s="50" t="str">
        <f aca="false">IF($D31="","",$O31*Setup!$C$24)</f>
        <v/>
      </c>
      <c r="Y31" s="50" t="str">
        <f aca="false">IF($D31="","",$P31*Setup!$D$24)</f>
        <v/>
      </c>
      <c r="Z31" s="50" t="str">
        <f aca="false">IF($D31="","",$Q31*Setup!$E$24)</f>
        <v/>
      </c>
      <c r="AA31" s="50" t="str">
        <f aca="false">IF($D31="","",$R31*Setup!$F$24)</f>
        <v/>
      </c>
      <c r="AB31" s="50" t="str">
        <f aca="false">IF($D31="","",$S31*Setup!$G$24)</f>
        <v/>
      </c>
      <c r="AC31" s="50" t="str">
        <f aca="false">IF($D31="","",$T31*Setup!$H$24)</f>
        <v/>
      </c>
      <c r="AD31" s="50" t="str">
        <f aca="false">IF($D31="","",SUM($X31:$AB31))</f>
        <v/>
      </c>
      <c r="AE31" s="50" t="str">
        <f aca="false">IF($D31="","",$AD31+$AC31)</f>
        <v/>
      </c>
      <c r="AF31" s="48"/>
      <c r="AG31" s="27"/>
      <c r="AH31" s="48"/>
      <c r="AI31" s="27"/>
      <c r="AJ31" s="52" t="str">
        <f aca="false">IF($D31="","",1-$AG31-$AI31)</f>
        <v/>
      </c>
      <c r="AK31" s="50" t="str">
        <f aca="false">IF($D31="","",$AD31*($AG31+$AI31))</f>
        <v/>
      </c>
      <c r="AL31" s="50" t="str">
        <f aca="false">IF($D31="","",$AD31*$AJ31)</f>
        <v/>
      </c>
    </row>
    <row r="32" customFormat="false" ht="25.5" hidden="false" customHeight="true" outlineLevel="0" collapsed="false">
      <c r="C32" s="44" t="str">
        <f aca="false">IF($D32="","","CIP-"&amp;TEXT(ROW()-8,"000"))</f>
        <v/>
      </c>
      <c r="D32" s="48"/>
      <c r="E32" s="48"/>
      <c r="F32" s="48"/>
      <c r="G32" s="48"/>
      <c r="H32" s="48"/>
      <c r="I32" s="48"/>
      <c r="J32" s="48"/>
      <c r="K32" s="48"/>
      <c r="L32" s="49"/>
      <c r="M32" s="49"/>
      <c r="N32" s="50" t="str">
        <f aca="false">IF($D32="","",$L32-$M32)</f>
        <v/>
      </c>
      <c r="O32" s="49"/>
      <c r="P32" s="49"/>
      <c r="Q32" s="49"/>
      <c r="R32" s="49"/>
      <c r="S32" s="49"/>
      <c r="T32" s="49"/>
      <c r="U32" s="50" t="str">
        <f aca="false">IF($D32="","",SUM($O32:$T32))</f>
        <v/>
      </c>
      <c r="V32" s="50" t="str">
        <f aca="false">IF($D32="","",$N32-$U32)</f>
        <v/>
      </c>
      <c r="W32" s="51" t="str">
        <f aca="false">IF($D32="","",IF(ABS($N32-$U32)&lt;1,"OK","CHECK"))</f>
        <v/>
      </c>
      <c r="X32" s="50" t="str">
        <f aca="false">IF($D32="","",$O32*Setup!$C$24)</f>
        <v/>
      </c>
      <c r="Y32" s="50" t="str">
        <f aca="false">IF($D32="","",$P32*Setup!$D$24)</f>
        <v/>
      </c>
      <c r="Z32" s="50" t="str">
        <f aca="false">IF($D32="","",$Q32*Setup!$E$24)</f>
        <v/>
      </c>
      <c r="AA32" s="50" t="str">
        <f aca="false">IF($D32="","",$R32*Setup!$F$24)</f>
        <v/>
      </c>
      <c r="AB32" s="50" t="str">
        <f aca="false">IF($D32="","",$S32*Setup!$G$24)</f>
        <v/>
      </c>
      <c r="AC32" s="50" t="str">
        <f aca="false">IF($D32="","",$T32*Setup!$H$24)</f>
        <v/>
      </c>
      <c r="AD32" s="50" t="str">
        <f aca="false">IF($D32="","",SUM($X32:$AB32))</f>
        <v/>
      </c>
      <c r="AE32" s="50" t="str">
        <f aca="false">IF($D32="","",$AD32+$AC32)</f>
        <v/>
      </c>
      <c r="AF32" s="48"/>
      <c r="AG32" s="27"/>
      <c r="AH32" s="48"/>
      <c r="AI32" s="27"/>
      <c r="AJ32" s="52" t="str">
        <f aca="false">IF($D32="","",1-$AG32-$AI32)</f>
        <v/>
      </c>
      <c r="AK32" s="50" t="str">
        <f aca="false">IF($D32="","",$AD32*($AG32+$AI32))</f>
        <v/>
      </c>
      <c r="AL32" s="50" t="str">
        <f aca="false">IF($D32="","",$AD32*$AJ32)</f>
        <v/>
      </c>
    </row>
    <row r="33" customFormat="false" ht="25.5" hidden="false" customHeight="true" outlineLevel="0" collapsed="false">
      <c r="C33" s="44" t="str">
        <f aca="false">IF($D33="","","CIP-"&amp;TEXT(ROW()-8,"000"))</f>
        <v/>
      </c>
      <c r="D33" s="48"/>
      <c r="E33" s="48"/>
      <c r="F33" s="48"/>
      <c r="G33" s="48"/>
      <c r="H33" s="48"/>
      <c r="I33" s="48"/>
      <c r="J33" s="48"/>
      <c r="K33" s="48"/>
      <c r="L33" s="49"/>
      <c r="M33" s="49"/>
      <c r="N33" s="50" t="str">
        <f aca="false">IF($D33="","",$L33-$M33)</f>
        <v/>
      </c>
      <c r="O33" s="49"/>
      <c r="P33" s="49"/>
      <c r="Q33" s="49"/>
      <c r="R33" s="49"/>
      <c r="S33" s="49"/>
      <c r="T33" s="49"/>
      <c r="U33" s="50" t="str">
        <f aca="false">IF($D33="","",SUM($O33:$T33))</f>
        <v/>
      </c>
      <c r="V33" s="50" t="str">
        <f aca="false">IF($D33="","",$N33-$U33)</f>
        <v/>
      </c>
      <c r="W33" s="51" t="str">
        <f aca="false">IF($D33="","",IF(ABS($N33-$U33)&lt;1,"OK","CHECK"))</f>
        <v/>
      </c>
      <c r="X33" s="50" t="str">
        <f aca="false">IF($D33="","",$O33*Setup!$C$24)</f>
        <v/>
      </c>
      <c r="Y33" s="50" t="str">
        <f aca="false">IF($D33="","",$P33*Setup!$D$24)</f>
        <v/>
      </c>
      <c r="Z33" s="50" t="str">
        <f aca="false">IF($D33="","",$Q33*Setup!$E$24)</f>
        <v/>
      </c>
      <c r="AA33" s="50" t="str">
        <f aca="false">IF($D33="","",$R33*Setup!$F$24)</f>
        <v/>
      </c>
      <c r="AB33" s="50" t="str">
        <f aca="false">IF($D33="","",$S33*Setup!$G$24)</f>
        <v/>
      </c>
      <c r="AC33" s="50" t="str">
        <f aca="false">IF($D33="","",$T33*Setup!$H$24)</f>
        <v/>
      </c>
      <c r="AD33" s="50" t="str">
        <f aca="false">IF($D33="","",SUM($X33:$AB33))</f>
        <v/>
      </c>
      <c r="AE33" s="50" t="str">
        <f aca="false">IF($D33="","",$AD33+$AC33)</f>
        <v/>
      </c>
      <c r="AF33" s="48"/>
      <c r="AG33" s="27"/>
      <c r="AH33" s="48"/>
      <c r="AI33" s="27"/>
      <c r="AJ33" s="52" t="str">
        <f aca="false">IF($D33="","",1-$AG33-$AI33)</f>
        <v/>
      </c>
      <c r="AK33" s="50" t="str">
        <f aca="false">IF($D33="","",$AD33*($AG33+$AI33))</f>
        <v/>
      </c>
      <c r="AL33" s="50" t="str">
        <f aca="false">IF($D33="","",$AD33*$AJ33)</f>
        <v/>
      </c>
    </row>
    <row r="34" customFormat="false" ht="25.5" hidden="false" customHeight="true" outlineLevel="0" collapsed="false">
      <c r="C34" s="44" t="str">
        <f aca="false">IF($D34="","","CIP-"&amp;TEXT(ROW()-8,"000"))</f>
        <v/>
      </c>
      <c r="D34" s="48"/>
      <c r="E34" s="48"/>
      <c r="F34" s="48"/>
      <c r="G34" s="48"/>
      <c r="H34" s="48"/>
      <c r="I34" s="48"/>
      <c r="J34" s="48"/>
      <c r="K34" s="48"/>
      <c r="L34" s="49"/>
      <c r="M34" s="49"/>
      <c r="N34" s="50" t="str">
        <f aca="false">IF($D34="","",$L34-$M34)</f>
        <v/>
      </c>
      <c r="O34" s="49"/>
      <c r="P34" s="49"/>
      <c r="Q34" s="49"/>
      <c r="R34" s="49"/>
      <c r="S34" s="49"/>
      <c r="T34" s="49"/>
      <c r="U34" s="50" t="str">
        <f aca="false">IF($D34="","",SUM($O34:$T34))</f>
        <v/>
      </c>
      <c r="V34" s="50" t="str">
        <f aca="false">IF($D34="","",$N34-$U34)</f>
        <v/>
      </c>
      <c r="W34" s="51" t="str">
        <f aca="false">IF($D34="","",IF(ABS($N34-$U34)&lt;1,"OK","CHECK"))</f>
        <v/>
      </c>
      <c r="X34" s="50" t="str">
        <f aca="false">IF($D34="","",$O34*Setup!$C$24)</f>
        <v/>
      </c>
      <c r="Y34" s="50" t="str">
        <f aca="false">IF($D34="","",$P34*Setup!$D$24)</f>
        <v/>
      </c>
      <c r="Z34" s="50" t="str">
        <f aca="false">IF($D34="","",$Q34*Setup!$E$24)</f>
        <v/>
      </c>
      <c r="AA34" s="50" t="str">
        <f aca="false">IF($D34="","",$R34*Setup!$F$24)</f>
        <v/>
      </c>
      <c r="AB34" s="50" t="str">
        <f aca="false">IF($D34="","",$S34*Setup!$G$24)</f>
        <v/>
      </c>
      <c r="AC34" s="50" t="str">
        <f aca="false">IF($D34="","",$T34*Setup!$H$24)</f>
        <v/>
      </c>
      <c r="AD34" s="50" t="str">
        <f aca="false">IF($D34="","",SUM($X34:$AB34))</f>
        <v/>
      </c>
      <c r="AE34" s="50" t="str">
        <f aca="false">IF($D34="","",$AD34+$AC34)</f>
        <v/>
      </c>
      <c r="AF34" s="48"/>
      <c r="AG34" s="27"/>
      <c r="AH34" s="48"/>
      <c r="AI34" s="27"/>
      <c r="AJ34" s="52" t="str">
        <f aca="false">IF($D34="","",1-$AG34-$AI34)</f>
        <v/>
      </c>
      <c r="AK34" s="50" t="str">
        <f aca="false">IF($D34="","",$AD34*($AG34+$AI34))</f>
        <v/>
      </c>
      <c r="AL34" s="50" t="str">
        <f aca="false">IF($D34="","",$AD34*$AJ34)</f>
        <v/>
      </c>
    </row>
    <row r="35" customFormat="false" ht="25.5" hidden="false" customHeight="true" outlineLevel="0" collapsed="false">
      <c r="C35" s="44" t="str">
        <f aca="false">IF($D35="","","CIP-"&amp;TEXT(ROW()-8,"000"))</f>
        <v/>
      </c>
      <c r="D35" s="48"/>
      <c r="E35" s="48"/>
      <c r="F35" s="48"/>
      <c r="G35" s="48"/>
      <c r="H35" s="48"/>
      <c r="I35" s="48"/>
      <c r="J35" s="48"/>
      <c r="K35" s="48"/>
      <c r="L35" s="49"/>
      <c r="M35" s="49"/>
      <c r="N35" s="50" t="str">
        <f aca="false">IF($D35="","",$L35-$M35)</f>
        <v/>
      </c>
      <c r="O35" s="49"/>
      <c r="P35" s="49"/>
      <c r="Q35" s="49"/>
      <c r="R35" s="49"/>
      <c r="S35" s="49"/>
      <c r="T35" s="49"/>
      <c r="U35" s="50" t="str">
        <f aca="false">IF($D35="","",SUM($O35:$T35))</f>
        <v/>
      </c>
      <c r="V35" s="50" t="str">
        <f aca="false">IF($D35="","",$N35-$U35)</f>
        <v/>
      </c>
      <c r="W35" s="51" t="str">
        <f aca="false">IF($D35="","",IF(ABS($N35-$U35)&lt;1,"OK","CHECK"))</f>
        <v/>
      </c>
      <c r="X35" s="50" t="str">
        <f aca="false">IF($D35="","",$O35*Setup!$C$24)</f>
        <v/>
      </c>
      <c r="Y35" s="50" t="str">
        <f aca="false">IF($D35="","",$P35*Setup!$D$24)</f>
        <v/>
      </c>
      <c r="Z35" s="50" t="str">
        <f aca="false">IF($D35="","",$Q35*Setup!$E$24)</f>
        <v/>
      </c>
      <c r="AA35" s="50" t="str">
        <f aca="false">IF($D35="","",$R35*Setup!$F$24)</f>
        <v/>
      </c>
      <c r="AB35" s="50" t="str">
        <f aca="false">IF($D35="","",$S35*Setup!$G$24)</f>
        <v/>
      </c>
      <c r="AC35" s="50" t="str">
        <f aca="false">IF($D35="","",$T35*Setup!$H$24)</f>
        <v/>
      </c>
      <c r="AD35" s="50" t="str">
        <f aca="false">IF($D35="","",SUM($X35:$AB35))</f>
        <v/>
      </c>
      <c r="AE35" s="50" t="str">
        <f aca="false">IF($D35="","",$AD35+$AC35)</f>
        <v/>
      </c>
      <c r="AF35" s="48"/>
      <c r="AG35" s="27"/>
      <c r="AH35" s="48"/>
      <c r="AI35" s="27"/>
      <c r="AJ35" s="52" t="str">
        <f aca="false">IF($D35="","",1-$AG35-$AI35)</f>
        <v/>
      </c>
      <c r="AK35" s="50" t="str">
        <f aca="false">IF($D35="","",$AD35*($AG35+$AI35))</f>
        <v/>
      </c>
      <c r="AL35" s="50" t="str">
        <f aca="false">IF($D35="","",$AD35*$AJ35)</f>
        <v/>
      </c>
    </row>
    <row r="36" customFormat="false" ht="25.5" hidden="false" customHeight="true" outlineLevel="0" collapsed="false">
      <c r="C36" s="44" t="str">
        <f aca="false">IF($D36="","","CIP-"&amp;TEXT(ROW()-8,"000"))</f>
        <v/>
      </c>
      <c r="D36" s="48"/>
      <c r="E36" s="48"/>
      <c r="F36" s="48"/>
      <c r="G36" s="48"/>
      <c r="H36" s="48"/>
      <c r="I36" s="48"/>
      <c r="J36" s="48"/>
      <c r="K36" s="48"/>
      <c r="L36" s="49"/>
      <c r="M36" s="49"/>
      <c r="N36" s="50" t="str">
        <f aca="false">IF($D36="","",$L36-$M36)</f>
        <v/>
      </c>
      <c r="O36" s="49"/>
      <c r="P36" s="49"/>
      <c r="Q36" s="49"/>
      <c r="R36" s="49"/>
      <c r="S36" s="49"/>
      <c r="T36" s="49"/>
      <c r="U36" s="50" t="str">
        <f aca="false">IF($D36="","",SUM($O36:$T36))</f>
        <v/>
      </c>
      <c r="V36" s="50" t="str">
        <f aca="false">IF($D36="","",$N36-$U36)</f>
        <v/>
      </c>
      <c r="W36" s="51" t="str">
        <f aca="false">IF($D36="","",IF(ABS($N36-$U36)&lt;1,"OK","CHECK"))</f>
        <v/>
      </c>
      <c r="X36" s="50" t="str">
        <f aca="false">IF($D36="","",$O36*Setup!$C$24)</f>
        <v/>
      </c>
      <c r="Y36" s="50" t="str">
        <f aca="false">IF($D36="","",$P36*Setup!$D$24)</f>
        <v/>
      </c>
      <c r="Z36" s="50" t="str">
        <f aca="false">IF($D36="","",$Q36*Setup!$E$24)</f>
        <v/>
      </c>
      <c r="AA36" s="50" t="str">
        <f aca="false">IF($D36="","",$R36*Setup!$F$24)</f>
        <v/>
      </c>
      <c r="AB36" s="50" t="str">
        <f aca="false">IF($D36="","",$S36*Setup!$G$24)</f>
        <v/>
      </c>
      <c r="AC36" s="50" t="str">
        <f aca="false">IF($D36="","",$T36*Setup!$H$24)</f>
        <v/>
      </c>
      <c r="AD36" s="50" t="str">
        <f aca="false">IF($D36="","",SUM($X36:$AB36))</f>
        <v/>
      </c>
      <c r="AE36" s="50" t="str">
        <f aca="false">IF($D36="","",$AD36+$AC36)</f>
        <v/>
      </c>
      <c r="AF36" s="48"/>
      <c r="AG36" s="27"/>
      <c r="AH36" s="48"/>
      <c r="AI36" s="27"/>
      <c r="AJ36" s="52" t="str">
        <f aca="false">IF($D36="","",1-$AG36-$AI36)</f>
        <v/>
      </c>
      <c r="AK36" s="50" t="str">
        <f aca="false">IF($D36="","",$AD36*($AG36+$AI36))</f>
        <v/>
      </c>
      <c r="AL36" s="50" t="str">
        <f aca="false">IF($D36="","",$AD36*$AJ36)</f>
        <v/>
      </c>
    </row>
    <row r="37" customFormat="false" ht="25.5" hidden="false" customHeight="true" outlineLevel="0" collapsed="false">
      <c r="C37" s="44" t="str">
        <f aca="false">IF($D37="","","CIP-"&amp;TEXT(ROW()-8,"000"))</f>
        <v/>
      </c>
      <c r="D37" s="48"/>
      <c r="E37" s="48"/>
      <c r="F37" s="48"/>
      <c r="G37" s="48"/>
      <c r="H37" s="48"/>
      <c r="I37" s="48"/>
      <c r="J37" s="48"/>
      <c r="K37" s="48"/>
      <c r="L37" s="49"/>
      <c r="M37" s="49"/>
      <c r="N37" s="50" t="str">
        <f aca="false">IF($D37="","",$L37-$M37)</f>
        <v/>
      </c>
      <c r="O37" s="49"/>
      <c r="P37" s="49"/>
      <c r="Q37" s="49"/>
      <c r="R37" s="49"/>
      <c r="S37" s="49"/>
      <c r="T37" s="49"/>
      <c r="U37" s="50" t="str">
        <f aca="false">IF($D37="","",SUM($O37:$T37))</f>
        <v/>
      </c>
      <c r="V37" s="50" t="str">
        <f aca="false">IF($D37="","",$N37-$U37)</f>
        <v/>
      </c>
      <c r="W37" s="51" t="str">
        <f aca="false">IF($D37="","",IF(ABS($N37-$U37)&lt;1,"OK","CHECK"))</f>
        <v/>
      </c>
      <c r="X37" s="50" t="str">
        <f aca="false">IF($D37="","",$O37*Setup!$C$24)</f>
        <v/>
      </c>
      <c r="Y37" s="50" t="str">
        <f aca="false">IF($D37="","",$P37*Setup!$D$24)</f>
        <v/>
      </c>
      <c r="Z37" s="50" t="str">
        <f aca="false">IF($D37="","",$Q37*Setup!$E$24)</f>
        <v/>
      </c>
      <c r="AA37" s="50" t="str">
        <f aca="false">IF($D37="","",$R37*Setup!$F$24)</f>
        <v/>
      </c>
      <c r="AB37" s="50" t="str">
        <f aca="false">IF($D37="","",$S37*Setup!$G$24)</f>
        <v/>
      </c>
      <c r="AC37" s="50" t="str">
        <f aca="false">IF($D37="","",$T37*Setup!$H$24)</f>
        <v/>
      </c>
      <c r="AD37" s="50" t="str">
        <f aca="false">IF($D37="","",SUM($X37:$AB37))</f>
        <v/>
      </c>
      <c r="AE37" s="50" t="str">
        <f aca="false">IF($D37="","",$AD37+$AC37)</f>
        <v/>
      </c>
      <c r="AF37" s="48"/>
      <c r="AG37" s="27"/>
      <c r="AH37" s="48"/>
      <c r="AI37" s="27"/>
      <c r="AJ37" s="52" t="str">
        <f aca="false">IF($D37="","",1-$AG37-$AI37)</f>
        <v/>
      </c>
      <c r="AK37" s="50" t="str">
        <f aca="false">IF($D37="","",$AD37*($AG37+$AI37))</f>
        <v/>
      </c>
      <c r="AL37" s="50" t="str">
        <f aca="false">IF($D37="","",$AD37*$AJ37)</f>
        <v/>
      </c>
    </row>
    <row r="38" customFormat="false" ht="25.5" hidden="false" customHeight="true" outlineLevel="0" collapsed="false">
      <c r="C38" s="44" t="str">
        <f aca="false">IF($D38="","","CIP-"&amp;TEXT(ROW()-8,"000"))</f>
        <v/>
      </c>
      <c r="D38" s="48"/>
      <c r="E38" s="48"/>
      <c r="F38" s="48"/>
      <c r="G38" s="48"/>
      <c r="H38" s="48"/>
      <c r="I38" s="48"/>
      <c r="J38" s="48"/>
      <c r="K38" s="48"/>
      <c r="L38" s="49"/>
      <c r="M38" s="49"/>
      <c r="N38" s="50" t="str">
        <f aca="false">IF($D38="","",$L38-$M38)</f>
        <v/>
      </c>
      <c r="O38" s="49"/>
      <c r="P38" s="49"/>
      <c r="Q38" s="49"/>
      <c r="R38" s="49"/>
      <c r="S38" s="49"/>
      <c r="T38" s="49"/>
      <c r="U38" s="50" t="str">
        <f aca="false">IF($D38="","",SUM($O38:$T38))</f>
        <v/>
      </c>
      <c r="V38" s="50" t="str">
        <f aca="false">IF($D38="","",$N38-$U38)</f>
        <v/>
      </c>
      <c r="W38" s="51" t="str">
        <f aca="false">IF($D38="","",IF(ABS($N38-$U38)&lt;1,"OK","CHECK"))</f>
        <v/>
      </c>
      <c r="X38" s="50" t="str">
        <f aca="false">IF($D38="","",$O38*Setup!$C$24)</f>
        <v/>
      </c>
      <c r="Y38" s="50" t="str">
        <f aca="false">IF($D38="","",$P38*Setup!$D$24)</f>
        <v/>
      </c>
      <c r="Z38" s="50" t="str">
        <f aca="false">IF($D38="","",$Q38*Setup!$E$24)</f>
        <v/>
      </c>
      <c r="AA38" s="50" t="str">
        <f aca="false">IF($D38="","",$R38*Setup!$F$24)</f>
        <v/>
      </c>
      <c r="AB38" s="50" t="str">
        <f aca="false">IF($D38="","",$S38*Setup!$G$24)</f>
        <v/>
      </c>
      <c r="AC38" s="50" t="str">
        <f aca="false">IF($D38="","",$T38*Setup!$H$24)</f>
        <v/>
      </c>
      <c r="AD38" s="50" t="str">
        <f aca="false">IF($D38="","",SUM($X38:$AB38))</f>
        <v/>
      </c>
      <c r="AE38" s="50" t="str">
        <f aca="false">IF($D38="","",$AD38+$AC38)</f>
        <v/>
      </c>
      <c r="AF38" s="48"/>
      <c r="AG38" s="27"/>
      <c r="AH38" s="48"/>
      <c r="AI38" s="27"/>
      <c r="AJ38" s="52" t="str">
        <f aca="false">IF($D38="","",1-$AG38-$AI38)</f>
        <v/>
      </c>
      <c r="AK38" s="50" t="str">
        <f aca="false">IF($D38="","",$AD38*($AG38+$AI38))</f>
        <v/>
      </c>
      <c r="AL38" s="50" t="str">
        <f aca="false">IF($D38="","",$AD38*$AJ38)</f>
        <v/>
      </c>
    </row>
    <row r="39" customFormat="false" ht="19.5" hidden="false" customHeight="true" outlineLevel="0" collapsed="false">
      <c r="B39" s="36"/>
      <c r="C39" s="53" t="str">
        <f aca="false">COUNTIF($C$9:$C$38,"?*")&amp;" projects"</f>
        <v>15 projects</v>
      </c>
      <c r="D39" s="34" t="s">
        <v>228</v>
      </c>
      <c r="E39" s="36"/>
      <c r="F39" s="36"/>
      <c r="G39" s="36"/>
      <c r="H39" s="36"/>
      <c r="I39" s="36"/>
      <c r="J39" s="36"/>
      <c r="K39" s="36"/>
      <c r="L39" s="54" t="n">
        <f aca="false">SUM(L9:L38)</f>
        <v>219600000</v>
      </c>
      <c r="M39" s="54" t="n">
        <f aca="false">SUM(M9:M38)</f>
        <v>6000000</v>
      </c>
      <c r="N39" s="54" t="n">
        <f aca="false">SUM(N9:N38)</f>
        <v>213600000</v>
      </c>
      <c r="O39" s="54" t="n">
        <f aca="false">SUM(O9:O38)</f>
        <v>22850000</v>
      </c>
      <c r="P39" s="54" t="n">
        <f aca="false">SUM(P9:P38)</f>
        <v>46750000</v>
      </c>
      <c r="Q39" s="54" t="n">
        <f aca="false">SUM(Q9:Q38)</f>
        <v>55700000</v>
      </c>
      <c r="R39" s="54" t="n">
        <f aca="false">SUM(R9:R38)</f>
        <v>48600000</v>
      </c>
      <c r="S39" s="54" t="n">
        <f aca="false">SUM(S9:S38)</f>
        <v>30200000</v>
      </c>
      <c r="T39" s="54" t="n">
        <f aca="false">SUM(T9:T38)</f>
        <v>9500000</v>
      </c>
      <c r="U39" s="54" t="n">
        <f aca="false">SUM(U9:U38)</f>
        <v>213600000</v>
      </c>
      <c r="V39" s="54" t="n">
        <f aca="false">SUM(V9:V38)</f>
        <v>0</v>
      </c>
      <c r="W39" s="55" t="n">
        <f aca="false">COUNTIF($W$9:$W$38,"CHECK")</f>
        <v>0</v>
      </c>
      <c r="X39" s="54" t="n">
        <f aca="false">SUM(X9:X38)</f>
        <v>22850000</v>
      </c>
      <c r="Y39" s="54" t="n">
        <f aca="false">SUM(Y9:Y38)</f>
        <v>48386250</v>
      </c>
      <c r="Z39" s="54" t="n">
        <f aca="false">SUM(Z9:Z38)</f>
        <v>59667232.5</v>
      </c>
      <c r="AA39" s="54" t="n">
        <f aca="false">SUM(AA9:AA38)</f>
        <v>53883688.725</v>
      </c>
      <c r="AB39" s="54" t="n">
        <f aca="false">SUM(AB9:AB38)</f>
        <v>34655194.618875</v>
      </c>
      <c r="AC39" s="54" t="n">
        <f aca="false">SUM(AC9:AC38)</f>
        <v>11283019.9036453</v>
      </c>
      <c r="AD39" s="54" t="n">
        <f aca="false">SUM(AD9:AD38)</f>
        <v>219442365.843875</v>
      </c>
      <c r="AE39" s="54" t="n">
        <f aca="false">SUM(AE9:AE38)</f>
        <v>230725385.74752</v>
      </c>
      <c r="AF39" s="36"/>
      <c r="AG39" s="36"/>
      <c r="AH39" s="36"/>
      <c r="AI39" s="36"/>
      <c r="AJ39" s="56" t="n">
        <f aca="false">IFERROR($AL$39/$AD$39,0)</f>
        <v>0.144326301331532</v>
      </c>
      <c r="AK39" s="54" t="n">
        <f aca="false">SUM(AK9:AK38)</f>
        <v>187771060.826187</v>
      </c>
      <c r="AL39" s="54" t="n">
        <f aca="false">SUM(AL9:AL38)</f>
        <v>31671305.0176875</v>
      </c>
    </row>
    <row r="41" customFormat="false" ht="19.5" hidden="false" customHeight="true" outlineLevel="0" collapsed="false">
      <c r="B41" s="57" t="s">
        <v>229</v>
      </c>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row>
    <row r="42" customFormat="false" ht="18" hidden="false" customHeight="true" outlineLevel="0" collapsed="false">
      <c r="B42" s="18" t="s">
        <v>230</v>
      </c>
      <c r="C42" s="18"/>
      <c r="D42" s="18"/>
      <c r="E42" s="38" t="str">
        <f aca="false">IF(COUNTIF($W$9:$W$38,"CHECK")=0,"RECONCILED - every project phases exactly to its remaining cost","EXCEPTION - "&amp;TEXT(COUNTIF($W$9:$W$38,"CHECK"),"0")&amp;" project(s) do not phase to their remaining cost. Fix the red variance cells.")</f>
        <v>RECONCILED - every project phases exactly to its remaining cost</v>
      </c>
      <c r="F42" s="38"/>
      <c r="G42" s="38"/>
      <c r="H42" s="38"/>
      <c r="I42" s="38"/>
      <c r="J42" s="38"/>
      <c r="K42" s="38"/>
      <c r="L42" s="38"/>
      <c r="M42" s="38"/>
      <c r="N42" s="38"/>
      <c r="O42" s="38"/>
      <c r="P42" s="38"/>
      <c r="Q42" s="38"/>
      <c r="R42" s="38"/>
      <c r="S42" s="38"/>
      <c r="T42" s="38"/>
      <c r="U42" s="38"/>
      <c r="V42" s="38"/>
      <c r="W42" s="38"/>
    </row>
    <row r="43" customFormat="false" ht="18" hidden="false" customHeight="true" outlineLevel="0" collapsed="false">
      <c r="B43" s="18" t="s">
        <v>231</v>
      </c>
      <c r="C43" s="18"/>
      <c r="D43" s="18"/>
      <c r="E43" s="38" t="str">
        <f aca="false">IF(SUMPRODUCT(--($AJ$9:$AJ$38&lt;-0.0001))=0,"RECONCILED - no project is allocated more than 100% funding","EXCEPTION - "&amp;TEXT(SUMPRODUCT(--($AJ$9:$AJ$38&lt;-0.0001)),"0")&amp;" project(s) have funding shares totalling more than 100%")</f>
        <v>RECONCILED - no project is allocated more than 100% funding</v>
      </c>
      <c r="F43" s="38"/>
      <c r="G43" s="38"/>
      <c r="H43" s="38"/>
      <c r="I43" s="38"/>
      <c r="J43" s="38"/>
      <c r="K43" s="38"/>
      <c r="L43" s="38"/>
      <c r="M43" s="38"/>
      <c r="N43" s="38"/>
      <c r="O43" s="38"/>
      <c r="P43" s="38"/>
      <c r="Q43" s="38"/>
      <c r="R43" s="38"/>
      <c r="S43" s="38"/>
      <c r="T43" s="38"/>
      <c r="U43" s="38"/>
      <c r="V43" s="38"/>
      <c r="W43" s="38"/>
    </row>
    <row r="44" customFormat="false" ht="18" hidden="false" customHeight="true" outlineLevel="0" collapsed="false">
      <c r="B44" s="18" t="s">
        <v>232</v>
      </c>
      <c r="C44" s="18"/>
      <c r="D44" s="18"/>
      <c r="E44" s="38" t="str">
        <f aca="false">IF(SUMPRODUCT(--((($AG$9:$AG$38&gt;0)*($AF$9:$AF$38=""))+(($AI$9:$AI$38&gt;0)*($AH$9:$AH$38=""))&gt;0))=0,"RECONCILED - every funding share names a source","EXCEPTION - a funding share is entered with no source named. That money is counted nowhere.")</f>
        <v>RECONCILED - every funding share names a source</v>
      </c>
      <c r="F44" s="38"/>
      <c r="G44" s="38"/>
      <c r="H44" s="38"/>
      <c r="I44" s="38"/>
      <c r="J44" s="38"/>
      <c r="K44" s="38"/>
      <c r="L44" s="38"/>
      <c r="M44" s="38"/>
      <c r="N44" s="38"/>
      <c r="O44" s="38"/>
      <c r="P44" s="38"/>
      <c r="Q44" s="38"/>
      <c r="R44" s="38"/>
      <c r="S44" s="38"/>
      <c r="T44" s="38"/>
      <c r="U44" s="38"/>
      <c r="V44" s="38"/>
      <c r="W44" s="38"/>
    </row>
    <row r="45" customFormat="false" ht="18" hidden="false" customHeight="true" outlineLevel="0" collapsed="false">
      <c r="B45" s="18" t="s">
        <v>233</v>
      </c>
      <c r="C45" s="18"/>
      <c r="D45" s="18"/>
      <c r="E45" s="38" t="str">
        <f aca="false">IF(SUMPRODUCT(--(($AF$9:$AF$38&lt;&gt;"")*($AF$9:$AF$38=$AH$9:$AH$38)))=0,"RECONCILED - no project names the same funding source twice","EXCEPTION - a project names the same funding source in both columns. Combine them into one share.")</f>
        <v>RECONCILED - no project names the same funding source twice</v>
      </c>
      <c r="F45" s="38"/>
      <c r="G45" s="38"/>
      <c r="H45" s="38"/>
      <c r="I45" s="38"/>
      <c r="J45" s="38"/>
      <c r="K45" s="38"/>
      <c r="L45" s="38"/>
      <c r="M45" s="38"/>
      <c r="N45" s="38"/>
      <c r="O45" s="38"/>
      <c r="P45" s="38"/>
      <c r="Q45" s="38"/>
      <c r="R45" s="38"/>
      <c r="S45" s="38"/>
      <c r="T45" s="38"/>
      <c r="U45" s="38"/>
      <c r="V45" s="38"/>
      <c r="W45" s="38"/>
    </row>
    <row r="46" customFormat="false" ht="18" hidden="false" customHeight="true" outlineLevel="0" collapsed="false">
      <c r="B46" s="18" t="s">
        <v>234</v>
      </c>
      <c r="C46" s="18"/>
      <c r="D46" s="18"/>
      <c r="E46" s="38" t="str">
        <f aca="false">IF(ABS($AE$39-SUMPRODUCT($O$39:$T$39,Setup!$C$24:$H$24))&lt;1,"RECONCILED - the escalated total equals the nominal total times the Setup factors","EXCEPTION - the escalated total does not rebuild from the nominal phasing")</f>
        <v>RECONCILED - the escalated total equals the nominal total times the Setup factors</v>
      </c>
      <c r="F46" s="38"/>
      <c r="G46" s="38"/>
      <c r="H46" s="38"/>
      <c r="I46" s="38"/>
      <c r="J46" s="38"/>
      <c r="K46" s="38"/>
      <c r="L46" s="38"/>
      <c r="M46" s="38"/>
      <c r="N46" s="38"/>
      <c r="O46" s="38"/>
      <c r="P46" s="38"/>
      <c r="Q46" s="38"/>
      <c r="R46" s="38"/>
      <c r="S46" s="38"/>
      <c r="T46" s="38"/>
      <c r="U46" s="38"/>
      <c r="V46" s="38"/>
      <c r="W46" s="38"/>
    </row>
    <row r="48" customFormat="false" ht="15" hidden="false" customHeight="false" outlineLevel="0" collapsed="false">
      <c r="B48" s="16" t="s">
        <v>40</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row>
  </sheetData>
  <autoFilter ref="B8:AL38"/>
  <mergeCells count="26">
    <mergeCell ref="B1:AL1"/>
    <mergeCell ref="B2:AL2"/>
    <mergeCell ref="B3:W3"/>
    <mergeCell ref="B4:W4"/>
    <mergeCell ref="B6:K6"/>
    <mergeCell ref="L6:N6"/>
    <mergeCell ref="O6:W6"/>
    <mergeCell ref="X6:AE6"/>
    <mergeCell ref="AF6:AL6"/>
    <mergeCell ref="B7:K7"/>
    <mergeCell ref="L7:N7"/>
    <mergeCell ref="O7:W7"/>
    <mergeCell ref="X7:AE7"/>
    <mergeCell ref="AF7:AL7"/>
    <mergeCell ref="B41:AL41"/>
    <mergeCell ref="B42:D42"/>
    <mergeCell ref="E42:W42"/>
    <mergeCell ref="B43:D43"/>
    <mergeCell ref="E43:W43"/>
    <mergeCell ref="B44:D44"/>
    <mergeCell ref="E44:W44"/>
    <mergeCell ref="B45:D45"/>
    <mergeCell ref="E45:W45"/>
    <mergeCell ref="B46:D46"/>
    <mergeCell ref="E46:W46"/>
    <mergeCell ref="B48:AL48"/>
  </mergeCells>
  <conditionalFormatting sqref="B3:W3">
    <cfRule type="expression" priority="2" aboveAverage="0" equalAverage="0" bottom="0" percent="0" rank="0" text="" dxfId="0">
      <formula>LEN($B$3)&gt;0</formula>
    </cfRule>
  </conditionalFormatting>
  <conditionalFormatting sqref="E42:W42">
    <cfRule type="expression" priority="3" aboveAverage="0" equalAverage="0" bottom="0" percent="0" rank="0" text="" dxfId="1">
      <formula>ISNUMBER(SEARCH("EXCEPTION",$E$42))</formula>
    </cfRule>
    <cfRule type="expression" priority="4" aboveAverage="0" equalAverage="0" bottom="0" percent="0" rank="0" text="" dxfId="2">
      <formula>ISNUMBER(SEARCH("RECONCILED",$E$42))</formula>
    </cfRule>
  </conditionalFormatting>
  <conditionalFormatting sqref="E43:W43">
    <cfRule type="expression" priority="5" aboveAverage="0" equalAverage="0" bottom="0" percent="0" rank="0" text="" dxfId="1">
      <formula>ISNUMBER(SEARCH("EXCEPTION",$E$43))</formula>
    </cfRule>
    <cfRule type="expression" priority="6" aboveAverage="0" equalAverage="0" bottom="0" percent="0" rank="0" text="" dxfId="2">
      <formula>ISNUMBER(SEARCH("RECONCILED",$E$43))</formula>
    </cfRule>
  </conditionalFormatting>
  <conditionalFormatting sqref="E44:W44">
    <cfRule type="expression" priority="7" aboveAverage="0" equalAverage="0" bottom="0" percent="0" rank="0" text="" dxfId="1">
      <formula>ISNUMBER(SEARCH("EXCEPTION",$E$44))</formula>
    </cfRule>
    <cfRule type="expression" priority="8" aboveAverage="0" equalAverage="0" bottom="0" percent="0" rank="0" text="" dxfId="2">
      <formula>ISNUMBER(SEARCH("RECONCILED",$E$44))</formula>
    </cfRule>
  </conditionalFormatting>
  <conditionalFormatting sqref="E45:W45">
    <cfRule type="expression" priority="9" aboveAverage="0" equalAverage="0" bottom="0" percent="0" rank="0" text="" dxfId="1">
      <formula>ISNUMBER(SEARCH("EXCEPTION",$E$45))</formula>
    </cfRule>
    <cfRule type="expression" priority="10" aboveAverage="0" equalAverage="0" bottom="0" percent="0" rank="0" text="" dxfId="2">
      <formula>ISNUMBER(SEARCH("RECONCILED",$E$45))</formula>
    </cfRule>
  </conditionalFormatting>
  <conditionalFormatting sqref="E46:W46">
    <cfRule type="expression" priority="11" aboveAverage="0" equalAverage="0" bottom="0" percent="0" rank="0" text="" dxfId="1">
      <formula>ISNUMBER(SEARCH("EXCEPTION",$E$46))</formula>
    </cfRule>
    <cfRule type="expression" priority="12" aboveAverage="0" equalAverage="0" bottom="0" percent="0" rank="0" text="" dxfId="2">
      <formula>ISNUMBER(SEARCH("RECONCILED",$E$46))</formula>
    </cfRule>
  </conditionalFormatting>
  <conditionalFormatting sqref="J9:J38">
    <cfRule type="cellIs" priority="13" operator="equal" aboveAverage="0" equalAverage="0" bottom="0" percent="0" rank="0" text="" dxfId="18">
      <formula>"Proposed"</formula>
    </cfRule>
    <cfRule type="cellIs" priority="14" operator="equal" aboveAverage="0" equalAverage="0" bottom="0" percent="0" rank="0" text="" dxfId="2">
      <formula>"Approved"</formula>
    </cfRule>
    <cfRule type="cellIs" priority="15" operator="equal" aboveAverage="0" equalAverage="0" bottom="0" percent="0" rank="0" text="" dxfId="19">
      <formula>"In delivery"</formula>
    </cfRule>
    <cfRule type="cellIs" priority="16" operator="equal" aboveAverage="0" equalAverage="0" bottom="0" percent="0" rank="0" text="" dxfId="20">
      <formula>"Deferred"</formula>
    </cfRule>
    <cfRule type="cellIs" priority="17" operator="equal" aboveAverage="0" equalAverage="0" bottom="0" percent="0" rank="0" text="" dxfId="1">
      <formula>"Not funded"</formula>
    </cfRule>
  </conditionalFormatting>
  <conditionalFormatting sqref="W9:W38">
    <cfRule type="cellIs" priority="18" operator="equal" aboveAverage="0" equalAverage="0" bottom="0" percent="0" rank="0" text="" dxfId="2">
      <formula>"OK"</formula>
    </cfRule>
    <cfRule type="cellIs" priority="19" operator="equal" aboveAverage="0" equalAverage="0" bottom="0" percent="0" rank="0" text="" dxfId="21">
      <formula>"CHECK"</formula>
    </cfRule>
  </conditionalFormatting>
  <conditionalFormatting sqref="V9:V38">
    <cfRule type="expression" priority="20" aboveAverage="0" equalAverage="0" bottom="0" percent="0" rank="0" text="" dxfId="22">
      <formula>AND($D9&lt;&gt;"",ABS($V9)&gt;=1)</formula>
    </cfRule>
  </conditionalFormatting>
  <conditionalFormatting sqref="AJ9:AJ38">
    <cfRule type="expression" priority="21" aboveAverage="0" equalAverage="0" bottom="0" percent="0" rank="0" text="" dxfId="23">
      <formula>AND($D9&lt;&gt;"",$AJ9&gt;0.0001)</formula>
    </cfRule>
    <cfRule type="expression" priority="22" aboveAverage="0" equalAverage="0" bottom="0" percent="0" rank="0" text="" dxfId="24">
      <formula>AND($D9&lt;&gt;"",$AJ9&lt;-0.0001)</formula>
    </cfRule>
  </conditionalFormatting>
  <conditionalFormatting sqref="B9:B38">
    <cfRule type="cellIs" priority="23" operator="equal" aboveAverage="0" equalAverage="0" bottom="0" percent="0" rank="0" text="" dxfId="25">
      <formula>"EX"</formula>
    </cfRule>
  </conditionalFormatting>
  <dataValidations count="7">
    <dataValidation allowBlank="true" error="Pick a value from the list on the Reference sheet." errorStyle="warning" errorTitle="Not on the list" operator="between" showDropDown="false" showErrorMessage="false" showInputMessage="false" sqref="F9:F38" type="list">
      <formula1>Reference!$B$8:$B$16</formula1>
      <formula2>0</formula2>
    </dataValidation>
    <dataValidation allowBlank="true" error="Pick a value from the list on the Reference sheet." errorStyle="warning" errorTitle="Not on the list" operator="between" showDropDown="false" showErrorMessage="false" showInputMessage="false" sqref="G9:G38" type="list">
      <formula1>Reference!$C$8:$C$19</formula1>
      <formula2>0</formula2>
    </dataValidation>
    <dataValidation allowBlank="true" error="Pick a value from the list on the Reference sheet." errorStyle="warning" errorTitle="Not on the list" operator="between" showDropDown="false" showErrorMessage="false" showInputMessage="false" sqref="H9:H38" type="list">
      <formula1>Reference!$D$8:$D$15</formula1>
      <formula2>0</formula2>
    </dataValidation>
    <dataValidation allowBlank="true" error="Pick a value from the list on the Reference sheet." errorStyle="warning" errorTitle="Not on the list" operator="between" showDropDown="false" showErrorMessage="false" showInputMessage="false" sqref="I9:I38" type="list">
      <formula1>Reference!$E$8:$E$12</formula1>
      <formula2>0</formula2>
    </dataValidation>
    <dataValidation allowBlank="true" error="Pick a value from the list on the Reference sheet." errorStyle="warning" errorTitle="Not on the list" operator="between" showDropDown="false" showErrorMessage="false" showInputMessage="false" sqref="J9:J38" type="list">
      <formula1>Reference!$F$8:$F$12</formula1>
      <formula2>0</formula2>
    </dataValidation>
    <dataValidation allowBlank="true" error="Pick a value from the list on the Reference sheet." errorStyle="warning" errorTitle="Not on the list" operator="between" showDropDown="false" showErrorMessage="false" showInputMessage="false" sqref="AF9:AF38" type="list">
      <formula1>Reference!$G$8:$G$14</formula1>
      <formula2>0</formula2>
    </dataValidation>
    <dataValidation allowBlank="true" error="Pick a value from the list on the Reference sheet." errorStyle="warning" errorTitle="Not on the list" operator="between" showDropDown="false" showErrorMessage="false" showInputMessage="false" sqref="AH9:AH38" type="list">
      <formula1>Reference!$G$8:$G$14</formula1>
      <formula2>0</formula2>
    </dataValidation>
  </dataValidations>
  <hyperlinks>
    <hyperlink ref="B48" r:id="rId1" display="Built with Mastt  |  mastt.com"/>
  </hyperlinks>
  <printOptions headings="false" gridLines="false" gridLinesSet="true" horizontalCentered="true" verticalCentered="false"/>
  <pageMargins left="0.3" right="0.3" top="0.4" bottom="0.4" header="0.511811023622047" footer="0.511811023622047"/>
  <pageSetup paperSize="8" scale="100" fitToWidth="2" fitToHeight="0" pageOrder="downThenOver" orientation="landscape" blackAndWhite="false" draft="false" cellComments="none" horizontalDpi="300" verticalDpi="300" copies="1"/>
  <headerFooter differentFirst="false" differentOddEven="false">
    <oddHeader/>
    <oddFooter/>
  </headerFooter>
  <colBreaks count="1" manualBreakCount="1">
    <brk id="23" man="true" max="65535" min="0"/>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B1:U48"/>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6" ySplit="8" topLeftCell="G9" activePane="bottomRight" state="frozen"/>
      <selection pane="topLeft" activeCell="A1" activeCellId="0" sqref="A1"/>
      <selection pane="topRight" activeCell="G1" activeCellId="0" sqref="G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4.5"/>
    <col collapsed="false" customWidth="true" hidden="false" outlineLevel="0" max="3" min="3" style="0" width="10"/>
    <col collapsed="false" customWidth="true" hidden="false" outlineLevel="0" max="4" min="4" style="0" width="42"/>
    <col collapsed="false" customWidth="true" hidden="false" outlineLevel="0" max="5" min="5" style="0" width="24"/>
    <col collapsed="false" customWidth="true" hidden="false" outlineLevel="0" max="6" min="6" style="0" width="16"/>
    <col collapsed="false" customWidth="true" hidden="false" outlineLevel="0" max="14" min="7" style="0" width="14"/>
    <col collapsed="false" customWidth="true" hidden="false" outlineLevel="0" max="15" min="15" style="0" width="11"/>
    <col collapsed="false" customWidth="true" hidden="false" outlineLevel="0" max="16" min="16" style="0" width="8"/>
    <col collapsed="false" customWidth="true" hidden="false" outlineLevel="0" max="17" min="17" style="0" width="11"/>
    <col collapsed="false" customWidth="true" hidden="false" outlineLevel="0" max="18" min="18" style="0" width="24"/>
    <col collapsed="false" customWidth="true" hidden="false" outlineLevel="0" max="19" min="19" style="0" width="13"/>
    <col collapsed="false" customWidth="true" hidden="false" outlineLevel="0" max="20" min="20" style="0" width="17"/>
    <col collapsed="false" customWidth="true" hidden="false" outlineLevel="0" max="21" min="21" style="0" width="15"/>
    <col collapsed="false" customWidth="true" hidden="false" outlineLevel="0" max="22" min="22" style="0" width="2.5"/>
  </cols>
  <sheetData>
    <row r="1" customFormat="false" ht="33.75" hidden="false" customHeight="true" outlineLevel="0" collapsed="false">
      <c r="B1" s="17" t="s">
        <v>235</v>
      </c>
      <c r="C1" s="17"/>
      <c r="D1" s="17"/>
      <c r="E1" s="17"/>
      <c r="F1" s="17"/>
      <c r="G1" s="17"/>
      <c r="H1" s="17"/>
      <c r="I1" s="17"/>
      <c r="J1" s="17"/>
      <c r="K1" s="17"/>
      <c r="L1" s="17"/>
      <c r="M1" s="17"/>
      <c r="N1" s="17"/>
      <c r="O1" s="17"/>
      <c r="P1" s="17"/>
      <c r="Q1" s="17"/>
      <c r="R1" s="17"/>
      <c r="S1" s="17"/>
      <c r="T1" s="17"/>
      <c r="U1" s="17"/>
    </row>
    <row r="2" customFormat="false" ht="4.5" hidden="false" customHeight="true" outlineLevel="0" collapsed="false">
      <c r="B2" s="4"/>
      <c r="C2" s="4"/>
      <c r="D2" s="4"/>
      <c r="E2" s="4"/>
      <c r="F2" s="4"/>
      <c r="G2" s="4"/>
      <c r="H2" s="4"/>
      <c r="I2" s="4"/>
      <c r="J2" s="4"/>
      <c r="K2" s="4"/>
      <c r="L2" s="4"/>
      <c r="M2" s="4"/>
      <c r="N2" s="4"/>
      <c r="O2" s="4"/>
      <c r="P2" s="4"/>
      <c r="Q2" s="4"/>
      <c r="R2" s="4"/>
      <c r="S2" s="4"/>
      <c r="T2" s="4"/>
      <c r="U2" s="4"/>
    </row>
    <row r="3" customFormat="false" ht="18" hidden="false" customHeight="true" outlineLevel="0" collapsed="false">
      <c r="B3" s="18" t="str">
        <f aca="false">IF(COUNTIF('Project Register'!$B$9:$B$38,"EX")=0,"","EXAMPLE DATA - the 15 rows marked EX on the Project Register are worked examples. Delete or overwrite them, and this banner clears.")</f>
        <v>EXAMPLE DATA - the 15 rows marked EX on the Project Register are worked examples. Delete or overwrite them, and this banner clears.</v>
      </c>
      <c r="C3" s="18"/>
      <c r="D3" s="18"/>
      <c r="E3" s="18"/>
      <c r="F3" s="18"/>
      <c r="G3" s="18"/>
      <c r="H3" s="18"/>
      <c r="I3" s="18"/>
      <c r="J3" s="18"/>
      <c r="K3" s="18"/>
      <c r="L3" s="18"/>
      <c r="M3" s="18"/>
      <c r="N3" s="18"/>
      <c r="O3" s="18"/>
      <c r="P3" s="18"/>
      <c r="Q3" s="18"/>
      <c r="R3" s="18"/>
      <c r="S3" s="18"/>
      <c r="T3" s="18"/>
      <c r="U3" s="18"/>
    </row>
    <row r="4" customFormat="false" ht="30" hidden="false" customHeight="true" outlineLevel="0" collapsed="false">
      <c r="B4" s="19" t="s">
        <v>236</v>
      </c>
      <c r="C4" s="19"/>
      <c r="D4" s="19"/>
      <c r="E4" s="19"/>
      <c r="F4" s="19"/>
      <c r="G4" s="19"/>
      <c r="H4" s="19"/>
      <c r="I4" s="19"/>
      <c r="J4" s="19"/>
      <c r="K4" s="19"/>
      <c r="L4" s="19"/>
      <c r="M4" s="19"/>
      <c r="N4" s="19"/>
      <c r="O4" s="19"/>
      <c r="P4" s="19"/>
      <c r="Q4" s="19"/>
      <c r="R4" s="19"/>
      <c r="S4" s="19"/>
      <c r="T4" s="19"/>
      <c r="U4" s="19"/>
    </row>
    <row r="6" customFormat="false" ht="21.75" hidden="false" customHeight="true" outlineLevel="0" collapsed="false">
      <c r="B6" s="45" t="s">
        <v>237</v>
      </c>
      <c r="C6" s="45"/>
      <c r="D6" s="45"/>
      <c r="E6" s="45"/>
      <c r="F6" s="45"/>
      <c r="G6" s="45" t="s">
        <v>238</v>
      </c>
      <c r="H6" s="45"/>
      <c r="I6" s="45"/>
      <c r="J6" s="45"/>
      <c r="K6" s="45"/>
      <c r="L6" s="45"/>
      <c r="M6" s="45"/>
      <c r="N6" s="45"/>
      <c r="O6" s="46" t="s">
        <v>239</v>
      </c>
      <c r="P6" s="46"/>
      <c r="Q6" s="46"/>
      <c r="R6" s="46"/>
      <c r="S6" s="46"/>
      <c r="T6" s="46"/>
      <c r="U6" s="46"/>
    </row>
    <row r="7" customFormat="false" ht="15.75" hidden="false" customHeight="true" outlineLevel="0" collapsed="false">
      <c r="B7" s="58" t="s">
        <v>240</v>
      </c>
      <c r="C7" s="58"/>
      <c r="D7" s="58"/>
      <c r="E7" s="58"/>
      <c r="F7" s="58"/>
      <c r="G7" s="59" t="n">
        <f aca="false">Setup!$C$36</f>
        <v>0.15</v>
      </c>
      <c r="H7" s="59" t="n">
        <f aca="false">Setup!$C$37</f>
        <v>0.2</v>
      </c>
      <c r="I7" s="59" t="n">
        <f aca="false">Setup!$C$38</f>
        <v>0.12</v>
      </c>
      <c r="J7" s="59" t="n">
        <f aca="false">Setup!$C$39</f>
        <v>0.12</v>
      </c>
      <c r="K7" s="59" t="n">
        <f aca="false">Setup!$C$40</f>
        <v>0.12</v>
      </c>
      <c r="L7" s="59" t="n">
        <f aca="false">Setup!$C$41</f>
        <v>0.1</v>
      </c>
      <c r="M7" s="59" t="n">
        <f aca="false">Setup!$C$42</f>
        <v>0.09</v>
      </c>
      <c r="N7" s="59" t="n">
        <f aca="false">Setup!$C$43</f>
        <v>0.1</v>
      </c>
      <c r="O7" s="59" t="n">
        <f aca="false">SUM(G7:N7)</f>
        <v>1</v>
      </c>
      <c r="P7" s="60"/>
      <c r="Q7" s="61" t="s">
        <v>241</v>
      </c>
      <c r="R7" s="61"/>
      <c r="S7" s="61"/>
      <c r="T7" s="61"/>
      <c r="U7" s="61"/>
    </row>
    <row r="8" customFormat="false" ht="54" hidden="false" customHeight="true" outlineLevel="0" collapsed="false">
      <c r="B8" s="9" t="s">
        <v>126</v>
      </c>
      <c r="C8" s="9" t="s">
        <v>127</v>
      </c>
      <c r="D8" s="9" t="s">
        <v>128</v>
      </c>
      <c r="E8" s="9" t="s">
        <v>130</v>
      </c>
      <c r="F8" s="9" t="s">
        <v>242</v>
      </c>
      <c r="G8" s="9" t="s">
        <v>82</v>
      </c>
      <c r="H8" s="9" t="s">
        <v>84</v>
      </c>
      <c r="I8" s="9" t="s">
        <v>86</v>
      </c>
      <c r="J8" s="9" t="s">
        <v>88</v>
      </c>
      <c r="K8" s="9" t="s">
        <v>90</v>
      </c>
      <c r="L8" s="9" t="s">
        <v>92</v>
      </c>
      <c r="M8" s="9" t="s">
        <v>94</v>
      </c>
      <c r="N8" s="9" t="s">
        <v>96</v>
      </c>
      <c r="O8" s="9" t="s">
        <v>243</v>
      </c>
      <c r="P8" s="9" t="s">
        <v>244</v>
      </c>
      <c r="Q8" s="9" t="s">
        <v>245</v>
      </c>
      <c r="R8" s="9" t="s">
        <v>133</v>
      </c>
      <c r="S8" s="9" t="s">
        <v>134</v>
      </c>
      <c r="T8" s="9" t="s">
        <v>246</v>
      </c>
      <c r="U8" s="9" t="s">
        <v>247</v>
      </c>
    </row>
    <row r="9" customFormat="false" ht="25.5" hidden="false" customHeight="true" outlineLevel="0" collapsed="false">
      <c r="B9" s="44" t="str">
        <f aca="false">IF('Project Register'!$D9="","",'Project Register'!$B9)</f>
        <v>EX</v>
      </c>
      <c r="C9" s="44" t="str">
        <f aca="false">IF('Project Register'!$D9="","",'Project Register'!$C9)</f>
        <v>CIP-001</v>
      </c>
      <c r="D9" s="62" t="str">
        <f aca="false">IF('Project Register'!$D9="","",'Project Register'!$D9)</f>
        <v>Riverside Bridge deck renewal</v>
      </c>
      <c r="E9" s="62" t="str">
        <f aca="false">IF('Project Register'!$D9="","",'Project Register'!$F9)</f>
        <v>Roads and bridges</v>
      </c>
      <c r="F9" s="50" t="n">
        <f aca="false">IF('Project Register'!$D9="","",'Project Register'!$AD9)</f>
        <v>12494900</v>
      </c>
      <c r="G9" s="24" t="n">
        <v>5</v>
      </c>
      <c r="H9" s="24" t="n">
        <v>5</v>
      </c>
      <c r="I9" s="24" t="n">
        <v>3</v>
      </c>
      <c r="J9" s="24" t="n">
        <v>4</v>
      </c>
      <c r="K9" s="24" t="n">
        <v>3</v>
      </c>
      <c r="L9" s="24" t="n">
        <v>4</v>
      </c>
      <c r="M9" s="24" t="n">
        <v>4</v>
      </c>
      <c r="N9" s="24" t="n">
        <v>5</v>
      </c>
      <c r="O9" s="63" t="n">
        <f aca="false">IF($C9="","",SUMPRODUCT($G9:$N9,$G$7:$N$7))</f>
        <v>4.21</v>
      </c>
      <c r="P9" s="64" t="n">
        <f aca="false">IF($C9="","",RANK($O9,$O$9:$O$38)+COUNTIFS($O$9:$O9,$O9)-1)</f>
        <v>2</v>
      </c>
      <c r="Q9" s="51" t="str">
        <f aca="false">IF($C9="","",IF($O9&gt;=Setup!$C$50,"Critical",IF($O9&gt;=Setup!$C$51,"High",IF($O9&gt;=Setup!$C$52,"Medium","Low"))))</f>
        <v>Critical</v>
      </c>
      <c r="R9" s="62" t="str">
        <f aca="false">IF('Project Register'!$D9="","",'Project Register'!$I9)</f>
        <v>Renewal</v>
      </c>
      <c r="S9" s="44" t="str">
        <f aca="false">IF('Project Register'!$D9="","",'Project Register'!$J9)</f>
        <v>Approved</v>
      </c>
      <c r="T9" s="50" t="n">
        <f aca="false">IF($C9="","",SUMIFS($F$9:$F$38,$P$9:$P$38,"&lt;="&amp;$P9))</f>
        <v>51139343</v>
      </c>
      <c r="U9" s="51" t="str">
        <f aca="false">IF($C9="","",IF($T9&lt;=Setup!$I$31,"Above the line","Below the line"))</f>
        <v>Above the line</v>
      </c>
    </row>
    <row r="10" customFormat="false" ht="25.5" hidden="false" customHeight="true" outlineLevel="0" collapsed="false">
      <c r="B10" s="44" t="str">
        <f aca="false">IF('Project Register'!$D10="","",'Project Register'!$B10)</f>
        <v>EX</v>
      </c>
      <c r="C10" s="44" t="str">
        <f aca="false">IF('Project Register'!$D10="","",'Project Register'!$C10)</f>
        <v>CIP-002</v>
      </c>
      <c r="D10" s="62" t="str">
        <f aca="false">IF('Project Register'!$D10="","",'Project Register'!$D10)</f>
        <v>Central water treatment plant upgrade</v>
      </c>
      <c r="E10" s="62" t="str">
        <f aca="false">IF('Project Register'!$D10="","",'Project Register'!$F10)</f>
        <v>Water and wastewater</v>
      </c>
      <c r="F10" s="50" t="n">
        <f aca="false">IF('Project Register'!$D10="","",'Project Register'!$AD10)</f>
        <v>38644443</v>
      </c>
      <c r="G10" s="24" t="n">
        <v>4</v>
      </c>
      <c r="H10" s="24" t="n">
        <v>5</v>
      </c>
      <c r="I10" s="24" t="n">
        <v>4</v>
      </c>
      <c r="J10" s="24" t="n">
        <v>5</v>
      </c>
      <c r="K10" s="24" t="n">
        <v>4</v>
      </c>
      <c r="L10" s="24" t="n">
        <v>3</v>
      </c>
      <c r="M10" s="24" t="n">
        <v>4</v>
      </c>
      <c r="N10" s="24" t="n">
        <v>5</v>
      </c>
      <c r="O10" s="63" t="n">
        <f aca="false">IF($C10="","",SUMPRODUCT($G10:$N10,$G$7:$N$7))</f>
        <v>4.32</v>
      </c>
      <c r="P10" s="64" t="n">
        <f aca="false">IF($C10="","",RANK($O10,$O$9:$O$38)+COUNTIFS($O$9:$O10,$O10)-1)</f>
        <v>1</v>
      </c>
      <c r="Q10" s="51" t="str">
        <f aca="false">IF($C10="","",IF($O10&gt;=Setup!$C$50,"Critical",IF($O10&gt;=Setup!$C$51,"High",IF($O10&gt;=Setup!$C$52,"Medium","Low"))))</f>
        <v>Critical</v>
      </c>
      <c r="R10" s="62" t="str">
        <f aca="false">IF('Project Register'!$D10="","",'Project Register'!$I10)</f>
        <v>Compliance and safety</v>
      </c>
      <c r="S10" s="44" t="str">
        <f aca="false">IF('Project Register'!$D10="","",'Project Register'!$J10)</f>
        <v>Approved</v>
      </c>
      <c r="T10" s="50" t="n">
        <f aca="false">IF($C10="","",SUMIFS($F$9:$F$38,$P$9:$P$38,"&lt;="&amp;$P10))</f>
        <v>38644443</v>
      </c>
      <c r="U10" s="51" t="str">
        <f aca="false">IF($C10="","",IF($T10&lt;=Setup!$I$31,"Above the line","Below the line"))</f>
        <v>Above the line</v>
      </c>
    </row>
    <row r="11" customFormat="false" ht="25.5" hidden="false" customHeight="true" outlineLevel="0" collapsed="false">
      <c r="B11" s="44" t="str">
        <f aca="false">IF('Project Register'!$D11="","",'Project Register'!$B11)</f>
        <v>EX</v>
      </c>
      <c r="C11" s="44" t="str">
        <f aca="false">IF('Project Register'!$D11="","",'Project Register'!$C11)</f>
        <v>CIP-003</v>
      </c>
      <c r="D11" s="62" t="str">
        <f aca="false">IF('Project Register'!$D11="","",'Project Register'!$D11)</f>
        <v>Northgate aquatic centre replacement</v>
      </c>
      <c r="E11" s="62" t="str">
        <f aca="false">IF('Project Register'!$D11="","",'Project Register'!$F11)</f>
        <v>Buildings</v>
      </c>
      <c r="F11" s="50" t="n">
        <f aca="false">IF('Project Register'!$D11="","",'Project Register'!$AD11)</f>
        <v>49376820.005</v>
      </c>
      <c r="G11" s="24" t="n">
        <v>3</v>
      </c>
      <c r="H11" s="24" t="n">
        <v>3</v>
      </c>
      <c r="I11" s="24" t="n">
        <v>4</v>
      </c>
      <c r="J11" s="24" t="n">
        <v>4</v>
      </c>
      <c r="K11" s="24" t="n">
        <v>5</v>
      </c>
      <c r="L11" s="24" t="n">
        <v>2</v>
      </c>
      <c r="M11" s="24" t="n">
        <v>2</v>
      </c>
      <c r="N11" s="24" t="n">
        <v>3</v>
      </c>
      <c r="O11" s="63" t="n">
        <f aca="false">IF($C11="","",SUMPRODUCT($G11:$N11,$G$7:$N$7))</f>
        <v>3.29</v>
      </c>
      <c r="P11" s="64" t="n">
        <f aca="false">IF($C11="","",RANK($O11,$O$9:$O$38)+COUNTIFS($O$9:$O11,$O11)-1)</f>
        <v>10</v>
      </c>
      <c r="Q11" s="51" t="str">
        <f aca="false">IF($C11="","",IF($O11&gt;=Setup!$C$50,"Critical",IF($O11&gt;=Setup!$C$51,"High",IF($O11&gt;=Setup!$C$52,"Medium","Low"))))</f>
        <v>Medium</v>
      </c>
      <c r="R11" s="62" t="str">
        <f aca="false">IF('Project Register'!$D11="","",'Project Register'!$I11)</f>
        <v>Service improvement</v>
      </c>
      <c r="S11" s="44" t="str">
        <f aca="false">IF('Project Register'!$D11="","",'Project Register'!$J11)</f>
        <v>Proposed</v>
      </c>
      <c r="T11" s="50" t="n">
        <f aca="false">IF($C11="","",SUMIFS($F$9:$F$38,$P$9:$P$38,"&lt;="&amp;$P11))</f>
        <v>172429850.136875</v>
      </c>
      <c r="U11" s="51" t="str">
        <f aca="false">IF($C11="","",IF($T11&lt;=Setup!$I$31,"Above the line","Below the line"))</f>
        <v>Above the line</v>
      </c>
    </row>
    <row r="12" customFormat="false" ht="25.5" hidden="false" customHeight="true" outlineLevel="0" collapsed="false">
      <c r="B12" s="44" t="str">
        <f aca="false">IF('Project Register'!$D12="","",'Project Register'!$B12)</f>
        <v>EX</v>
      </c>
      <c r="C12" s="44" t="str">
        <f aca="false">IF('Project Register'!$D12="","",'Project Register'!$C12)</f>
        <v>CIP-004</v>
      </c>
      <c r="D12" s="62" t="str">
        <f aca="false">IF('Project Register'!$D12="","",'Project Register'!$D12)</f>
        <v>Depot Road reconstruction - stage 2</v>
      </c>
      <c r="E12" s="62" t="str">
        <f aca="false">IF('Project Register'!$D12="","",'Project Register'!$F12)</f>
        <v>Roads and bridges</v>
      </c>
      <c r="F12" s="50" t="n">
        <f aca="false">IF('Project Register'!$D12="","",'Project Register'!$AD12)</f>
        <v>6087500</v>
      </c>
      <c r="G12" s="24" t="n">
        <v>4</v>
      </c>
      <c r="H12" s="24" t="n">
        <v>4</v>
      </c>
      <c r="I12" s="24" t="n">
        <v>3</v>
      </c>
      <c r="J12" s="24" t="n">
        <v>3</v>
      </c>
      <c r="K12" s="24" t="n">
        <v>3</v>
      </c>
      <c r="L12" s="24" t="n">
        <v>5</v>
      </c>
      <c r="M12" s="24" t="n">
        <v>5</v>
      </c>
      <c r="N12" s="24" t="n">
        <v>4</v>
      </c>
      <c r="O12" s="63" t="n">
        <f aca="false">IF($C12="","",SUMPRODUCT($G12:$N12,$G$7:$N$7))</f>
        <v>3.83</v>
      </c>
      <c r="P12" s="64" t="n">
        <f aca="false">IF($C12="","",RANK($O12,$O$9:$O$38)+COUNTIFS($O$9:$O12,$O12)-1)</f>
        <v>6</v>
      </c>
      <c r="Q12" s="51" t="str">
        <f aca="false">IF($C12="","",IF($O12&gt;=Setup!$C$50,"Critical",IF($O12&gt;=Setup!$C$51,"High",IF($O12&gt;=Setup!$C$52,"Medium","Low"))))</f>
        <v>High</v>
      </c>
      <c r="R12" s="62" t="str">
        <f aca="false">IF('Project Register'!$D12="","",'Project Register'!$I12)</f>
        <v>Renewal</v>
      </c>
      <c r="S12" s="44" t="str">
        <f aca="false">IF('Project Register'!$D12="","",'Project Register'!$J12)</f>
        <v>In delivery</v>
      </c>
      <c r="T12" s="50" t="n">
        <f aca="false">IF($C12="","",SUMIFS($F$9:$F$38,$P$9:$P$38,"&lt;="&amp;$P12))</f>
        <v>92564465.4428125</v>
      </c>
      <c r="U12" s="51" t="str">
        <f aca="false">IF($C12="","",IF($T12&lt;=Setup!$I$31,"Above the line","Below the line"))</f>
        <v>Above the line</v>
      </c>
    </row>
    <row r="13" customFormat="false" ht="25.5" hidden="false" customHeight="true" outlineLevel="0" collapsed="false">
      <c r="B13" s="44" t="str">
        <f aca="false">IF('Project Register'!$D13="","",'Project Register'!$B13)</f>
        <v>EX</v>
      </c>
      <c r="C13" s="44" t="str">
        <f aca="false">IF('Project Register'!$D13="","",'Project Register'!$C13)</f>
        <v>CIP-005</v>
      </c>
      <c r="D13" s="62" t="str">
        <f aca="false">IF('Project Register'!$D13="","",'Project Register'!$D13)</f>
        <v>Wastewater pump station renewals</v>
      </c>
      <c r="E13" s="62" t="str">
        <f aca="false">IF('Project Register'!$D13="","",'Project Register'!$F13)</f>
        <v>Water and wastewater</v>
      </c>
      <c r="F13" s="50" t="n">
        <f aca="false">IF('Project Register'!$D13="","",'Project Register'!$AD13)</f>
        <v>8043698.8134375</v>
      </c>
      <c r="G13" s="24" t="n">
        <v>5</v>
      </c>
      <c r="H13" s="24" t="n">
        <v>4</v>
      </c>
      <c r="I13" s="24" t="n">
        <v>3</v>
      </c>
      <c r="J13" s="24" t="n">
        <v>4</v>
      </c>
      <c r="K13" s="24" t="n">
        <v>3</v>
      </c>
      <c r="L13" s="24" t="n">
        <v>4</v>
      </c>
      <c r="M13" s="24" t="n">
        <v>4</v>
      </c>
      <c r="N13" s="24" t="n">
        <v>4</v>
      </c>
      <c r="O13" s="63" t="n">
        <f aca="false">IF($C13="","",SUMPRODUCT($G13:$N13,$G$7:$N$7))</f>
        <v>3.91</v>
      </c>
      <c r="P13" s="64" t="n">
        <f aca="false">IF($C13="","",RANK($O13,$O$9:$O$38)+COUNTIFS($O$9:$O13,$O13)-1)</f>
        <v>5</v>
      </c>
      <c r="Q13" s="51" t="str">
        <f aca="false">IF($C13="","",IF($O13&gt;=Setup!$C$50,"Critical",IF($O13&gt;=Setup!$C$51,"High",IF($O13&gt;=Setup!$C$52,"Medium","Low"))))</f>
        <v>High</v>
      </c>
      <c r="R13" s="62" t="str">
        <f aca="false">IF('Project Register'!$D13="","",'Project Register'!$I13)</f>
        <v>Renewal</v>
      </c>
      <c r="S13" s="44" t="str">
        <f aca="false">IF('Project Register'!$D13="","",'Project Register'!$J13)</f>
        <v>Approved</v>
      </c>
      <c r="T13" s="50" t="n">
        <f aca="false">IF($C13="","",SUMIFS($F$9:$F$38,$P$9:$P$38,"&lt;="&amp;$P13))</f>
        <v>86476965.4428125</v>
      </c>
      <c r="U13" s="51" t="str">
        <f aca="false">IF($C13="","",IF($T13&lt;=Setup!$I$31,"Above the line","Below the line"))</f>
        <v>Above the line</v>
      </c>
    </row>
    <row r="14" customFormat="false" ht="25.5" hidden="false" customHeight="true" outlineLevel="0" collapsed="false">
      <c r="B14" s="44" t="str">
        <f aca="false">IF('Project Register'!$D14="","",'Project Register'!$B14)</f>
        <v>EX</v>
      </c>
      <c r="C14" s="44" t="str">
        <f aca="false">IF('Project Register'!$D14="","",'Project Register'!$C14)</f>
        <v>CIP-006</v>
      </c>
      <c r="D14" s="62" t="str">
        <f aca="false">IF('Project Register'!$D14="","",'Project Register'!$D14)</f>
        <v>Kingsway Park sports precinct</v>
      </c>
      <c r="E14" s="62" t="str">
        <f aca="false">IF('Project Register'!$D14="","",'Project Register'!$F14)</f>
        <v>Parks and recreation</v>
      </c>
      <c r="F14" s="50" t="n">
        <f aca="false">IF('Project Register'!$D14="","",'Project Register'!$AD14)</f>
        <v>15408407.25</v>
      </c>
      <c r="G14" s="24" t="n">
        <v>2</v>
      </c>
      <c r="H14" s="24" t="n">
        <v>2</v>
      </c>
      <c r="I14" s="24" t="n">
        <v>4</v>
      </c>
      <c r="J14" s="24" t="n">
        <v>4</v>
      </c>
      <c r="K14" s="24" t="n">
        <v>4</v>
      </c>
      <c r="L14" s="24" t="n">
        <v>3</v>
      </c>
      <c r="M14" s="24" t="n">
        <v>3</v>
      </c>
      <c r="N14" s="24" t="n">
        <v>2</v>
      </c>
      <c r="O14" s="63" t="n">
        <f aca="false">IF($C14="","",SUMPRODUCT($G14:$N14,$G$7:$N$7))</f>
        <v>2.91</v>
      </c>
      <c r="P14" s="64" t="n">
        <f aca="false">IF($C14="","",RANK($O14,$O$9:$O$38)+COUNTIFS($O$9:$O14,$O14)-1)</f>
        <v>13</v>
      </c>
      <c r="Q14" s="51" t="str">
        <f aca="false">IF($C14="","",IF($O14&gt;=Setup!$C$50,"Critical",IF($O14&gt;=Setup!$C$51,"High",IF($O14&gt;=Setup!$C$52,"Medium","Low"))))</f>
        <v>Medium</v>
      </c>
      <c r="R14" s="62" t="str">
        <f aca="false">IF('Project Register'!$D14="","",'Project Register'!$I14)</f>
        <v>Growth</v>
      </c>
      <c r="S14" s="44" t="str">
        <f aca="false">IF('Project Register'!$D14="","",'Project Register'!$J14)</f>
        <v>Proposed</v>
      </c>
      <c r="T14" s="50" t="n">
        <f aca="false">IF($C14="","",SUMIFS($F$9:$F$38,$P$9:$P$38,"&lt;="&amp;$P14))</f>
        <v>208844393.816375</v>
      </c>
      <c r="U14" s="51" t="str">
        <f aca="false">IF($C14="","",IF($T14&lt;=Setup!$I$31,"Above the line","Below the line"))</f>
        <v>Above the line</v>
      </c>
    </row>
    <row r="15" customFormat="false" ht="25.5" hidden="false" customHeight="true" outlineLevel="0" collapsed="false">
      <c r="B15" s="44" t="str">
        <f aca="false">IF('Project Register'!$D15="","",'Project Register'!$B15)</f>
        <v>EX</v>
      </c>
      <c r="C15" s="44" t="str">
        <f aca="false">IF('Project Register'!$D15="","",'Project Register'!$C15)</f>
        <v>CIP-007</v>
      </c>
      <c r="D15" s="62" t="str">
        <f aca="false">IF('Project Register'!$D15="","",'Project Register'!$D15)</f>
        <v>Fleet replacement program - heavy plant</v>
      </c>
      <c r="E15" s="62" t="str">
        <f aca="false">IF('Project Register'!$D15="","",'Project Register'!$F15)</f>
        <v>Fleet and plant</v>
      </c>
      <c r="F15" s="50" t="n">
        <f aca="false">IF('Project Register'!$D15="","",'Project Register'!$AD15)</f>
        <v>11853052.1890625</v>
      </c>
      <c r="G15" s="24" t="n">
        <v>4</v>
      </c>
      <c r="H15" s="24" t="n">
        <v>4</v>
      </c>
      <c r="I15" s="24" t="n">
        <v>2</v>
      </c>
      <c r="J15" s="24" t="n">
        <v>3</v>
      </c>
      <c r="K15" s="24" t="n">
        <v>2</v>
      </c>
      <c r="L15" s="24" t="n">
        <v>5</v>
      </c>
      <c r="M15" s="24" t="n">
        <v>5</v>
      </c>
      <c r="N15" s="24" t="n">
        <v>4</v>
      </c>
      <c r="O15" s="63" t="n">
        <f aca="false">IF($C15="","",SUMPRODUCT($G15:$N15,$G$7:$N$7))</f>
        <v>3.59</v>
      </c>
      <c r="P15" s="64" t="n">
        <f aca="false">IF($C15="","",RANK($O15,$O$9:$O$38)+COUNTIFS($O$9:$O15,$O15)-1)</f>
        <v>8</v>
      </c>
      <c r="Q15" s="51" t="str">
        <f aca="false">IF($C15="","",IF($O15&gt;=Setup!$C$50,"Critical",IF($O15&gt;=Setup!$C$51,"High",IF($O15&gt;=Setup!$C$52,"Medium","Low"))))</f>
        <v>High</v>
      </c>
      <c r="R15" s="62" t="str">
        <f aca="false">IF('Project Register'!$D15="","",'Project Register'!$I15)</f>
        <v>Renewal</v>
      </c>
      <c r="S15" s="44" t="str">
        <f aca="false">IF('Project Register'!$D15="","",'Project Register'!$J15)</f>
        <v>Approved</v>
      </c>
      <c r="T15" s="50" t="n">
        <f aca="false">IF($C15="","",SUMIFS($F$9:$F$38,$P$9:$P$38,"&lt;="&amp;$P15))</f>
        <v>115395530.131875</v>
      </c>
      <c r="U15" s="51" t="str">
        <f aca="false">IF($C15="","",IF($T15&lt;=Setup!$I$31,"Above the line","Below the line"))</f>
        <v>Above the line</v>
      </c>
    </row>
    <row r="16" customFormat="false" ht="25.5" hidden="false" customHeight="true" outlineLevel="0" collapsed="false">
      <c r="B16" s="44" t="str">
        <f aca="false">IF('Project Register'!$D16="","",'Project Register'!$B16)</f>
        <v>EX</v>
      </c>
      <c r="C16" s="44" t="str">
        <f aca="false">IF('Project Register'!$D16="","",'Project Register'!$C16)</f>
        <v>CIP-008</v>
      </c>
      <c r="D16" s="62" t="str">
        <f aca="false">IF('Project Register'!$D16="","",'Project Register'!$D16)</f>
        <v>Core network and cyber security uplift</v>
      </c>
      <c r="E16" s="62" t="str">
        <f aca="false">IF('Project Register'!$D16="","",'Project Register'!$F16)</f>
        <v>Technology</v>
      </c>
      <c r="F16" s="50" t="n">
        <f aca="false">IF('Project Register'!$D16="","",'Project Register'!$AD16)</f>
        <v>6180337.5</v>
      </c>
      <c r="G16" s="24" t="n">
        <v>3</v>
      </c>
      <c r="H16" s="24" t="n">
        <v>5</v>
      </c>
      <c r="I16" s="24" t="n">
        <v>3</v>
      </c>
      <c r="J16" s="24" t="n">
        <v>4</v>
      </c>
      <c r="K16" s="24" t="n">
        <v>3</v>
      </c>
      <c r="L16" s="24" t="n">
        <v>4</v>
      </c>
      <c r="M16" s="24" t="n">
        <v>5</v>
      </c>
      <c r="N16" s="24" t="n">
        <v>5</v>
      </c>
      <c r="O16" s="63" t="n">
        <f aca="false">IF($C16="","",SUMPRODUCT($G16:$N16,$G$7:$N$7))</f>
        <v>4</v>
      </c>
      <c r="P16" s="64" t="n">
        <f aca="false">IF($C16="","",RANK($O16,$O$9:$O$38)+COUNTIFS($O$9:$O16,$O16)-1)</f>
        <v>4</v>
      </c>
      <c r="Q16" s="51" t="str">
        <f aca="false">IF($C16="","",IF($O16&gt;=Setup!$C$50,"Critical",IF($O16&gt;=Setup!$C$51,"High",IF($O16&gt;=Setup!$C$52,"Medium","Low"))))</f>
        <v>High</v>
      </c>
      <c r="R16" s="62" t="str">
        <f aca="false">IF('Project Register'!$D16="","",'Project Register'!$I16)</f>
        <v>Compliance and safety</v>
      </c>
      <c r="S16" s="44" t="str">
        <f aca="false">IF('Project Register'!$D16="","",'Project Register'!$J16)</f>
        <v>Approved</v>
      </c>
      <c r="T16" s="50" t="n">
        <f aca="false">IF($C16="","",SUMIFS($F$9:$F$38,$P$9:$P$38,"&lt;="&amp;$P16))</f>
        <v>78433266.629375</v>
      </c>
      <c r="U16" s="51" t="str">
        <f aca="false">IF($C16="","",IF($T16&lt;=Setup!$I$31,"Above the line","Below the line"))</f>
        <v>Above the line</v>
      </c>
    </row>
    <row r="17" customFormat="false" ht="25.5" hidden="false" customHeight="true" outlineLevel="0" collapsed="false">
      <c r="B17" s="44" t="str">
        <f aca="false">IF('Project Register'!$D17="","",'Project Register'!$B17)</f>
        <v>EX</v>
      </c>
      <c r="C17" s="44" t="str">
        <f aca="false">IF('Project Register'!$D17="","",'Project Register'!$C17)</f>
        <v>CIP-009</v>
      </c>
      <c r="D17" s="62" t="str">
        <f aca="false">IF('Project Register'!$D17="","",'Project Register'!$D17)</f>
        <v>Civic administration building - structural and fire upgrade</v>
      </c>
      <c r="E17" s="62" t="str">
        <f aca="false">IF('Project Register'!$D17="","",'Project Register'!$F17)</f>
        <v>Buildings</v>
      </c>
      <c r="F17" s="50" t="n">
        <f aca="false">IF('Project Register'!$D17="","",'Project Register'!$AD17)</f>
        <v>10978012.5</v>
      </c>
      <c r="G17" s="24" t="n">
        <v>4</v>
      </c>
      <c r="H17" s="24" t="n">
        <v>5</v>
      </c>
      <c r="I17" s="24" t="n">
        <v>2</v>
      </c>
      <c r="J17" s="24" t="n">
        <v>3</v>
      </c>
      <c r="K17" s="24" t="n">
        <v>2</v>
      </c>
      <c r="L17" s="24" t="n">
        <v>4</v>
      </c>
      <c r="M17" s="24" t="n">
        <v>4</v>
      </c>
      <c r="N17" s="24" t="n">
        <v>5</v>
      </c>
      <c r="O17" s="63" t="n">
        <f aca="false">IF($C17="","",SUMPRODUCT($G17:$N17,$G$7:$N$7))</f>
        <v>3.7</v>
      </c>
      <c r="P17" s="64" t="n">
        <f aca="false">IF($C17="","",RANK($O17,$O$9:$O$38)+COUNTIFS($O$9:$O17,$O17)-1)</f>
        <v>7</v>
      </c>
      <c r="Q17" s="51" t="str">
        <f aca="false">IF($C17="","",IF($O17&gt;=Setup!$C$50,"Critical",IF($O17&gt;=Setup!$C$51,"High",IF($O17&gt;=Setup!$C$52,"Medium","Low"))))</f>
        <v>High</v>
      </c>
      <c r="R17" s="62" t="str">
        <f aca="false">IF('Project Register'!$D17="","",'Project Register'!$I17)</f>
        <v>Compliance and safety</v>
      </c>
      <c r="S17" s="44" t="str">
        <f aca="false">IF('Project Register'!$D17="","",'Project Register'!$J17)</f>
        <v>Approved</v>
      </c>
      <c r="T17" s="50" t="n">
        <f aca="false">IF($C17="","",SUMIFS($F$9:$F$38,$P$9:$P$38,"&lt;="&amp;$P17))</f>
        <v>103542477.942812</v>
      </c>
      <c r="U17" s="51" t="str">
        <f aca="false">IF($C17="","",IF($T17&lt;=Setup!$I$31,"Above the line","Below the line"))</f>
        <v>Above the line</v>
      </c>
    </row>
    <row r="18" customFormat="false" ht="25.5" hidden="false" customHeight="true" outlineLevel="0" collapsed="false">
      <c r="B18" s="44" t="str">
        <f aca="false">IF('Project Register'!$D18="","",'Project Register'!$B18)</f>
        <v>EX</v>
      </c>
      <c r="C18" s="44" t="str">
        <f aca="false">IF('Project Register'!$D18="","",'Project Register'!$C18)</f>
        <v>CIP-010</v>
      </c>
      <c r="D18" s="62" t="str">
        <f aca="false">IF('Project Register'!$D18="","",'Project Register'!$D18)</f>
        <v>Harbour catchment flood mitigation</v>
      </c>
      <c r="E18" s="62" t="str">
        <f aca="false">IF('Project Register'!$D18="","",'Project Register'!$F18)</f>
        <v>Water and wastewater</v>
      </c>
      <c r="F18" s="50" t="n">
        <f aca="false">IF('Project Register'!$D18="","",'Project Register'!$AD18)</f>
        <v>21113586.129375</v>
      </c>
      <c r="G18" s="24" t="n">
        <v>4</v>
      </c>
      <c r="H18" s="24" t="n">
        <v>5</v>
      </c>
      <c r="I18" s="24" t="n">
        <v>4</v>
      </c>
      <c r="J18" s="24" t="n">
        <v>5</v>
      </c>
      <c r="K18" s="24" t="n">
        <v>4</v>
      </c>
      <c r="L18" s="24" t="n">
        <v>2</v>
      </c>
      <c r="M18" s="24" t="n">
        <v>2</v>
      </c>
      <c r="N18" s="24" t="n">
        <v>5</v>
      </c>
      <c r="O18" s="63" t="n">
        <f aca="false">IF($C18="","",SUMPRODUCT($G18:$N18,$G$7:$N$7))</f>
        <v>4.04</v>
      </c>
      <c r="P18" s="64" t="n">
        <f aca="false">IF($C18="","",RANK($O18,$O$9:$O$38)+COUNTIFS($O$9:$O18,$O18)-1)</f>
        <v>3</v>
      </c>
      <c r="Q18" s="51" t="str">
        <f aca="false">IF($C18="","",IF($O18&gt;=Setup!$C$50,"Critical",IF($O18&gt;=Setup!$C$51,"High",IF($O18&gt;=Setup!$C$52,"Medium","Low"))))</f>
        <v>High</v>
      </c>
      <c r="R18" s="62" t="str">
        <f aca="false">IF('Project Register'!$D18="","",'Project Register'!$I18)</f>
        <v>Compliance and safety</v>
      </c>
      <c r="S18" s="44" t="str">
        <f aca="false">IF('Project Register'!$D18="","",'Project Register'!$J18)</f>
        <v>Proposed</v>
      </c>
      <c r="T18" s="50" t="n">
        <f aca="false">IF($C18="","",SUMIFS($F$9:$F$38,$P$9:$P$38,"&lt;="&amp;$P18))</f>
        <v>72252929.129375</v>
      </c>
      <c r="U18" s="51" t="str">
        <f aca="false">IF($C18="","",IF($T18&lt;=Setup!$I$31,"Above the line","Below the line"))</f>
        <v>Above the line</v>
      </c>
    </row>
    <row r="19" customFormat="false" ht="25.5" hidden="false" customHeight="true" outlineLevel="0" collapsed="false">
      <c r="B19" s="44" t="str">
        <f aca="false">IF('Project Register'!$D19="","",'Project Register'!$B19)</f>
        <v>EX</v>
      </c>
      <c r="C19" s="44" t="str">
        <f aca="false">IF('Project Register'!$D19="","",'Project Register'!$C19)</f>
        <v>CIP-011</v>
      </c>
      <c r="D19" s="62" t="str">
        <f aca="false">IF('Project Register'!$D19="","",'Project Register'!$D19)</f>
        <v>Land acquisition - eastern growth corridor</v>
      </c>
      <c r="E19" s="62" t="str">
        <f aca="false">IF('Project Register'!$D19="","",'Project Register'!$F19)</f>
        <v>Land</v>
      </c>
      <c r="F19" s="50" t="n">
        <f aca="false">IF('Project Register'!$D19="","",'Project Register'!$AD19)</f>
        <v>7657500</v>
      </c>
      <c r="G19" s="24" t="n">
        <v>2</v>
      </c>
      <c r="H19" s="24" t="n">
        <v>2</v>
      </c>
      <c r="I19" s="24" t="n">
        <v>5</v>
      </c>
      <c r="J19" s="24" t="n">
        <v>5</v>
      </c>
      <c r="K19" s="24" t="n">
        <v>4</v>
      </c>
      <c r="L19" s="24" t="n">
        <v>4</v>
      </c>
      <c r="M19" s="24" t="n">
        <v>4</v>
      </c>
      <c r="N19" s="24" t="n">
        <v>4</v>
      </c>
      <c r="O19" s="63" t="n">
        <f aca="false">IF($C19="","",SUMPRODUCT($G19:$N19,$G$7:$N$7))</f>
        <v>3.54</v>
      </c>
      <c r="P19" s="64" t="n">
        <f aca="false">IF($C19="","",RANK($O19,$O$9:$O$38)+COUNTIFS($O$9:$O19,$O19)-1)</f>
        <v>9</v>
      </c>
      <c r="Q19" s="51" t="str">
        <f aca="false">IF($C19="","",IF($O19&gt;=Setup!$C$50,"Critical",IF($O19&gt;=Setup!$C$51,"High",IF($O19&gt;=Setup!$C$52,"Medium","Low"))))</f>
        <v>High</v>
      </c>
      <c r="R19" s="62" t="str">
        <f aca="false">IF('Project Register'!$D19="","",'Project Register'!$I19)</f>
        <v>Growth</v>
      </c>
      <c r="S19" s="44" t="str">
        <f aca="false">IF('Project Register'!$D19="","",'Project Register'!$J19)</f>
        <v>Approved</v>
      </c>
      <c r="T19" s="50" t="n">
        <f aca="false">IF($C19="","",SUMIFS($F$9:$F$38,$P$9:$P$38,"&lt;="&amp;$P19))</f>
        <v>123053030.131875</v>
      </c>
      <c r="U19" s="51" t="str">
        <f aca="false">IF($C19="","",IF($T19&lt;=Setup!$I$31,"Above the line","Below the line"))</f>
        <v>Above the line</v>
      </c>
    </row>
    <row r="20" customFormat="false" ht="25.5" hidden="false" customHeight="true" outlineLevel="0" collapsed="false">
      <c r="B20" s="44" t="str">
        <f aca="false">IF('Project Register'!$D20="","",'Project Register'!$B20)</f>
        <v>EX</v>
      </c>
      <c r="C20" s="44" t="str">
        <f aca="false">IF('Project Register'!$D20="","",'Project Register'!$C20)</f>
        <v>CIP-012</v>
      </c>
      <c r="D20" s="62" t="str">
        <f aca="false">IF('Project Register'!$D20="","",'Project Register'!$D20)</f>
        <v>Library and learning hub fit-out</v>
      </c>
      <c r="E20" s="62" t="str">
        <f aca="false">IF('Project Register'!$D20="","",'Project Register'!$F20)</f>
        <v>Buildings</v>
      </c>
      <c r="F20" s="50" t="n">
        <f aca="false">IF('Project Register'!$D20="","",'Project Register'!$AD20)</f>
        <v>6142297.0275</v>
      </c>
      <c r="G20" s="24" t="n">
        <v>1</v>
      </c>
      <c r="H20" s="24" t="n">
        <v>2</v>
      </c>
      <c r="I20" s="24" t="n">
        <v>2</v>
      </c>
      <c r="J20" s="24" t="n">
        <v>2</v>
      </c>
      <c r="K20" s="24" t="n">
        <v>3</v>
      </c>
      <c r="L20" s="24" t="n">
        <v>3</v>
      </c>
      <c r="M20" s="24" t="n">
        <v>1</v>
      </c>
      <c r="N20" s="24" t="n">
        <v>2</v>
      </c>
      <c r="O20" s="63" t="n">
        <f aca="false">IF($C20="","",SUMPRODUCT($G20:$N20,$G$7:$N$7))</f>
        <v>1.98</v>
      </c>
      <c r="P20" s="64" t="n">
        <f aca="false">IF($C20="","",RANK($O20,$O$9:$O$38)+COUNTIFS($O$9:$O20,$O20)-1)</f>
        <v>15</v>
      </c>
      <c r="Q20" s="51" t="str">
        <f aca="false">IF($C20="","",IF($O20&gt;=Setup!$C$50,"Critical",IF($O20&gt;=Setup!$C$51,"High",IF($O20&gt;=Setup!$C$52,"Medium","Low"))))</f>
        <v>Low</v>
      </c>
      <c r="R20" s="62" t="str">
        <f aca="false">IF('Project Register'!$D20="","",'Project Register'!$I20)</f>
        <v>Service improvement</v>
      </c>
      <c r="S20" s="44" t="str">
        <f aca="false">IF('Project Register'!$D20="","",'Project Register'!$J20)</f>
        <v>Deferred</v>
      </c>
      <c r="T20" s="50" t="n">
        <f aca="false">IF($C20="","",SUMIFS($F$9:$F$38,$P$9:$P$38,"&lt;="&amp;$P20))</f>
        <v>219442365.843875</v>
      </c>
      <c r="U20" s="51" t="str">
        <f aca="false">IF($C20="","",IF($T20&lt;=Setup!$I$31,"Above the line","Below the line"))</f>
        <v>Below the line</v>
      </c>
    </row>
    <row r="21" customFormat="false" ht="25.5" hidden="false" customHeight="true" outlineLevel="0" collapsed="false">
      <c r="B21" s="44" t="str">
        <f aca="false">IF('Project Register'!$D21="","",'Project Register'!$B21)</f>
        <v>EX</v>
      </c>
      <c r="C21" s="44" t="str">
        <f aca="false">IF('Project Register'!$D21="","",'Project Register'!$C21)</f>
        <v>CIP-013</v>
      </c>
      <c r="D21" s="62" t="str">
        <f aca="false">IF('Project Register'!$D21="","",'Project Register'!$D21)</f>
        <v>Asset renewal program - minor buildings and structures</v>
      </c>
      <c r="E21" s="62" t="str">
        <f aca="false">IF('Project Register'!$D21="","",'Project Register'!$F21)</f>
        <v>Renewals</v>
      </c>
      <c r="F21" s="50" t="n">
        <f aca="false">IF('Project Register'!$D21="","",'Project Register'!$AD21)</f>
        <v>6434959.05075</v>
      </c>
      <c r="G21" s="24" t="n">
        <v>4</v>
      </c>
      <c r="H21" s="24" t="n">
        <v>3</v>
      </c>
      <c r="I21" s="24" t="n">
        <v>2</v>
      </c>
      <c r="J21" s="24" t="n">
        <v>3</v>
      </c>
      <c r="K21" s="24" t="n">
        <v>2</v>
      </c>
      <c r="L21" s="24" t="n">
        <v>5</v>
      </c>
      <c r="M21" s="24" t="n">
        <v>5</v>
      </c>
      <c r="N21" s="24" t="n">
        <v>3</v>
      </c>
      <c r="O21" s="63" t="n">
        <f aca="false">IF($C21="","",SUMPRODUCT($G21:$N21,$G$7:$N$7))</f>
        <v>3.29</v>
      </c>
      <c r="P21" s="64" t="n">
        <f aca="false">IF($C21="","",RANK($O21,$O$9:$O$38)+COUNTIFS($O$9:$O21,$O21)-1)</f>
        <v>11</v>
      </c>
      <c r="Q21" s="51" t="str">
        <f aca="false">IF($C21="","",IF($O21&gt;=Setup!$C$50,"Critical",IF($O21&gt;=Setup!$C$51,"High",IF($O21&gt;=Setup!$C$52,"Medium","Low"))))</f>
        <v>Medium</v>
      </c>
      <c r="R21" s="62" t="str">
        <f aca="false">IF('Project Register'!$D21="","",'Project Register'!$I21)</f>
        <v>Renewal</v>
      </c>
      <c r="S21" s="44" t="str">
        <f aca="false">IF('Project Register'!$D21="","",'Project Register'!$J21)</f>
        <v>Approved</v>
      </c>
      <c r="T21" s="50" t="n">
        <f aca="false">IF($C21="","",SUMIFS($F$9:$F$38,$P$9:$P$38,"&lt;="&amp;$P21))</f>
        <v>178864809.187625</v>
      </c>
      <c r="U21" s="51" t="str">
        <f aca="false">IF($C21="","",IF($T21&lt;=Setup!$I$31,"Above the line","Below the line"))</f>
        <v>Above the line</v>
      </c>
    </row>
    <row r="22" customFormat="false" ht="25.5" hidden="false" customHeight="true" outlineLevel="0" collapsed="false">
      <c r="B22" s="44" t="str">
        <f aca="false">IF('Project Register'!$D22="","",'Project Register'!$B22)</f>
        <v>EX</v>
      </c>
      <c r="C22" s="44" t="str">
        <f aca="false">IF('Project Register'!$D22="","",'Project Register'!$C22)</f>
        <v>CIP-014</v>
      </c>
      <c r="D22" s="62" t="str">
        <f aca="false">IF('Project Register'!$D22="","",'Project Register'!$D22)</f>
        <v>Transit interchange upgrade</v>
      </c>
      <c r="E22" s="62" t="str">
        <f aca="false">IF('Project Register'!$D22="","",'Project Register'!$F22)</f>
        <v>Roads and bridges</v>
      </c>
      <c r="F22" s="50" t="n">
        <f aca="false">IF('Project Register'!$D22="","",'Project Register'!$AD22)</f>
        <v>14571177.37875</v>
      </c>
      <c r="G22" s="24" t="n">
        <v>2</v>
      </c>
      <c r="H22" s="24" t="n">
        <v>3</v>
      </c>
      <c r="I22" s="24" t="n">
        <v>5</v>
      </c>
      <c r="J22" s="24" t="n">
        <v>4</v>
      </c>
      <c r="K22" s="24" t="n">
        <v>4</v>
      </c>
      <c r="L22" s="24" t="n">
        <v>2</v>
      </c>
      <c r="M22" s="24" t="n">
        <v>2</v>
      </c>
      <c r="N22" s="24" t="n">
        <v>3</v>
      </c>
      <c r="O22" s="63" t="n">
        <f aca="false">IF($C22="","",SUMPRODUCT($G22:$N22,$G$7:$N$7))</f>
        <v>3.14</v>
      </c>
      <c r="P22" s="64" t="n">
        <f aca="false">IF($C22="","",RANK($O22,$O$9:$O$38)+COUNTIFS($O$9:$O22,$O22)-1)</f>
        <v>12</v>
      </c>
      <c r="Q22" s="51" t="str">
        <f aca="false">IF($C22="","",IF($O22&gt;=Setup!$C$50,"Critical",IF($O22&gt;=Setup!$C$51,"High",IF($O22&gt;=Setup!$C$52,"Medium","Low"))))</f>
        <v>Medium</v>
      </c>
      <c r="R22" s="62" t="str">
        <f aca="false">IF('Project Register'!$D22="","",'Project Register'!$I22)</f>
        <v>Growth</v>
      </c>
      <c r="S22" s="44" t="str">
        <f aca="false">IF('Project Register'!$D22="","",'Project Register'!$J22)</f>
        <v>Proposed</v>
      </c>
      <c r="T22" s="50" t="n">
        <f aca="false">IF($C22="","",SUMIFS($F$9:$F$38,$P$9:$P$38,"&lt;="&amp;$P22))</f>
        <v>193435986.566375</v>
      </c>
      <c r="U22" s="51" t="str">
        <f aca="false">IF($C22="","",IF($T22&lt;=Setup!$I$31,"Above the line","Below the line"))</f>
        <v>Above the line</v>
      </c>
    </row>
    <row r="23" customFormat="false" ht="25.5" hidden="false" customHeight="true" outlineLevel="0" collapsed="false">
      <c r="B23" s="44" t="str">
        <f aca="false">IF('Project Register'!$D23="","",'Project Register'!$B23)</f>
        <v>EX</v>
      </c>
      <c r="C23" s="44" t="str">
        <f aca="false">IF('Project Register'!$D23="","",'Project Register'!$C23)</f>
        <v>CIP-015</v>
      </c>
      <c r="D23" s="62" t="str">
        <f aca="false">IF('Project Register'!$D23="","",'Project Register'!$D23)</f>
        <v>Solar and battery installation - operational sites</v>
      </c>
      <c r="E23" s="62" t="str">
        <f aca="false">IF('Project Register'!$D23="","",'Project Register'!$F23)</f>
        <v>Buildings</v>
      </c>
      <c r="F23" s="50" t="n">
        <f aca="false">IF('Project Register'!$D23="","",'Project Register'!$AD23)</f>
        <v>4455675</v>
      </c>
      <c r="G23" s="24" t="n">
        <v>2</v>
      </c>
      <c r="H23" s="24" t="n">
        <v>2</v>
      </c>
      <c r="I23" s="24" t="n">
        <v>2</v>
      </c>
      <c r="J23" s="24" t="n">
        <v>4</v>
      </c>
      <c r="K23" s="24" t="n">
        <v>3</v>
      </c>
      <c r="L23" s="24" t="n">
        <v>4</v>
      </c>
      <c r="M23" s="24" t="n">
        <v>3</v>
      </c>
      <c r="N23" s="24" t="n">
        <v>2</v>
      </c>
      <c r="O23" s="63" t="n">
        <f aca="false">IF($C23="","",SUMPRODUCT($G23:$N23,$G$7:$N$7))</f>
        <v>2.65</v>
      </c>
      <c r="P23" s="64" t="n">
        <f aca="false">IF($C23="","",RANK($O23,$O$9:$O$38)+COUNTIFS($O$9:$O23,$O23)-1)</f>
        <v>14</v>
      </c>
      <c r="Q23" s="51" t="str">
        <f aca="false">IF($C23="","",IF($O23&gt;=Setup!$C$50,"Critical",IF($O23&gt;=Setup!$C$51,"High",IF($O23&gt;=Setup!$C$52,"Medium","Low"))))</f>
        <v>Medium</v>
      </c>
      <c r="R23" s="62" t="str">
        <f aca="false">IF('Project Register'!$D23="","",'Project Register'!$I23)</f>
        <v>Service improvement</v>
      </c>
      <c r="S23" s="44" t="str">
        <f aca="false">IF('Project Register'!$D23="","",'Project Register'!$J23)</f>
        <v>Proposed</v>
      </c>
      <c r="T23" s="50" t="n">
        <f aca="false">IF($C23="","",SUMIFS($F$9:$F$38,$P$9:$P$38,"&lt;="&amp;$P23))</f>
        <v>213300068.816375</v>
      </c>
      <c r="U23" s="51" t="str">
        <f aca="false">IF($C23="","",IF($T23&lt;=Setup!$I$31,"Above the line","Below the line"))</f>
        <v>Above the line</v>
      </c>
    </row>
    <row r="24" customFormat="false" ht="25.5" hidden="false" customHeight="true" outlineLevel="0" collapsed="false">
      <c r="B24" s="44" t="str">
        <f aca="false">IF('Project Register'!$D24="","",'Project Register'!$B24)</f>
        <v/>
      </c>
      <c r="C24" s="44" t="str">
        <f aca="false">IF('Project Register'!$D24="","",'Project Register'!$C24)</f>
        <v/>
      </c>
      <c r="D24" s="62" t="str">
        <f aca="false">IF('Project Register'!$D24="","",'Project Register'!$D24)</f>
        <v/>
      </c>
      <c r="E24" s="62" t="str">
        <f aca="false">IF('Project Register'!$D24="","",'Project Register'!$F24)</f>
        <v/>
      </c>
      <c r="F24" s="50" t="str">
        <f aca="false">IF('Project Register'!$D24="","",'Project Register'!$AD24)</f>
        <v/>
      </c>
      <c r="G24" s="24"/>
      <c r="H24" s="24"/>
      <c r="I24" s="24"/>
      <c r="J24" s="24"/>
      <c r="K24" s="24"/>
      <c r="L24" s="24"/>
      <c r="M24" s="24"/>
      <c r="N24" s="24"/>
      <c r="O24" s="63" t="str">
        <f aca="false">IF($C24="","",SUMPRODUCT($G24:$N24,$G$7:$N$7))</f>
        <v/>
      </c>
      <c r="P24" s="64" t="str">
        <f aca="false">IF($C24="","",RANK($O24,$O$9:$O$38)+COUNTIFS($O$9:$O24,$O24)-1)</f>
        <v/>
      </c>
      <c r="Q24" s="51" t="str">
        <f aca="false">IF($C24="","",IF($O24&gt;=Setup!$C$50,"Critical",IF($O24&gt;=Setup!$C$51,"High",IF($O24&gt;=Setup!$C$52,"Medium","Low"))))</f>
        <v/>
      </c>
      <c r="R24" s="62" t="str">
        <f aca="false">IF('Project Register'!$D24="","",'Project Register'!$I24)</f>
        <v/>
      </c>
      <c r="S24" s="44" t="str">
        <f aca="false">IF('Project Register'!$D24="","",'Project Register'!$J24)</f>
        <v/>
      </c>
      <c r="T24" s="50" t="str">
        <f aca="false">IF($C24="","",SUMIFS($F$9:$F$38,$P$9:$P$38,"&lt;="&amp;$P24))</f>
        <v/>
      </c>
      <c r="U24" s="51" t="str">
        <f aca="false">IF($C24="","",IF($T24&lt;=Setup!$I$31,"Above the line","Below the line"))</f>
        <v/>
      </c>
    </row>
    <row r="25" customFormat="false" ht="25.5" hidden="false" customHeight="true" outlineLevel="0" collapsed="false">
      <c r="B25" s="44" t="str">
        <f aca="false">IF('Project Register'!$D25="","",'Project Register'!$B25)</f>
        <v/>
      </c>
      <c r="C25" s="44" t="str">
        <f aca="false">IF('Project Register'!$D25="","",'Project Register'!$C25)</f>
        <v/>
      </c>
      <c r="D25" s="62" t="str">
        <f aca="false">IF('Project Register'!$D25="","",'Project Register'!$D25)</f>
        <v/>
      </c>
      <c r="E25" s="62" t="str">
        <f aca="false">IF('Project Register'!$D25="","",'Project Register'!$F25)</f>
        <v/>
      </c>
      <c r="F25" s="50" t="str">
        <f aca="false">IF('Project Register'!$D25="","",'Project Register'!$AD25)</f>
        <v/>
      </c>
      <c r="G25" s="24"/>
      <c r="H25" s="24"/>
      <c r="I25" s="24"/>
      <c r="J25" s="24"/>
      <c r="K25" s="24"/>
      <c r="L25" s="24"/>
      <c r="M25" s="24"/>
      <c r="N25" s="24"/>
      <c r="O25" s="63" t="str">
        <f aca="false">IF($C25="","",SUMPRODUCT($G25:$N25,$G$7:$N$7))</f>
        <v/>
      </c>
      <c r="P25" s="64" t="str">
        <f aca="false">IF($C25="","",RANK($O25,$O$9:$O$38)+COUNTIFS($O$9:$O25,$O25)-1)</f>
        <v/>
      </c>
      <c r="Q25" s="51" t="str">
        <f aca="false">IF($C25="","",IF($O25&gt;=Setup!$C$50,"Critical",IF($O25&gt;=Setup!$C$51,"High",IF($O25&gt;=Setup!$C$52,"Medium","Low"))))</f>
        <v/>
      </c>
      <c r="R25" s="62" t="str">
        <f aca="false">IF('Project Register'!$D25="","",'Project Register'!$I25)</f>
        <v/>
      </c>
      <c r="S25" s="44" t="str">
        <f aca="false">IF('Project Register'!$D25="","",'Project Register'!$J25)</f>
        <v/>
      </c>
      <c r="T25" s="50" t="str">
        <f aca="false">IF($C25="","",SUMIFS($F$9:$F$38,$P$9:$P$38,"&lt;="&amp;$P25))</f>
        <v/>
      </c>
      <c r="U25" s="51" t="str">
        <f aca="false">IF($C25="","",IF($T25&lt;=Setup!$I$31,"Above the line","Below the line"))</f>
        <v/>
      </c>
    </row>
    <row r="26" customFormat="false" ht="25.5" hidden="false" customHeight="true" outlineLevel="0" collapsed="false">
      <c r="B26" s="44" t="str">
        <f aca="false">IF('Project Register'!$D26="","",'Project Register'!$B26)</f>
        <v/>
      </c>
      <c r="C26" s="44" t="str">
        <f aca="false">IF('Project Register'!$D26="","",'Project Register'!$C26)</f>
        <v/>
      </c>
      <c r="D26" s="62" t="str">
        <f aca="false">IF('Project Register'!$D26="","",'Project Register'!$D26)</f>
        <v/>
      </c>
      <c r="E26" s="62" t="str">
        <f aca="false">IF('Project Register'!$D26="","",'Project Register'!$F26)</f>
        <v/>
      </c>
      <c r="F26" s="50" t="str">
        <f aca="false">IF('Project Register'!$D26="","",'Project Register'!$AD26)</f>
        <v/>
      </c>
      <c r="G26" s="24"/>
      <c r="H26" s="24"/>
      <c r="I26" s="24"/>
      <c r="J26" s="24"/>
      <c r="K26" s="24"/>
      <c r="L26" s="24"/>
      <c r="M26" s="24"/>
      <c r="N26" s="24"/>
      <c r="O26" s="63" t="str">
        <f aca="false">IF($C26="","",SUMPRODUCT($G26:$N26,$G$7:$N$7))</f>
        <v/>
      </c>
      <c r="P26" s="64" t="str">
        <f aca="false">IF($C26="","",RANK($O26,$O$9:$O$38)+COUNTIFS($O$9:$O26,$O26)-1)</f>
        <v/>
      </c>
      <c r="Q26" s="51" t="str">
        <f aca="false">IF($C26="","",IF($O26&gt;=Setup!$C$50,"Critical",IF($O26&gt;=Setup!$C$51,"High",IF($O26&gt;=Setup!$C$52,"Medium","Low"))))</f>
        <v/>
      </c>
      <c r="R26" s="62" t="str">
        <f aca="false">IF('Project Register'!$D26="","",'Project Register'!$I26)</f>
        <v/>
      </c>
      <c r="S26" s="44" t="str">
        <f aca="false">IF('Project Register'!$D26="","",'Project Register'!$J26)</f>
        <v/>
      </c>
      <c r="T26" s="50" t="str">
        <f aca="false">IF($C26="","",SUMIFS($F$9:$F$38,$P$9:$P$38,"&lt;="&amp;$P26))</f>
        <v/>
      </c>
      <c r="U26" s="51" t="str">
        <f aca="false">IF($C26="","",IF($T26&lt;=Setup!$I$31,"Above the line","Below the line"))</f>
        <v/>
      </c>
    </row>
    <row r="27" customFormat="false" ht="25.5" hidden="false" customHeight="true" outlineLevel="0" collapsed="false">
      <c r="B27" s="44" t="str">
        <f aca="false">IF('Project Register'!$D27="","",'Project Register'!$B27)</f>
        <v/>
      </c>
      <c r="C27" s="44" t="str">
        <f aca="false">IF('Project Register'!$D27="","",'Project Register'!$C27)</f>
        <v/>
      </c>
      <c r="D27" s="62" t="str">
        <f aca="false">IF('Project Register'!$D27="","",'Project Register'!$D27)</f>
        <v/>
      </c>
      <c r="E27" s="62" t="str">
        <f aca="false">IF('Project Register'!$D27="","",'Project Register'!$F27)</f>
        <v/>
      </c>
      <c r="F27" s="50" t="str">
        <f aca="false">IF('Project Register'!$D27="","",'Project Register'!$AD27)</f>
        <v/>
      </c>
      <c r="G27" s="24"/>
      <c r="H27" s="24"/>
      <c r="I27" s="24"/>
      <c r="J27" s="24"/>
      <c r="K27" s="24"/>
      <c r="L27" s="24"/>
      <c r="M27" s="24"/>
      <c r="N27" s="24"/>
      <c r="O27" s="63" t="str">
        <f aca="false">IF($C27="","",SUMPRODUCT($G27:$N27,$G$7:$N$7))</f>
        <v/>
      </c>
      <c r="P27" s="64" t="str">
        <f aca="false">IF($C27="","",RANK($O27,$O$9:$O$38)+COUNTIFS($O$9:$O27,$O27)-1)</f>
        <v/>
      </c>
      <c r="Q27" s="51" t="str">
        <f aca="false">IF($C27="","",IF($O27&gt;=Setup!$C$50,"Critical",IF($O27&gt;=Setup!$C$51,"High",IF($O27&gt;=Setup!$C$52,"Medium","Low"))))</f>
        <v/>
      </c>
      <c r="R27" s="62" t="str">
        <f aca="false">IF('Project Register'!$D27="","",'Project Register'!$I27)</f>
        <v/>
      </c>
      <c r="S27" s="44" t="str">
        <f aca="false">IF('Project Register'!$D27="","",'Project Register'!$J27)</f>
        <v/>
      </c>
      <c r="T27" s="50" t="str">
        <f aca="false">IF($C27="","",SUMIFS($F$9:$F$38,$P$9:$P$38,"&lt;="&amp;$P27))</f>
        <v/>
      </c>
      <c r="U27" s="51" t="str">
        <f aca="false">IF($C27="","",IF($T27&lt;=Setup!$I$31,"Above the line","Below the line"))</f>
        <v/>
      </c>
    </row>
    <row r="28" customFormat="false" ht="25.5" hidden="false" customHeight="true" outlineLevel="0" collapsed="false">
      <c r="B28" s="44" t="str">
        <f aca="false">IF('Project Register'!$D28="","",'Project Register'!$B28)</f>
        <v/>
      </c>
      <c r="C28" s="44" t="str">
        <f aca="false">IF('Project Register'!$D28="","",'Project Register'!$C28)</f>
        <v/>
      </c>
      <c r="D28" s="62" t="str">
        <f aca="false">IF('Project Register'!$D28="","",'Project Register'!$D28)</f>
        <v/>
      </c>
      <c r="E28" s="62" t="str">
        <f aca="false">IF('Project Register'!$D28="","",'Project Register'!$F28)</f>
        <v/>
      </c>
      <c r="F28" s="50" t="str">
        <f aca="false">IF('Project Register'!$D28="","",'Project Register'!$AD28)</f>
        <v/>
      </c>
      <c r="G28" s="24"/>
      <c r="H28" s="24"/>
      <c r="I28" s="24"/>
      <c r="J28" s="24"/>
      <c r="K28" s="24"/>
      <c r="L28" s="24"/>
      <c r="M28" s="24"/>
      <c r="N28" s="24"/>
      <c r="O28" s="63" t="str">
        <f aca="false">IF($C28="","",SUMPRODUCT($G28:$N28,$G$7:$N$7))</f>
        <v/>
      </c>
      <c r="P28" s="64" t="str">
        <f aca="false">IF($C28="","",RANK($O28,$O$9:$O$38)+COUNTIFS($O$9:$O28,$O28)-1)</f>
        <v/>
      </c>
      <c r="Q28" s="51" t="str">
        <f aca="false">IF($C28="","",IF($O28&gt;=Setup!$C$50,"Critical",IF($O28&gt;=Setup!$C$51,"High",IF($O28&gt;=Setup!$C$52,"Medium","Low"))))</f>
        <v/>
      </c>
      <c r="R28" s="62" t="str">
        <f aca="false">IF('Project Register'!$D28="","",'Project Register'!$I28)</f>
        <v/>
      </c>
      <c r="S28" s="44" t="str">
        <f aca="false">IF('Project Register'!$D28="","",'Project Register'!$J28)</f>
        <v/>
      </c>
      <c r="T28" s="50" t="str">
        <f aca="false">IF($C28="","",SUMIFS($F$9:$F$38,$P$9:$P$38,"&lt;="&amp;$P28))</f>
        <v/>
      </c>
      <c r="U28" s="51" t="str">
        <f aca="false">IF($C28="","",IF($T28&lt;=Setup!$I$31,"Above the line","Below the line"))</f>
        <v/>
      </c>
    </row>
    <row r="29" customFormat="false" ht="25.5" hidden="false" customHeight="true" outlineLevel="0" collapsed="false">
      <c r="B29" s="44" t="str">
        <f aca="false">IF('Project Register'!$D29="","",'Project Register'!$B29)</f>
        <v/>
      </c>
      <c r="C29" s="44" t="str">
        <f aca="false">IF('Project Register'!$D29="","",'Project Register'!$C29)</f>
        <v/>
      </c>
      <c r="D29" s="62" t="str">
        <f aca="false">IF('Project Register'!$D29="","",'Project Register'!$D29)</f>
        <v/>
      </c>
      <c r="E29" s="62" t="str">
        <f aca="false">IF('Project Register'!$D29="","",'Project Register'!$F29)</f>
        <v/>
      </c>
      <c r="F29" s="50" t="str">
        <f aca="false">IF('Project Register'!$D29="","",'Project Register'!$AD29)</f>
        <v/>
      </c>
      <c r="G29" s="24"/>
      <c r="H29" s="24"/>
      <c r="I29" s="24"/>
      <c r="J29" s="24"/>
      <c r="K29" s="24"/>
      <c r="L29" s="24"/>
      <c r="M29" s="24"/>
      <c r="N29" s="24"/>
      <c r="O29" s="63" t="str">
        <f aca="false">IF($C29="","",SUMPRODUCT($G29:$N29,$G$7:$N$7))</f>
        <v/>
      </c>
      <c r="P29" s="64" t="str">
        <f aca="false">IF($C29="","",RANK($O29,$O$9:$O$38)+COUNTIFS($O$9:$O29,$O29)-1)</f>
        <v/>
      </c>
      <c r="Q29" s="51" t="str">
        <f aca="false">IF($C29="","",IF($O29&gt;=Setup!$C$50,"Critical",IF($O29&gt;=Setup!$C$51,"High",IF($O29&gt;=Setup!$C$52,"Medium","Low"))))</f>
        <v/>
      </c>
      <c r="R29" s="62" t="str">
        <f aca="false">IF('Project Register'!$D29="","",'Project Register'!$I29)</f>
        <v/>
      </c>
      <c r="S29" s="44" t="str">
        <f aca="false">IF('Project Register'!$D29="","",'Project Register'!$J29)</f>
        <v/>
      </c>
      <c r="T29" s="50" t="str">
        <f aca="false">IF($C29="","",SUMIFS($F$9:$F$38,$P$9:$P$38,"&lt;="&amp;$P29))</f>
        <v/>
      </c>
      <c r="U29" s="51" t="str">
        <f aca="false">IF($C29="","",IF($T29&lt;=Setup!$I$31,"Above the line","Below the line"))</f>
        <v/>
      </c>
    </row>
    <row r="30" customFormat="false" ht="25.5" hidden="false" customHeight="true" outlineLevel="0" collapsed="false">
      <c r="B30" s="44" t="str">
        <f aca="false">IF('Project Register'!$D30="","",'Project Register'!$B30)</f>
        <v/>
      </c>
      <c r="C30" s="44" t="str">
        <f aca="false">IF('Project Register'!$D30="","",'Project Register'!$C30)</f>
        <v/>
      </c>
      <c r="D30" s="62" t="str">
        <f aca="false">IF('Project Register'!$D30="","",'Project Register'!$D30)</f>
        <v/>
      </c>
      <c r="E30" s="62" t="str">
        <f aca="false">IF('Project Register'!$D30="","",'Project Register'!$F30)</f>
        <v/>
      </c>
      <c r="F30" s="50" t="str">
        <f aca="false">IF('Project Register'!$D30="","",'Project Register'!$AD30)</f>
        <v/>
      </c>
      <c r="G30" s="24"/>
      <c r="H30" s="24"/>
      <c r="I30" s="24"/>
      <c r="J30" s="24"/>
      <c r="K30" s="24"/>
      <c r="L30" s="24"/>
      <c r="M30" s="24"/>
      <c r="N30" s="24"/>
      <c r="O30" s="63" t="str">
        <f aca="false">IF($C30="","",SUMPRODUCT($G30:$N30,$G$7:$N$7))</f>
        <v/>
      </c>
      <c r="P30" s="64" t="str">
        <f aca="false">IF($C30="","",RANK($O30,$O$9:$O$38)+COUNTIFS($O$9:$O30,$O30)-1)</f>
        <v/>
      </c>
      <c r="Q30" s="51" t="str">
        <f aca="false">IF($C30="","",IF($O30&gt;=Setup!$C$50,"Critical",IF($O30&gt;=Setup!$C$51,"High",IF($O30&gt;=Setup!$C$52,"Medium","Low"))))</f>
        <v/>
      </c>
      <c r="R30" s="62" t="str">
        <f aca="false">IF('Project Register'!$D30="","",'Project Register'!$I30)</f>
        <v/>
      </c>
      <c r="S30" s="44" t="str">
        <f aca="false">IF('Project Register'!$D30="","",'Project Register'!$J30)</f>
        <v/>
      </c>
      <c r="T30" s="50" t="str">
        <f aca="false">IF($C30="","",SUMIFS($F$9:$F$38,$P$9:$P$38,"&lt;="&amp;$P30))</f>
        <v/>
      </c>
      <c r="U30" s="51" t="str">
        <f aca="false">IF($C30="","",IF($T30&lt;=Setup!$I$31,"Above the line","Below the line"))</f>
        <v/>
      </c>
    </row>
    <row r="31" customFormat="false" ht="25.5" hidden="false" customHeight="true" outlineLevel="0" collapsed="false">
      <c r="B31" s="44" t="str">
        <f aca="false">IF('Project Register'!$D31="","",'Project Register'!$B31)</f>
        <v/>
      </c>
      <c r="C31" s="44" t="str">
        <f aca="false">IF('Project Register'!$D31="","",'Project Register'!$C31)</f>
        <v/>
      </c>
      <c r="D31" s="62" t="str">
        <f aca="false">IF('Project Register'!$D31="","",'Project Register'!$D31)</f>
        <v/>
      </c>
      <c r="E31" s="62" t="str">
        <f aca="false">IF('Project Register'!$D31="","",'Project Register'!$F31)</f>
        <v/>
      </c>
      <c r="F31" s="50" t="str">
        <f aca="false">IF('Project Register'!$D31="","",'Project Register'!$AD31)</f>
        <v/>
      </c>
      <c r="G31" s="24"/>
      <c r="H31" s="24"/>
      <c r="I31" s="24"/>
      <c r="J31" s="24"/>
      <c r="K31" s="24"/>
      <c r="L31" s="24"/>
      <c r="M31" s="24"/>
      <c r="N31" s="24"/>
      <c r="O31" s="63" t="str">
        <f aca="false">IF($C31="","",SUMPRODUCT($G31:$N31,$G$7:$N$7))</f>
        <v/>
      </c>
      <c r="P31" s="64" t="str">
        <f aca="false">IF($C31="","",RANK($O31,$O$9:$O$38)+COUNTIFS($O$9:$O31,$O31)-1)</f>
        <v/>
      </c>
      <c r="Q31" s="51" t="str">
        <f aca="false">IF($C31="","",IF($O31&gt;=Setup!$C$50,"Critical",IF($O31&gt;=Setup!$C$51,"High",IF($O31&gt;=Setup!$C$52,"Medium","Low"))))</f>
        <v/>
      </c>
      <c r="R31" s="62" t="str">
        <f aca="false">IF('Project Register'!$D31="","",'Project Register'!$I31)</f>
        <v/>
      </c>
      <c r="S31" s="44" t="str">
        <f aca="false">IF('Project Register'!$D31="","",'Project Register'!$J31)</f>
        <v/>
      </c>
      <c r="T31" s="50" t="str">
        <f aca="false">IF($C31="","",SUMIFS($F$9:$F$38,$P$9:$P$38,"&lt;="&amp;$P31))</f>
        <v/>
      </c>
      <c r="U31" s="51" t="str">
        <f aca="false">IF($C31="","",IF($T31&lt;=Setup!$I$31,"Above the line","Below the line"))</f>
        <v/>
      </c>
    </row>
    <row r="32" customFormat="false" ht="25.5" hidden="false" customHeight="true" outlineLevel="0" collapsed="false">
      <c r="B32" s="44" t="str">
        <f aca="false">IF('Project Register'!$D32="","",'Project Register'!$B32)</f>
        <v/>
      </c>
      <c r="C32" s="44" t="str">
        <f aca="false">IF('Project Register'!$D32="","",'Project Register'!$C32)</f>
        <v/>
      </c>
      <c r="D32" s="62" t="str">
        <f aca="false">IF('Project Register'!$D32="","",'Project Register'!$D32)</f>
        <v/>
      </c>
      <c r="E32" s="62" t="str">
        <f aca="false">IF('Project Register'!$D32="","",'Project Register'!$F32)</f>
        <v/>
      </c>
      <c r="F32" s="50" t="str">
        <f aca="false">IF('Project Register'!$D32="","",'Project Register'!$AD32)</f>
        <v/>
      </c>
      <c r="G32" s="24"/>
      <c r="H32" s="24"/>
      <c r="I32" s="24"/>
      <c r="J32" s="24"/>
      <c r="K32" s="24"/>
      <c r="L32" s="24"/>
      <c r="M32" s="24"/>
      <c r="N32" s="24"/>
      <c r="O32" s="63" t="str">
        <f aca="false">IF($C32="","",SUMPRODUCT($G32:$N32,$G$7:$N$7))</f>
        <v/>
      </c>
      <c r="P32" s="64" t="str">
        <f aca="false">IF($C32="","",RANK($O32,$O$9:$O$38)+COUNTIFS($O$9:$O32,$O32)-1)</f>
        <v/>
      </c>
      <c r="Q32" s="51" t="str">
        <f aca="false">IF($C32="","",IF($O32&gt;=Setup!$C$50,"Critical",IF($O32&gt;=Setup!$C$51,"High",IF($O32&gt;=Setup!$C$52,"Medium","Low"))))</f>
        <v/>
      </c>
      <c r="R32" s="62" t="str">
        <f aca="false">IF('Project Register'!$D32="","",'Project Register'!$I32)</f>
        <v/>
      </c>
      <c r="S32" s="44" t="str">
        <f aca="false">IF('Project Register'!$D32="","",'Project Register'!$J32)</f>
        <v/>
      </c>
      <c r="T32" s="50" t="str">
        <f aca="false">IF($C32="","",SUMIFS($F$9:$F$38,$P$9:$P$38,"&lt;="&amp;$P32))</f>
        <v/>
      </c>
      <c r="U32" s="51" t="str">
        <f aca="false">IF($C32="","",IF($T32&lt;=Setup!$I$31,"Above the line","Below the line"))</f>
        <v/>
      </c>
    </row>
    <row r="33" customFormat="false" ht="25.5" hidden="false" customHeight="true" outlineLevel="0" collapsed="false">
      <c r="B33" s="44" t="str">
        <f aca="false">IF('Project Register'!$D33="","",'Project Register'!$B33)</f>
        <v/>
      </c>
      <c r="C33" s="44" t="str">
        <f aca="false">IF('Project Register'!$D33="","",'Project Register'!$C33)</f>
        <v/>
      </c>
      <c r="D33" s="62" t="str">
        <f aca="false">IF('Project Register'!$D33="","",'Project Register'!$D33)</f>
        <v/>
      </c>
      <c r="E33" s="62" t="str">
        <f aca="false">IF('Project Register'!$D33="","",'Project Register'!$F33)</f>
        <v/>
      </c>
      <c r="F33" s="50" t="str">
        <f aca="false">IF('Project Register'!$D33="","",'Project Register'!$AD33)</f>
        <v/>
      </c>
      <c r="G33" s="24"/>
      <c r="H33" s="24"/>
      <c r="I33" s="24"/>
      <c r="J33" s="24"/>
      <c r="K33" s="24"/>
      <c r="L33" s="24"/>
      <c r="M33" s="24"/>
      <c r="N33" s="24"/>
      <c r="O33" s="63" t="str">
        <f aca="false">IF($C33="","",SUMPRODUCT($G33:$N33,$G$7:$N$7))</f>
        <v/>
      </c>
      <c r="P33" s="64" t="str">
        <f aca="false">IF($C33="","",RANK($O33,$O$9:$O$38)+COUNTIFS($O$9:$O33,$O33)-1)</f>
        <v/>
      </c>
      <c r="Q33" s="51" t="str">
        <f aca="false">IF($C33="","",IF($O33&gt;=Setup!$C$50,"Critical",IF($O33&gt;=Setup!$C$51,"High",IF($O33&gt;=Setup!$C$52,"Medium","Low"))))</f>
        <v/>
      </c>
      <c r="R33" s="62" t="str">
        <f aca="false">IF('Project Register'!$D33="","",'Project Register'!$I33)</f>
        <v/>
      </c>
      <c r="S33" s="44" t="str">
        <f aca="false">IF('Project Register'!$D33="","",'Project Register'!$J33)</f>
        <v/>
      </c>
      <c r="T33" s="50" t="str">
        <f aca="false">IF($C33="","",SUMIFS($F$9:$F$38,$P$9:$P$38,"&lt;="&amp;$P33))</f>
        <v/>
      </c>
      <c r="U33" s="51" t="str">
        <f aca="false">IF($C33="","",IF($T33&lt;=Setup!$I$31,"Above the line","Below the line"))</f>
        <v/>
      </c>
    </row>
    <row r="34" customFormat="false" ht="25.5" hidden="false" customHeight="true" outlineLevel="0" collapsed="false">
      <c r="B34" s="44" t="str">
        <f aca="false">IF('Project Register'!$D34="","",'Project Register'!$B34)</f>
        <v/>
      </c>
      <c r="C34" s="44" t="str">
        <f aca="false">IF('Project Register'!$D34="","",'Project Register'!$C34)</f>
        <v/>
      </c>
      <c r="D34" s="62" t="str">
        <f aca="false">IF('Project Register'!$D34="","",'Project Register'!$D34)</f>
        <v/>
      </c>
      <c r="E34" s="62" t="str">
        <f aca="false">IF('Project Register'!$D34="","",'Project Register'!$F34)</f>
        <v/>
      </c>
      <c r="F34" s="50" t="str">
        <f aca="false">IF('Project Register'!$D34="","",'Project Register'!$AD34)</f>
        <v/>
      </c>
      <c r="G34" s="24"/>
      <c r="H34" s="24"/>
      <c r="I34" s="24"/>
      <c r="J34" s="24"/>
      <c r="K34" s="24"/>
      <c r="L34" s="24"/>
      <c r="M34" s="24"/>
      <c r="N34" s="24"/>
      <c r="O34" s="63" t="str">
        <f aca="false">IF($C34="","",SUMPRODUCT($G34:$N34,$G$7:$N$7))</f>
        <v/>
      </c>
      <c r="P34" s="64" t="str">
        <f aca="false">IF($C34="","",RANK($O34,$O$9:$O$38)+COUNTIFS($O$9:$O34,$O34)-1)</f>
        <v/>
      </c>
      <c r="Q34" s="51" t="str">
        <f aca="false">IF($C34="","",IF($O34&gt;=Setup!$C$50,"Critical",IF($O34&gt;=Setup!$C$51,"High",IF($O34&gt;=Setup!$C$52,"Medium","Low"))))</f>
        <v/>
      </c>
      <c r="R34" s="62" t="str">
        <f aca="false">IF('Project Register'!$D34="","",'Project Register'!$I34)</f>
        <v/>
      </c>
      <c r="S34" s="44" t="str">
        <f aca="false">IF('Project Register'!$D34="","",'Project Register'!$J34)</f>
        <v/>
      </c>
      <c r="T34" s="50" t="str">
        <f aca="false">IF($C34="","",SUMIFS($F$9:$F$38,$P$9:$P$38,"&lt;="&amp;$P34))</f>
        <v/>
      </c>
      <c r="U34" s="51" t="str">
        <f aca="false">IF($C34="","",IF($T34&lt;=Setup!$I$31,"Above the line","Below the line"))</f>
        <v/>
      </c>
    </row>
    <row r="35" customFormat="false" ht="25.5" hidden="false" customHeight="true" outlineLevel="0" collapsed="false">
      <c r="B35" s="44" t="str">
        <f aca="false">IF('Project Register'!$D35="","",'Project Register'!$B35)</f>
        <v/>
      </c>
      <c r="C35" s="44" t="str">
        <f aca="false">IF('Project Register'!$D35="","",'Project Register'!$C35)</f>
        <v/>
      </c>
      <c r="D35" s="62" t="str">
        <f aca="false">IF('Project Register'!$D35="","",'Project Register'!$D35)</f>
        <v/>
      </c>
      <c r="E35" s="62" t="str">
        <f aca="false">IF('Project Register'!$D35="","",'Project Register'!$F35)</f>
        <v/>
      </c>
      <c r="F35" s="50" t="str">
        <f aca="false">IF('Project Register'!$D35="","",'Project Register'!$AD35)</f>
        <v/>
      </c>
      <c r="G35" s="24"/>
      <c r="H35" s="24"/>
      <c r="I35" s="24"/>
      <c r="J35" s="24"/>
      <c r="K35" s="24"/>
      <c r="L35" s="24"/>
      <c r="M35" s="24"/>
      <c r="N35" s="24"/>
      <c r="O35" s="63" t="str">
        <f aca="false">IF($C35="","",SUMPRODUCT($G35:$N35,$G$7:$N$7))</f>
        <v/>
      </c>
      <c r="P35" s="64" t="str">
        <f aca="false">IF($C35="","",RANK($O35,$O$9:$O$38)+COUNTIFS($O$9:$O35,$O35)-1)</f>
        <v/>
      </c>
      <c r="Q35" s="51" t="str">
        <f aca="false">IF($C35="","",IF($O35&gt;=Setup!$C$50,"Critical",IF($O35&gt;=Setup!$C$51,"High",IF($O35&gt;=Setup!$C$52,"Medium","Low"))))</f>
        <v/>
      </c>
      <c r="R35" s="62" t="str">
        <f aca="false">IF('Project Register'!$D35="","",'Project Register'!$I35)</f>
        <v/>
      </c>
      <c r="S35" s="44" t="str">
        <f aca="false">IF('Project Register'!$D35="","",'Project Register'!$J35)</f>
        <v/>
      </c>
      <c r="T35" s="50" t="str">
        <f aca="false">IF($C35="","",SUMIFS($F$9:$F$38,$P$9:$P$38,"&lt;="&amp;$P35))</f>
        <v/>
      </c>
      <c r="U35" s="51" t="str">
        <f aca="false">IF($C35="","",IF($T35&lt;=Setup!$I$31,"Above the line","Below the line"))</f>
        <v/>
      </c>
    </row>
    <row r="36" customFormat="false" ht="25.5" hidden="false" customHeight="true" outlineLevel="0" collapsed="false">
      <c r="B36" s="44" t="str">
        <f aca="false">IF('Project Register'!$D36="","",'Project Register'!$B36)</f>
        <v/>
      </c>
      <c r="C36" s="44" t="str">
        <f aca="false">IF('Project Register'!$D36="","",'Project Register'!$C36)</f>
        <v/>
      </c>
      <c r="D36" s="62" t="str">
        <f aca="false">IF('Project Register'!$D36="","",'Project Register'!$D36)</f>
        <v/>
      </c>
      <c r="E36" s="62" t="str">
        <f aca="false">IF('Project Register'!$D36="","",'Project Register'!$F36)</f>
        <v/>
      </c>
      <c r="F36" s="50" t="str">
        <f aca="false">IF('Project Register'!$D36="","",'Project Register'!$AD36)</f>
        <v/>
      </c>
      <c r="G36" s="24"/>
      <c r="H36" s="24"/>
      <c r="I36" s="24"/>
      <c r="J36" s="24"/>
      <c r="K36" s="24"/>
      <c r="L36" s="24"/>
      <c r="M36" s="24"/>
      <c r="N36" s="24"/>
      <c r="O36" s="63" t="str">
        <f aca="false">IF($C36="","",SUMPRODUCT($G36:$N36,$G$7:$N$7))</f>
        <v/>
      </c>
      <c r="P36" s="64" t="str">
        <f aca="false">IF($C36="","",RANK($O36,$O$9:$O$38)+COUNTIFS($O$9:$O36,$O36)-1)</f>
        <v/>
      </c>
      <c r="Q36" s="51" t="str">
        <f aca="false">IF($C36="","",IF($O36&gt;=Setup!$C$50,"Critical",IF($O36&gt;=Setup!$C$51,"High",IF($O36&gt;=Setup!$C$52,"Medium","Low"))))</f>
        <v/>
      </c>
      <c r="R36" s="62" t="str">
        <f aca="false">IF('Project Register'!$D36="","",'Project Register'!$I36)</f>
        <v/>
      </c>
      <c r="S36" s="44" t="str">
        <f aca="false">IF('Project Register'!$D36="","",'Project Register'!$J36)</f>
        <v/>
      </c>
      <c r="T36" s="50" t="str">
        <f aca="false">IF($C36="","",SUMIFS($F$9:$F$38,$P$9:$P$38,"&lt;="&amp;$P36))</f>
        <v/>
      </c>
      <c r="U36" s="51" t="str">
        <f aca="false">IF($C36="","",IF($T36&lt;=Setup!$I$31,"Above the line","Below the line"))</f>
        <v/>
      </c>
    </row>
    <row r="37" customFormat="false" ht="25.5" hidden="false" customHeight="true" outlineLevel="0" collapsed="false">
      <c r="B37" s="44" t="str">
        <f aca="false">IF('Project Register'!$D37="","",'Project Register'!$B37)</f>
        <v/>
      </c>
      <c r="C37" s="44" t="str">
        <f aca="false">IF('Project Register'!$D37="","",'Project Register'!$C37)</f>
        <v/>
      </c>
      <c r="D37" s="62" t="str">
        <f aca="false">IF('Project Register'!$D37="","",'Project Register'!$D37)</f>
        <v/>
      </c>
      <c r="E37" s="62" t="str">
        <f aca="false">IF('Project Register'!$D37="","",'Project Register'!$F37)</f>
        <v/>
      </c>
      <c r="F37" s="50" t="str">
        <f aca="false">IF('Project Register'!$D37="","",'Project Register'!$AD37)</f>
        <v/>
      </c>
      <c r="G37" s="24"/>
      <c r="H37" s="24"/>
      <c r="I37" s="24"/>
      <c r="J37" s="24"/>
      <c r="K37" s="24"/>
      <c r="L37" s="24"/>
      <c r="M37" s="24"/>
      <c r="N37" s="24"/>
      <c r="O37" s="63" t="str">
        <f aca="false">IF($C37="","",SUMPRODUCT($G37:$N37,$G$7:$N$7))</f>
        <v/>
      </c>
      <c r="P37" s="64" t="str">
        <f aca="false">IF($C37="","",RANK($O37,$O$9:$O$38)+COUNTIFS($O$9:$O37,$O37)-1)</f>
        <v/>
      </c>
      <c r="Q37" s="51" t="str">
        <f aca="false">IF($C37="","",IF($O37&gt;=Setup!$C$50,"Critical",IF($O37&gt;=Setup!$C$51,"High",IF($O37&gt;=Setup!$C$52,"Medium","Low"))))</f>
        <v/>
      </c>
      <c r="R37" s="62" t="str">
        <f aca="false">IF('Project Register'!$D37="","",'Project Register'!$I37)</f>
        <v/>
      </c>
      <c r="S37" s="44" t="str">
        <f aca="false">IF('Project Register'!$D37="","",'Project Register'!$J37)</f>
        <v/>
      </c>
      <c r="T37" s="50" t="str">
        <f aca="false">IF($C37="","",SUMIFS($F$9:$F$38,$P$9:$P$38,"&lt;="&amp;$P37))</f>
        <v/>
      </c>
      <c r="U37" s="51" t="str">
        <f aca="false">IF($C37="","",IF($T37&lt;=Setup!$I$31,"Above the line","Below the line"))</f>
        <v/>
      </c>
    </row>
    <row r="38" customFormat="false" ht="25.5" hidden="false" customHeight="true" outlineLevel="0" collapsed="false">
      <c r="B38" s="44" t="str">
        <f aca="false">IF('Project Register'!$D38="","",'Project Register'!$B38)</f>
        <v/>
      </c>
      <c r="C38" s="44" t="str">
        <f aca="false">IF('Project Register'!$D38="","",'Project Register'!$C38)</f>
        <v/>
      </c>
      <c r="D38" s="62" t="str">
        <f aca="false">IF('Project Register'!$D38="","",'Project Register'!$D38)</f>
        <v/>
      </c>
      <c r="E38" s="62" t="str">
        <f aca="false">IF('Project Register'!$D38="","",'Project Register'!$F38)</f>
        <v/>
      </c>
      <c r="F38" s="50" t="str">
        <f aca="false">IF('Project Register'!$D38="","",'Project Register'!$AD38)</f>
        <v/>
      </c>
      <c r="G38" s="24"/>
      <c r="H38" s="24"/>
      <c r="I38" s="24"/>
      <c r="J38" s="24"/>
      <c r="K38" s="24"/>
      <c r="L38" s="24"/>
      <c r="M38" s="24"/>
      <c r="N38" s="24"/>
      <c r="O38" s="63" t="str">
        <f aca="false">IF($C38="","",SUMPRODUCT($G38:$N38,$G$7:$N$7))</f>
        <v/>
      </c>
      <c r="P38" s="64" t="str">
        <f aca="false">IF($C38="","",RANK($O38,$O$9:$O$38)+COUNTIFS($O$9:$O38,$O38)-1)</f>
        <v/>
      </c>
      <c r="Q38" s="51" t="str">
        <f aca="false">IF($C38="","",IF($O38&gt;=Setup!$C$50,"Critical",IF($O38&gt;=Setup!$C$51,"High",IF($O38&gt;=Setup!$C$52,"Medium","Low"))))</f>
        <v/>
      </c>
      <c r="R38" s="62" t="str">
        <f aca="false">IF('Project Register'!$D38="","",'Project Register'!$I38)</f>
        <v/>
      </c>
      <c r="S38" s="44" t="str">
        <f aca="false">IF('Project Register'!$D38="","",'Project Register'!$J38)</f>
        <v/>
      </c>
      <c r="T38" s="50" t="str">
        <f aca="false">IF($C38="","",SUMIFS($F$9:$F$38,$P$9:$P$38,"&lt;="&amp;$P38))</f>
        <v/>
      </c>
      <c r="U38" s="51" t="str">
        <f aca="false">IF($C38="","",IF($T38&lt;=Setup!$I$31,"Above the line","Below the line"))</f>
        <v/>
      </c>
    </row>
    <row r="40" customFormat="false" ht="19.5" hidden="false" customHeight="true" outlineLevel="0" collapsed="false">
      <c r="B40" s="57" t="s">
        <v>248</v>
      </c>
      <c r="C40" s="57"/>
      <c r="D40" s="57"/>
      <c r="E40" s="57"/>
      <c r="F40" s="57"/>
      <c r="G40" s="57"/>
      <c r="H40" s="57"/>
      <c r="I40" s="57"/>
      <c r="J40" s="57"/>
      <c r="K40" s="57"/>
      <c r="L40" s="57"/>
      <c r="M40" s="57"/>
      <c r="N40" s="57"/>
      <c r="O40" s="57"/>
      <c r="P40" s="57"/>
      <c r="Q40" s="57"/>
      <c r="R40" s="57"/>
      <c r="S40" s="57"/>
      <c r="T40" s="57"/>
      <c r="U40" s="57"/>
    </row>
    <row r="41" customFormat="false" ht="18" hidden="false" customHeight="true" outlineLevel="0" collapsed="false">
      <c r="B41" s="18" t="s">
        <v>249</v>
      </c>
      <c r="C41" s="18"/>
      <c r="D41" s="18"/>
      <c r="E41" s="38" t="str">
        <f aca="false">IF(ROUND($O$7,6)=1,"RECONCILED - the criteria weightings total 100%","EXCEPTION - the weightings on Setup total "&amp;TEXT($O$7,"0.0%")&amp;". Fix them before you read any rank.")</f>
        <v>RECONCILED - the criteria weightings total 100%</v>
      </c>
      <c r="F41" s="38"/>
      <c r="G41" s="38"/>
      <c r="H41" s="38"/>
      <c r="I41" s="38"/>
      <c r="J41" s="38"/>
      <c r="K41" s="38"/>
      <c r="L41" s="38"/>
      <c r="M41" s="38"/>
      <c r="N41" s="38"/>
      <c r="O41" s="38"/>
      <c r="P41" s="38"/>
      <c r="Q41" s="38"/>
      <c r="R41" s="38"/>
      <c r="S41" s="38"/>
      <c r="T41" s="38"/>
      <c r="U41" s="38"/>
    </row>
    <row r="42" customFormat="false" ht="18" hidden="false" customHeight="true" outlineLevel="0" collapsed="false">
      <c r="B42" s="18" t="s">
        <v>250</v>
      </c>
      <c r="C42" s="18"/>
      <c r="D42" s="18"/>
      <c r="E42" s="38" t="str">
        <f aca="false">IF(COUNT($G$9:$N$38)=8*COUNTIF($C$9:$C$38,"?*"),"RECONCILED - every project in the register carries all eight scores","EXCEPTION - "&amp;TEXT(8*COUNTIF($C$9:$C$38,"?*")-COUNT($G$9:$N$38),"0")&amp;" score cell(s) are blank. A blank scores as nil and drags the rank down.")</f>
        <v>RECONCILED - every project in the register carries all eight scores</v>
      </c>
      <c r="F42" s="38"/>
      <c r="G42" s="38"/>
      <c r="H42" s="38"/>
      <c r="I42" s="38"/>
      <c r="J42" s="38"/>
      <c r="K42" s="38"/>
      <c r="L42" s="38"/>
      <c r="M42" s="38"/>
      <c r="N42" s="38"/>
      <c r="O42" s="38"/>
      <c r="P42" s="38"/>
      <c r="Q42" s="38"/>
      <c r="R42" s="38"/>
      <c r="S42" s="38"/>
      <c r="T42" s="38"/>
      <c r="U42" s="38"/>
    </row>
    <row r="43" customFormat="false" ht="18" hidden="false" customHeight="true" outlineLevel="0" collapsed="false">
      <c r="B43" s="18" t="s">
        <v>251</v>
      </c>
      <c r="C43" s="18"/>
      <c r="D43" s="18"/>
      <c r="E43" s="38" t="str">
        <f aca="false">IF(SUMPRODUCT(--($P$9:$P$38&lt;&gt;""),--(COUNTIF($P$9:$P$38,$P$9:$P$38)&gt;1))=0,"RECONCILED - every project holds a unique rank, ties broken by register order","EXCEPTION - two projects share a rank. Check the tie-break in column P.")</f>
        <v>RECONCILED - every project holds a unique rank, ties broken by register order</v>
      </c>
      <c r="F43" s="38"/>
      <c r="G43" s="38"/>
      <c r="H43" s="38"/>
      <c r="I43" s="38"/>
      <c r="J43" s="38"/>
      <c r="K43" s="38"/>
      <c r="L43" s="38"/>
      <c r="M43" s="38"/>
      <c r="N43" s="38"/>
      <c r="O43" s="38"/>
      <c r="P43" s="38"/>
      <c r="Q43" s="38"/>
      <c r="R43" s="38"/>
      <c r="S43" s="38"/>
      <c r="T43" s="38"/>
      <c r="U43" s="38"/>
    </row>
    <row r="44" customFormat="false" ht="18" hidden="false" customHeight="true" outlineLevel="0" collapsed="false">
      <c r="B44" s="18" t="s">
        <v>252</v>
      </c>
      <c r="C44" s="18"/>
      <c r="D44" s="18"/>
      <c r="E44" s="38" t="str">
        <f aca="false">IF(COUNTIF($C$9:$C$38,"?*")=COUNTIF('Project Register'!$C$9:$C$38,"?*"),"RECONCILED - the same projects appear here as on the Project Register","EXCEPTION - this sheet and the Project Register hold a different number of projects")</f>
        <v>RECONCILED - the same projects appear here as on the Project Register</v>
      </c>
      <c r="F44" s="38"/>
      <c r="G44" s="38"/>
      <c r="H44" s="38"/>
      <c r="I44" s="38"/>
      <c r="J44" s="38"/>
      <c r="K44" s="38"/>
      <c r="L44" s="38"/>
      <c r="M44" s="38"/>
      <c r="N44" s="38"/>
      <c r="O44" s="38"/>
      <c r="P44" s="38"/>
      <c r="Q44" s="38"/>
      <c r="R44" s="38"/>
      <c r="S44" s="38"/>
      <c r="T44" s="38"/>
      <c r="U44" s="38"/>
    </row>
    <row r="46" customFormat="false" ht="25.5" hidden="false" customHeight="true" outlineLevel="0" collapsed="false">
      <c r="B46" s="15" t="s">
        <v>253</v>
      </c>
      <c r="C46" s="15"/>
      <c r="D46" s="15"/>
      <c r="E46" s="15"/>
      <c r="F46" s="15"/>
      <c r="G46" s="15"/>
      <c r="H46" s="15"/>
      <c r="I46" s="15"/>
      <c r="J46" s="15"/>
      <c r="K46" s="15"/>
      <c r="L46" s="15"/>
      <c r="M46" s="15"/>
      <c r="N46" s="15"/>
      <c r="O46" s="15"/>
      <c r="P46" s="15"/>
      <c r="Q46" s="15"/>
      <c r="R46" s="15"/>
      <c r="S46" s="15"/>
      <c r="T46" s="15"/>
      <c r="U46" s="15"/>
    </row>
    <row r="48" customFormat="false" ht="15" hidden="false" customHeight="false" outlineLevel="0" collapsed="false">
      <c r="B48" s="16" t="s">
        <v>40</v>
      </c>
      <c r="C48" s="16"/>
      <c r="D48" s="16"/>
      <c r="E48" s="16"/>
      <c r="F48" s="16"/>
      <c r="G48" s="16"/>
      <c r="H48" s="16"/>
      <c r="I48" s="16"/>
      <c r="J48" s="16"/>
      <c r="K48" s="16"/>
      <c r="L48" s="16"/>
      <c r="M48" s="16"/>
      <c r="N48" s="16"/>
      <c r="O48" s="16"/>
      <c r="P48" s="16"/>
      <c r="Q48" s="16"/>
      <c r="R48" s="16"/>
      <c r="S48" s="16"/>
      <c r="T48" s="16"/>
      <c r="U48" s="16"/>
    </row>
  </sheetData>
  <autoFilter ref="B8:U38"/>
  <mergeCells count="20">
    <mergeCell ref="B1:U1"/>
    <mergeCell ref="B2:U2"/>
    <mergeCell ref="B3:U3"/>
    <mergeCell ref="B4:U4"/>
    <mergeCell ref="B6:F6"/>
    <mergeCell ref="G6:N6"/>
    <mergeCell ref="O6:U6"/>
    <mergeCell ref="B7:F7"/>
    <mergeCell ref="Q7:U7"/>
    <mergeCell ref="B40:U40"/>
    <mergeCell ref="B41:D41"/>
    <mergeCell ref="E41:U41"/>
    <mergeCell ref="B42:D42"/>
    <mergeCell ref="E42:U42"/>
    <mergeCell ref="B43:D43"/>
    <mergeCell ref="E43:U43"/>
    <mergeCell ref="B44:D44"/>
    <mergeCell ref="E44:U44"/>
    <mergeCell ref="B46:U46"/>
    <mergeCell ref="B48:U48"/>
  </mergeCells>
  <conditionalFormatting sqref="B3:U3">
    <cfRule type="expression" priority="2" aboveAverage="0" equalAverage="0" bottom="0" percent="0" rank="0" text="" dxfId="0">
      <formula>LEN($B$3)&gt;0</formula>
    </cfRule>
  </conditionalFormatting>
  <conditionalFormatting sqref="O7">
    <cfRule type="cellIs" priority="3" operator="notEqual" aboveAverage="0" equalAverage="0" bottom="0" percent="0" rank="0" text="" dxfId="31">
      <formula>1</formula>
    </cfRule>
  </conditionalFormatting>
  <conditionalFormatting sqref="E41:U41">
    <cfRule type="expression" priority="4" aboveAverage="0" equalAverage="0" bottom="0" percent="0" rank="0" text="" dxfId="1">
      <formula>ISNUMBER(SEARCH("EXCEPTION",$E$41))</formula>
    </cfRule>
    <cfRule type="expression" priority="5" aboveAverage="0" equalAverage="0" bottom="0" percent="0" rank="0" text="" dxfId="2">
      <formula>ISNUMBER(SEARCH("RECONCILED",$E$41))</formula>
    </cfRule>
  </conditionalFormatting>
  <conditionalFormatting sqref="E42:U42">
    <cfRule type="expression" priority="6" aboveAverage="0" equalAverage="0" bottom="0" percent="0" rank="0" text="" dxfId="1">
      <formula>ISNUMBER(SEARCH("EXCEPTION",$E$42))</formula>
    </cfRule>
    <cfRule type="expression" priority="7" aboveAverage="0" equalAverage="0" bottom="0" percent="0" rank="0" text="" dxfId="2">
      <formula>ISNUMBER(SEARCH("RECONCILED",$E$42))</formula>
    </cfRule>
  </conditionalFormatting>
  <conditionalFormatting sqref="E43:U43">
    <cfRule type="expression" priority="8" aboveAverage="0" equalAverage="0" bottom="0" percent="0" rank="0" text="" dxfId="1">
      <formula>ISNUMBER(SEARCH("EXCEPTION",$E$43))</formula>
    </cfRule>
    <cfRule type="expression" priority="9" aboveAverage="0" equalAverage="0" bottom="0" percent="0" rank="0" text="" dxfId="2">
      <formula>ISNUMBER(SEARCH("RECONCILED",$E$43))</formula>
    </cfRule>
  </conditionalFormatting>
  <conditionalFormatting sqref="E44:U44">
    <cfRule type="expression" priority="10" aboveAverage="0" equalAverage="0" bottom="0" percent="0" rank="0" text="" dxfId="1">
      <formula>ISNUMBER(SEARCH("EXCEPTION",$E$44))</formula>
    </cfRule>
    <cfRule type="expression" priority="11" aboveAverage="0" equalAverage="0" bottom="0" percent="0" rank="0" text="" dxfId="2">
      <formula>ISNUMBER(SEARCH("RECONCILED",$E$44))</formula>
    </cfRule>
  </conditionalFormatting>
  <conditionalFormatting sqref="S9:S38">
    <cfRule type="cellIs" priority="12" operator="equal" aboveAverage="0" equalAverage="0" bottom="0" percent="0" rank="0" text="" dxfId="18">
      <formula>"Proposed"</formula>
    </cfRule>
    <cfRule type="cellIs" priority="13" operator="equal" aboveAverage="0" equalAverage="0" bottom="0" percent="0" rank="0" text="" dxfId="2">
      <formula>"Approved"</formula>
    </cfRule>
    <cfRule type="cellIs" priority="14" operator="equal" aboveAverage="0" equalAverage="0" bottom="0" percent="0" rank="0" text="" dxfId="19">
      <formula>"In delivery"</formula>
    </cfRule>
    <cfRule type="cellIs" priority="15" operator="equal" aboveAverage="0" equalAverage="0" bottom="0" percent="0" rank="0" text="" dxfId="20">
      <formula>"Deferred"</formula>
    </cfRule>
    <cfRule type="cellIs" priority="16" operator="equal" aboveAverage="0" equalAverage="0" bottom="0" percent="0" rank="0" text="" dxfId="1">
      <formula>"Not funded"</formula>
    </cfRule>
  </conditionalFormatting>
  <conditionalFormatting sqref="Q9:Q38">
    <cfRule type="cellIs" priority="17" operator="equal" aboveAverage="0" equalAverage="0" bottom="0" percent="0" rank="0" text="" dxfId="21">
      <formula>"Critical"</formula>
    </cfRule>
    <cfRule type="cellIs" priority="18" operator="equal" aboveAverage="0" equalAverage="0" bottom="0" percent="0" rank="0" text="" dxfId="32">
      <formula>"High"</formula>
    </cfRule>
    <cfRule type="cellIs" priority="19" operator="equal" aboveAverage="0" equalAverage="0" bottom="0" percent="0" rank="0" text="" dxfId="25">
      <formula>"Medium"</formula>
    </cfRule>
    <cfRule type="cellIs" priority="20" operator="equal" aboveAverage="0" equalAverage="0" bottom="0" percent="0" rank="0" text="" dxfId="33">
      <formula>"Low"</formula>
    </cfRule>
  </conditionalFormatting>
  <conditionalFormatting sqref="U9:U38">
    <cfRule type="cellIs" priority="21" operator="equal" aboveAverage="0" equalAverage="0" bottom="0" percent="0" rank="0" text="" dxfId="2">
      <formula>"Above the line"</formula>
    </cfRule>
    <cfRule type="cellIs" priority="22" operator="equal" aboveAverage="0" equalAverage="0" bottom="0" percent="0" rank="0" text="" dxfId="1">
      <formula>"Below the line"</formula>
    </cfRule>
  </conditionalFormatting>
  <conditionalFormatting sqref="B9:B38">
    <cfRule type="cellIs" priority="23" operator="equal" aboveAverage="0" equalAverage="0" bottom="0" percent="0" rank="0" text="" dxfId="25">
      <formula>"EX"</formula>
    </cfRule>
  </conditionalFormatting>
  <dataValidations count="8">
    <dataValidation allowBlank="true" error="Pick a value from the list on the Reference sheet." errorStyle="warning" errorTitle="Not on the list" operator="between" showDropDown="false" showErrorMessage="false" showInputMessage="false" sqref="G9:G38" type="list">
      <formula1>Reference!$H$8:$H$12</formula1>
      <formula2>0</formula2>
    </dataValidation>
    <dataValidation allowBlank="true" error="Pick a value from the list on the Reference sheet." errorStyle="warning" errorTitle="Not on the list" operator="between" showDropDown="false" showErrorMessage="false" showInputMessage="false" sqref="H9:H38" type="list">
      <formula1>Reference!$H$8:$H$12</formula1>
      <formula2>0</formula2>
    </dataValidation>
    <dataValidation allowBlank="true" error="Pick a value from the list on the Reference sheet." errorStyle="warning" errorTitle="Not on the list" operator="between" showDropDown="false" showErrorMessage="false" showInputMessage="false" sqref="I9:I38" type="list">
      <formula1>Reference!$H$8:$H$12</formula1>
      <formula2>0</formula2>
    </dataValidation>
    <dataValidation allowBlank="true" error="Pick a value from the list on the Reference sheet." errorStyle="warning" errorTitle="Not on the list" operator="between" showDropDown="false" showErrorMessage="false" showInputMessage="false" sqref="J9:J38" type="list">
      <formula1>Reference!$H$8:$H$12</formula1>
      <formula2>0</formula2>
    </dataValidation>
    <dataValidation allowBlank="true" error="Pick a value from the list on the Reference sheet." errorStyle="warning" errorTitle="Not on the list" operator="between" showDropDown="false" showErrorMessage="false" showInputMessage="false" sqref="K9:K38" type="list">
      <formula1>Reference!$H$8:$H$12</formula1>
      <formula2>0</formula2>
    </dataValidation>
    <dataValidation allowBlank="true" error="Pick a value from the list on the Reference sheet." errorStyle="warning" errorTitle="Not on the list" operator="between" showDropDown="false" showErrorMessage="false" showInputMessage="false" sqref="L9:L38" type="list">
      <formula1>Reference!$H$8:$H$12</formula1>
      <formula2>0</formula2>
    </dataValidation>
    <dataValidation allowBlank="true" error="Pick a value from the list on the Reference sheet." errorStyle="warning" errorTitle="Not on the list" operator="between" showDropDown="false" showErrorMessage="false" showInputMessage="false" sqref="M9:M38" type="list">
      <formula1>Reference!$H$8:$H$12</formula1>
      <formula2>0</formula2>
    </dataValidation>
    <dataValidation allowBlank="true" error="Pick a value from the list on the Reference sheet." errorStyle="warning" errorTitle="Not on the list" operator="between" showDropDown="false" showErrorMessage="false" showInputMessage="false" sqref="N9:N38" type="list">
      <formula1>Reference!$H$8:$H$12</formula1>
      <formula2>0</formula2>
    </dataValidation>
  </dataValidations>
  <hyperlinks>
    <hyperlink ref="B48" r:id="rId1" display="Built with Mastt  |  mastt.com"/>
  </hyperlinks>
  <printOptions headings="false" gridLines="false" gridLinesSet="true" horizontalCentered="true" verticalCentered="false"/>
  <pageMargins left="0.3" right="0.3" top="0.3" bottom="0.3"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T10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15" min="2" style="0" width="6.6"/>
    <col collapsed="false" customWidth="true" hidden="false" outlineLevel="0" max="17" min="16" style="0" width="2.2"/>
    <col collapsed="false" customWidth="true" hidden="false" outlineLevel="0" max="19" min="18" style="0" width="12"/>
    <col collapsed="false" customWidth="true" hidden="false" outlineLevel="0" max="20" min="20" style="0" width="30"/>
  </cols>
  <sheetData>
    <row r="1" customFormat="false" ht="33.75" hidden="false" customHeight="true" outlineLevel="0" collapsed="false">
      <c r="B1" s="17" t="s">
        <v>254</v>
      </c>
      <c r="C1" s="17"/>
      <c r="D1" s="17"/>
      <c r="E1" s="17"/>
      <c r="F1" s="17"/>
      <c r="G1" s="17"/>
      <c r="H1" s="17"/>
      <c r="I1" s="17"/>
      <c r="J1" s="17"/>
      <c r="K1" s="17"/>
      <c r="L1" s="17"/>
      <c r="M1" s="17"/>
      <c r="N1" s="17"/>
      <c r="O1" s="17"/>
    </row>
    <row r="2" customFormat="false" ht="4.5" hidden="false" customHeight="true" outlineLevel="0" collapsed="false">
      <c r="B2" s="4"/>
      <c r="C2" s="4"/>
      <c r="D2" s="4"/>
      <c r="E2" s="4"/>
      <c r="F2" s="4"/>
      <c r="G2" s="4"/>
      <c r="H2" s="4"/>
      <c r="I2" s="4"/>
      <c r="J2" s="4"/>
      <c r="K2" s="4"/>
      <c r="L2" s="4"/>
      <c r="M2" s="4"/>
      <c r="N2" s="4"/>
      <c r="O2" s="4"/>
    </row>
    <row r="3" customFormat="false" ht="26.25" hidden="false" customHeight="true" outlineLevel="0" collapsed="false">
      <c r="B3" s="65" t="str">
        <f aca="false">IF(COUNTIF('Project Register'!$B$9:$B$38,"EX")=0,"","EXAMPLE DATA - the 15 rows marked EX on the Project Register are worked examples. Delete or overwrite them, and this banner clears.")</f>
        <v>EXAMPLE DATA - the 15 rows marked EX on the Project Register are worked examples. Delete or overwrite them, and this banner clears.</v>
      </c>
      <c r="C3" s="65"/>
      <c r="D3" s="65"/>
      <c r="E3" s="65"/>
      <c r="F3" s="65"/>
      <c r="G3" s="65"/>
      <c r="H3" s="65"/>
      <c r="I3" s="65"/>
      <c r="J3" s="65"/>
      <c r="K3" s="65"/>
      <c r="L3" s="65"/>
      <c r="M3" s="65"/>
      <c r="N3" s="65"/>
      <c r="O3" s="65"/>
    </row>
    <row r="4" customFormat="false" ht="26.25" hidden="false" customHeight="true" outlineLevel="0" collapsed="false">
      <c r="B4" s="19" t="s">
        <v>255</v>
      </c>
      <c r="C4" s="19"/>
      <c r="D4" s="19"/>
      <c r="E4" s="19"/>
      <c r="F4" s="19"/>
      <c r="G4" s="19"/>
      <c r="H4" s="19"/>
      <c r="I4" s="19"/>
      <c r="J4" s="19"/>
      <c r="K4" s="19"/>
      <c r="L4" s="19"/>
      <c r="M4" s="19"/>
      <c r="N4" s="19"/>
      <c r="O4" s="19"/>
    </row>
    <row r="5" customFormat="false" ht="4.5" hidden="false" customHeight="true" outlineLevel="0" collapsed="false">
      <c r="R5" s="66" t="s">
        <v>256</v>
      </c>
      <c r="S5" s="67" t="s">
        <v>257</v>
      </c>
      <c r="T5" s="68" t="s">
        <v>258</v>
      </c>
    </row>
    <row r="6" customFormat="false" ht="27.75" hidden="false" customHeight="true" outlineLevel="0" collapsed="false">
      <c r="B6" s="57" t="s">
        <v>259</v>
      </c>
      <c r="C6" s="57"/>
      <c r="D6" s="57"/>
      <c r="E6" s="57"/>
      <c r="F6" s="69" t="str">
        <f aca="false">IF('Project Register'!$D9="","",'Project Register'!$C9)</f>
        <v>CIP-001</v>
      </c>
      <c r="G6" s="69"/>
      <c r="H6" s="70" t="str">
        <f aca="false">IF('Project Register'!$D9="","",'Project Register'!$D9)</f>
        <v>Riverside Bridge deck renewal</v>
      </c>
      <c r="I6" s="70"/>
      <c r="J6" s="70"/>
      <c r="K6" s="70"/>
      <c r="L6" s="70"/>
      <c r="M6" s="70"/>
      <c r="N6" s="70"/>
      <c r="O6" s="70"/>
      <c r="R6" s="71" t="str">
        <f aca="false">IF('Project Register'!$D9="","",'Project Register'!$C9)</f>
        <v>CIP-001</v>
      </c>
      <c r="S6" s="72" t="n">
        <f aca="false">COUNTIF($E$30:$E$39,"?*")</f>
        <v>10</v>
      </c>
    </row>
    <row r="7" customFormat="false" ht="24.75" hidden="false" customHeight="true" outlineLevel="0" collapsed="false">
      <c r="B7" s="73" t="str">
        <f aca="false">IF('Project Register'!$D9="","No project on register row 1. Fill that row in on the Project Register and this block writes its own heading.",'Project Register'!$E9)</f>
        <v>Replace the deck, bearings and barriers on the 1968 river crossing. Load limit lifts on completion.</v>
      </c>
      <c r="C7" s="73"/>
      <c r="D7" s="73"/>
      <c r="E7" s="73"/>
      <c r="F7" s="73"/>
      <c r="G7" s="73"/>
      <c r="H7" s="73"/>
      <c r="I7" s="73"/>
      <c r="J7" s="73"/>
      <c r="K7" s="73"/>
      <c r="L7" s="73"/>
      <c r="M7" s="73"/>
      <c r="N7" s="73"/>
      <c r="O7" s="73"/>
    </row>
    <row r="8" customFormat="false" ht="13.5" hidden="false" customHeight="true" outlineLevel="0" collapsed="false">
      <c r="B8" s="74" t="s">
        <v>130</v>
      </c>
      <c r="C8" s="74"/>
      <c r="D8" s="74"/>
      <c r="E8" s="75" t="str">
        <f aca="false">IF('Project Register'!$D9="","",'Project Register'!$F9)</f>
        <v>Roads and bridges</v>
      </c>
      <c r="F8" s="75"/>
      <c r="G8" s="75"/>
      <c r="H8" s="75"/>
      <c r="I8" s="74" t="s">
        <v>131</v>
      </c>
      <c r="J8" s="74"/>
      <c r="K8" s="74"/>
      <c r="L8" s="75" t="str">
        <f aca="false">IF('Project Register'!$D9="","",'Project Register'!$G9)</f>
        <v>Bridge and structure</v>
      </c>
      <c r="M8" s="75"/>
      <c r="N8" s="75"/>
      <c r="O8" s="75"/>
    </row>
    <row r="9" customFormat="false" ht="13.5" hidden="false" customHeight="true" outlineLevel="0" collapsed="false">
      <c r="B9" s="74" t="s">
        <v>132</v>
      </c>
      <c r="C9" s="74"/>
      <c r="D9" s="74"/>
      <c r="E9" s="75" t="str">
        <f aca="false">IF('Project Register'!$D9="","",'Project Register'!$H9)</f>
        <v>Infrastructure and delivery</v>
      </c>
      <c r="F9" s="75"/>
      <c r="G9" s="75"/>
      <c r="H9" s="75"/>
      <c r="I9" s="74" t="s">
        <v>135</v>
      </c>
      <c r="J9" s="74"/>
      <c r="K9" s="74"/>
      <c r="L9" s="75" t="str">
        <f aca="false">IF('Project Register'!$D9="","",'Project Register'!$K9)</f>
        <v>A. Whitfield</v>
      </c>
      <c r="M9" s="75"/>
      <c r="N9" s="75"/>
      <c r="O9" s="75"/>
    </row>
    <row r="10" customFormat="false" ht="13.5" hidden="false" customHeight="true" outlineLevel="0" collapsed="false">
      <c r="B10" s="74" t="s">
        <v>260</v>
      </c>
      <c r="C10" s="74"/>
      <c r="D10" s="74"/>
      <c r="E10" s="75" t="str">
        <f aca="false">IF('Project Register'!$D9="","",'Project Register'!$I9)</f>
        <v>Renewal</v>
      </c>
      <c r="F10" s="75"/>
      <c r="G10" s="75"/>
      <c r="H10" s="75"/>
      <c r="I10" s="74" t="s">
        <v>134</v>
      </c>
      <c r="J10" s="74"/>
      <c r="K10" s="74"/>
      <c r="L10" s="75" t="str">
        <f aca="false">IF('Project Register'!$D9="","",'Project Register'!$J9)</f>
        <v>Approved</v>
      </c>
      <c r="M10" s="75"/>
      <c r="N10" s="75"/>
      <c r="O10" s="75"/>
    </row>
    <row r="11" customFormat="false" ht="2.25" hidden="false" customHeight="true" outlineLevel="0" collapsed="false"/>
    <row r="12" customFormat="false" ht="15.75" hidden="false" customHeight="true" outlineLevel="0" collapsed="false">
      <c r="B12" s="76" t="s">
        <v>117</v>
      </c>
      <c r="C12" s="76"/>
      <c r="D12" s="76"/>
      <c r="E12" s="76"/>
      <c r="F12" s="76"/>
      <c r="G12" s="76"/>
      <c r="H12" s="76"/>
      <c r="I12" s="76"/>
      <c r="J12" s="76"/>
      <c r="K12" s="76"/>
      <c r="L12" s="76"/>
      <c r="M12" s="76"/>
      <c r="N12" s="76"/>
      <c r="O12" s="76"/>
    </row>
    <row r="13" customFormat="false" ht="17.25" hidden="false" customHeight="true" outlineLevel="0" collapsed="false">
      <c r="B13" s="74" t="s">
        <v>136</v>
      </c>
      <c r="C13" s="74"/>
      <c r="D13" s="74"/>
      <c r="E13" s="74"/>
      <c r="F13" s="77" t="n">
        <f aca="false">IF('Project Register'!$D9="","",'Project Register'!$L9)</f>
        <v>12400000</v>
      </c>
      <c r="G13" s="77"/>
      <c r="H13" s="77"/>
      <c r="I13" s="74" t="s">
        <v>137</v>
      </c>
      <c r="J13" s="74"/>
      <c r="K13" s="74"/>
      <c r="L13" s="74"/>
      <c r="M13" s="77" t="n">
        <f aca="false">IF('Project Register'!$D9="","",'Project Register'!$M9)</f>
        <v>400000</v>
      </c>
      <c r="N13" s="77"/>
      <c r="O13" s="77"/>
    </row>
    <row r="14" customFormat="false" ht="13.5" hidden="false" customHeight="true" outlineLevel="0" collapsed="false">
      <c r="B14" s="74" t="s">
        <v>261</v>
      </c>
      <c r="C14" s="74"/>
      <c r="D14" s="74"/>
      <c r="E14" s="74"/>
      <c r="F14" s="78" t="n">
        <f aca="false">IF('Project Register'!$D9="","",'Project Register'!$N9)</f>
        <v>12000000</v>
      </c>
      <c r="G14" s="78"/>
      <c r="H14" s="78"/>
      <c r="I14" s="74" t="s">
        <v>262</v>
      </c>
      <c r="J14" s="74"/>
      <c r="K14" s="74"/>
      <c r="L14" s="74"/>
      <c r="M14" s="79" t="n">
        <f aca="false">IF('Project Register'!$D9="","",'Project Register'!$AD9)</f>
        <v>12494900</v>
      </c>
      <c r="N14" s="79"/>
      <c r="O14" s="79"/>
    </row>
    <row r="15" customFormat="false" ht="13.5" hidden="false" customHeight="true" outlineLevel="0" collapsed="false">
      <c r="B15" s="74" t="s">
        <v>263</v>
      </c>
      <c r="C15" s="74"/>
      <c r="D15" s="74"/>
      <c r="E15" s="74"/>
      <c r="F15" s="78" t="n">
        <f aca="false">IF('Project Register'!$D9="","",'Project Register'!$AC9)</f>
        <v>0</v>
      </c>
      <c r="G15" s="78"/>
      <c r="H15" s="78"/>
      <c r="I15" s="74" t="s">
        <v>264</v>
      </c>
      <c r="J15" s="74"/>
      <c r="K15" s="74"/>
      <c r="L15" s="74"/>
      <c r="M15" s="78" t="n">
        <f aca="false">IF('Project Register'!$D9="","",'Project Register'!$AE9)</f>
        <v>12494900</v>
      </c>
      <c r="N15" s="78"/>
      <c r="O15" s="78"/>
    </row>
    <row r="16" customFormat="false" ht="13.5" hidden="false" customHeight="true" outlineLevel="0" collapsed="false">
      <c r="B16" s="80" t="s">
        <v>265</v>
      </c>
      <c r="C16" s="80"/>
      <c r="D16" s="81" t="str">
        <f aca="false">Setup!$C$23</f>
        <v>FY2027</v>
      </c>
      <c r="E16" s="81"/>
      <c r="F16" s="81" t="str">
        <f aca="false">Setup!$D$23</f>
        <v>FY2028</v>
      </c>
      <c r="G16" s="81"/>
      <c r="H16" s="81" t="str">
        <f aca="false">Setup!$E$23</f>
        <v>FY2029</v>
      </c>
      <c r="I16" s="81"/>
      <c r="J16" s="81" t="str">
        <f aca="false">Setup!$F$23</f>
        <v>FY2030</v>
      </c>
      <c r="K16" s="81"/>
      <c r="L16" s="81" t="str">
        <f aca="false">Setup!$G$23</f>
        <v>FY2031</v>
      </c>
      <c r="M16" s="81"/>
      <c r="N16" s="81" t="str">
        <f aca="false">Setup!$H$23</f>
        <v>Beyond FY2031</v>
      </c>
      <c r="O16" s="81"/>
    </row>
    <row r="17" customFormat="false" ht="13.5" hidden="false" customHeight="true" outlineLevel="0" collapsed="false">
      <c r="B17" s="82" t="s">
        <v>266</v>
      </c>
      <c r="C17" s="82"/>
      <c r="D17" s="78" t="n">
        <f aca="false">IF('Project Register'!$D9="","",'Project Register'!$O9)</f>
        <v>2000000</v>
      </c>
      <c r="E17" s="78"/>
      <c r="F17" s="78" t="n">
        <f aca="false">IF('Project Register'!$D9="","",'Project Register'!$P9)</f>
        <v>6000000</v>
      </c>
      <c r="G17" s="78"/>
      <c r="H17" s="78" t="n">
        <f aca="false">IF('Project Register'!$D9="","",'Project Register'!$Q9)</f>
        <v>4000000</v>
      </c>
      <c r="I17" s="78"/>
      <c r="J17" s="78" t="n">
        <f aca="false">IF('Project Register'!$D9="","",'Project Register'!$R9)</f>
        <v>0</v>
      </c>
      <c r="K17" s="78"/>
      <c r="L17" s="78" t="n">
        <f aca="false">IF('Project Register'!$D9="","",'Project Register'!$S9)</f>
        <v>0</v>
      </c>
      <c r="M17" s="78"/>
      <c r="N17" s="78" t="n">
        <f aca="false">IF('Project Register'!$D9="","",'Project Register'!$T9)</f>
        <v>0</v>
      </c>
      <c r="O17" s="78"/>
    </row>
    <row r="18" customFormat="false" ht="13.5" hidden="false" customHeight="true" outlineLevel="0" collapsed="false">
      <c r="B18" s="82" t="s">
        <v>267</v>
      </c>
      <c r="C18" s="82"/>
      <c r="D18" s="79" t="n">
        <f aca="false">IF('Project Register'!$D9="","",'Project Register'!$X9)</f>
        <v>2000000</v>
      </c>
      <c r="E18" s="79"/>
      <c r="F18" s="79" t="n">
        <f aca="false">IF('Project Register'!$D9="","",'Project Register'!$Y9)</f>
        <v>6210000</v>
      </c>
      <c r="G18" s="79"/>
      <c r="H18" s="79" t="n">
        <f aca="false">IF('Project Register'!$D9="","",'Project Register'!$Z9)</f>
        <v>4284900</v>
      </c>
      <c r="I18" s="79"/>
      <c r="J18" s="79" t="n">
        <f aca="false">IF('Project Register'!$D9="","",'Project Register'!$AA9)</f>
        <v>0</v>
      </c>
      <c r="K18" s="79"/>
      <c r="L18" s="79" t="n">
        <f aca="false">IF('Project Register'!$D9="","",'Project Register'!$AB9)</f>
        <v>0</v>
      </c>
      <c r="M18" s="79"/>
      <c r="N18" s="79" t="n">
        <f aca="false">IF('Project Register'!$D9="","",'Project Register'!$AC9)</f>
        <v>0</v>
      </c>
      <c r="O18" s="79"/>
    </row>
    <row r="19" customFormat="false" ht="2.25" hidden="false" customHeight="true" outlineLevel="0" collapsed="false"/>
    <row r="20" customFormat="false" ht="15.75" hidden="false" customHeight="true" outlineLevel="0" collapsed="false">
      <c r="B20" s="76" t="s">
        <v>268</v>
      </c>
      <c r="C20" s="76"/>
      <c r="D20" s="76"/>
      <c r="E20" s="76"/>
      <c r="F20" s="76"/>
      <c r="G20" s="76"/>
      <c r="H20" s="76"/>
      <c r="I20" s="76"/>
      <c r="J20" s="76"/>
      <c r="K20" s="76"/>
      <c r="L20" s="76"/>
      <c r="M20" s="76"/>
      <c r="N20" s="76"/>
      <c r="O20" s="76"/>
    </row>
    <row r="21" customFormat="false" ht="13.5" hidden="false" customHeight="true" outlineLevel="0" collapsed="false">
      <c r="B21" s="80" t="s">
        <v>269</v>
      </c>
      <c r="C21" s="80"/>
      <c r="D21" s="80"/>
      <c r="E21" s="80"/>
      <c r="F21" s="80"/>
      <c r="G21" s="80"/>
      <c r="H21" s="29" t="s">
        <v>145</v>
      </c>
      <c r="I21" s="29"/>
      <c r="J21" s="29"/>
      <c r="K21" s="83" t="s">
        <v>270</v>
      </c>
      <c r="L21" s="83"/>
      <c r="M21" s="83"/>
      <c r="N21" s="83"/>
      <c r="O21" s="83"/>
    </row>
    <row r="22" customFormat="false" ht="13.5" hidden="false" customHeight="true" outlineLevel="0" collapsed="false">
      <c r="B22" s="75" t="str">
        <f aca="false">IF('Project Register'!$D9="","",IF('Project Register'!$AF9="","-",'Project Register'!$AF9))</f>
        <v>Grants - government</v>
      </c>
      <c r="C22" s="75"/>
      <c r="D22" s="75"/>
      <c r="E22" s="75"/>
      <c r="F22" s="75"/>
      <c r="G22" s="75"/>
      <c r="H22" s="84" t="n">
        <f aca="false">IF('Project Register'!$D9="","",'Project Register'!$AG9)</f>
        <v>0.6</v>
      </c>
      <c r="I22" s="84"/>
      <c r="J22" s="84"/>
      <c r="K22" s="78" t="n">
        <f aca="false">IF('Project Register'!$D9="","",'Project Register'!$AD9*'Project Register'!$AG9)</f>
        <v>7496940</v>
      </c>
      <c r="L22" s="78"/>
      <c r="M22" s="78"/>
      <c r="N22" s="78"/>
      <c r="O22" s="78"/>
    </row>
    <row r="23" customFormat="false" ht="13.5" hidden="false" customHeight="true" outlineLevel="0" collapsed="false">
      <c r="B23" s="75" t="str">
        <f aca="false">IF('Project Register'!$D9="","",IF('Project Register'!$AH9="","-",'Project Register'!$AH9))</f>
        <v>Own revenue</v>
      </c>
      <c r="C23" s="75"/>
      <c r="D23" s="75"/>
      <c r="E23" s="75"/>
      <c r="F23" s="75"/>
      <c r="G23" s="75"/>
      <c r="H23" s="84" t="n">
        <f aca="false">IF('Project Register'!$D9="","",'Project Register'!$AI9)</f>
        <v>0.4</v>
      </c>
      <c r="I23" s="84"/>
      <c r="J23" s="84"/>
      <c r="K23" s="78" t="n">
        <f aca="false">IF('Project Register'!$D9="","",'Project Register'!$AD9*'Project Register'!$AI9)</f>
        <v>4997960</v>
      </c>
      <c r="L23" s="78"/>
      <c r="M23" s="78"/>
      <c r="N23" s="78"/>
      <c r="O23" s="78"/>
    </row>
    <row r="24" customFormat="false" ht="13.5" hidden="false" customHeight="true" outlineLevel="0" collapsed="false">
      <c r="B24" s="85" t="s">
        <v>271</v>
      </c>
      <c r="C24" s="85"/>
      <c r="D24" s="85"/>
      <c r="E24" s="85"/>
      <c r="F24" s="85"/>
      <c r="G24" s="85"/>
      <c r="H24" s="86" t="n">
        <f aca="false">IF('Project Register'!$D9="","",'Project Register'!$AJ9)</f>
        <v>0</v>
      </c>
      <c r="I24" s="86"/>
      <c r="J24" s="86"/>
      <c r="K24" s="79" t="n">
        <f aca="false">IF('Project Register'!$D9="","",'Project Register'!$AL9)</f>
        <v>0</v>
      </c>
      <c r="L24" s="79"/>
      <c r="M24" s="79"/>
      <c r="N24" s="79"/>
      <c r="O24" s="79"/>
    </row>
    <row r="25" customFormat="false" ht="2.25" hidden="false" customHeight="true" outlineLevel="0" collapsed="false"/>
    <row r="26" customFormat="false" ht="15.75" hidden="false" customHeight="true" outlineLevel="0" collapsed="false">
      <c r="B26" s="76" t="s">
        <v>272</v>
      </c>
      <c r="C26" s="76"/>
      <c r="D26" s="76"/>
      <c r="E26" s="76"/>
      <c r="F26" s="76"/>
      <c r="G26" s="76"/>
      <c r="H26" s="76"/>
      <c r="I26" s="76"/>
      <c r="J26" s="76"/>
      <c r="K26" s="76"/>
      <c r="L26" s="76"/>
      <c r="M26" s="76"/>
      <c r="N26" s="76"/>
      <c r="O26" s="76"/>
    </row>
    <row r="27" customFormat="false" ht="17.25" hidden="false" customHeight="true" outlineLevel="0" collapsed="false">
      <c r="B27" s="74" t="s">
        <v>243</v>
      </c>
      <c r="C27" s="74"/>
      <c r="D27" s="87" t="n">
        <f aca="false">IF('Project Register'!$D9="","",Prioritisation!$O9)</f>
        <v>4.21</v>
      </c>
      <c r="E27" s="87"/>
      <c r="F27" s="74" t="s">
        <v>273</v>
      </c>
      <c r="G27" s="74"/>
      <c r="H27" s="74"/>
      <c r="I27" s="88" t="str">
        <f aca="false">IF('Project Register'!$D9="","",TEXT(Prioritisation!$P9,"0")&amp;" of "&amp;TEXT(COUNTIF('Project Register'!$C$9:$C$38,"?*"),"0"))</f>
        <v>2 of 15</v>
      </c>
      <c r="J27" s="88"/>
      <c r="K27" s="82" t="s">
        <v>245</v>
      </c>
      <c r="L27" s="82"/>
      <c r="M27" s="89" t="str">
        <f aca="false">IF('Project Register'!$D9="","",Prioritisation!$Q9)</f>
        <v>Critical</v>
      </c>
      <c r="N27" s="89"/>
      <c r="O27" s="89"/>
    </row>
    <row r="28" customFormat="false" ht="2.25" hidden="false" customHeight="true" outlineLevel="0" collapsed="false"/>
    <row r="29" customFormat="false" ht="15.75" hidden="false" customHeight="true" outlineLevel="0" collapsed="false">
      <c r="B29" s="76" t="s">
        <v>274</v>
      </c>
      <c r="C29" s="76"/>
      <c r="D29" s="76"/>
      <c r="E29" s="76"/>
      <c r="F29" s="76"/>
      <c r="G29" s="76"/>
      <c r="H29" s="76"/>
      <c r="I29" s="76"/>
      <c r="J29" s="76"/>
      <c r="K29" s="76"/>
      <c r="L29" s="76"/>
      <c r="M29" s="76"/>
      <c r="N29" s="76"/>
      <c r="O29" s="76"/>
    </row>
    <row r="30" customFormat="false" ht="35.25" hidden="false" customHeight="true" outlineLevel="0" collapsed="false">
      <c r="B30" s="90" t="s">
        <v>275</v>
      </c>
      <c r="C30" s="90"/>
      <c r="D30" s="90"/>
      <c r="E30" s="91" t="s">
        <v>276</v>
      </c>
      <c r="F30" s="91"/>
      <c r="G30" s="91"/>
      <c r="H30" s="91"/>
      <c r="I30" s="91"/>
      <c r="J30" s="91"/>
      <c r="K30" s="91"/>
      <c r="L30" s="91"/>
      <c r="M30" s="91"/>
      <c r="N30" s="91"/>
      <c r="O30" s="91"/>
    </row>
    <row r="31" customFormat="false" ht="35.25" hidden="false" customHeight="true" outlineLevel="0" collapsed="false">
      <c r="B31" s="90" t="s">
        <v>277</v>
      </c>
      <c r="C31" s="90"/>
      <c r="D31" s="90"/>
      <c r="E31" s="91" t="s">
        <v>278</v>
      </c>
      <c r="F31" s="91"/>
      <c r="G31" s="91"/>
      <c r="H31" s="91"/>
      <c r="I31" s="91"/>
      <c r="J31" s="91"/>
      <c r="K31" s="91"/>
      <c r="L31" s="91"/>
      <c r="M31" s="91"/>
      <c r="N31" s="91"/>
      <c r="O31" s="91"/>
    </row>
    <row r="32" customFormat="false" ht="35.25" hidden="false" customHeight="true" outlineLevel="0" collapsed="false">
      <c r="B32" s="90" t="s">
        <v>279</v>
      </c>
      <c r="C32" s="90"/>
      <c r="D32" s="90"/>
      <c r="E32" s="91" t="s">
        <v>280</v>
      </c>
      <c r="F32" s="91"/>
      <c r="G32" s="91"/>
      <c r="H32" s="91"/>
      <c r="I32" s="91"/>
      <c r="J32" s="91"/>
      <c r="K32" s="91"/>
      <c r="L32" s="91"/>
      <c r="M32" s="91"/>
      <c r="N32" s="91"/>
      <c r="O32" s="91"/>
    </row>
    <row r="33" customFormat="false" ht="35.25" hidden="false" customHeight="true" outlineLevel="0" collapsed="false">
      <c r="B33" s="90" t="s">
        <v>281</v>
      </c>
      <c r="C33" s="90"/>
      <c r="D33" s="90"/>
      <c r="E33" s="91" t="s">
        <v>282</v>
      </c>
      <c r="F33" s="91"/>
      <c r="G33" s="91"/>
      <c r="H33" s="91"/>
      <c r="I33" s="91"/>
      <c r="J33" s="91"/>
      <c r="K33" s="91"/>
      <c r="L33" s="91"/>
      <c r="M33" s="91"/>
      <c r="N33" s="91"/>
      <c r="O33" s="91"/>
    </row>
    <row r="34" customFormat="false" ht="35.25" hidden="false" customHeight="true" outlineLevel="0" collapsed="false">
      <c r="B34" s="90" t="s">
        <v>283</v>
      </c>
      <c r="C34" s="90"/>
      <c r="D34" s="90"/>
      <c r="E34" s="91" t="s">
        <v>284</v>
      </c>
      <c r="F34" s="91"/>
      <c r="G34" s="91"/>
      <c r="H34" s="91"/>
      <c r="I34" s="91"/>
      <c r="J34" s="91"/>
      <c r="K34" s="91"/>
      <c r="L34" s="91"/>
      <c r="M34" s="91"/>
      <c r="N34" s="91"/>
      <c r="O34" s="91"/>
    </row>
    <row r="35" customFormat="false" ht="35.25" hidden="false" customHeight="true" outlineLevel="0" collapsed="false">
      <c r="B35" s="90" t="s">
        <v>285</v>
      </c>
      <c r="C35" s="90"/>
      <c r="D35" s="90"/>
      <c r="E35" s="91" t="s">
        <v>286</v>
      </c>
      <c r="F35" s="91"/>
      <c r="G35" s="91"/>
      <c r="H35" s="91"/>
      <c r="I35" s="91"/>
      <c r="J35" s="91"/>
      <c r="K35" s="91"/>
      <c r="L35" s="91"/>
      <c r="M35" s="91"/>
      <c r="N35" s="91"/>
      <c r="O35" s="91"/>
    </row>
    <row r="36" customFormat="false" ht="35.25" hidden="false" customHeight="true" outlineLevel="0" collapsed="false">
      <c r="B36" s="90" t="s">
        <v>287</v>
      </c>
      <c r="C36" s="90"/>
      <c r="D36" s="90"/>
      <c r="E36" s="91" t="s">
        <v>288</v>
      </c>
      <c r="F36" s="91"/>
      <c r="G36" s="91"/>
      <c r="H36" s="91"/>
      <c r="I36" s="91"/>
      <c r="J36" s="91"/>
      <c r="K36" s="91"/>
      <c r="L36" s="91"/>
      <c r="M36" s="91"/>
      <c r="N36" s="91"/>
      <c r="O36" s="91"/>
    </row>
    <row r="37" customFormat="false" ht="35.25" hidden="false" customHeight="true" outlineLevel="0" collapsed="false">
      <c r="B37" s="90" t="s">
        <v>289</v>
      </c>
      <c r="C37" s="90"/>
      <c r="D37" s="90"/>
      <c r="E37" s="91" t="s">
        <v>290</v>
      </c>
      <c r="F37" s="91"/>
      <c r="G37" s="91"/>
      <c r="H37" s="91"/>
      <c r="I37" s="91"/>
      <c r="J37" s="91"/>
      <c r="K37" s="91"/>
      <c r="L37" s="91"/>
      <c r="M37" s="91"/>
      <c r="N37" s="91"/>
      <c r="O37" s="91"/>
    </row>
    <row r="38" customFormat="false" ht="35.25" hidden="false" customHeight="true" outlineLevel="0" collapsed="false">
      <c r="B38" s="90" t="s">
        <v>291</v>
      </c>
      <c r="C38" s="90"/>
      <c r="D38" s="90"/>
      <c r="E38" s="91" t="s">
        <v>292</v>
      </c>
      <c r="F38" s="91"/>
      <c r="G38" s="91"/>
      <c r="H38" s="91"/>
      <c r="I38" s="91"/>
      <c r="J38" s="91"/>
      <c r="K38" s="91"/>
      <c r="L38" s="91"/>
      <c r="M38" s="91"/>
      <c r="N38" s="91"/>
      <c r="O38" s="91"/>
    </row>
    <row r="39" customFormat="false" ht="35.25" hidden="false" customHeight="true" outlineLevel="0" collapsed="false">
      <c r="B39" s="90" t="s">
        <v>293</v>
      </c>
      <c r="C39" s="90"/>
      <c r="D39" s="90"/>
      <c r="E39" s="91" t="s">
        <v>294</v>
      </c>
      <c r="F39" s="91"/>
      <c r="G39" s="91"/>
      <c r="H39" s="91"/>
      <c r="I39" s="91"/>
      <c r="J39" s="91"/>
      <c r="K39" s="91"/>
      <c r="L39" s="91"/>
      <c r="M39" s="91"/>
      <c r="N39" s="91"/>
      <c r="O39" s="91"/>
    </row>
    <row r="40" customFormat="false" ht="11.25" hidden="false" customHeight="true" outlineLevel="0" collapsed="false">
      <c r="B40" s="15" t="s">
        <v>295</v>
      </c>
      <c r="C40" s="15"/>
      <c r="D40" s="15"/>
      <c r="E40" s="15"/>
      <c r="F40" s="15"/>
      <c r="G40" s="15"/>
      <c r="H40" s="15"/>
      <c r="I40" s="15"/>
      <c r="J40" s="15"/>
      <c r="K40" s="15"/>
      <c r="L40" s="16" t="s">
        <v>40</v>
      </c>
      <c r="M40" s="16"/>
      <c r="N40" s="16"/>
      <c r="O40" s="16"/>
    </row>
    <row r="41" customFormat="false" ht="3" hidden="false" customHeight="true" outlineLevel="0" collapsed="false"/>
    <row r="42" customFormat="false" ht="27.75" hidden="false" customHeight="true" outlineLevel="0" collapsed="false">
      <c r="B42" s="57" t="s">
        <v>259</v>
      </c>
      <c r="C42" s="57"/>
      <c r="D42" s="57"/>
      <c r="E42" s="57"/>
      <c r="F42" s="69" t="str">
        <f aca="false">IF('Project Register'!$D10="","",'Project Register'!$C10)</f>
        <v>CIP-002</v>
      </c>
      <c r="G42" s="69"/>
      <c r="H42" s="70" t="str">
        <f aca="false">IF('Project Register'!$D10="","",'Project Register'!$D10)</f>
        <v>Central water treatment plant upgrade</v>
      </c>
      <c r="I42" s="70"/>
      <c r="J42" s="70"/>
      <c r="K42" s="70"/>
      <c r="L42" s="70"/>
      <c r="M42" s="70"/>
      <c r="N42" s="70"/>
      <c r="O42" s="70"/>
      <c r="R42" s="71" t="str">
        <f aca="false">IF('Project Register'!$D10="","",'Project Register'!$C10)</f>
        <v>CIP-002</v>
      </c>
      <c r="S42" s="72" t="n">
        <f aca="false">COUNTIF($E$66:$E$75,"?*")</f>
        <v>10</v>
      </c>
    </row>
    <row r="43" customFormat="false" ht="24.75" hidden="false" customHeight="true" outlineLevel="0" collapsed="false">
      <c r="B43" s="73" t="str">
        <f aca="false">IF('Project Register'!$D10="","No project on register row 2. Fill that row in on the Project Register and this block writes its own heading.",'Project Register'!$E10)</f>
        <v>Membrane replacement and a second clarifier to meet the drinking water standard the Owner operates to.</v>
      </c>
      <c r="C43" s="73"/>
      <c r="D43" s="73"/>
      <c r="E43" s="73"/>
      <c r="F43" s="73"/>
      <c r="G43" s="73"/>
      <c r="H43" s="73"/>
      <c r="I43" s="73"/>
      <c r="J43" s="73"/>
      <c r="K43" s="73"/>
      <c r="L43" s="73"/>
      <c r="M43" s="73"/>
      <c r="N43" s="73"/>
      <c r="O43" s="73"/>
    </row>
    <row r="44" customFormat="false" ht="13.5" hidden="false" customHeight="true" outlineLevel="0" collapsed="false">
      <c r="B44" s="74" t="s">
        <v>130</v>
      </c>
      <c r="C44" s="74"/>
      <c r="D44" s="74"/>
      <c r="E44" s="75" t="str">
        <f aca="false">IF('Project Register'!$D10="","",'Project Register'!$F10)</f>
        <v>Water and wastewater</v>
      </c>
      <c r="F44" s="75"/>
      <c r="G44" s="75"/>
      <c r="H44" s="75"/>
      <c r="I44" s="74" t="s">
        <v>131</v>
      </c>
      <c r="J44" s="74"/>
      <c r="K44" s="74"/>
      <c r="L44" s="75" t="str">
        <f aca="false">IF('Project Register'!$D10="","",'Project Register'!$G10)</f>
        <v>Water network</v>
      </c>
      <c r="M44" s="75"/>
      <c r="N44" s="75"/>
      <c r="O44" s="75"/>
    </row>
    <row r="45" customFormat="false" ht="13.5" hidden="false" customHeight="true" outlineLevel="0" collapsed="false">
      <c r="B45" s="74" t="s">
        <v>132</v>
      </c>
      <c r="C45" s="74"/>
      <c r="D45" s="74"/>
      <c r="E45" s="75" t="str">
        <f aca="false">IF('Project Register'!$D10="","",'Project Register'!$H10)</f>
        <v>Water services</v>
      </c>
      <c r="F45" s="75"/>
      <c r="G45" s="75"/>
      <c r="H45" s="75"/>
      <c r="I45" s="74" t="s">
        <v>135</v>
      </c>
      <c r="J45" s="74"/>
      <c r="K45" s="74"/>
      <c r="L45" s="75" t="str">
        <f aca="false">IF('Project Register'!$D10="","",'Project Register'!$K10)</f>
        <v>M. Okonkwo</v>
      </c>
      <c r="M45" s="75"/>
      <c r="N45" s="75"/>
      <c r="O45" s="75"/>
    </row>
    <row r="46" customFormat="false" ht="13.5" hidden="false" customHeight="true" outlineLevel="0" collapsed="false">
      <c r="B46" s="74" t="s">
        <v>260</v>
      </c>
      <c r="C46" s="74"/>
      <c r="D46" s="74"/>
      <c r="E46" s="75" t="str">
        <f aca="false">IF('Project Register'!$D10="","",'Project Register'!$I10)</f>
        <v>Compliance and safety</v>
      </c>
      <c r="F46" s="75"/>
      <c r="G46" s="75"/>
      <c r="H46" s="75"/>
      <c r="I46" s="74" t="s">
        <v>134</v>
      </c>
      <c r="J46" s="74"/>
      <c r="K46" s="74"/>
      <c r="L46" s="75" t="str">
        <f aca="false">IF('Project Register'!$D10="","",'Project Register'!$J10)</f>
        <v>Approved</v>
      </c>
      <c r="M46" s="75"/>
      <c r="N46" s="75"/>
      <c r="O46" s="75"/>
    </row>
    <row r="47" customFormat="false" ht="2.25" hidden="false" customHeight="true" outlineLevel="0" collapsed="false"/>
    <row r="48" customFormat="false" ht="15.75" hidden="false" customHeight="true" outlineLevel="0" collapsed="false">
      <c r="B48" s="76" t="s">
        <v>117</v>
      </c>
      <c r="C48" s="76"/>
      <c r="D48" s="76"/>
      <c r="E48" s="76"/>
      <c r="F48" s="76"/>
      <c r="G48" s="76"/>
      <c r="H48" s="76"/>
      <c r="I48" s="76"/>
      <c r="J48" s="76"/>
      <c r="K48" s="76"/>
      <c r="L48" s="76"/>
      <c r="M48" s="76"/>
      <c r="N48" s="76"/>
      <c r="O48" s="76"/>
    </row>
    <row r="49" customFormat="false" ht="17.25" hidden="false" customHeight="true" outlineLevel="0" collapsed="false">
      <c r="B49" s="74" t="s">
        <v>136</v>
      </c>
      <c r="C49" s="74"/>
      <c r="D49" s="74"/>
      <c r="E49" s="74"/>
      <c r="F49" s="77" t="n">
        <f aca="false">IF('Project Register'!$D10="","",'Project Register'!$L10)</f>
        <v>38000000</v>
      </c>
      <c r="G49" s="77"/>
      <c r="H49" s="77"/>
      <c r="I49" s="74" t="s">
        <v>137</v>
      </c>
      <c r="J49" s="74"/>
      <c r="K49" s="74"/>
      <c r="L49" s="74"/>
      <c r="M49" s="77" t="n">
        <f aca="false">IF('Project Register'!$D10="","",'Project Register'!$M10)</f>
        <v>1500000</v>
      </c>
      <c r="N49" s="77"/>
      <c r="O49" s="77"/>
    </row>
    <row r="50" customFormat="false" ht="13.5" hidden="false" customHeight="true" outlineLevel="0" collapsed="false">
      <c r="B50" s="74" t="s">
        <v>261</v>
      </c>
      <c r="C50" s="74"/>
      <c r="D50" s="74"/>
      <c r="E50" s="74"/>
      <c r="F50" s="78" t="n">
        <f aca="false">IF('Project Register'!$D10="","",'Project Register'!$N10)</f>
        <v>36500000</v>
      </c>
      <c r="G50" s="78"/>
      <c r="H50" s="78"/>
      <c r="I50" s="74" t="s">
        <v>262</v>
      </c>
      <c r="J50" s="74"/>
      <c r="K50" s="74"/>
      <c r="L50" s="74"/>
      <c r="M50" s="79" t="n">
        <f aca="false">IF('Project Register'!$D10="","",'Project Register'!$AD10)</f>
        <v>38644443</v>
      </c>
      <c r="N50" s="79"/>
      <c r="O50" s="79"/>
    </row>
    <row r="51" customFormat="false" ht="13.5" hidden="false" customHeight="true" outlineLevel="0" collapsed="false">
      <c r="B51" s="74" t="s">
        <v>263</v>
      </c>
      <c r="C51" s="74"/>
      <c r="D51" s="74"/>
      <c r="E51" s="74"/>
      <c r="F51" s="78" t="n">
        <f aca="false">IF('Project Register'!$D10="","",'Project Register'!$AC10)</f>
        <v>0</v>
      </c>
      <c r="G51" s="78"/>
      <c r="H51" s="78"/>
      <c r="I51" s="74" t="s">
        <v>264</v>
      </c>
      <c r="J51" s="74"/>
      <c r="K51" s="74"/>
      <c r="L51" s="74"/>
      <c r="M51" s="78" t="n">
        <f aca="false">IF('Project Register'!$D10="","",'Project Register'!$AE10)</f>
        <v>38644443</v>
      </c>
      <c r="N51" s="78"/>
      <c r="O51" s="78"/>
    </row>
    <row r="52" customFormat="false" ht="13.5" hidden="false" customHeight="true" outlineLevel="0" collapsed="false">
      <c r="B52" s="80" t="s">
        <v>265</v>
      </c>
      <c r="C52" s="80"/>
      <c r="D52" s="81" t="str">
        <f aca="false">Setup!$C$23</f>
        <v>FY2027</v>
      </c>
      <c r="E52" s="81"/>
      <c r="F52" s="81" t="str">
        <f aca="false">Setup!$D$23</f>
        <v>FY2028</v>
      </c>
      <c r="G52" s="81"/>
      <c r="H52" s="81" t="str">
        <f aca="false">Setup!$E$23</f>
        <v>FY2029</v>
      </c>
      <c r="I52" s="81"/>
      <c r="J52" s="81" t="str">
        <f aca="false">Setup!$F$23</f>
        <v>FY2030</v>
      </c>
      <c r="K52" s="81"/>
      <c r="L52" s="81" t="str">
        <f aca="false">Setup!$G$23</f>
        <v>FY2031</v>
      </c>
      <c r="M52" s="81"/>
      <c r="N52" s="81" t="str">
        <f aca="false">Setup!$H$23</f>
        <v>Beyond FY2031</v>
      </c>
      <c r="O52" s="81"/>
    </row>
    <row r="53" customFormat="false" ht="13.5" hidden="false" customHeight="true" outlineLevel="0" collapsed="false">
      <c r="B53" s="82" t="s">
        <v>266</v>
      </c>
      <c r="C53" s="82"/>
      <c r="D53" s="78" t="n">
        <f aca="false">IF('Project Register'!$D10="","",'Project Register'!$O10)</f>
        <v>4500000</v>
      </c>
      <c r="E53" s="78"/>
      <c r="F53" s="78" t="n">
        <f aca="false">IF('Project Register'!$D10="","",'Project Register'!$P10)</f>
        <v>12000000</v>
      </c>
      <c r="G53" s="78"/>
      <c r="H53" s="78" t="n">
        <f aca="false">IF('Project Register'!$D10="","",'Project Register'!$Q10)</f>
        <v>12000000</v>
      </c>
      <c r="I53" s="78"/>
      <c r="J53" s="78" t="n">
        <f aca="false">IF('Project Register'!$D10="","",'Project Register'!$R10)</f>
        <v>8000000</v>
      </c>
      <c r="K53" s="78"/>
      <c r="L53" s="78" t="n">
        <f aca="false">IF('Project Register'!$D10="","",'Project Register'!$S10)</f>
        <v>0</v>
      </c>
      <c r="M53" s="78"/>
      <c r="N53" s="78" t="n">
        <f aca="false">IF('Project Register'!$D10="","",'Project Register'!$T10)</f>
        <v>0</v>
      </c>
      <c r="O53" s="78"/>
    </row>
    <row r="54" customFormat="false" ht="13.5" hidden="false" customHeight="true" outlineLevel="0" collapsed="false">
      <c r="B54" s="82" t="s">
        <v>267</v>
      </c>
      <c r="C54" s="82"/>
      <c r="D54" s="79" t="n">
        <f aca="false">IF('Project Register'!$D10="","",'Project Register'!$X10)</f>
        <v>4500000</v>
      </c>
      <c r="E54" s="79"/>
      <c r="F54" s="79" t="n">
        <f aca="false">IF('Project Register'!$D10="","",'Project Register'!$Y10)</f>
        <v>12420000</v>
      </c>
      <c r="G54" s="79"/>
      <c r="H54" s="79" t="n">
        <f aca="false">IF('Project Register'!$D10="","",'Project Register'!$Z10)</f>
        <v>12854700</v>
      </c>
      <c r="I54" s="79"/>
      <c r="J54" s="79" t="n">
        <f aca="false">IF('Project Register'!$D10="","",'Project Register'!$AA10)</f>
        <v>8869743</v>
      </c>
      <c r="K54" s="79"/>
      <c r="L54" s="79" t="n">
        <f aca="false">IF('Project Register'!$D10="","",'Project Register'!$AB10)</f>
        <v>0</v>
      </c>
      <c r="M54" s="79"/>
      <c r="N54" s="79" t="n">
        <f aca="false">IF('Project Register'!$D10="","",'Project Register'!$AC10)</f>
        <v>0</v>
      </c>
      <c r="O54" s="79"/>
    </row>
    <row r="55" customFormat="false" ht="2.25" hidden="false" customHeight="true" outlineLevel="0" collapsed="false"/>
    <row r="56" customFormat="false" ht="15.75" hidden="false" customHeight="true" outlineLevel="0" collapsed="false">
      <c r="B56" s="76" t="s">
        <v>268</v>
      </c>
      <c r="C56" s="76"/>
      <c r="D56" s="76"/>
      <c r="E56" s="76"/>
      <c r="F56" s="76"/>
      <c r="G56" s="76"/>
      <c r="H56" s="76"/>
      <c r="I56" s="76"/>
      <c r="J56" s="76"/>
      <c r="K56" s="76"/>
      <c r="L56" s="76"/>
      <c r="M56" s="76"/>
      <c r="N56" s="76"/>
      <c r="O56" s="76"/>
    </row>
    <row r="57" customFormat="false" ht="13.5" hidden="false" customHeight="true" outlineLevel="0" collapsed="false">
      <c r="B57" s="80" t="s">
        <v>269</v>
      </c>
      <c r="C57" s="80"/>
      <c r="D57" s="80"/>
      <c r="E57" s="80"/>
      <c r="F57" s="80"/>
      <c r="G57" s="80"/>
      <c r="H57" s="29" t="s">
        <v>145</v>
      </c>
      <c r="I57" s="29"/>
      <c r="J57" s="29"/>
      <c r="K57" s="83" t="s">
        <v>270</v>
      </c>
      <c r="L57" s="83"/>
      <c r="M57" s="83"/>
      <c r="N57" s="83"/>
      <c r="O57" s="83"/>
    </row>
    <row r="58" customFormat="false" ht="13.5" hidden="false" customHeight="true" outlineLevel="0" collapsed="false">
      <c r="B58" s="75" t="str">
        <f aca="false">IF('Project Register'!$D10="","",IF('Project Register'!$AF10="","-",'Project Register'!$AF10))</f>
        <v>Borrowings</v>
      </c>
      <c r="C58" s="75"/>
      <c r="D58" s="75"/>
      <c r="E58" s="75"/>
      <c r="F58" s="75"/>
      <c r="G58" s="75"/>
      <c r="H58" s="84" t="n">
        <f aca="false">IF('Project Register'!$D10="","",'Project Register'!$AG10)</f>
        <v>0.7</v>
      </c>
      <c r="I58" s="84"/>
      <c r="J58" s="84"/>
      <c r="K58" s="78" t="n">
        <f aca="false">IF('Project Register'!$D10="","",'Project Register'!$AD10*'Project Register'!$AG10)</f>
        <v>27051110.1</v>
      </c>
      <c r="L58" s="78"/>
      <c r="M58" s="78"/>
      <c r="N58" s="78"/>
      <c r="O58" s="78"/>
    </row>
    <row r="59" customFormat="false" ht="13.5" hidden="false" customHeight="true" outlineLevel="0" collapsed="false">
      <c r="B59" s="75" t="str">
        <f aca="false">IF('Project Register'!$D10="","",IF('Project Register'!$AH10="","-",'Project Register'!$AH10))</f>
        <v>Own revenue</v>
      </c>
      <c r="C59" s="75"/>
      <c r="D59" s="75"/>
      <c r="E59" s="75"/>
      <c r="F59" s="75"/>
      <c r="G59" s="75"/>
      <c r="H59" s="84" t="n">
        <f aca="false">IF('Project Register'!$D10="","",'Project Register'!$AI10)</f>
        <v>0.3</v>
      </c>
      <c r="I59" s="84"/>
      <c r="J59" s="84"/>
      <c r="K59" s="78" t="n">
        <f aca="false">IF('Project Register'!$D10="","",'Project Register'!$AD10*'Project Register'!$AI10)</f>
        <v>11593332.9</v>
      </c>
      <c r="L59" s="78"/>
      <c r="M59" s="78"/>
      <c r="N59" s="78"/>
      <c r="O59" s="78"/>
    </row>
    <row r="60" customFormat="false" ht="13.5" hidden="false" customHeight="true" outlineLevel="0" collapsed="false">
      <c r="B60" s="85" t="s">
        <v>271</v>
      </c>
      <c r="C60" s="85"/>
      <c r="D60" s="85"/>
      <c r="E60" s="85"/>
      <c r="F60" s="85"/>
      <c r="G60" s="85"/>
      <c r="H60" s="86" t="n">
        <f aca="false">IF('Project Register'!$D10="","",'Project Register'!$AJ10)</f>
        <v>0</v>
      </c>
      <c r="I60" s="86"/>
      <c r="J60" s="86"/>
      <c r="K60" s="79" t="n">
        <f aca="false">IF('Project Register'!$D10="","",'Project Register'!$AL10)</f>
        <v>0</v>
      </c>
      <c r="L60" s="79"/>
      <c r="M60" s="79"/>
      <c r="N60" s="79"/>
      <c r="O60" s="79"/>
    </row>
    <row r="61" customFormat="false" ht="2.25" hidden="false" customHeight="true" outlineLevel="0" collapsed="false"/>
    <row r="62" customFormat="false" ht="15.75" hidden="false" customHeight="true" outlineLevel="0" collapsed="false">
      <c r="B62" s="76" t="s">
        <v>272</v>
      </c>
      <c r="C62" s="76"/>
      <c r="D62" s="76"/>
      <c r="E62" s="76"/>
      <c r="F62" s="76"/>
      <c r="G62" s="76"/>
      <c r="H62" s="76"/>
      <c r="I62" s="76"/>
      <c r="J62" s="76"/>
      <c r="K62" s="76"/>
      <c r="L62" s="76"/>
      <c r="M62" s="76"/>
      <c r="N62" s="76"/>
      <c r="O62" s="76"/>
    </row>
    <row r="63" customFormat="false" ht="17.25" hidden="false" customHeight="true" outlineLevel="0" collapsed="false">
      <c r="B63" s="74" t="s">
        <v>243</v>
      </c>
      <c r="C63" s="74"/>
      <c r="D63" s="87" t="n">
        <f aca="false">IF('Project Register'!$D10="","",Prioritisation!$O10)</f>
        <v>4.32</v>
      </c>
      <c r="E63" s="87"/>
      <c r="F63" s="74" t="s">
        <v>273</v>
      </c>
      <c r="G63" s="74"/>
      <c r="H63" s="74"/>
      <c r="I63" s="88" t="str">
        <f aca="false">IF('Project Register'!$D10="","",TEXT(Prioritisation!$P10,"0")&amp;" of "&amp;TEXT(COUNTIF('Project Register'!$C$9:$C$38,"?*"),"0"))</f>
        <v>1 of 15</v>
      </c>
      <c r="J63" s="88"/>
      <c r="K63" s="82" t="s">
        <v>245</v>
      </c>
      <c r="L63" s="82"/>
      <c r="M63" s="89" t="str">
        <f aca="false">IF('Project Register'!$D10="","",Prioritisation!$Q10)</f>
        <v>Critical</v>
      </c>
      <c r="N63" s="89"/>
      <c r="O63" s="89"/>
    </row>
    <row r="64" customFormat="false" ht="2.25" hidden="false" customHeight="true" outlineLevel="0" collapsed="false"/>
    <row r="65" customFormat="false" ht="15.75" hidden="false" customHeight="true" outlineLevel="0" collapsed="false">
      <c r="B65" s="76" t="s">
        <v>274</v>
      </c>
      <c r="C65" s="76"/>
      <c r="D65" s="76"/>
      <c r="E65" s="76"/>
      <c r="F65" s="76"/>
      <c r="G65" s="76"/>
      <c r="H65" s="76"/>
      <c r="I65" s="76"/>
      <c r="J65" s="76"/>
      <c r="K65" s="76"/>
      <c r="L65" s="76"/>
      <c r="M65" s="76"/>
      <c r="N65" s="76"/>
      <c r="O65" s="76"/>
    </row>
    <row r="66" customFormat="false" ht="35.25" hidden="false" customHeight="true" outlineLevel="0" collapsed="false">
      <c r="B66" s="90" t="s">
        <v>275</v>
      </c>
      <c r="C66" s="90"/>
      <c r="D66" s="90"/>
      <c r="E66" s="91" t="s">
        <v>296</v>
      </c>
      <c r="F66" s="91"/>
      <c r="G66" s="91"/>
      <c r="H66" s="91"/>
      <c r="I66" s="91"/>
      <c r="J66" s="91"/>
      <c r="K66" s="91"/>
      <c r="L66" s="91"/>
      <c r="M66" s="91"/>
      <c r="N66" s="91"/>
      <c r="O66" s="91"/>
    </row>
    <row r="67" customFormat="false" ht="35.25" hidden="false" customHeight="true" outlineLevel="0" collapsed="false">
      <c r="B67" s="90" t="s">
        <v>277</v>
      </c>
      <c r="C67" s="90"/>
      <c r="D67" s="90"/>
      <c r="E67" s="91" t="s">
        <v>297</v>
      </c>
      <c r="F67" s="91"/>
      <c r="G67" s="91"/>
      <c r="H67" s="91"/>
      <c r="I67" s="91"/>
      <c r="J67" s="91"/>
      <c r="K67" s="91"/>
      <c r="L67" s="91"/>
      <c r="M67" s="91"/>
      <c r="N67" s="91"/>
      <c r="O67" s="91"/>
    </row>
    <row r="68" customFormat="false" ht="35.25" hidden="false" customHeight="true" outlineLevel="0" collapsed="false">
      <c r="B68" s="90" t="s">
        <v>279</v>
      </c>
      <c r="C68" s="90"/>
      <c r="D68" s="90"/>
      <c r="E68" s="91" t="s">
        <v>298</v>
      </c>
      <c r="F68" s="91"/>
      <c r="G68" s="91"/>
      <c r="H68" s="91"/>
      <c r="I68" s="91"/>
      <c r="J68" s="91"/>
      <c r="K68" s="91"/>
      <c r="L68" s="91"/>
      <c r="M68" s="91"/>
      <c r="N68" s="91"/>
      <c r="O68" s="91"/>
    </row>
    <row r="69" customFormat="false" ht="35.25" hidden="false" customHeight="true" outlineLevel="0" collapsed="false">
      <c r="B69" s="90" t="s">
        <v>281</v>
      </c>
      <c r="C69" s="90"/>
      <c r="D69" s="90"/>
      <c r="E69" s="91" t="s">
        <v>299</v>
      </c>
      <c r="F69" s="91"/>
      <c r="G69" s="91"/>
      <c r="H69" s="91"/>
      <c r="I69" s="91"/>
      <c r="J69" s="91"/>
      <c r="K69" s="91"/>
      <c r="L69" s="91"/>
      <c r="M69" s="91"/>
      <c r="N69" s="91"/>
      <c r="O69" s="91"/>
    </row>
    <row r="70" customFormat="false" ht="35.25" hidden="false" customHeight="true" outlineLevel="0" collapsed="false">
      <c r="B70" s="90" t="s">
        <v>283</v>
      </c>
      <c r="C70" s="90"/>
      <c r="D70" s="90"/>
      <c r="E70" s="91" t="s">
        <v>300</v>
      </c>
      <c r="F70" s="91"/>
      <c r="G70" s="91"/>
      <c r="H70" s="91"/>
      <c r="I70" s="91"/>
      <c r="J70" s="91"/>
      <c r="K70" s="91"/>
      <c r="L70" s="91"/>
      <c r="M70" s="91"/>
      <c r="N70" s="91"/>
      <c r="O70" s="91"/>
    </row>
    <row r="71" customFormat="false" ht="35.25" hidden="false" customHeight="true" outlineLevel="0" collapsed="false">
      <c r="B71" s="90" t="s">
        <v>285</v>
      </c>
      <c r="C71" s="90"/>
      <c r="D71" s="90"/>
      <c r="E71" s="91" t="s">
        <v>301</v>
      </c>
      <c r="F71" s="91"/>
      <c r="G71" s="91"/>
      <c r="H71" s="91"/>
      <c r="I71" s="91"/>
      <c r="J71" s="91"/>
      <c r="K71" s="91"/>
      <c r="L71" s="91"/>
      <c r="M71" s="91"/>
      <c r="N71" s="91"/>
      <c r="O71" s="91"/>
    </row>
    <row r="72" customFormat="false" ht="35.25" hidden="false" customHeight="true" outlineLevel="0" collapsed="false">
      <c r="B72" s="90" t="s">
        <v>287</v>
      </c>
      <c r="C72" s="90"/>
      <c r="D72" s="90"/>
      <c r="E72" s="91" t="s">
        <v>302</v>
      </c>
      <c r="F72" s="91"/>
      <c r="G72" s="91"/>
      <c r="H72" s="91"/>
      <c r="I72" s="91"/>
      <c r="J72" s="91"/>
      <c r="K72" s="91"/>
      <c r="L72" s="91"/>
      <c r="M72" s="91"/>
      <c r="N72" s="91"/>
      <c r="O72" s="91"/>
    </row>
    <row r="73" customFormat="false" ht="35.25" hidden="false" customHeight="true" outlineLevel="0" collapsed="false">
      <c r="B73" s="90" t="s">
        <v>289</v>
      </c>
      <c r="C73" s="90"/>
      <c r="D73" s="90"/>
      <c r="E73" s="91" t="s">
        <v>303</v>
      </c>
      <c r="F73" s="91"/>
      <c r="G73" s="91"/>
      <c r="H73" s="91"/>
      <c r="I73" s="91"/>
      <c r="J73" s="91"/>
      <c r="K73" s="91"/>
      <c r="L73" s="91"/>
      <c r="M73" s="91"/>
      <c r="N73" s="91"/>
      <c r="O73" s="91"/>
    </row>
    <row r="74" customFormat="false" ht="35.25" hidden="false" customHeight="true" outlineLevel="0" collapsed="false">
      <c r="B74" s="90" t="s">
        <v>291</v>
      </c>
      <c r="C74" s="90"/>
      <c r="D74" s="90"/>
      <c r="E74" s="91" t="s">
        <v>304</v>
      </c>
      <c r="F74" s="91"/>
      <c r="G74" s="91"/>
      <c r="H74" s="91"/>
      <c r="I74" s="91"/>
      <c r="J74" s="91"/>
      <c r="K74" s="91"/>
      <c r="L74" s="91"/>
      <c r="M74" s="91"/>
      <c r="N74" s="91"/>
      <c r="O74" s="91"/>
    </row>
    <row r="75" customFormat="false" ht="35.25" hidden="false" customHeight="true" outlineLevel="0" collapsed="false">
      <c r="B75" s="90" t="s">
        <v>293</v>
      </c>
      <c r="C75" s="90"/>
      <c r="D75" s="90"/>
      <c r="E75" s="91" t="s">
        <v>305</v>
      </c>
      <c r="F75" s="91"/>
      <c r="G75" s="91"/>
      <c r="H75" s="91"/>
      <c r="I75" s="91"/>
      <c r="J75" s="91"/>
      <c r="K75" s="91"/>
      <c r="L75" s="91"/>
      <c r="M75" s="91"/>
      <c r="N75" s="91"/>
      <c r="O75" s="91"/>
    </row>
    <row r="76" customFormat="false" ht="11.25" hidden="false" customHeight="true" outlineLevel="0" collapsed="false">
      <c r="B76" s="15" t="s">
        <v>295</v>
      </c>
      <c r="C76" s="15"/>
      <c r="D76" s="15"/>
      <c r="E76" s="15"/>
      <c r="F76" s="15"/>
      <c r="G76" s="15"/>
      <c r="H76" s="15"/>
      <c r="I76" s="15"/>
      <c r="J76" s="15"/>
      <c r="K76" s="15"/>
      <c r="L76" s="16" t="s">
        <v>40</v>
      </c>
      <c r="M76" s="16"/>
      <c r="N76" s="16"/>
      <c r="O76" s="16"/>
    </row>
    <row r="77" customFormat="false" ht="3" hidden="false" customHeight="true" outlineLevel="0" collapsed="false"/>
    <row r="78" customFormat="false" ht="27.75" hidden="false" customHeight="true" outlineLevel="0" collapsed="false">
      <c r="B78" s="57" t="s">
        <v>259</v>
      </c>
      <c r="C78" s="57"/>
      <c r="D78" s="57"/>
      <c r="E78" s="57"/>
      <c r="F78" s="69" t="str">
        <f aca="false">IF('Project Register'!$D11="","",'Project Register'!$C11)</f>
        <v>CIP-003</v>
      </c>
      <c r="G78" s="69"/>
      <c r="H78" s="70" t="str">
        <f aca="false">IF('Project Register'!$D11="","",'Project Register'!$D11)</f>
        <v>Northgate aquatic centre replacement</v>
      </c>
      <c r="I78" s="70"/>
      <c r="J78" s="70"/>
      <c r="K78" s="70"/>
      <c r="L78" s="70"/>
      <c r="M78" s="70"/>
      <c r="N78" s="70"/>
      <c r="O78" s="70"/>
      <c r="R78" s="71" t="str">
        <f aca="false">IF('Project Register'!$D11="","",'Project Register'!$C11)</f>
        <v>CIP-003</v>
      </c>
      <c r="S78" s="72" t="n">
        <f aca="false">COUNTIF($E$102:$E$111,"?*")</f>
        <v>10</v>
      </c>
    </row>
    <row r="79" customFormat="false" ht="24.75" hidden="false" customHeight="true" outlineLevel="0" collapsed="false">
      <c r="B79" s="73" t="str">
        <f aca="false">IF('Project Register'!$D11="","No project on register row 3. Fill that row in on the Project Register and this block writes its own heading.",'Project Register'!$E11)</f>
        <v>Replace the 1974 pool hall. Concept design only. The largest single call on the plan.</v>
      </c>
      <c r="C79" s="73"/>
      <c r="D79" s="73"/>
      <c r="E79" s="73"/>
      <c r="F79" s="73"/>
      <c r="G79" s="73"/>
      <c r="H79" s="73"/>
      <c r="I79" s="73"/>
      <c r="J79" s="73"/>
      <c r="K79" s="73"/>
      <c r="L79" s="73"/>
      <c r="M79" s="73"/>
      <c r="N79" s="73"/>
      <c r="O79" s="73"/>
    </row>
    <row r="80" customFormat="false" ht="13.5" hidden="false" customHeight="true" outlineLevel="0" collapsed="false">
      <c r="B80" s="74" t="s">
        <v>130</v>
      </c>
      <c r="C80" s="74"/>
      <c r="D80" s="74"/>
      <c r="E80" s="75" t="str">
        <f aca="false">IF('Project Register'!$D11="","",'Project Register'!$F11)</f>
        <v>Buildings</v>
      </c>
      <c r="F80" s="75"/>
      <c r="G80" s="75"/>
      <c r="H80" s="75"/>
      <c r="I80" s="74" t="s">
        <v>131</v>
      </c>
      <c r="J80" s="74"/>
      <c r="K80" s="74"/>
      <c r="L80" s="75" t="str">
        <f aca="false">IF('Project Register'!$D11="","",'Project Register'!$G11)</f>
        <v>Building - community</v>
      </c>
      <c r="M80" s="75"/>
      <c r="N80" s="75"/>
      <c r="O80" s="75"/>
    </row>
    <row r="81" customFormat="false" ht="13.5" hidden="false" customHeight="true" outlineLevel="0" collapsed="false">
      <c r="B81" s="74" t="s">
        <v>132</v>
      </c>
      <c r="C81" s="74"/>
      <c r="D81" s="74"/>
      <c r="E81" s="75" t="str">
        <f aca="false">IF('Project Register'!$D11="","",'Project Register'!$H11)</f>
        <v>Community services</v>
      </c>
      <c r="F81" s="75"/>
      <c r="G81" s="75"/>
      <c r="H81" s="75"/>
      <c r="I81" s="74" t="s">
        <v>135</v>
      </c>
      <c r="J81" s="74"/>
      <c r="K81" s="74"/>
      <c r="L81" s="75" t="str">
        <f aca="false">IF('Project Register'!$D11="","",'Project Register'!$K11)</f>
        <v>S. Duarte</v>
      </c>
      <c r="M81" s="75"/>
      <c r="N81" s="75"/>
      <c r="O81" s="75"/>
    </row>
    <row r="82" customFormat="false" ht="13.5" hidden="false" customHeight="true" outlineLevel="0" collapsed="false">
      <c r="B82" s="74" t="s">
        <v>260</v>
      </c>
      <c r="C82" s="74"/>
      <c r="D82" s="74"/>
      <c r="E82" s="75" t="str">
        <f aca="false">IF('Project Register'!$D11="","",'Project Register'!$I11)</f>
        <v>Service improvement</v>
      </c>
      <c r="F82" s="75"/>
      <c r="G82" s="75"/>
      <c r="H82" s="75"/>
      <c r="I82" s="74" t="s">
        <v>134</v>
      </c>
      <c r="J82" s="74"/>
      <c r="K82" s="74"/>
      <c r="L82" s="75" t="str">
        <f aca="false">IF('Project Register'!$D11="","",'Project Register'!$J11)</f>
        <v>Proposed</v>
      </c>
      <c r="M82" s="75"/>
      <c r="N82" s="75"/>
      <c r="O82" s="75"/>
    </row>
    <row r="83" customFormat="false" ht="2.25" hidden="false" customHeight="true" outlineLevel="0" collapsed="false"/>
    <row r="84" customFormat="false" ht="15.75" hidden="false" customHeight="true" outlineLevel="0" collapsed="false">
      <c r="B84" s="76" t="s">
        <v>117</v>
      </c>
      <c r="C84" s="76"/>
      <c r="D84" s="76"/>
      <c r="E84" s="76"/>
      <c r="F84" s="76"/>
      <c r="G84" s="76"/>
      <c r="H84" s="76"/>
      <c r="I84" s="76"/>
      <c r="J84" s="76"/>
      <c r="K84" s="76"/>
      <c r="L84" s="76"/>
      <c r="M84" s="76"/>
      <c r="N84" s="76"/>
      <c r="O84" s="76"/>
    </row>
    <row r="85" customFormat="false" ht="17.25" hidden="false" customHeight="true" outlineLevel="0" collapsed="false">
      <c r="B85" s="74" t="s">
        <v>136</v>
      </c>
      <c r="C85" s="74"/>
      <c r="D85" s="74"/>
      <c r="E85" s="74"/>
      <c r="F85" s="77" t="n">
        <f aca="false">IF('Project Register'!$D11="","",'Project Register'!$L11)</f>
        <v>46000000</v>
      </c>
      <c r="G85" s="77"/>
      <c r="H85" s="77"/>
      <c r="I85" s="74" t="s">
        <v>137</v>
      </c>
      <c r="J85" s="74"/>
      <c r="K85" s="74"/>
      <c r="L85" s="74"/>
      <c r="M85" s="77" t="n">
        <f aca="false">IF('Project Register'!$D11="","",'Project Register'!$M11)</f>
        <v>750000</v>
      </c>
      <c r="N85" s="77"/>
      <c r="O85" s="77"/>
    </row>
    <row r="86" customFormat="false" ht="13.5" hidden="false" customHeight="true" outlineLevel="0" collapsed="false">
      <c r="B86" s="74" t="s">
        <v>261</v>
      </c>
      <c r="C86" s="74"/>
      <c r="D86" s="74"/>
      <c r="E86" s="74"/>
      <c r="F86" s="78" t="n">
        <f aca="false">IF('Project Register'!$D11="","",'Project Register'!$N11)</f>
        <v>45250000</v>
      </c>
      <c r="G86" s="78"/>
      <c r="H86" s="78"/>
      <c r="I86" s="74" t="s">
        <v>262</v>
      </c>
      <c r="J86" s="74"/>
      <c r="K86" s="74"/>
      <c r="L86" s="74"/>
      <c r="M86" s="79" t="n">
        <f aca="false">IF('Project Register'!$D11="","",'Project Register'!$AD11)</f>
        <v>49376820.005</v>
      </c>
      <c r="N86" s="79"/>
      <c r="O86" s="79"/>
    </row>
    <row r="87" customFormat="false" ht="13.5" hidden="false" customHeight="true" outlineLevel="0" collapsed="false">
      <c r="B87" s="74" t="s">
        <v>263</v>
      </c>
      <c r="C87" s="74"/>
      <c r="D87" s="74"/>
      <c r="E87" s="74"/>
      <c r="F87" s="78" t="n">
        <f aca="false">IF('Project Register'!$D11="","",'Project Register'!$AC11)</f>
        <v>0</v>
      </c>
      <c r="G87" s="78"/>
      <c r="H87" s="78"/>
      <c r="I87" s="74" t="s">
        <v>264</v>
      </c>
      <c r="J87" s="74"/>
      <c r="K87" s="74"/>
      <c r="L87" s="74"/>
      <c r="M87" s="78" t="n">
        <f aca="false">IF('Project Register'!$D11="","",'Project Register'!$AE11)</f>
        <v>49376820.005</v>
      </c>
      <c r="N87" s="78"/>
      <c r="O87" s="78"/>
    </row>
    <row r="88" customFormat="false" ht="13.5" hidden="false" customHeight="true" outlineLevel="0" collapsed="false">
      <c r="B88" s="80" t="s">
        <v>265</v>
      </c>
      <c r="C88" s="80"/>
      <c r="D88" s="81" t="str">
        <f aca="false">Setup!$C$23</f>
        <v>FY2027</v>
      </c>
      <c r="E88" s="81"/>
      <c r="F88" s="81" t="str">
        <f aca="false">Setup!$D$23</f>
        <v>FY2028</v>
      </c>
      <c r="G88" s="81"/>
      <c r="H88" s="81" t="str">
        <f aca="false">Setup!$E$23</f>
        <v>FY2029</v>
      </c>
      <c r="I88" s="81"/>
      <c r="J88" s="81" t="str">
        <f aca="false">Setup!$F$23</f>
        <v>FY2030</v>
      </c>
      <c r="K88" s="81"/>
      <c r="L88" s="81" t="str">
        <f aca="false">Setup!$G$23</f>
        <v>FY2031</v>
      </c>
      <c r="M88" s="81"/>
      <c r="N88" s="81" t="str">
        <f aca="false">Setup!$H$23</f>
        <v>Beyond FY2031</v>
      </c>
      <c r="O88" s="81"/>
    </row>
    <row r="89" customFormat="false" ht="13.5" hidden="false" customHeight="true" outlineLevel="0" collapsed="false">
      <c r="B89" s="82" t="s">
        <v>266</v>
      </c>
      <c r="C89" s="82"/>
      <c r="D89" s="78" t="n">
        <f aca="false">IF('Project Register'!$D11="","",'Project Register'!$O11)</f>
        <v>1250000</v>
      </c>
      <c r="E89" s="78"/>
      <c r="F89" s="78" t="n">
        <f aca="false">IF('Project Register'!$D11="","",'Project Register'!$P11)</f>
        <v>6000000</v>
      </c>
      <c r="G89" s="78"/>
      <c r="H89" s="78" t="n">
        <f aca="false">IF('Project Register'!$D11="","",'Project Register'!$Q11)</f>
        <v>14000000</v>
      </c>
      <c r="I89" s="78"/>
      <c r="J89" s="78" t="n">
        <f aca="false">IF('Project Register'!$D11="","",'Project Register'!$R11)</f>
        <v>16000000</v>
      </c>
      <c r="K89" s="78"/>
      <c r="L89" s="78" t="n">
        <f aca="false">IF('Project Register'!$D11="","",'Project Register'!$S11)</f>
        <v>8000000</v>
      </c>
      <c r="M89" s="78"/>
      <c r="N89" s="78" t="n">
        <f aca="false">IF('Project Register'!$D11="","",'Project Register'!$T11)</f>
        <v>0</v>
      </c>
      <c r="O89" s="78"/>
    </row>
    <row r="90" customFormat="false" ht="13.5" hidden="false" customHeight="true" outlineLevel="0" collapsed="false">
      <c r="B90" s="82" t="s">
        <v>267</v>
      </c>
      <c r="C90" s="82"/>
      <c r="D90" s="79" t="n">
        <f aca="false">IF('Project Register'!$D11="","",'Project Register'!$X11)</f>
        <v>1250000</v>
      </c>
      <c r="E90" s="79"/>
      <c r="F90" s="79" t="n">
        <f aca="false">IF('Project Register'!$D11="","",'Project Register'!$Y11)</f>
        <v>6210000</v>
      </c>
      <c r="G90" s="79"/>
      <c r="H90" s="79" t="n">
        <f aca="false">IF('Project Register'!$D11="","",'Project Register'!$Z11)</f>
        <v>14997150</v>
      </c>
      <c r="I90" s="79"/>
      <c r="J90" s="79" t="n">
        <f aca="false">IF('Project Register'!$D11="","",'Project Register'!$AA11)</f>
        <v>17739486</v>
      </c>
      <c r="K90" s="79"/>
      <c r="L90" s="79" t="n">
        <f aca="false">IF('Project Register'!$D11="","",'Project Register'!$AB11)</f>
        <v>9180184.005</v>
      </c>
      <c r="M90" s="79"/>
      <c r="N90" s="79" t="n">
        <f aca="false">IF('Project Register'!$D11="","",'Project Register'!$AC11)</f>
        <v>0</v>
      </c>
      <c r="O90" s="79"/>
    </row>
    <row r="91" customFormat="false" ht="2.25" hidden="false" customHeight="true" outlineLevel="0" collapsed="false"/>
    <row r="92" customFormat="false" ht="15.75" hidden="false" customHeight="true" outlineLevel="0" collapsed="false">
      <c r="B92" s="76" t="s">
        <v>268</v>
      </c>
      <c r="C92" s="76"/>
      <c r="D92" s="76"/>
      <c r="E92" s="76"/>
      <c r="F92" s="76"/>
      <c r="G92" s="76"/>
      <c r="H92" s="76"/>
      <c r="I92" s="76"/>
      <c r="J92" s="76"/>
      <c r="K92" s="76"/>
      <c r="L92" s="76"/>
      <c r="M92" s="76"/>
      <c r="N92" s="76"/>
      <c r="O92" s="76"/>
    </row>
    <row r="93" customFormat="false" ht="13.5" hidden="false" customHeight="true" outlineLevel="0" collapsed="false">
      <c r="B93" s="80" t="s">
        <v>269</v>
      </c>
      <c r="C93" s="80"/>
      <c r="D93" s="80"/>
      <c r="E93" s="80"/>
      <c r="F93" s="80"/>
      <c r="G93" s="80"/>
      <c r="H93" s="29" t="s">
        <v>145</v>
      </c>
      <c r="I93" s="29"/>
      <c r="J93" s="29"/>
      <c r="K93" s="83" t="s">
        <v>270</v>
      </c>
      <c r="L93" s="83"/>
      <c r="M93" s="83"/>
      <c r="N93" s="83"/>
      <c r="O93" s="83"/>
    </row>
    <row r="94" customFormat="false" ht="13.5" hidden="false" customHeight="true" outlineLevel="0" collapsed="false">
      <c r="B94" s="75" t="str">
        <f aca="false">IF('Project Register'!$D11="","",IF('Project Register'!$AF11="","-",'Project Register'!$AF11))</f>
        <v>Borrowings</v>
      </c>
      <c r="C94" s="75"/>
      <c r="D94" s="75"/>
      <c r="E94" s="75"/>
      <c r="F94" s="75"/>
      <c r="G94" s="75"/>
      <c r="H94" s="84" t="n">
        <f aca="false">IF('Project Register'!$D11="","",'Project Register'!$AG11)</f>
        <v>0.5</v>
      </c>
      <c r="I94" s="84"/>
      <c r="J94" s="84"/>
      <c r="K94" s="78" t="n">
        <f aca="false">IF('Project Register'!$D11="","",'Project Register'!$AD11*'Project Register'!$AG11)</f>
        <v>24688410.0025</v>
      </c>
      <c r="L94" s="78"/>
      <c r="M94" s="78"/>
      <c r="N94" s="78"/>
      <c r="O94" s="78"/>
    </row>
    <row r="95" customFormat="false" ht="13.5" hidden="false" customHeight="true" outlineLevel="0" collapsed="false">
      <c r="B95" s="75" t="str">
        <f aca="false">IF('Project Register'!$D11="","",IF('Project Register'!$AH11="","-",'Project Register'!$AH11))</f>
        <v>Grants - government</v>
      </c>
      <c r="C95" s="75"/>
      <c r="D95" s="75"/>
      <c r="E95" s="75"/>
      <c r="F95" s="75"/>
      <c r="G95" s="75"/>
      <c r="H95" s="84" t="n">
        <f aca="false">IF('Project Register'!$D11="","",'Project Register'!$AI11)</f>
        <v>0.2</v>
      </c>
      <c r="I95" s="84"/>
      <c r="J95" s="84"/>
      <c r="K95" s="78" t="n">
        <f aca="false">IF('Project Register'!$D11="","",'Project Register'!$AD11*'Project Register'!$AI11)</f>
        <v>9875364.001</v>
      </c>
      <c r="L95" s="78"/>
      <c r="M95" s="78"/>
      <c r="N95" s="78"/>
      <c r="O95" s="78"/>
    </row>
    <row r="96" customFormat="false" ht="13.5" hidden="false" customHeight="true" outlineLevel="0" collapsed="false">
      <c r="B96" s="85" t="s">
        <v>271</v>
      </c>
      <c r="C96" s="85"/>
      <c r="D96" s="85"/>
      <c r="E96" s="85"/>
      <c r="F96" s="85"/>
      <c r="G96" s="85"/>
      <c r="H96" s="86" t="n">
        <f aca="false">IF('Project Register'!$D11="","",'Project Register'!$AJ11)</f>
        <v>0.3</v>
      </c>
      <c r="I96" s="86"/>
      <c r="J96" s="86"/>
      <c r="K96" s="79" t="n">
        <f aca="false">IF('Project Register'!$D11="","",'Project Register'!$AL11)</f>
        <v>14813046.0015</v>
      </c>
      <c r="L96" s="79"/>
      <c r="M96" s="79"/>
      <c r="N96" s="79"/>
      <c r="O96" s="79"/>
    </row>
    <row r="97" customFormat="false" ht="2.25" hidden="false" customHeight="true" outlineLevel="0" collapsed="false"/>
    <row r="98" customFormat="false" ht="15.75" hidden="false" customHeight="true" outlineLevel="0" collapsed="false">
      <c r="B98" s="76" t="s">
        <v>272</v>
      </c>
      <c r="C98" s="76"/>
      <c r="D98" s="76"/>
      <c r="E98" s="76"/>
      <c r="F98" s="76"/>
      <c r="G98" s="76"/>
      <c r="H98" s="76"/>
      <c r="I98" s="76"/>
      <c r="J98" s="76"/>
      <c r="K98" s="76"/>
      <c r="L98" s="76"/>
      <c r="M98" s="76"/>
      <c r="N98" s="76"/>
      <c r="O98" s="76"/>
    </row>
    <row r="99" customFormat="false" ht="17.25" hidden="false" customHeight="true" outlineLevel="0" collapsed="false">
      <c r="B99" s="74" t="s">
        <v>243</v>
      </c>
      <c r="C99" s="74"/>
      <c r="D99" s="87" t="n">
        <f aca="false">IF('Project Register'!$D11="","",Prioritisation!$O11)</f>
        <v>3.29</v>
      </c>
      <c r="E99" s="87"/>
      <c r="F99" s="74" t="s">
        <v>273</v>
      </c>
      <c r="G99" s="74"/>
      <c r="H99" s="74"/>
      <c r="I99" s="88" t="str">
        <f aca="false">IF('Project Register'!$D11="","",TEXT(Prioritisation!$P11,"0")&amp;" of "&amp;TEXT(COUNTIF('Project Register'!$C$9:$C$38,"?*"),"0"))</f>
        <v>10 of 15</v>
      </c>
      <c r="J99" s="88"/>
      <c r="K99" s="82" t="s">
        <v>245</v>
      </c>
      <c r="L99" s="82"/>
      <c r="M99" s="89" t="str">
        <f aca="false">IF('Project Register'!$D11="","",Prioritisation!$Q11)</f>
        <v>Medium</v>
      </c>
      <c r="N99" s="89"/>
      <c r="O99" s="89"/>
    </row>
    <row r="100" customFormat="false" ht="2.25" hidden="false" customHeight="true" outlineLevel="0" collapsed="false"/>
    <row r="101" customFormat="false" ht="15.75" hidden="false" customHeight="true" outlineLevel="0" collapsed="false">
      <c r="B101" s="76" t="s">
        <v>274</v>
      </c>
      <c r="C101" s="76"/>
      <c r="D101" s="76"/>
      <c r="E101" s="76"/>
      <c r="F101" s="76"/>
      <c r="G101" s="76"/>
      <c r="H101" s="76"/>
      <c r="I101" s="76"/>
      <c r="J101" s="76"/>
      <c r="K101" s="76"/>
      <c r="L101" s="76"/>
      <c r="M101" s="76"/>
      <c r="N101" s="76"/>
      <c r="O101" s="76"/>
    </row>
    <row r="102" customFormat="false" ht="35.25" hidden="false" customHeight="true" outlineLevel="0" collapsed="false">
      <c r="B102" s="90" t="s">
        <v>275</v>
      </c>
      <c r="C102" s="90"/>
      <c r="D102" s="90"/>
      <c r="E102" s="91" t="s">
        <v>306</v>
      </c>
      <c r="F102" s="91"/>
      <c r="G102" s="91"/>
      <c r="H102" s="91"/>
      <c r="I102" s="91"/>
      <c r="J102" s="91"/>
      <c r="K102" s="91"/>
      <c r="L102" s="91"/>
      <c r="M102" s="91"/>
      <c r="N102" s="91"/>
      <c r="O102" s="91"/>
    </row>
    <row r="103" customFormat="false" ht="35.25" hidden="false" customHeight="true" outlineLevel="0" collapsed="false">
      <c r="B103" s="90" t="s">
        <v>277</v>
      </c>
      <c r="C103" s="90"/>
      <c r="D103" s="90"/>
      <c r="E103" s="91" t="s">
        <v>307</v>
      </c>
      <c r="F103" s="91"/>
      <c r="G103" s="91"/>
      <c r="H103" s="91"/>
      <c r="I103" s="91"/>
      <c r="J103" s="91"/>
      <c r="K103" s="91"/>
      <c r="L103" s="91"/>
      <c r="M103" s="91"/>
      <c r="N103" s="91"/>
      <c r="O103" s="91"/>
    </row>
    <row r="104" customFormat="false" ht="35.25" hidden="false" customHeight="true" outlineLevel="0" collapsed="false">
      <c r="B104" s="90" t="s">
        <v>279</v>
      </c>
      <c r="C104" s="90"/>
      <c r="D104" s="90"/>
      <c r="E104" s="91" t="s">
        <v>308</v>
      </c>
      <c r="F104" s="91"/>
      <c r="G104" s="91"/>
      <c r="H104" s="91"/>
      <c r="I104" s="91"/>
      <c r="J104" s="91"/>
      <c r="K104" s="91"/>
      <c r="L104" s="91"/>
      <c r="M104" s="91"/>
      <c r="N104" s="91"/>
      <c r="O104" s="91"/>
    </row>
    <row r="105" customFormat="false" ht="35.25" hidden="false" customHeight="true" outlineLevel="0" collapsed="false">
      <c r="B105" s="90" t="s">
        <v>281</v>
      </c>
      <c r="C105" s="90"/>
      <c r="D105" s="90"/>
      <c r="E105" s="91" t="s">
        <v>309</v>
      </c>
      <c r="F105" s="91"/>
      <c r="G105" s="91"/>
      <c r="H105" s="91"/>
      <c r="I105" s="91"/>
      <c r="J105" s="91"/>
      <c r="K105" s="91"/>
      <c r="L105" s="91"/>
      <c r="M105" s="91"/>
      <c r="N105" s="91"/>
      <c r="O105" s="91"/>
    </row>
    <row r="106" customFormat="false" ht="35.25" hidden="false" customHeight="true" outlineLevel="0" collapsed="false">
      <c r="B106" s="90" t="s">
        <v>283</v>
      </c>
      <c r="C106" s="90"/>
      <c r="D106" s="90"/>
      <c r="E106" s="91" t="s">
        <v>310</v>
      </c>
      <c r="F106" s="91"/>
      <c r="G106" s="91"/>
      <c r="H106" s="91"/>
      <c r="I106" s="91"/>
      <c r="J106" s="91"/>
      <c r="K106" s="91"/>
      <c r="L106" s="91"/>
      <c r="M106" s="91"/>
      <c r="N106" s="91"/>
      <c r="O106" s="91"/>
    </row>
    <row r="107" customFormat="false" ht="35.25" hidden="false" customHeight="true" outlineLevel="0" collapsed="false">
      <c r="B107" s="90" t="s">
        <v>285</v>
      </c>
      <c r="C107" s="90"/>
      <c r="D107" s="90"/>
      <c r="E107" s="91" t="s">
        <v>311</v>
      </c>
      <c r="F107" s="91"/>
      <c r="G107" s="91"/>
      <c r="H107" s="91"/>
      <c r="I107" s="91"/>
      <c r="J107" s="91"/>
      <c r="K107" s="91"/>
      <c r="L107" s="91"/>
      <c r="M107" s="91"/>
      <c r="N107" s="91"/>
      <c r="O107" s="91"/>
    </row>
    <row r="108" customFormat="false" ht="35.25" hidden="false" customHeight="true" outlineLevel="0" collapsed="false">
      <c r="B108" s="90" t="s">
        <v>287</v>
      </c>
      <c r="C108" s="90"/>
      <c r="D108" s="90"/>
      <c r="E108" s="91" t="s">
        <v>312</v>
      </c>
      <c r="F108" s="91"/>
      <c r="G108" s="91"/>
      <c r="H108" s="91"/>
      <c r="I108" s="91"/>
      <c r="J108" s="91"/>
      <c r="K108" s="91"/>
      <c r="L108" s="91"/>
      <c r="M108" s="91"/>
      <c r="N108" s="91"/>
      <c r="O108" s="91"/>
    </row>
    <row r="109" customFormat="false" ht="35.25" hidden="false" customHeight="true" outlineLevel="0" collapsed="false">
      <c r="B109" s="90" t="s">
        <v>289</v>
      </c>
      <c r="C109" s="90"/>
      <c r="D109" s="90"/>
      <c r="E109" s="91" t="s">
        <v>313</v>
      </c>
      <c r="F109" s="91"/>
      <c r="G109" s="91"/>
      <c r="H109" s="91"/>
      <c r="I109" s="91"/>
      <c r="J109" s="91"/>
      <c r="K109" s="91"/>
      <c r="L109" s="91"/>
      <c r="M109" s="91"/>
      <c r="N109" s="91"/>
      <c r="O109" s="91"/>
    </row>
    <row r="110" customFormat="false" ht="35.25" hidden="false" customHeight="true" outlineLevel="0" collapsed="false">
      <c r="B110" s="90" t="s">
        <v>291</v>
      </c>
      <c r="C110" s="90"/>
      <c r="D110" s="90"/>
      <c r="E110" s="91" t="s">
        <v>314</v>
      </c>
      <c r="F110" s="91"/>
      <c r="G110" s="91"/>
      <c r="H110" s="91"/>
      <c r="I110" s="91"/>
      <c r="J110" s="91"/>
      <c r="K110" s="91"/>
      <c r="L110" s="91"/>
      <c r="M110" s="91"/>
      <c r="N110" s="91"/>
      <c r="O110" s="91"/>
    </row>
    <row r="111" customFormat="false" ht="35.25" hidden="false" customHeight="true" outlineLevel="0" collapsed="false">
      <c r="B111" s="90" t="s">
        <v>293</v>
      </c>
      <c r="C111" s="90"/>
      <c r="D111" s="90"/>
      <c r="E111" s="91" t="s">
        <v>315</v>
      </c>
      <c r="F111" s="91"/>
      <c r="G111" s="91"/>
      <c r="H111" s="91"/>
      <c r="I111" s="91"/>
      <c r="J111" s="91"/>
      <c r="K111" s="91"/>
      <c r="L111" s="91"/>
      <c r="M111" s="91"/>
      <c r="N111" s="91"/>
      <c r="O111" s="91"/>
    </row>
    <row r="112" customFormat="false" ht="11.25" hidden="false" customHeight="true" outlineLevel="0" collapsed="false">
      <c r="B112" s="15" t="s">
        <v>295</v>
      </c>
      <c r="C112" s="15"/>
      <c r="D112" s="15"/>
      <c r="E112" s="15"/>
      <c r="F112" s="15"/>
      <c r="G112" s="15"/>
      <c r="H112" s="15"/>
      <c r="I112" s="15"/>
      <c r="J112" s="15"/>
      <c r="K112" s="15"/>
      <c r="L112" s="16" t="s">
        <v>40</v>
      </c>
      <c r="M112" s="16"/>
      <c r="N112" s="16"/>
      <c r="O112" s="16"/>
    </row>
    <row r="113" customFormat="false" ht="3" hidden="false" customHeight="true" outlineLevel="0" collapsed="false"/>
    <row r="114" customFormat="false" ht="27.75" hidden="false" customHeight="true" outlineLevel="0" collapsed="false">
      <c r="B114" s="57" t="s">
        <v>259</v>
      </c>
      <c r="C114" s="57"/>
      <c r="D114" s="57"/>
      <c r="E114" s="57"/>
      <c r="F114" s="69" t="str">
        <f aca="false">IF('Project Register'!$D12="","",'Project Register'!$C12)</f>
        <v>CIP-004</v>
      </c>
      <c r="G114" s="69"/>
      <c r="H114" s="70" t="str">
        <f aca="false">IF('Project Register'!$D12="","",'Project Register'!$D12)</f>
        <v>Depot Road reconstruction - stage 2</v>
      </c>
      <c r="I114" s="70"/>
      <c r="J114" s="70"/>
      <c r="K114" s="70"/>
      <c r="L114" s="70"/>
      <c r="M114" s="70"/>
      <c r="N114" s="70"/>
      <c r="O114" s="70"/>
      <c r="R114" s="71" t="str">
        <f aca="false">IF('Project Register'!$D12="","",'Project Register'!$C12)</f>
        <v>CIP-004</v>
      </c>
      <c r="S114" s="72" t="n">
        <f aca="false">COUNTIF($E$138:$E$147,"?*")</f>
        <v>10</v>
      </c>
    </row>
    <row r="115" customFormat="false" ht="24.75" hidden="false" customHeight="true" outlineLevel="0" collapsed="false">
      <c r="B115" s="73" t="str">
        <f aca="false">IF('Project Register'!$D12="","No project on register row 4. Fill that row in on the Project Register and this block writes its own heading.",'Project Register'!$E12)</f>
        <v>Full pavement reconstruction, kerb and drainage over 2.4 km. Stage 1 is complete.</v>
      </c>
      <c r="C115" s="73"/>
      <c r="D115" s="73"/>
      <c r="E115" s="73"/>
      <c r="F115" s="73"/>
      <c r="G115" s="73"/>
      <c r="H115" s="73"/>
      <c r="I115" s="73"/>
      <c r="J115" s="73"/>
      <c r="K115" s="73"/>
      <c r="L115" s="73"/>
      <c r="M115" s="73"/>
      <c r="N115" s="73"/>
      <c r="O115" s="73"/>
    </row>
    <row r="116" customFormat="false" ht="13.5" hidden="false" customHeight="true" outlineLevel="0" collapsed="false">
      <c r="B116" s="74" t="s">
        <v>130</v>
      </c>
      <c r="C116" s="74"/>
      <c r="D116" s="74"/>
      <c r="E116" s="75" t="str">
        <f aca="false">IF('Project Register'!$D12="","",'Project Register'!$F12)</f>
        <v>Roads and bridges</v>
      </c>
      <c r="F116" s="75"/>
      <c r="G116" s="75"/>
      <c r="H116" s="75"/>
      <c r="I116" s="74" t="s">
        <v>131</v>
      </c>
      <c r="J116" s="74"/>
      <c r="K116" s="74"/>
      <c r="L116" s="75" t="str">
        <f aca="false">IF('Project Register'!$D12="","",'Project Register'!$G12)</f>
        <v>Road pavement</v>
      </c>
      <c r="M116" s="75"/>
      <c r="N116" s="75"/>
      <c r="O116" s="75"/>
    </row>
    <row r="117" customFormat="false" ht="13.5" hidden="false" customHeight="true" outlineLevel="0" collapsed="false">
      <c r="B117" s="74" t="s">
        <v>132</v>
      </c>
      <c r="C117" s="74"/>
      <c r="D117" s="74"/>
      <c r="E117" s="75" t="str">
        <f aca="false">IF('Project Register'!$D12="","",'Project Register'!$H12)</f>
        <v>Infrastructure and delivery</v>
      </c>
      <c r="F117" s="75"/>
      <c r="G117" s="75"/>
      <c r="H117" s="75"/>
      <c r="I117" s="74" t="s">
        <v>135</v>
      </c>
      <c r="J117" s="74"/>
      <c r="K117" s="74"/>
      <c r="L117" s="75" t="str">
        <f aca="false">IF('Project Register'!$D12="","",'Project Register'!$K12)</f>
        <v>A. Whitfield</v>
      </c>
      <c r="M117" s="75"/>
      <c r="N117" s="75"/>
      <c r="O117" s="75"/>
    </row>
    <row r="118" customFormat="false" ht="13.5" hidden="false" customHeight="true" outlineLevel="0" collapsed="false">
      <c r="B118" s="74" t="s">
        <v>260</v>
      </c>
      <c r="C118" s="74"/>
      <c r="D118" s="74"/>
      <c r="E118" s="75" t="str">
        <f aca="false">IF('Project Register'!$D12="","",'Project Register'!$I12)</f>
        <v>Renewal</v>
      </c>
      <c r="F118" s="75"/>
      <c r="G118" s="75"/>
      <c r="H118" s="75"/>
      <c r="I118" s="74" t="s">
        <v>134</v>
      </c>
      <c r="J118" s="74"/>
      <c r="K118" s="74"/>
      <c r="L118" s="75" t="str">
        <f aca="false">IF('Project Register'!$D12="","",'Project Register'!$J12)</f>
        <v>In delivery</v>
      </c>
      <c r="M118" s="75"/>
      <c r="N118" s="75"/>
      <c r="O118" s="75"/>
    </row>
    <row r="119" customFormat="false" ht="2.25" hidden="false" customHeight="true" outlineLevel="0" collapsed="false"/>
    <row r="120" customFormat="false" ht="15.75" hidden="false" customHeight="true" outlineLevel="0" collapsed="false">
      <c r="B120" s="76" t="s">
        <v>117</v>
      </c>
      <c r="C120" s="76"/>
      <c r="D120" s="76"/>
      <c r="E120" s="76"/>
      <c r="F120" s="76"/>
      <c r="G120" s="76"/>
      <c r="H120" s="76"/>
      <c r="I120" s="76"/>
      <c r="J120" s="76"/>
      <c r="K120" s="76"/>
      <c r="L120" s="76"/>
      <c r="M120" s="76"/>
      <c r="N120" s="76"/>
      <c r="O120" s="76"/>
    </row>
    <row r="121" customFormat="false" ht="17.25" hidden="false" customHeight="true" outlineLevel="0" collapsed="false">
      <c r="B121" s="74" t="s">
        <v>136</v>
      </c>
      <c r="C121" s="74"/>
      <c r="D121" s="74"/>
      <c r="E121" s="74"/>
      <c r="F121" s="77" t="n">
        <f aca="false">IF('Project Register'!$D12="","",'Project Register'!$L12)</f>
        <v>8600000</v>
      </c>
      <c r="G121" s="77"/>
      <c r="H121" s="77"/>
      <c r="I121" s="74" t="s">
        <v>137</v>
      </c>
      <c r="J121" s="74"/>
      <c r="K121" s="74"/>
      <c r="L121" s="74"/>
      <c r="M121" s="77" t="n">
        <f aca="false">IF('Project Register'!$D12="","",'Project Register'!$M12)</f>
        <v>2600000</v>
      </c>
      <c r="N121" s="77"/>
      <c r="O121" s="77"/>
    </row>
    <row r="122" customFormat="false" ht="13.5" hidden="false" customHeight="true" outlineLevel="0" collapsed="false">
      <c r="B122" s="74" t="s">
        <v>261</v>
      </c>
      <c r="C122" s="74"/>
      <c r="D122" s="74"/>
      <c r="E122" s="74"/>
      <c r="F122" s="78" t="n">
        <f aca="false">IF('Project Register'!$D12="","",'Project Register'!$N12)</f>
        <v>6000000</v>
      </c>
      <c r="G122" s="78"/>
      <c r="H122" s="78"/>
      <c r="I122" s="74" t="s">
        <v>262</v>
      </c>
      <c r="J122" s="74"/>
      <c r="K122" s="74"/>
      <c r="L122" s="74"/>
      <c r="M122" s="79" t="n">
        <f aca="false">IF('Project Register'!$D12="","",'Project Register'!$AD12)</f>
        <v>6087500</v>
      </c>
      <c r="N122" s="79"/>
      <c r="O122" s="79"/>
    </row>
    <row r="123" customFormat="false" ht="13.5" hidden="false" customHeight="true" outlineLevel="0" collapsed="false">
      <c r="B123" s="74" t="s">
        <v>263</v>
      </c>
      <c r="C123" s="74"/>
      <c r="D123" s="74"/>
      <c r="E123" s="74"/>
      <c r="F123" s="78" t="n">
        <f aca="false">IF('Project Register'!$D12="","",'Project Register'!$AC12)</f>
        <v>0</v>
      </c>
      <c r="G123" s="78"/>
      <c r="H123" s="78"/>
      <c r="I123" s="74" t="s">
        <v>264</v>
      </c>
      <c r="J123" s="74"/>
      <c r="K123" s="74"/>
      <c r="L123" s="74"/>
      <c r="M123" s="78" t="n">
        <f aca="false">IF('Project Register'!$D12="","",'Project Register'!$AE12)</f>
        <v>6087500</v>
      </c>
      <c r="N123" s="78"/>
      <c r="O123" s="78"/>
    </row>
    <row r="124" customFormat="false" ht="13.5" hidden="false" customHeight="true" outlineLevel="0" collapsed="false">
      <c r="B124" s="80" t="s">
        <v>265</v>
      </c>
      <c r="C124" s="80"/>
      <c r="D124" s="81" t="str">
        <f aca="false">Setup!$C$23</f>
        <v>FY2027</v>
      </c>
      <c r="E124" s="81"/>
      <c r="F124" s="81" t="str">
        <f aca="false">Setup!$D$23</f>
        <v>FY2028</v>
      </c>
      <c r="G124" s="81"/>
      <c r="H124" s="81" t="str">
        <f aca="false">Setup!$E$23</f>
        <v>FY2029</v>
      </c>
      <c r="I124" s="81"/>
      <c r="J124" s="81" t="str">
        <f aca="false">Setup!$F$23</f>
        <v>FY2030</v>
      </c>
      <c r="K124" s="81"/>
      <c r="L124" s="81" t="str">
        <f aca="false">Setup!$G$23</f>
        <v>FY2031</v>
      </c>
      <c r="M124" s="81"/>
      <c r="N124" s="81" t="str">
        <f aca="false">Setup!$H$23</f>
        <v>Beyond FY2031</v>
      </c>
      <c r="O124" s="81"/>
    </row>
    <row r="125" customFormat="false" ht="13.5" hidden="false" customHeight="true" outlineLevel="0" collapsed="false">
      <c r="B125" s="82" t="s">
        <v>266</v>
      </c>
      <c r="C125" s="82"/>
      <c r="D125" s="78" t="n">
        <f aca="false">IF('Project Register'!$D12="","",'Project Register'!$O12)</f>
        <v>3500000</v>
      </c>
      <c r="E125" s="78"/>
      <c r="F125" s="78" t="n">
        <f aca="false">IF('Project Register'!$D12="","",'Project Register'!$P12)</f>
        <v>2500000</v>
      </c>
      <c r="G125" s="78"/>
      <c r="H125" s="78" t="n">
        <f aca="false">IF('Project Register'!$D12="","",'Project Register'!$Q12)</f>
        <v>0</v>
      </c>
      <c r="I125" s="78"/>
      <c r="J125" s="78" t="n">
        <f aca="false">IF('Project Register'!$D12="","",'Project Register'!$R12)</f>
        <v>0</v>
      </c>
      <c r="K125" s="78"/>
      <c r="L125" s="78" t="n">
        <f aca="false">IF('Project Register'!$D12="","",'Project Register'!$S12)</f>
        <v>0</v>
      </c>
      <c r="M125" s="78"/>
      <c r="N125" s="78" t="n">
        <f aca="false">IF('Project Register'!$D12="","",'Project Register'!$T12)</f>
        <v>0</v>
      </c>
      <c r="O125" s="78"/>
    </row>
    <row r="126" customFormat="false" ht="13.5" hidden="false" customHeight="true" outlineLevel="0" collapsed="false">
      <c r="B126" s="82" t="s">
        <v>267</v>
      </c>
      <c r="C126" s="82"/>
      <c r="D126" s="79" t="n">
        <f aca="false">IF('Project Register'!$D12="","",'Project Register'!$X12)</f>
        <v>3500000</v>
      </c>
      <c r="E126" s="79"/>
      <c r="F126" s="79" t="n">
        <f aca="false">IF('Project Register'!$D12="","",'Project Register'!$Y12)</f>
        <v>2587500</v>
      </c>
      <c r="G126" s="79"/>
      <c r="H126" s="79" t="n">
        <f aca="false">IF('Project Register'!$D12="","",'Project Register'!$Z12)</f>
        <v>0</v>
      </c>
      <c r="I126" s="79"/>
      <c r="J126" s="79" t="n">
        <f aca="false">IF('Project Register'!$D12="","",'Project Register'!$AA12)</f>
        <v>0</v>
      </c>
      <c r="K126" s="79"/>
      <c r="L126" s="79" t="n">
        <f aca="false">IF('Project Register'!$D12="","",'Project Register'!$AB12)</f>
        <v>0</v>
      </c>
      <c r="M126" s="79"/>
      <c r="N126" s="79" t="n">
        <f aca="false">IF('Project Register'!$D12="","",'Project Register'!$AC12)</f>
        <v>0</v>
      </c>
      <c r="O126" s="79"/>
    </row>
    <row r="127" customFormat="false" ht="2.25" hidden="false" customHeight="true" outlineLevel="0" collapsed="false"/>
    <row r="128" customFormat="false" ht="15.75" hidden="false" customHeight="true" outlineLevel="0" collapsed="false">
      <c r="B128" s="76" t="s">
        <v>268</v>
      </c>
      <c r="C128" s="76"/>
      <c r="D128" s="76"/>
      <c r="E128" s="76"/>
      <c r="F128" s="76"/>
      <c r="G128" s="76"/>
      <c r="H128" s="76"/>
      <c r="I128" s="76"/>
      <c r="J128" s="76"/>
      <c r="K128" s="76"/>
      <c r="L128" s="76"/>
      <c r="M128" s="76"/>
      <c r="N128" s="76"/>
      <c r="O128" s="76"/>
    </row>
    <row r="129" customFormat="false" ht="13.5" hidden="false" customHeight="true" outlineLevel="0" collapsed="false">
      <c r="B129" s="80" t="s">
        <v>269</v>
      </c>
      <c r="C129" s="80"/>
      <c r="D129" s="80"/>
      <c r="E129" s="80"/>
      <c r="F129" s="80"/>
      <c r="G129" s="80"/>
      <c r="H129" s="29" t="s">
        <v>145</v>
      </c>
      <c r="I129" s="29"/>
      <c r="J129" s="29"/>
      <c r="K129" s="83" t="s">
        <v>270</v>
      </c>
      <c r="L129" s="83"/>
      <c r="M129" s="83"/>
      <c r="N129" s="83"/>
      <c r="O129" s="83"/>
    </row>
    <row r="130" customFormat="false" ht="13.5" hidden="false" customHeight="true" outlineLevel="0" collapsed="false">
      <c r="B130" s="75" t="str">
        <f aca="false">IF('Project Register'!$D12="","",IF('Project Register'!$AF12="","-",'Project Register'!$AF12))</f>
        <v>Own revenue</v>
      </c>
      <c r="C130" s="75"/>
      <c r="D130" s="75"/>
      <c r="E130" s="75"/>
      <c r="F130" s="75"/>
      <c r="G130" s="75"/>
      <c r="H130" s="84" t="n">
        <f aca="false">IF('Project Register'!$D12="","",'Project Register'!$AG12)</f>
        <v>1</v>
      </c>
      <c r="I130" s="84"/>
      <c r="J130" s="84"/>
      <c r="K130" s="78" t="n">
        <f aca="false">IF('Project Register'!$D12="","",'Project Register'!$AD12*'Project Register'!$AG12)</f>
        <v>6087500</v>
      </c>
      <c r="L130" s="78"/>
      <c r="M130" s="78"/>
      <c r="N130" s="78"/>
      <c r="O130" s="78"/>
    </row>
    <row r="131" customFormat="false" ht="13.5" hidden="false" customHeight="true" outlineLevel="0" collapsed="false">
      <c r="B131" s="75" t="str">
        <f aca="false">IF('Project Register'!$D12="","",IF('Project Register'!$AH12="","-",'Project Register'!$AH12))</f>
        <v>-</v>
      </c>
      <c r="C131" s="75"/>
      <c r="D131" s="75"/>
      <c r="E131" s="75"/>
      <c r="F131" s="75"/>
      <c r="G131" s="75"/>
      <c r="H131" s="84" t="n">
        <f aca="false">IF('Project Register'!$D12="","",'Project Register'!$AI12)</f>
        <v>0</v>
      </c>
      <c r="I131" s="84"/>
      <c r="J131" s="84"/>
      <c r="K131" s="78" t="n">
        <f aca="false">IF('Project Register'!$D12="","",'Project Register'!$AD12*'Project Register'!$AI12)</f>
        <v>0</v>
      </c>
      <c r="L131" s="78"/>
      <c r="M131" s="78"/>
      <c r="N131" s="78"/>
      <c r="O131" s="78"/>
    </row>
    <row r="132" customFormat="false" ht="13.5" hidden="false" customHeight="true" outlineLevel="0" collapsed="false">
      <c r="B132" s="85" t="s">
        <v>271</v>
      </c>
      <c r="C132" s="85"/>
      <c r="D132" s="85"/>
      <c r="E132" s="85"/>
      <c r="F132" s="85"/>
      <c r="G132" s="85"/>
      <c r="H132" s="86" t="n">
        <f aca="false">IF('Project Register'!$D12="","",'Project Register'!$AJ12)</f>
        <v>0</v>
      </c>
      <c r="I132" s="86"/>
      <c r="J132" s="86"/>
      <c r="K132" s="79" t="n">
        <f aca="false">IF('Project Register'!$D12="","",'Project Register'!$AL12)</f>
        <v>0</v>
      </c>
      <c r="L132" s="79"/>
      <c r="M132" s="79"/>
      <c r="N132" s="79"/>
      <c r="O132" s="79"/>
    </row>
    <row r="133" customFormat="false" ht="2.25" hidden="false" customHeight="true" outlineLevel="0" collapsed="false"/>
    <row r="134" customFormat="false" ht="15.75" hidden="false" customHeight="true" outlineLevel="0" collapsed="false">
      <c r="B134" s="76" t="s">
        <v>272</v>
      </c>
      <c r="C134" s="76"/>
      <c r="D134" s="76"/>
      <c r="E134" s="76"/>
      <c r="F134" s="76"/>
      <c r="G134" s="76"/>
      <c r="H134" s="76"/>
      <c r="I134" s="76"/>
      <c r="J134" s="76"/>
      <c r="K134" s="76"/>
      <c r="L134" s="76"/>
      <c r="M134" s="76"/>
      <c r="N134" s="76"/>
      <c r="O134" s="76"/>
    </row>
    <row r="135" customFormat="false" ht="17.25" hidden="false" customHeight="true" outlineLevel="0" collapsed="false">
      <c r="B135" s="74" t="s">
        <v>243</v>
      </c>
      <c r="C135" s="74"/>
      <c r="D135" s="87" t="n">
        <f aca="false">IF('Project Register'!$D12="","",Prioritisation!$O12)</f>
        <v>3.83</v>
      </c>
      <c r="E135" s="87"/>
      <c r="F135" s="74" t="s">
        <v>273</v>
      </c>
      <c r="G135" s="74"/>
      <c r="H135" s="74"/>
      <c r="I135" s="88" t="str">
        <f aca="false">IF('Project Register'!$D12="","",TEXT(Prioritisation!$P12,"0")&amp;" of "&amp;TEXT(COUNTIF('Project Register'!$C$9:$C$38,"?*"),"0"))</f>
        <v>6 of 15</v>
      </c>
      <c r="J135" s="88"/>
      <c r="K135" s="82" t="s">
        <v>245</v>
      </c>
      <c r="L135" s="82"/>
      <c r="M135" s="89" t="str">
        <f aca="false">IF('Project Register'!$D12="","",Prioritisation!$Q12)</f>
        <v>High</v>
      </c>
      <c r="N135" s="89"/>
      <c r="O135" s="89"/>
    </row>
    <row r="136" customFormat="false" ht="2.25" hidden="false" customHeight="true" outlineLevel="0" collapsed="false"/>
    <row r="137" customFormat="false" ht="15.75" hidden="false" customHeight="true" outlineLevel="0" collapsed="false">
      <c r="B137" s="76" t="s">
        <v>274</v>
      </c>
      <c r="C137" s="76"/>
      <c r="D137" s="76"/>
      <c r="E137" s="76"/>
      <c r="F137" s="76"/>
      <c r="G137" s="76"/>
      <c r="H137" s="76"/>
      <c r="I137" s="76"/>
      <c r="J137" s="76"/>
      <c r="K137" s="76"/>
      <c r="L137" s="76"/>
      <c r="M137" s="76"/>
      <c r="N137" s="76"/>
      <c r="O137" s="76"/>
    </row>
    <row r="138" customFormat="false" ht="35.25" hidden="false" customHeight="true" outlineLevel="0" collapsed="false">
      <c r="B138" s="90" t="s">
        <v>275</v>
      </c>
      <c r="C138" s="90"/>
      <c r="D138" s="90"/>
      <c r="E138" s="91" t="s">
        <v>316</v>
      </c>
      <c r="F138" s="91"/>
      <c r="G138" s="91"/>
      <c r="H138" s="91"/>
      <c r="I138" s="91"/>
      <c r="J138" s="91"/>
      <c r="K138" s="91"/>
      <c r="L138" s="91"/>
      <c r="M138" s="91"/>
      <c r="N138" s="91"/>
      <c r="O138" s="91"/>
    </row>
    <row r="139" customFormat="false" ht="35.25" hidden="false" customHeight="true" outlineLevel="0" collapsed="false">
      <c r="B139" s="90" t="s">
        <v>277</v>
      </c>
      <c r="C139" s="90"/>
      <c r="D139" s="90"/>
      <c r="E139" s="91" t="s">
        <v>317</v>
      </c>
      <c r="F139" s="91"/>
      <c r="G139" s="91"/>
      <c r="H139" s="91"/>
      <c r="I139" s="91"/>
      <c r="J139" s="91"/>
      <c r="K139" s="91"/>
      <c r="L139" s="91"/>
      <c r="M139" s="91"/>
      <c r="N139" s="91"/>
      <c r="O139" s="91"/>
    </row>
    <row r="140" customFormat="false" ht="35.25" hidden="false" customHeight="true" outlineLevel="0" collapsed="false">
      <c r="B140" s="90" t="s">
        <v>279</v>
      </c>
      <c r="C140" s="90"/>
      <c r="D140" s="90"/>
      <c r="E140" s="91" t="s">
        <v>318</v>
      </c>
      <c r="F140" s="91"/>
      <c r="G140" s="91"/>
      <c r="H140" s="91"/>
      <c r="I140" s="91"/>
      <c r="J140" s="91"/>
      <c r="K140" s="91"/>
      <c r="L140" s="91"/>
      <c r="M140" s="91"/>
      <c r="N140" s="91"/>
      <c r="O140" s="91"/>
    </row>
    <row r="141" customFormat="false" ht="35.25" hidden="false" customHeight="true" outlineLevel="0" collapsed="false">
      <c r="B141" s="90" t="s">
        <v>281</v>
      </c>
      <c r="C141" s="90"/>
      <c r="D141" s="90"/>
      <c r="E141" s="91" t="s">
        <v>319</v>
      </c>
      <c r="F141" s="91"/>
      <c r="G141" s="91"/>
      <c r="H141" s="91"/>
      <c r="I141" s="91"/>
      <c r="J141" s="91"/>
      <c r="K141" s="91"/>
      <c r="L141" s="91"/>
      <c r="M141" s="91"/>
      <c r="N141" s="91"/>
      <c r="O141" s="91"/>
    </row>
    <row r="142" customFormat="false" ht="35.25" hidden="false" customHeight="true" outlineLevel="0" collapsed="false">
      <c r="B142" s="90" t="s">
        <v>283</v>
      </c>
      <c r="C142" s="90"/>
      <c r="D142" s="90"/>
      <c r="E142" s="91" t="s">
        <v>320</v>
      </c>
      <c r="F142" s="91"/>
      <c r="G142" s="91"/>
      <c r="H142" s="91"/>
      <c r="I142" s="91"/>
      <c r="J142" s="91"/>
      <c r="K142" s="91"/>
      <c r="L142" s="91"/>
      <c r="M142" s="91"/>
      <c r="N142" s="91"/>
      <c r="O142" s="91"/>
    </row>
    <row r="143" customFormat="false" ht="35.25" hidden="false" customHeight="true" outlineLevel="0" collapsed="false">
      <c r="B143" s="90" t="s">
        <v>285</v>
      </c>
      <c r="C143" s="90"/>
      <c r="D143" s="90"/>
      <c r="E143" s="91" t="s">
        <v>321</v>
      </c>
      <c r="F143" s="91"/>
      <c r="G143" s="91"/>
      <c r="H143" s="91"/>
      <c r="I143" s="91"/>
      <c r="J143" s="91"/>
      <c r="K143" s="91"/>
      <c r="L143" s="91"/>
      <c r="M143" s="91"/>
      <c r="N143" s="91"/>
      <c r="O143" s="91"/>
    </row>
    <row r="144" customFormat="false" ht="35.25" hidden="false" customHeight="true" outlineLevel="0" collapsed="false">
      <c r="B144" s="90" t="s">
        <v>287</v>
      </c>
      <c r="C144" s="90"/>
      <c r="D144" s="90"/>
      <c r="E144" s="91" t="s">
        <v>322</v>
      </c>
      <c r="F144" s="91"/>
      <c r="G144" s="91"/>
      <c r="H144" s="91"/>
      <c r="I144" s="91"/>
      <c r="J144" s="91"/>
      <c r="K144" s="91"/>
      <c r="L144" s="91"/>
      <c r="M144" s="91"/>
      <c r="N144" s="91"/>
      <c r="O144" s="91"/>
    </row>
    <row r="145" customFormat="false" ht="35.25" hidden="false" customHeight="true" outlineLevel="0" collapsed="false">
      <c r="B145" s="90" t="s">
        <v>289</v>
      </c>
      <c r="C145" s="90"/>
      <c r="D145" s="90"/>
      <c r="E145" s="91" t="s">
        <v>323</v>
      </c>
      <c r="F145" s="91"/>
      <c r="G145" s="91"/>
      <c r="H145" s="91"/>
      <c r="I145" s="91"/>
      <c r="J145" s="91"/>
      <c r="K145" s="91"/>
      <c r="L145" s="91"/>
      <c r="M145" s="91"/>
      <c r="N145" s="91"/>
      <c r="O145" s="91"/>
    </row>
    <row r="146" customFormat="false" ht="35.25" hidden="false" customHeight="true" outlineLevel="0" collapsed="false">
      <c r="B146" s="90" t="s">
        <v>291</v>
      </c>
      <c r="C146" s="90"/>
      <c r="D146" s="90"/>
      <c r="E146" s="91" t="s">
        <v>324</v>
      </c>
      <c r="F146" s="91"/>
      <c r="G146" s="91"/>
      <c r="H146" s="91"/>
      <c r="I146" s="91"/>
      <c r="J146" s="91"/>
      <c r="K146" s="91"/>
      <c r="L146" s="91"/>
      <c r="M146" s="91"/>
      <c r="N146" s="91"/>
      <c r="O146" s="91"/>
    </row>
    <row r="147" customFormat="false" ht="35.25" hidden="false" customHeight="true" outlineLevel="0" collapsed="false">
      <c r="B147" s="90" t="s">
        <v>293</v>
      </c>
      <c r="C147" s="90"/>
      <c r="D147" s="90"/>
      <c r="E147" s="91" t="s">
        <v>325</v>
      </c>
      <c r="F147" s="91"/>
      <c r="G147" s="91"/>
      <c r="H147" s="91"/>
      <c r="I147" s="91"/>
      <c r="J147" s="91"/>
      <c r="K147" s="91"/>
      <c r="L147" s="91"/>
      <c r="M147" s="91"/>
      <c r="N147" s="91"/>
      <c r="O147" s="91"/>
    </row>
    <row r="148" customFormat="false" ht="11.25" hidden="false" customHeight="true" outlineLevel="0" collapsed="false">
      <c r="B148" s="15" t="s">
        <v>295</v>
      </c>
      <c r="C148" s="15"/>
      <c r="D148" s="15"/>
      <c r="E148" s="15"/>
      <c r="F148" s="15"/>
      <c r="G148" s="15"/>
      <c r="H148" s="15"/>
      <c r="I148" s="15"/>
      <c r="J148" s="15"/>
      <c r="K148" s="15"/>
      <c r="L148" s="16" t="s">
        <v>40</v>
      </c>
      <c r="M148" s="16"/>
      <c r="N148" s="16"/>
      <c r="O148" s="16"/>
    </row>
    <row r="149" customFormat="false" ht="3" hidden="false" customHeight="true" outlineLevel="0" collapsed="false"/>
    <row r="150" customFormat="false" ht="27.75" hidden="false" customHeight="true" outlineLevel="0" collapsed="false">
      <c r="B150" s="57" t="s">
        <v>259</v>
      </c>
      <c r="C150" s="57"/>
      <c r="D150" s="57"/>
      <c r="E150" s="57"/>
      <c r="F150" s="69" t="str">
        <f aca="false">IF('Project Register'!$D13="","",'Project Register'!$C13)</f>
        <v>CIP-005</v>
      </c>
      <c r="G150" s="69"/>
      <c r="H150" s="70" t="str">
        <f aca="false">IF('Project Register'!$D13="","",'Project Register'!$D13)</f>
        <v>Wastewater pump station renewals</v>
      </c>
      <c r="I150" s="70"/>
      <c r="J150" s="70"/>
      <c r="K150" s="70"/>
      <c r="L150" s="70"/>
      <c r="M150" s="70"/>
      <c r="N150" s="70"/>
      <c r="O150" s="70"/>
      <c r="R150" s="71" t="str">
        <f aca="false">IF('Project Register'!$D13="","",'Project Register'!$C13)</f>
        <v>CIP-005</v>
      </c>
      <c r="S150" s="72" t="n">
        <f aca="false">COUNTIF($E$174:$E$183,"?*")</f>
        <v>10</v>
      </c>
    </row>
    <row r="151" customFormat="false" ht="24.75" hidden="false" customHeight="true" outlineLevel="0" collapsed="false">
      <c r="B151" s="73" t="str">
        <f aca="false">IF('Project Register'!$D13="","No project on register row 5. Fill that row in on the Project Register and this block writes its own heading.",'Project Register'!$E13)</f>
        <v>Rolling renewal of 14 stations by condition rank. Two stations a year, funded from the water reserve.</v>
      </c>
      <c r="C151" s="73"/>
      <c r="D151" s="73"/>
      <c r="E151" s="73"/>
      <c r="F151" s="73"/>
      <c r="G151" s="73"/>
      <c r="H151" s="73"/>
      <c r="I151" s="73"/>
      <c r="J151" s="73"/>
      <c r="K151" s="73"/>
      <c r="L151" s="73"/>
      <c r="M151" s="73"/>
      <c r="N151" s="73"/>
      <c r="O151" s="73"/>
    </row>
    <row r="152" customFormat="false" ht="13.5" hidden="false" customHeight="true" outlineLevel="0" collapsed="false">
      <c r="B152" s="74" t="s">
        <v>130</v>
      </c>
      <c r="C152" s="74"/>
      <c r="D152" s="74"/>
      <c r="E152" s="75" t="str">
        <f aca="false">IF('Project Register'!$D13="","",'Project Register'!$F13)</f>
        <v>Water and wastewater</v>
      </c>
      <c r="F152" s="75"/>
      <c r="G152" s="75"/>
      <c r="H152" s="75"/>
      <c r="I152" s="74" t="s">
        <v>131</v>
      </c>
      <c r="J152" s="74"/>
      <c r="K152" s="74"/>
      <c r="L152" s="75" t="str">
        <f aca="false">IF('Project Register'!$D13="","",'Project Register'!$G13)</f>
        <v>Wastewater network</v>
      </c>
      <c r="M152" s="75"/>
      <c r="N152" s="75"/>
      <c r="O152" s="75"/>
    </row>
    <row r="153" customFormat="false" ht="13.5" hidden="false" customHeight="true" outlineLevel="0" collapsed="false">
      <c r="B153" s="74" t="s">
        <v>132</v>
      </c>
      <c r="C153" s="74"/>
      <c r="D153" s="74"/>
      <c r="E153" s="75" t="str">
        <f aca="false">IF('Project Register'!$D13="","",'Project Register'!$H13)</f>
        <v>Water services</v>
      </c>
      <c r="F153" s="75"/>
      <c r="G153" s="75"/>
      <c r="H153" s="75"/>
      <c r="I153" s="74" t="s">
        <v>135</v>
      </c>
      <c r="J153" s="74"/>
      <c r="K153" s="74"/>
      <c r="L153" s="75" t="str">
        <f aca="false">IF('Project Register'!$D13="","",'Project Register'!$K13)</f>
        <v>M. Okonkwo</v>
      </c>
      <c r="M153" s="75"/>
      <c r="N153" s="75"/>
      <c r="O153" s="75"/>
    </row>
    <row r="154" customFormat="false" ht="13.5" hidden="false" customHeight="true" outlineLevel="0" collapsed="false">
      <c r="B154" s="74" t="s">
        <v>260</v>
      </c>
      <c r="C154" s="74"/>
      <c r="D154" s="74"/>
      <c r="E154" s="75" t="str">
        <f aca="false">IF('Project Register'!$D13="","",'Project Register'!$I13)</f>
        <v>Renewal</v>
      </c>
      <c r="F154" s="75"/>
      <c r="G154" s="75"/>
      <c r="H154" s="75"/>
      <c r="I154" s="74" t="s">
        <v>134</v>
      </c>
      <c r="J154" s="74"/>
      <c r="K154" s="74"/>
      <c r="L154" s="75" t="str">
        <f aca="false">IF('Project Register'!$D13="","",'Project Register'!$J13)</f>
        <v>Approved</v>
      </c>
      <c r="M154" s="75"/>
      <c r="N154" s="75"/>
      <c r="O154" s="75"/>
    </row>
    <row r="155" customFormat="false" ht="2.25" hidden="false" customHeight="true" outlineLevel="0" collapsed="false"/>
    <row r="156" customFormat="false" ht="15.75" hidden="false" customHeight="true" outlineLevel="0" collapsed="false">
      <c r="B156" s="76" t="s">
        <v>117</v>
      </c>
      <c r="C156" s="76"/>
      <c r="D156" s="76"/>
      <c r="E156" s="76"/>
      <c r="F156" s="76"/>
      <c r="G156" s="76"/>
      <c r="H156" s="76"/>
      <c r="I156" s="76"/>
      <c r="J156" s="76"/>
      <c r="K156" s="76"/>
      <c r="L156" s="76"/>
      <c r="M156" s="76"/>
      <c r="N156" s="76"/>
      <c r="O156" s="76"/>
    </row>
    <row r="157" customFormat="false" ht="17.25" hidden="false" customHeight="true" outlineLevel="0" collapsed="false">
      <c r="B157" s="74" t="s">
        <v>136</v>
      </c>
      <c r="C157" s="74"/>
      <c r="D157" s="74"/>
      <c r="E157" s="74"/>
      <c r="F157" s="77" t="n">
        <f aca="false">IF('Project Register'!$D13="","",'Project Register'!$L13)</f>
        <v>9000000</v>
      </c>
      <c r="G157" s="77"/>
      <c r="H157" s="77"/>
      <c r="I157" s="74" t="s">
        <v>137</v>
      </c>
      <c r="J157" s="74"/>
      <c r="K157" s="74"/>
      <c r="L157" s="74"/>
      <c r="M157" s="77" t="n">
        <f aca="false">IF('Project Register'!$D13="","",'Project Register'!$M13)</f>
        <v>0</v>
      </c>
      <c r="N157" s="77"/>
      <c r="O157" s="77"/>
    </row>
    <row r="158" customFormat="false" ht="13.5" hidden="false" customHeight="true" outlineLevel="0" collapsed="false">
      <c r="B158" s="74" t="s">
        <v>261</v>
      </c>
      <c r="C158" s="74"/>
      <c r="D158" s="74"/>
      <c r="E158" s="74"/>
      <c r="F158" s="78" t="n">
        <f aca="false">IF('Project Register'!$D13="","",'Project Register'!$N13)</f>
        <v>9000000</v>
      </c>
      <c r="G158" s="78"/>
      <c r="H158" s="78"/>
      <c r="I158" s="74" t="s">
        <v>262</v>
      </c>
      <c r="J158" s="74"/>
      <c r="K158" s="74"/>
      <c r="L158" s="74"/>
      <c r="M158" s="79" t="n">
        <f aca="false">IF('Project Register'!$D13="","",'Project Register'!$AD13)</f>
        <v>8043698.8134375</v>
      </c>
      <c r="N158" s="79"/>
      <c r="O158" s="79"/>
    </row>
    <row r="159" customFormat="false" ht="13.5" hidden="false" customHeight="true" outlineLevel="0" collapsed="false">
      <c r="B159" s="74" t="s">
        <v>263</v>
      </c>
      <c r="C159" s="74"/>
      <c r="D159" s="74"/>
      <c r="E159" s="74"/>
      <c r="F159" s="78" t="n">
        <f aca="false">IF('Project Register'!$D13="","",'Project Register'!$AC13)</f>
        <v>1781529.45847031</v>
      </c>
      <c r="G159" s="78"/>
      <c r="H159" s="78"/>
      <c r="I159" s="74" t="s">
        <v>264</v>
      </c>
      <c r="J159" s="74"/>
      <c r="K159" s="74"/>
      <c r="L159" s="74"/>
      <c r="M159" s="78" t="n">
        <f aca="false">IF('Project Register'!$D13="","",'Project Register'!$AE13)</f>
        <v>9825228.27190781</v>
      </c>
      <c r="N159" s="78"/>
      <c r="O159" s="78"/>
    </row>
    <row r="160" customFormat="false" ht="13.5" hidden="false" customHeight="true" outlineLevel="0" collapsed="false">
      <c r="B160" s="80" t="s">
        <v>265</v>
      </c>
      <c r="C160" s="80"/>
      <c r="D160" s="81" t="str">
        <f aca="false">Setup!$C$23</f>
        <v>FY2027</v>
      </c>
      <c r="E160" s="81"/>
      <c r="F160" s="81" t="str">
        <f aca="false">Setup!$D$23</f>
        <v>FY2028</v>
      </c>
      <c r="G160" s="81"/>
      <c r="H160" s="81" t="str">
        <f aca="false">Setup!$E$23</f>
        <v>FY2029</v>
      </c>
      <c r="I160" s="81"/>
      <c r="J160" s="81" t="str">
        <f aca="false">Setup!$F$23</f>
        <v>FY2030</v>
      </c>
      <c r="K160" s="81"/>
      <c r="L160" s="81" t="str">
        <f aca="false">Setup!$G$23</f>
        <v>FY2031</v>
      </c>
      <c r="M160" s="81"/>
      <c r="N160" s="81" t="str">
        <f aca="false">Setup!$H$23</f>
        <v>Beyond FY2031</v>
      </c>
      <c r="O160" s="81"/>
    </row>
    <row r="161" customFormat="false" ht="13.5" hidden="false" customHeight="true" outlineLevel="0" collapsed="false">
      <c r="B161" s="82" t="s">
        <v>266</v>
      </c>
      <c r="C161" s="82"/>
      <c r="D161" s="78" t="n">
        <f aca="false">IF('Project Register'!$D13="","",'Project Register'!$O13)</f>
        <v>1500000</v>
      </c>
      <c r="E161" s="78"/>
      <c r="F161" s="78" t="n">
        <f aca="false">IF('Project Register'!$D13="","",'Project Register'!$P13)</f>
        <v>1500000</v>
      </c>
      <c r="G161" s="78"/>
      <c r="H161" s="78" t="n">
        <f aca="false">IF('Project Register'!$D13="","",'Project Register'!$Q13)</f>
        <v>1500000</v>
      </c>
      <c r="I161" s="78"/>
      <c r="J161" s="78" t="n">
        <f aca="false">IF('Project Register'!$D13="","",'Project Register'!$R13)</f>
        <v>1500000</v>
      </c>
      <c r="K161" s="78"/>
      <c r="L161" s="78" t="n">
        <f aca="false">IF('Project Register'!$D13="","",'Project Register'!$S13)</f>
        <v>1500000</v>
      </c>
      <c r="M161" s="78"/>
      <c r="N161" s="78" t="n">
        <f aca="false">IF('Project Register'!$D13="","",'Project Register'!$T13)</f>
        <v>1500000</v>
      </c>
      <c r="O161" s="78"/>
    </row>
    <row r="162" customFormat="false" ht="13.5" hidden="false" customHeight="true" outlineLevel="0" collapsed="false">
      <c r="B162" s="82" t="s">
        <v>267</v>
      </c>
      <c r="C162" s="82"/>
      <c r="D162" s="79" t="n">
        <f aca="false">IF('Project Register'!$D13="","",'Project Register'!$X13)</f>
        <v>1500000</v>
      </c>
      <c r="E162" s="79"/>
      <c r="F162" s="79" t="n">
        <f aca="false">IF('Project Register'!$D13="","",'Project Register'!$Y13)</f>
        <v>1552500</v>
      </c>
      <c r="G162" s="79"/>
      <c r="H162" s="79" t="n">
        <f aca="false">IF('Project Register'!$D13="","",'Project Register'!$Z13)</f>
        <v>1606837.5</v>
      </c>
      <c r="I162" s="79"/>
      <c r="J162" s="79" t="n">
        <f aca="false">IF('Project Register'!$D13="","",'Project Register'!$AA13)</f>
        <v>1663076.8125</v>
      </c>
      <c r="K162" s="79"/>
      <c r="L162" s="79" t="n">
        <f aca="false">IF('Project Register'!$D13="","",'Project Register'!$AB13)</f>
        <v>1721284.5009375</v>
      </c>
      <c r="M162" s="79"/>
      <c r="N162" s="79" t="n">
        <f aca="false">IF('Project Register'!$D13="","",'Project Register'!$AC13)</f>
        <v>1781529.45847031</v>
      </c>
      <c r="O162" s="79"/>
    </row>
    <row r="163" customFormat="false" ht="2.25" hidden="false" customHeight="true" outlineLevel="0" collapsed="false"/>
    <row r="164" customFormat="false" ht="15.75" hidden="false" customHeight="true" outlineLevel="0" collapsed="false">
      <c r="B164" s="76" t="s">
        <v>268</v>
      </c>
      <c r="C164" s="76"/>
      <c r="D164" s="76"/>
      <c r="E164" s="76"/>
      <c r="F164" s="76"/>
      <c r="G164" s="76"/>
      <c r="H164" s="76"/>
      <c r="I164" s="76"/>
      <c r="J164" s="76"/>
      <c r="K164" s="76"/>
      <c r="L164" s="76"/>
      <c r="M164" s="76"/>
      <c r="N164" s="76"/>
      <c r="O164" s="76"/>
    </row>
    <row r="165" customFormat="false" ht="13.5" hidden="false" customHeight="true" outlineLevel="0" collapsed="false">
      <c r="B165" s="80" t="s">
        <v>269</v>
      </c>
      <c r="C165" s="80"/>
      <c r="D165" s="80"/>
      <c r="E165" s="80"/>
      <c r="F165" s="80"/>
      <c r="G165" s="80"/>
      <c r="H165" s="29" t="s">
        <v>145</v>
      </c>
      <c r="I165" s="29"/>
      <c r="J165" s="29"/>
      <c r="K165" s="83" t="s">
        <v>270</v>
      </c>
      <c r="L165" s="83"/>
      <c r="M165" s="83"/>
      <c r="N165" s="83"/>
      <c r="O165" s="83"/>
    </row>
    <row r="166" customFormat="false" ht="13.5" hidden="false" customHeight="true" outlineLevel="0" collapsed="false">
      <c r="B166" s="75" t="str">
        <f aca="false">IF('Project Register'!$D13="","",IF('Project Register'!$AF13="","-",'Project Register'!$AF13))</f>
        <v>Reserves</v>
      </c>
      <c r="C166" s="75"/>
      <c r="D166" s="75"/>
      <c r="E166" s="75"/>
      <c r="F166" s="75"/>
      <c r="G166" s="75"/>
      <c r="H166" s="84" t="n">
        <f aca="false">IF('Project Register'!$D13="","",'Project Register'!$AG13)</f>
        <v>0.6</v>
      </c>
      <c r="I166" s="84"/>
      <c r="J166" s="84"/>
      <c r="K166" s="78" t="n">
        <f aca="false">IF('Project Register'!$D13="","",'Project Register'!$AD13*'Project Register'!$AG13)</f>
        <v>4826219.2880625</v>
      </c>
      <c r="L166" s="78"/>
      <c r="M166" s="78"/>
      <c r="N166" s="78"/>
      <c r="O166" s="78"/>
    </row>
    <row r="167" customFormat="false" ht="13.5" hidden="false" customHeight="true" outlineLevel="0" collapsed="false">
      <c r="B167" s="75" t="str">
        <f aca="false">IF('Project Register'!$D13="","",IF('Project Register'!$AH13="","-",'Project Register'!$AH13))</f>
        <v>Own revenue</v>
      </c>
      <c r="C167" s="75"/>
      <c r="D167" s="75"/>
      <c r="E167" s="75"/>
      <c r="F167" s="75"/>
      <c r="G167" s="75"/>
      <c r="H167" s="84" t="n">
        <f aca="false">IF('Project Register'!$D13="","",'Project Register'!$AI13)</f>
        <v>0.4</v>
      </c>
      <c r="I167" s="84"/>
      <c r="J167" s="84"/>
      <c r="K167" s="78" t="n">
        <f aca="false">IF('Project Register'!$D13="","",'Project Register'!$AD13*'Project Register'!$AI13)</f>
        <v>3217479.525375</v>
      </c>
      <c r="L167" s="78"/>
      <c r="M167" s="78"/>
      <c r="N167" s="78"/>
      <c r="O167" s="78"/>
    </row>
    <row r="168" customFormat="false" ht="13.5" hidden="false" customHeight="true" outlineLevel="0" collapsed="false">
      <c r="B168" s="85" t="s">
        <v>271</v>
      </c>
      <c r="C168" s="85"/>
      <c r="D168" s="85"/>
      <c r="E168" s="85"/>
      <c r="F168" s="85"/>
      <c r="G168" s="85"/>
      <c r="H168" s="86" t="n">
        <f aca="false">IF('Project Register'!$D13="","",'Project Register'!$AJ13)</f>
        <v>0</v>
      </c>
      <c r="I168" s="86"/>
      <c r="J168" s="86"/>
      <c r="K168" s="79" t="n">
        <f aca="false">IF('Project Register'!$D13="","",'Project Register'!$AL13)</f>
        <v>0</v>
      </c>
      <c r="L168" s="79"/>
      <c r="M168" s="79"/>
      <c r="N168" s="79"/>
      <c r="O168" s="79"/>
    </row>
    <row r="169" customFormat="false" ht="2.25" hidden="false" customHeight="true" outlineLevel="0" collapsed="false"/>
    <row r="170" customFormat="false" ht="15.75" hidden="false" customHeight="true" outlineLevel="0" collapsed="false">
      <c r="B170" s="76" t="s">
        <v>272</v>
      </c>
      <c r="C170" s="76"/>
      <c r="D170" s="76"/>
      <c r="E170" s="76"/>
      <c r="F170" s="76"/>
      <c r="G170" s="76"/>
      <c r="H170" s="76"/>
      <c r="I170" s="76"/>
      <c r="J170" s="76"/>
      <c r="K170" s="76"/>
      <c r="L170" s="76"/>
      <c r="M170" s="76"/>
      <c r="N170" s="76"/>
      <c r="O170" s="76"/>
    </row>
    <row r="171" customFormat="false" ht="17.25" hidden="false" customHeight="true" outlineLevel="0" collapsed="false">
      <c r="B171" s="74" t="s">
        <v>243</v>
      </c>
      <c r="C171" s="74"/>
      <c r="D171" s="87" t="n">
        <f aca="false">IF('Project Register'!$D13="","",Prioritisation!$O13)</f>
        <v>3.91</v>
      </c>
      <c r="E171" s="87"/>
      <c r="F171" s="74" t="s">
        <v>273</v>
      </c>
      <c r="G171" s="74"/>
      <c r="H171" s="74"/>
      <c r="I171" s="88" t="str">
        <f aca="false">IF('Project Register'!$D13="","",TEXT(Prioritisation!$P13,"0")&amp;" of "&amp;TEXT(COUNTIF('Project Register'!$C$9:$C$38,"?*"),"0"))</f>
        <v>5 of 15</v>
      </c>
      <c r="J171" s="88"/>
      <c r="K171" s="82" t="s">
        <v>245</v>
      </c>
      <c r="L171" s="82"/>
      <c r="M171" s="89" t="str">
        <f aca="false">IF('Project Register'!$D13="","",Prioritisation!$Q13)</f>
        <v>High</v>
      </c>
      <c r="N171" s="89"/>
      <c r="O171" s="89"/>
    </row>
    <row r="172" customFormat="false" ht="2.25" hidden="false" customHeight="true" outlineLevel="0" collapsed="false"/>
    <row r="173" customFormat="false" ht="15.75" hidden="false" customHeight="true" outlineLevel="0" collapsed="false">
      <c r="B173" s="76" t="s">
        <v>274</v>
      </c>
      <c r="C173" s="76"/>
      <c r="D173" s="76"/>
      <c r="E173" s="76"/>
      <c r="F173" s="76"/>
      <c r="G173" s="76"/>
      <c r="H173" s="76"/>
      <c r="I173" s="76"/>
      <c r="J173" s="76"/>
      <c r="K173" s="76"/>
      <c r="L173" s="76"/>
      <c r="M173" s="76"/>
      <c r="N173" s="76"/>
      <c r="O173" s="76"/>
    </row>
    <row r="174" customFormat="false" ht="35.25" hidden="false" customHeight="true" outlineLevel="0" collapsed="false">
      <c r="B174" s="90" t="s">
        <v>275</v>
      </c>
      <c r="C174" s="90"/>
      <c r="D174" s="90"/>
      <c r="E174" s="91" t="s">
        <v>326</v>
      </c>
      <c r="F174" s="91"/>
      <c r="G174" s="91"/>
      <c r="H174" s="91"/>
      <c r="I174" s="91"/>
      <c r="J174" s="91"/>
      <c r="K174" s="91"/>
      <c r="L174" s="91"/>
      <c r="M174" s="91"/>
      <c r="N174" s="91"/>
      <c r="O174" s="91"/>
    </row>
    <row r="175" customFormat="false" ht="35.25" hidden="false" customHeight="true" outlineLevel="0" collapsed="false">
      <c r="B175" s="90" t="s">
        <v>277</v>
      </c>
      <c r="C175" s="90"/>
      <c r="D175" s="90"/>
      <c r="E175" s="91" t="s">
        <v>327</v>
      </c>
      <c r="F175" s="91"/>
      <c r="G175" s="91"/>
      <c r="H175" s="91"/>
      <c r="I175" s="91"/>
      <c r="J175" s="91"/>
      <c r="K175" s="91"/>
      <c r="L175" s="91"/>
      <c r="M175" s="91"/>
      <c r="N175" s="91"/>
      <c r="O175" s="91"/>
    </row>
    <row r="176" customFormat="false" ht="35.25" hidden="false" customHeight="true" outlineLevel="0" collapsed="false">
      <c r="B176" s="90" t="s">
        <v>279</v>
      </c>
      <c r="C176" s="90"/>
      <c r="D176" s="90"/>
      <c r="E176" s="91" t="s">
        <v>328</v>
      </c>
      <c r="F176" s="91"/>
      <c r="G176" s="91"/>
      <c r="H176" s="91"/>
      <c r="I176" s="91"/>
      <c r="J176" s="91"/>
      <c r="K176" s="91"/>
      <c r="L176" s="91"/>
      <c r="M176" s="91"/>
      <c r="N176" s="91"/>
      <c r="O176" s="91"/>
    </row>
    <row r="177" customFormat="false" ht="35.25" hidden="false" customHeight="true" outlineLevel="0" collapsed="false">
      <c r="B177" s="90" t="s">
        <v>281</v>
      </c>
      <c r="C177" s="90"/>
      <c r="D177" s="90"/>
      <c r="E177" s="91" t="s">
        <v>329</v>
      </c>
      <c r="F177" s="91"/>
      <c r="G177" s="91"/>
      <c r="H177" s="91"/>
      <c r="I177" s="91"/>
      <c r="J177" s="91"/>
      <c r="K177" s="91"/>
      <c r="L177" s="91"/>
      <c r="M177" s="91"/>
      <c r="N177" s="91"/>
      <c r="O177" s="91"/>
    </row>
    <row r="178" customFormat="false" ht="35.25" hidden="false" customHeight="true" outlineLevel="0" collapsed="false">
      <c r="B178" s="90" t="s">
        <v>283</v>
      </c>
      <c r="C178" s="90"/>
      <c r="D178" s="90"/>
      <c r="E178" s="91" t="s">
        <v>330</v>
      </c>
      <c r="F178" s="91"/>
      <c r="G178" s="91"/>
      <c r="H178" s="91"/>
      <c r="I178" s="91"/>
      <c r="J178" s="91"/>
      <c r="K178" s="91"/>
      <c r="L178" s="91"/>
      <c r="M178" s="91"/>
      <c r="N178" s="91"/>
      <c r="O178" s="91"/>
    </row>
    <row r="179" customFormat="false" ht="35.25" hidden="false" customHeight="true" outlineLevel="0" collapsed="false">
      <c r="B179" s="90" t="s">
        <v>285</v>
      </c>
      <c r="C179" s="90"/>
      <c r="D179" s="90"/>
      <c r="E179" s="91" t="s">
        <v>331</v>
      </c>
      <c r="F179" s="91"/>
      <c r="G179" s="91"/>
      <c r="H179" s="91"/>
      <c r="I179" s="91"/>
      <c r="J179" s="91"/>
      <c r="K179" s="91"/>
      <c r="L179" s="91"/>
      <c r="M179" s="91"/>
      <c r="N179" s="91"/>
      <c r="O179" s="91"/>
    </row>
    <row r="180" customFormat="false" ht="35.25" hidden="false" customHeight="true" outlineLevel="0" collapsed="false">
      <c r="B180" s="90" t="s">
        <v>287</v>
      </c>
      <c r="C180" s="90"/>
      <c r="D180" s="90"/>
      <c r="E180" s="91" t="s">
        <v>332</v>
      </c>
      <c r="F180" s="91"/>
      <c r="G180" s="91"/>
      <c r="H180" s="91"/>
      <c r="I180" s="91"/>
      <c r="J180" s="91"/>
      <c r="K180" s="91"/>
      <c r="L180" s="91"/>
      <c r="M180" s="91"/>
      <c r="N180" s="91"/>
      <c r="O180" s="91"/>
    </row>
    <row r="181" customFormat="false" ht="35.25" hidden="false" customHeight="true" outlineLevel="0" collapsed="false">
      <c r="B181" s="90" t="s">
        <v>289</v>
      </c>
      <c r="C181" s="90"/>
      <c r="D181" s="90"/>
      <c r="E181" s="91" t="s">
        <v>333</v>
      </c>
      <c r="F181" s="91"/>
      <c r="G181" s="91"/>
      <c r="H181" s="91"/>
      <c r="I181" s="91"/>
      <c r="J181" s="91"/>
      <c r="K181" s="91"/>
      <c r="L181" s="91"/>
      <c r="M181" s="91"/>
      <c r="N181" s="91"/>
      <c r="O181" s="91"/>
    </row>
    <row r="182" customFormat="false" ht="35.25" hidden="false" customHeight="true" outlineLevel="0" collapsed="false">
      <c r="B182" s="90" t="s">
        <v>291</v>
      </c>
      <c r="C182" s="90"/>
      <c r="D182" s="90"/>
      <c r="E182" s="91" t="s">
        <v>334</v>
      </c>
      <c r="F182" s="91"/>
      <c r="G182" s="91"/>
      <c r="H182" s="91"/>
      <c r="I182" s="91"/>
      <c r="J182" s="91"/>
      <c r="K182" s="91"/>
      <c r="L182" s="91"/>
      <c r="M182" s="91"/>
      <c r="N182" s="91"/>
      <c r="O182" s="91"/>
    </row>
    <row r="183" customFormat="false" ht="35.25" hidden="false" customHeight="true" outlineLevel="0" collapsed="false">
      <c r="B183" s="90" t="s">
        <v>293</v>
      </c>
      <c r="C183" s="90"/>
      <c r="D183" s="90"/>
      <c r="E183" s="91" t="s">
        <v>335</v>
      </c>
      <c r="F183" s="91"/>
      <c r="G183" s="91"/>
      <c r="H183" s="91"/>
      <c r="I183" s="91"/>
      <c r="J183" s="91"/>
      <c r="K183" s="91"/>
      <c r="L183" s="91"/>
      <c r="M183" s="91"/>
      <c r="N183" s="91"/>
      <c r="O183" s="91"/>
    </row>
    <row r="184" customFormat="false" ht="11.25" hidden="false" customHeight="true" outlineLevel="0" collapsed="false">
      <c r="B184" s="15" t="s">
        <v>295</v>
      </c>
      <c r="C184" s="15"/>
      <c r="D184" s="15"/>
      <c r="E184" s="15"/>
      <c r="F184" s="15"/>
      <c r="G184" s="15"/>
      <c r="H184" s="15"/>
      <c r="I184" s="15"/>
      <c r="J184" s="15"/>
      <c r="K184" s="15"/>
      <c r="L184" s="16" t="s">
        <v>40</v>
      </c>
      <c r="M184" s="16"/>
      <c r="N184" s="16"/>
      <c r="O184" s="16"/>
    </row>
    <row r="185" customFormat="false" ht="3" hidden="false" customHeight="true" outlineLevel="0" collapsed="false"/>
    <row r="186" customFormat="false" ht="27.75" hidden="false" customHeight="true" outlineLevel="0" collapsed="false">
      <c r="B186" s="57" t="s">
        <v>259</v>
      </c>
      <c r="C186" s="57"/>
      <c r="D186" s="57"/>
      <c r="E186" s="57"/>
      <c r="F186" s="69" t="str">
        <f aca="false">IF('Project Register'!$D14="","",'Project Register'!$C14)</f>
        <v>CIP-006</v>
      </c>
      <c r="G186" s="69"/>
      <c r="H186" s="70" t="str">
        <f aca="false">IF('Project Register'!$D14="","",'Project Register'!$D14)</f>
        <v>Kingsway Park sports precinct</v>
      </c>
      <c r="I186" s="70"/>
      <c r="J186" s="70"/>
      <c r="K186" s="70"/>
      <c r="L186" s="70"/>
      <c r="M186" s="70"/>
      <c r="N186" s="70"/>
      <c r="O186" s="70"/>
      <c r="R186" s="71" t="str">
        <f aca="false">IF('Project Register'!$D14="","",'Project Register'!$C14)</f>
        <v>CIP-006</v>
      </c>
      <c r="S186" s="72" t="n">
        <f aca="false">COUNTIF($E$210:$E$219,"?*")</f>
        <v>10</v>
      </c>
    </row>
    <row r="187" customFormat="false" ht="24.75" hidden="false" customHeight="true" outlineLevel="0" collapsed="false">
      <c r="B187" s="73" t="str">
        <f aca="false">IF('Project Register'!$D14="","No project on register row 6. Fill that row in on the Project Register and this block writes its own heading.",'Project Register'!$E14)</f>
        <v>Two new playing fields, lighting and a pavilion to serve the eastern growth area.</v>
      </c>
      <c r="C187" s="73"/>
      <c r="D187" s="73"/>
      <c r="E187" s="73"/>
      <c r="F187" s="73"/>
      <c r="G187" s="73"/>
      <c r="H187" s="73"/>
      <c r="I187" s="73"/>
      <c r="J187" s="73"/>
      <c r="K187" s="73"/>
      <c r="L187" s="73"/>
      <c r="M187" s="73"/>
      <c r="N187" s="73"/>
      <c r="O187" s="73"/>
    </row>
    <row r="188" customFormat="false" ht="13.5" hidden="false" customHeight="true" outlineLevel="0" collapsed="false">
      <c r="B188" s="74" t="s">
        <v>130</v>
      </c>
      <c r="C188" s="74"/>
      <c r="D188" s="74"/>
      <c r="E188" s="75" t="str">
        <f aca="false">IF('Project Register'!$D14="","",'Project Register'!$F14)</f>
        <v>Parks and recreation</v>
      </c>
      <c r="F188" s="75"/>
      <c r="G188" s="75"/>
      <c r="H188" s="75"/>
      <c r="I188" s="74" t="s">
        <v>131</v>
      </c>
      <c r="J188" s="74"/>
      <c r="K188" s="74"/>
      <c r="L188" s="75" t="str">
        <f aca="false">IF('Project Register'!$D14="","",'Project Register'!$G14)</f>
        <v>Open space</v>
      </c>
      <c r="M188" s="75"/>
      <c r="N188" s="75"/>
      <c r="O188" s="75"/>
    </row>
    <row r="189" customFormat="false" ht="13.5" hidden="false" customHeight="true" outlineLevel="0" collapsed="false">
      <c r="B189" s="74" t="s">
        <v>132</v>
      </c>
      <c r="C189" s="74"/>
      <c r="D189" s="74"/>
      <c r="E189" s="75" t="str">
        <f aca="false">IF('Project Register'!$D14="","",'Project Register'!$H14)</f>
        <v>Parks and open space</v>
      </c>
      <c r="F189" s="75"/>
      <c r="G189" s="75"/>
      <c r="H189" s="75"/>
      <c r="I189" s="74" t="s">
        <v>135</v>
      </c>
      <c r="J189" s="74"/>
      <c r="K189" s="74"/>
      <c r="L189" s="75" t="str">
        <f aca="false">IF('Project Register'!$D14="","",'Project Register'!$K14)</f>
        <v>L. Fenwick</v>
      </c>
      <c r="M189" s="75"/>
      <c r="N189" s="75"/>
      <c r="O189" s="75"/>
    </row>
    <row r="190" customFormat="false" ht="13.5" hidden="false" customHeight="true" outlineLevel="0" collapsed="false">
      <c r="B190" s="74" t="s">
        <v>260</v>
      </c>
      <c r="C190" s="74"/>
      <c r="D190" s="74"/>
      <c r="E190" s="75" t="str">
        <f aca="false">IF('Project Register'!$D14="","",'Project Register'!$I14)</f>
        <v>Growth</v>
      </c>
      <c r="F190" s="75"/>
      <c r="G190" s="75"/>
      <c r="H190" s="75"/>
      <c r="I190" s="74" t="s">
        <v>134</v>
      </c>
      <c r="J190" s="74"/>
      <c r="K190" s="74"/>
      <c r="L190" s="75" t="str">
        <f aca="false">IF('Project Register'!$D14="","",'Project Register'!$J14)</f>
        <v>Proposed</v>
      </c>
      <c r="M190" s="75"/>
      <c r="N190" s="75"/>
      <c r="O190" s="75"/>
    </row>
    <row r="191" customFormat="false" ht="2.25" hidden="false" customHeight="true" outlineLevel="0" collapsed="false"/>
    <row r="192" customFormat="false" ht="15.75" hidden="false" customHeight="true" outlineLevel="0" collapsed="false">
      <c r="B192" s="76" t="s">
        <v>117</v>
      </c>
      <c r="C192" s="76"/>
      <c r="D192" s="76"/>
      <c r="E192" s="76"/>
      <c r="F192" s="76"/>
      <c r="G192" s="76"/>
      <c r="H192" s="76"/>
      <c r="I192" s="76"/>
      <c r="J192" s="76"/>
      <c r="K192" s="76"/>
      <c r="L192" s="76"/>
      <c r="M192" s="76"/>
      <c r="N192" s="76"/>
      <c r="O192" s="76"/>
    </row>
    <row r="193" customFormat="false" ht="17.25" hidden="false" customHeight="true" outlineLevel="0" collapsed="false">
      <c r="B193" s="74" t="s">
        <v>136</v>
      </c>
      <c r="C193" s="74"/>
      <c r="D193" s="74"/>
      <c r="E193" s="74"/>
      <c r="F193" s="77" t="n">
        <f aca="false">IF('Project Register'!$D14="","",'Project Register'!$L14)</f>
        <v>14500000</v>
      </c>
      <c r="G193" s="77"/>
      <c r="H193" s="77"/>
      <c r="I193" s="74" t="s">
        <v>137</v>
      </c>
      <c r="J193" s="74"/>
      <c r="K193" s="74"/>
      <c r="L193" s="74"/>
      <c r="M193" s="77" t="n">
        <f aca="false">IF('Project Register'!$D14="","",'Project Register'!$M14)</f>
        <v>250000</v>
      </c>
      <c r="N193" s="77"/>
      <c r="O193" s="77"/>
    </row>
    <row r="194" customFormat="false" ht="13.5" hidden="false" customHeight="true" outlineLevel="0" collapsed="false">
      <c r="B194" s="74" t="s">
        <v>261</v>
      </c>
      <c r="C194" s="74"/>
      <c r="D194" s="74"/>
      <c r="E194" s="74"/>
      <c r="F194" s="78" t="n">
        <f aca="false">IF('Project Register'!$D14="","",'Project Register'!$N14)</f>
        <v>14250000</v>
      </c>
      <c r="G194" s="78"/>
      <c r="H194" s="78"/>
      <c r="I194" s="74" t="s">
        <v>262</v>
      </c>
      <c r="J194" s="74"/>
      <c r="K194" s="74"/>
      <c r="L194" s="74"/>
      <c r="M194" s="79" t="n">
        <f aca="false">IF('Project Register'!$D14="","",'Project Register'!$AD14)</f>
        <v>15408407.25</v>
      </c>
      <c r="N194" s="79"/>
      <c r="O194" s="79"/>
    </row>
    <row r="195" customFormat="false" ht="13.5" hidden="false" customHeight="true" outlineLevel="0" collapsed="false">
      <c r="B195" s="74" t="s">
        <v>263</v>
      </c>
      <c r="C195" s="74"/>
      <c r="D195" s="74"/>
      <c r="E195" s="74"/>
      <c r="F195" s="78" t="n">
        <f aca="false">IF('Project Register'!$D14="","",'Project Register'!$AC14)</f>
        <v>0</v>
      </c>
      <c r="G195" s="78"/>
      <c r="H195" s="78"/>
      <c r="I195" s="74" t="s">
        <v>264</v>
      </c>
      <c r="J195" s="74"/>
      <c r="K195" s="74"/>
      <c r="L195" s="74"/>
      <c r="M195" s="78" t="n">
        <f aca="false">IF('Project Register'!$D14="","",'Project Register'!$AE14)</f>
        <v>15408407.25</v>
      </c>
      <c r="N195" s="78"/>
      <c r="O195" s="78"/>
    </row>
    <row r="196" customFormat="false" ht="13.5" hidden="false" customHeight="true" outlineLevel="0" collapsed="false">
      <c r="B196" s="80" t="s">
        <v>265</v>
      </c>
      <c r="C196" s="80"/>
      <c r="D196" s="81" t="str">
        <f aca="false">Setup!$C$23</f>
        <v>FY2027</v>
      </c>
      <c r="E196" s="81"/>
      <c r="F196" s="81" t="str">
        <f aca="false">Setup!$D$23</f>
        <v>FY2028</v>
      </c>
      <c r="G196" s="81"/>
      <c r="H196" s="81" t="str">
        <f aca="false">Setup!$E$23</f>
        <v>FY2029</v>
      </c>
      <c r="I196" s="81"/>
      <c r="J196" s="81" t="str">
        <f aca="false">Setup!$F$23</f>
        <v>FY2030</v>
      </c>
      <c r="K196" s="81"/>
      <c r="L196" s="81" t="str">
        <f aca="false">Setup!$G$23</f>
        <v>FY2031</v>
      </c>
      <c r="M196" s="81"/>
      <c r="N196" s="81" t="str">
        <f aca="false">Setup!$H$23</f>
        <v>Beyond FY2031</v>
      </c>
      <c r="O196" s="81"/>
    </row>
    <row r="197" customFormat="false" ht="13.5" hidden="false" customHeight="true" outlineLevel="0" collapsed="false">
      <c r="B197" s="82" t="s">
        <v>266</v>
      </c>
      <c r="C197" s="82"/>
      <c r="D197" s="78" t="n">
        <f aca="false">IF('Project Register'!$D14="","",'Project Register'!$O14)</f>
        <v>0</v>
      </c>
      <c r="E197" s="78"/>
      <c r="F197" s="78" t="n">
        <f aca="false">IF('Project Register'!$D14="","",'Project Register'!$P14)</f>
        <v>2250000</v>
      </c>
      <c r="G197" s="78"/>
      <c r="H197" s="78" t="n">
        <f aca="false">IF('Project Register'!$D14="","",'Project Register'!$Q14)</f>
        <v>6000000</v>
      </c>
      <c r="I197" s="78"/>
      <c r="J197" s="78" t="n">
        <f aca="false">IF('Project Register'!$D14="","",'Project Register'!$R14)</f>
        <v>6000000</v>
      </c>
      <c r="K197" s="78"/>
      <c r="L197" s="78" t="n">
        <f aca="false">IF('Project Register'!$D14="","",'Project Register'!$S14)</f>
        <v>0</v>
      </c>
      <c r="M197" s="78"/>
      <c r="N197" s="78" t="n">
        <f aca="false">IF('Project Register'!$D14="","",'Project Register'!$T14)</f>
        <v>0</v>
      </c>
      <c r="O197" s="78"/>
    </row>
    <row r="198" customFormat="false" ht="13.5" hidden="false" customHeight="true" outlineLevel="0" collapsed="false">
      <c r="B198" s="82" t="s">
        <v>267</v>
      </c>
      <c r="C198" s="82"/>
      <c r="D198" s="79" t="n">
        <f aca="false">IF('Project Register'!$D14="","",'Project Register'!$X14)</f>
        <v>0</v>
      </c>
      <c r="E198" s="79"/>
      <c r="F198" s="79" t="n">
        <f aca="false">IF('Project Register'!$D14="","",'Project Register'!$Y14)</f>
        <v>2328750</v>
      </c>
      <c r="G198" s="79"/>
      <c r="H198" s="79" t="n">
        <f aca="false">IF('Project Register'!$D14="","",'Project Register'!$Z14)</f>
        <v>6427350</v>
      </c>
      <c r="I198" s="79"/>
      <c r="J198" s="79" t="n">
        <f aca="false">IF('Project Register'!$D14="","",'Project Register'!$AA14)</f>
        <v>6652307.25</v>
      </c>
      <c r="K198" s="79"/>
      <c r="L198" s="79" t="n">
        <f aca="false">IF('Project Register'!$D14="","",'Project Register'!$AB14)</f>
        <v>0</v>
      </c>
      <c r="M198" s="79"/>
      <c r="N198" s="79" t="n">
        <f aca="false">IF('Project Register'!$D14="","",'Project Register'!$AC14)</f>
        <v>0</v>
      </c>
      <c r="O198" s="79"/>
    </row>
    <row r="199" customFormat="false" ht="2.25" hidden="false" customHeight="true" outlineLevel="0" collapsed="false"/>
    <row r="200" customFormat="false" ht="15.75" hidden="false" customHeight="true" outlineLevel="0" collapsed="false">
      <c r="B200" s="76" t="s">
        <v>268</v>
      </c>
      <c r="C200" s="76"/>
      <c r="D200" s="76"/>
      <c r="E200" s="76"/>
      <c r="F200" s="76"/>
      <c r="G200" s="76"/>
      <c r="H200" s="76"/>
      <c r="I200" s="76"/>
      <c r="J200" s="76"/>
      <c r="K200" s="76"/>
      <c r="L200" s="76"/>
      <c r="M200" s="76"/>
      <c r="N200" s="76"/>
      <c r="O200" s="76"/>
    </row>
    <row r="201" customFormat="false" ht="13.5" hidden="false" customHeight="true" outlineLevel="0" collapsed="false">
      <c r="B201" s="80" t="s">
        <v>269</v>
      </c>
      <c r="C201" s="80"/>
      <c r="D201" s="80"/>
      <c r="E201" s="80"/>
      <c r="F201" s="80"/>
      <c r="G201" s="80"/>
      <c r="H201" s="29" t="s">
        <v>145</v>
      </c>
      <c r="I201" s="29"/>
      <c r="J201" s="29"/>
      <c r="K201" s="83" t="s">
        <v>270</v>
      </c>
      <c r="L201" s="83"/>
      <c r="M201" s="83"/>
      <c r="N201" s="83"/>
      <c r="O201" s="83"/>
    </row>
    <row r="202" customFormat="false" ht="13.5" hidden="false" customHeight="true" outlineLevel="0" collapsed="false">
      <c r="B202" s="75" t="str">
        <f aca="false">IF('Project Register'!$D14="","",IF('Project Register'!$AF14="","-",'Project Register'!$AF14))</f>
        <v>Developer contributions</v>
      </c>
      <c r="C202" s="75"/>
      <c r="D202" s="75"/>
      <c r="E202" s="75"/>
      <c r="F202" s="75"/>
      <c r="G202" s="75"/>
      <c r="H202" s="84" t="n">
        <f aca="false">IF('Project Register'!$D14="","",'Project Register'!$AG14)</f>
        <v>0.55</v>
      </c>
      <c r="I202" s="84"/>
      <c r="J202" s="84"/>
      <c r="K202" s="78" t="n">
        <f aca="false">IF('Project Register'!$D14="","",'Project Register'!$AD14*'Project Register'!$AG14)</f>
        <v>8474623.9875</v>
      </c>
      <c r="L202" s="78"/>
      <c r="M202" s="78"/>
      <c r="N202" s="78"/>
      <c r="O202" s="78"/>
    </row>
    <row r="203" customFormat="false" ht="13.5" hidden="false" customHeight="true" outlineLevel="0" collapsed="false">
      <c r="B203" s="75" t="str">
        <f aca="false">IF('Project Register'!$D14="","",IF('Project Register'!$AH14="","-",'Project Register'!$AH14))</f>
        <v>Grants - government</v>
      </c>
      <c r="C203" s="75"/>
      <c r="D203" s="75"/>
      <c r="E203" s="75"/>
      <c r="F203" s="75"/>
      <c r="G203" s="75"/>
      <c r="H203" s="84" t="n">
        <f aca="false">IF('Project Register'!$D14="","",'Project Register'!$AI14)</f>
        <v>0.25</v>
      </c>
      <c r="I203" s="84"/>
      <c r="J203" s="84"/>
      <c r="K203" s="78" t="n">
        <f aca="false">IF('Project Register'!$D14="","",'Project Register'!$AD14*'Project Register'!$AI14)</f>
        <v>3852101.8125</v>
      </c>
      <c r="L203" s="78"/>
      <c r="M203" s="78"/>
      <c r="N203" s="78"/>
      <c r="O203" s="78"/>
    </row>
    <row r="204" customFormat="false" ht="13.5" hidden="false" customHeight="true" outlineLevel="0" collapsed="false">
      <c r="B204" s="85" t="s">
        <v>271</v>
      </c>
      <c r="C204" s="85"/>
      <c r="D204" s="85"/>
      <c r="E204" s="85"/>
      <c r="F204" s="85"/>
      <c r="G204" s="85"/>
      <c r="H204" s="86" t="n">
        <f aca="false">IF('Project Register'!$D14="","",'Project Register'!$AJ14)</f>
        <v>0.2</v>
      </c>
      <c r="I204" s="86"/>
      <c r="J204" s="86"/>
      <c r="K204" s="79" t="n">
        <f aca="false">IF('Project Register'!$D14="","",'Project Register'!$AL14)</f>
        <v>3081681.45</v>
      </c>
      <c r="L204" s="79"/>
      <c r="M204" s="79"/>
      <c r="N204" s="79"/>
      <c r="O204" s="79"/>
    </row>
    <row r="205" customFormat="false" ht="2.25" hidden="false" customHeight="true" outlineLevel="0" collapsed="false"/>
    <row r="206" customFormat="false" ht="15.75" hidden="false" customHeight="true" outlineLevel="0" collapsed="false">
      <c r="B206" s="76" t="s">
        <v>272</v>
      </c>
      <c r="C206" s="76"/>
      <c r="D206" s="76"/>
      <c r="E206" s="76"/>
      <c r="F206" s="76"/>
      <c r="G206" s="76"/>
      <c r="H206" s="76"/>
      <c r="I206" s="76"/>
      <c r="J206" s="76"/>
      <c r="K206" s="76"/>
      <c r="L206" s="76"/>
      <c r="M206" s="76"/>
      <c r="N206" s="76"/>
      <c r="O206" s="76"/>
    </row>
    <row r="207" customFormat="false" ht="17.25" hidden="false" customHeight="true" outlineLevel="0" collapsed="false">
      <c r="B207" s="74" t="s">
        <v>243</v>
      </c>
      <c r="C207" s="74"/>
      <c r="D207" s="87" t="n">
        <f aca="false">IF('Project Register'!$D14="","",Prioritisation!$O14)</f>
        <v>2.91</v>
      </c>
      <c r="E207" s="87"/>
      <c r="F207" s="74" t="s">
        <v>273</v>
      </c>
      <c r="G207" s="74"/>
      <c r="H207" s="74"/>
      <c r="I207" s="88" t="str">
        <f aca="false">IF('Project Register'!$D14="","",TEXT(Prioritisation!$P14,"0")&amp;" of "&amp;TEXT(COUNTIF('Project Register'!$C$9:$C$38,"?*"),"0"))</f>
        <v>13 of 15</v>
      </c>
      <c r="J207" s="88"/>
      <c r="K207" s="82" t="s">
        <v>245</v>
      </c>
      <c r="L207" s="82"/>
      <c r="M207" s="89" t="str">
        <f aca="false">IF('Project Register'!$D14="","",Prioritisation!$Q14)</f>
        <v>Medium</v>
      </c>
      <c r="N207" s="89"/>
      <c r="O207" s="89"/>
    </row>
    <row r="208" customFormat="false" ht="2.25" hidden="false" customHeight="true" outlineLevel="0" collapsed="false"/>
    <row r="209" customFormat="false" ht="15.75" hidden="false" customHeight="true" outlineLevel="0" collapsed="false">
      <c r="B209" s="76" t="s">
        <v>274</v>
      </c>
      <c r="C209" s="76"/>
      <c r="D209" s="76"/>
      <c r="E209" s="76"/>
      <c r="F209" s="76"/>
      <c r="G209" s="76"/>
      <c r="H209" s="76"/>
      <c r="I209" s="76"/>
      <c r="J209" s="76"/>
      <c r="K209" s="76"/>
      <c r="L209" s="76"/>
      <c r="M209" s="76"/>
      <c r="N209" s="76"/>
      <c r="O209" s="76"/>
    </row>
    <row r="210" customFormat="false" ht="35.25" hidden="false" customHeight="true" outlineLevel="0" collapsed="false">
      <c r="B210" s="90" t="s">
        <v>275</v>
      </c>
      <c r="C210" s="90"/>
      <c r="D210" s="90"/>
      <c r="E210" s="91" t="s">
        <v>336</v>
      </c>
      <c r="F210" s="91"/>
      <c r="G210" s="91"/>
      <c r="H210" s="91"/>
      <c r="I210" s="91"/>
      <c r="J210" s="91"/>
      <c r="K210" s="91"/>
      <c r="L210" s="91"/>
      <c r="M210" s="91"/>
      <c r="N210" s="91"/>
      <c r="O210" s="91"/>
    </row>
    <row r="211" customFormat="false" ht="35.25" hidden="false" customHeight="true" outlineLevel="0" collapsed="false">
      <c r="B211" s="90" t="s">
        <v>277</v>
      </c>
      <c r="C211" s="90"/>
      <c r="D211" s="90"/>
      <c r="E211" s="91" t="s">
        <v>337</v>
      </c>
      <c r="F211" s="91"/>
      <c r="G211" s="91"/>
      <c r="H211" s="91"/>
      <c r="I211" s="91"/>
      <c r="J211" s="91"/>
      <c r="K211" s="91"/>
      <c r="L211" s="91"/>
      <c r="M211" s="91"/>
      <c r="N211" s="91"/>
      <c r="O211" s="91"/>
    </row>
    <row r="212" customFormat="false" ht="35.25" hidden="false" customHeight="true" outlineLevel="0" collapsed="false">
      <c r="B212" s="90" t="s">
        <v>279</v>
      </c>
      <c r="C212" s="90"/>
      <c r="D212" s="90"/>
      <c r="E212" s="91" t="s">
        <v>338</v>
      </c>
      <c r="F212" s="91"/>
      <c r="G212" s="91"/>
      <c r="H212" s="91"/>
      <c r="I212" s="91"/>
      <c r="J212" s="91"/>
      <c r="K212" s="91"/>
      <c r="L212" s="91"/>
      <c r="M212" s="91"/>
      <c r="N212" s="91"/>
      <c r="O212" s="91"/>
    </row>
    <row r="213" customFormat="false" ht="35.25" hidden="false" customHeight="true" outlineLevel="0" collapsed="false">
      <c r="B213" s="90" t="s">
        <v>281</v>
      </c>
      <c r="C213" s="90"/>
      <c r="D213" s="90"/>
      <c r="E213" s="91" t="s">
        <v>339</v>
      </c>
      <c r="F213" s="91"/>
      <c r="G213" s="91"/>
      <c r="H213" s="91"/>
      <c r="I213" s="91"/>
      <c r="J213" s="91"/>
      <c r="K213" s="91"/>
      <c r="L213" s="91"/>
      <c r="M213" s="91"/>
      <c r="N213" s="91"/>
      <c r="O213" s="91"/>
    </row>
    <row r="214" customFormat="false" ht="35.25" hidden="false" customHeight="true" outlineLevel="0" collapsed="false">
      <c r="B214" s="90" t="s">
        <v>283</v>
      </c>
      <c r="C214" s="90"/>
      <c r="D214" s="90"/>
      <c r="E214" s="91" t="s">
        <v>340</v>
      </c>
      <c r="F214" s="91"/>
      <c r="G214" s="91"/>
      <c r="H214" s="91"/>
      <c r="I214" s="91"/>
      <c r="J214" s="91"/>
      <c r="K214" s="91"/>
      <c r="L214" s="91"/>
      <c r="M214" s="91"/>
      <c r="N214" s="91"/>
      <c r="O214" s="91"/>
    </row>
    <row r="215" customFormat="false" ht="35.25" hidden="false" customHeight="true" outlineLevel="0" collapsed="false">
      <c r="B215" s="90" t="s">
        <v>285</v>
      </c>
      <c r="C215" s="90"/>
      <c r="D215" s="90"/>
      <c r="E215" s="91" t="s">
        <v>341</v>
      </c>
      <c r="F215" s="91"/>
      <c r="G215" s="91"/>
      <c r="H215" s="91"/>
      <c r="I215" s="91"/>
      <c r="J215" s="91"/>
      <c r="K215" s="91"/>
      <c r="L215" s="91"/>
      <c r="M215" s="91"/>
      <c r="N215" s="91"/>
      <c r="O215" s="91"/>
    </row>
    <row r="216" customFormat="false" ht="35.25" hidden="false" customHeight="true" outlineLevel="0" collapsed="false">
      <c r="B216" s="90" t="s">
        <v>287</v>
      </c>
      <c r="C216" s="90"/>
      <c r="D216" s="90"/>
      <c r="E216" s="91" t="s">
        <v>342</v>
      </c>
      <c r="F216" s="91"/>
      <c r="G216" s="91"/>
      <c r="H216" s="91"/>
      <c r="I216" s="91"/>
      <c r="J216" s="91"/>
      <c r="K216" s="91"/>
      <c r="L216" s="91"/>
      <c r="M216" s="91"/>
      <c r="N216" s="91"/>
      <c r="O216" s="91"/>
    </row>
    <row r="217" customFormat="false" ht="35.25" hidden="false" customHeight="true" outlineLevel="0" collapsed="false">
      <c r="B217" s="90" t="s">
        <v>289</v>
      </c>
      <c r="C217" s="90"/>
      <c r="D217" s="90"/>
      <c r="E217" s="91" t="s">
        <v>343</v>
      </c>
      <c r="F217" s="91"/>
      <c r="G217" s="91"/>
      <c r="H217" s="91"/>
      <c r="I217" s="91"/>
      <c r="J217" s="91"/>
      <c r="K217" s="91"/>
      <c r="L217" s="91"/>
      <c r="M217" s="91"/>
      <c r="N217" s="91"/>
      <c r="O217" s="91"/>
    </row>
    <row r="218" customFormat="false" ht="35.25" hidden="false" customHeight="true" outlineLevel="0" collapsed="false">
      <c r="B218" s="90" t="s">
        <v>291</v>
      </c>
      <c r="C218" s="90"/>
      <c r="D218" s="90"/>
      <c r="E218" s="91" t="s">
        <v>344</v>
      </c>
      <c r="F218" s="91"/>
      <c r="G218" s="91"/>
      <c r="H218" s="91"/>
      <c r="I218" s="91"/>
      <c r="J218" s="91"/>
      <c r="K218" s="91"/>
      <c r="L218" s="91"/>
      <c r="M218" s="91"/>
      <c r="N218" s="91"/>
      <c r="O218" s="91"/>
    </row>
    <row r="219" customFormat="false" ht="35.25" hidden="false" customHeight="true" outlineLevel="0" collapsed="false">
      <c r="B219" s="90" t="s">
        <v>293</v>
      </c>
      <c r="C219" s="90"/>
      <c r="D219" s="90"/>
      <c r="E219" s="91" t="s">
        <v>345</v>
      </c>
      <c r="F219" s="91"/>
      <c r="G219" s="91"/>
      <c r="H219" s="91"/>
      <c r="I219" s="91"/>
      <c r="J219" s="91"/>
      <c r="K219" s="91"/>
      <c r="L219" s="91"/>
      <c r="M219" s="91"/>
      <c r="N219" s="91"/>
      <c r="O219" s="91"/>
    </row>
    <row r="220" customFormat="false" ht="11.25" hidden="false" customHeight="true" outlineLevel="0" collapsed="false">
      <c r="B220" s="15" t="s">
        <v>295</v>
      </c>
      <c r="C220" s="15"/>
      <c r="D220" s="15"/>
      <c r="E220" s="15"/>
      <c r="F220" s="15"/>
      <c r="G220" s="15"/>
      <c r="H220" s="15"/>
      <c r="I220" s="15"/>
      <c r="J220" s="15"/>
      <c r="K220" s="15"/>
      <c r="L220" s="16" t="s">
        <v>40</v>
      </c>
      <c r="M220" s="16"/>
      <c r="N220" s="16"/>
      <c r="O220" s="16"/>
    </row>
    <row r="221" customFormat="false" ht="3" hidden="false" customHeight="true" outlineLevel="0" collapsed="false"/>
    <row r="222" customFormat="false" ht="27.75" hidden="false" customHeight="true" outlineLevel="0" collapsed="false">
      <c r="B222" s="57" t="s">
        <v>259</v>
      </c>
      <c r="C222" s="57"/>
      <c r="D222" s="57"/>
      <c r="E222" s="57"/>
      <c r="F222" s="69" t="str">
        <f aca="false">IF('Project Register'!$D15="","",'Project Register'!$C15)</f>
        <v>CIP-007</v>
      </c>
      <c r="G222" s="69"/>
      <c r="H222" s="70" t="str">
        <f aca="false">IF('Project Register'!$D15="","",'Project Register'!$D15)</f>
        <v>Fleet replacement program - heavy plant</v>
      </c>
      <c r="I222" s="70"/>
      <c r="J222" s="70"/>
      <c r="K222" s="70"/>
      <c r="L222" s="70"/>
      <c r="M222" s="70"/>
      <c r="N222" s="70"/>
      <c r="O222" s="70"/>
      <c r="R222" s="71" t="str">
        <f aca="false">IF('Project Register'!$D15="","",'Project Register'!$C15)</f>
        <v>CIP-007</v>
      </c>
      <c r="S222" s="72" t="n">
        <f aca="false">COUNTIF($E$246:$E$255,"?*")</f>
        <v>10</v>
      </c>
    </row>
    <row r="223" customFormat="false" ht="24.75" hidden="false" customHeight="true" outlineLevel="0" collapsed="false">
      <c r="B223" s="73" t="str">
        <f aca="false">IF('Project Register'!$D15="","No project on register row 7. Fill that row in on the Project Register and this block writes its own heading.",'Project Register'!$E15)</f>
        <v>Replace graders, trucks and loaders at the end of economic life, on the fleet replacement schedule.</v>
      </c>
      <c r="C223" s="73"/>
      <c r="D223" s="73"/>
      <c r="E223" s="73"/>
      <c r="F223" s="73"/>
      <c r="G223" s="73"/>
      <c r="H223" s="73"/>
      <c r="I223" s="73"/>
      <c r="J223" s="73"/>
      <c r="K223" s="73"/>
      <c r="L223" s="73"/>
      <c r="M223" s="73"/>
      <c r="N223" s="73"/>
      <c r="O223" s="73"/>
    </row>
    <row r="224" customFormat="false" ht="13.5" hidden="false" customHeight="true" outlineLevel="0" collapsed="false">
      <c r="B224" s="74" t="s">
        <v>130</v>
      </c>
      <c r="C224" s="74"/>
      <c r="D224" s="74"/>
      <c r="E224" s="75" t="str">
        <f aca="false">IF('Project Register'!$D15="","",'Project Register'!$F15)</f>
        <v>Fleet and plant</v>
      </c>
      <c r="F224" s="75"/>
      <c r="G224" s="75"/>
      <c r="H224" s="75"/>
      <c r="I224" s="74" t="s">
        <v>131</v>
      </c>
      <c r="J224" s="74"/>
      <c r="K224" s="74"/>
      <c r="L224" s="75" t="str">
        <f aca="false">IF('Project Register'!$D15="","",'Project Register'!$G15)</f>
        <v>Vehicle and plant</v>
      </c>
      <c r="M224" s="75"/>
      <c r="N224" s="75"/>
      <c r="O224" s="75"/>
    </row>
    <row r="225" customFormat="false" ht="13.5" hidden="false" customHeight="true" outlineLevel="0" collapsed="false">
      <c r="B225" s="74" t="s">
        <v>132</v>
      </c>
      <c r="C225" s="74"/>
      <c r="D225" s="74"/>
      <c r="E225" s="75" t="str">
        <f aca="false">IF('Project Register'!$D15="","",'Project Register'!$H15)</f>
        <v>Fleet operations</v>
      </c>
      <c r="F225" s="75"/>
      <c r="G225" s="75"/>
      <c r="H225" s="75"/>
      <c r="I225" s="74" t="s">
        <v>135</v>
      </c>
      <c r="J225" s="74"/>
      <c r="K225" s="74"/>
      <c r="L225" s="75" t="str">
        <f aca="false">IF('Project Register'!$D15="","",'Project Register'!$K15)</f>
        <v>R. Castillo</v>
      </c>
      <c r="M225" s="75"/>
      <c r="N225" s="75"/>
      <c r="O225" s="75"/>
    </row>
    <row r="226" customFormat="false" ht="13.5" hidden="false" customHeight="true" outlineLevel="0" collapsed="false">
      <c r="B226" s="74" t="s">
        <v>260</v>
      </c>
      <c r="C226" s="74"/>
      <c r="D226" s="74"/>
      <c r="E226" s="75" t="str">
        <f aca="false">IF('Project Register'!$D15="","",'Project Register'!$I15)</f>
        <v>Renewal</v>
      </c>
      <c r="F226" s="75"/>
      <c r="G226" s="75"/>
      <c r="H226" s="75"/>
      <c r="I226" s="74" t="s">
        <v>134</v>
      </c>
      <c r="J226" s="74"/>
      <c r="K226" s="74"/>
      <c r="L226" s="75" t="str">
        <f aca="false">IF('Project Register'!$D15="","",'Project Register'!$J15)</f>
        <v>Approved</v>
      </c>
      <c r="M226" s="75"/>
      <c r="N226" s="75"/>
      <c r="O226" s="75"/>
    </row>
    <row r="227" customFormat="false" ht="2.25" hidden="false" customHeight="true" outlineLevel="0" collapsed="false"/>
    <row r="228" customFormat="false" ht="15.75" hidden="false" customHeight="true" outlineLevel="0" collapsed="false">
      <c r="B228" s="76" t="s">
        <v>117</v>
      </c>
      <c r="C228" s="76"/>
      <c r="D228" s="76"/>
      <c r="E228" s="76"/>
      <c r="F228" s="76"/>
      <c r="G228" s="76"/>
      <c r="H228" s="76"/>
      <c r="I228" s="76"/>
      <c r="J228" s="76"/>
      <c r="K228" s="76"/>
      <c r="L228" s="76"/>
      <c r="M228" s="76"/>
      <c r="N228" s="76"/>
      <c r="O228" s="76"/>
    </row>
    <row r="229" customFormat="false" ht="17.25" hidden="false" customHeight="true" outlineLevel="0" collapsed="false">
      <c r="B229" s="74" t="s">
        <v>136</v>
      </c>
      <c r="C229" s="74"/>
      <c r="D229" s="74"/>
      <c r="E229" s="74"/>
      <c r="F229" s="77" t="n">
        <f aca="false">IF('Project Register'!$D15="","",'Project Register'!$L15)</f>
        <v>11000000</v>
      </c>
      <c r="G229" s="77"/>
      <c r="H229" s="77"/>
      <c r="I229" s="74" t="s">
        <v>137</v>
      </c>
      <c r="J229" s="74"/>
      <c r="K229" s="74"/>
      <c r="L229" s="74"/>
      <c r="M229" s="77" t="n">
        <f aca="false">IF('Project Register'!$D15="","",'Project Register'!$M15)</f>
        <v>0</v>
      </c>
      <c r="N229" s="77"/>
      <c r="O229" s="77"/>
    </row>
    <row r="230" customFormat="false" ht="13.5" hidden="false" customHeight="true" outlineLevel="0" collapsed="false">
      <c r="B230" s="74" t="s">
        <v>261</v>
      </c>
      <c r="C230" s="74"/>
      <c r="D230" s="74"/>
      <c r="E230" s="74"/>
      <c r="F230" s="78" t="n">
        <f aca="false">IF('Project Register'!$D15="","",'Project Register'!$N15)</f>
        <v>11000000</v>
      </c>
      <c r="G230" s="78"/>
      <c r="H230" s="78"/>
      <c r="I230" s="74" t="s">
        <v>262</v>
      </c>
      <c r="J230" s="74"/>
      <c r="K230" s="74"/>
      <c r="L230" s="74"/>
      <c r="M230" s="79" t="n">
        <f aca="false">IF('Project Register'!$D15="","",'Project Register'!$AD15)</f>
        <v>11853052.1890625</v>
      </c>
      <c r="N230" s="79"/>
      <c r="O230" s="79"/>
    </row>
    <row r="231" customFormat="false" ht="13.5" hidden="false" customHeight="true" outlineLevel="0" collapsed="false">
      <c r="B231" s="74" t="s">
        <v>263</v>
      </c>
      <c r="C231" s="74"/>
      <c r="D231" s="74"/>
      <c r="E231" s="74"/>
      <c r="F231" s="78" t="n">
        <f aca="false">IF('Project Register'!$D15="","",'Project Register'!$AC15)</f>
        <v>0</v>
      </c>
      <c r="G231" s="78"/>
      <c r="H231" s="78"/>
      <c r="I231" s="74" t="s">
        <v>264</v>
      </c>
      <c r="J231" s="74"/>
      <c r="K231" s="74"/>
      <c r="L231" s="74"/>
      <c r="M231" s="78" t="n">
        <f aca="false">IF('Project Register'!$D15="","",'Project Register'!$AE15)</f>
        <v>11853052.1890625</v>
      </c>
      <c r="N231" s="78"/>
      <c r="O231" s="78"/>
    </row>
    <row r="232" customFormat="false" ht="13.5" hidden="false" customHeight="true" outlineLevel="0" collapsed="false">
      <c r="B232" s="80" t="s">
        <v>265</v>
      </c>
      <c r="C232" s="80"/>
      <c r="D232" s="81" t="str">
        <f aca="false">Setup!$C$23</f>
        <v>FY2027</v>
      </c>
      <c r="E232" s="81"/>
      <c r="F232" s="81" t="str">
        <f aca="false">Setup!$D$23</f>
        <v>FY2028</v>
      </c>
      <c r="G232" s="81"/>
      <c r="H232" s="81" t="str">
        <f aca="false">Setup!$E$23</f>
        <v>FY2029</v>
      </c>
      <c r="I232" s="81"/>
      <c r="J232" s="81" t="str">
        <f aca="false">Setup!$F$23</f>
        <v>FY2030</v>
      </c>
      <c r="K232" s="81"/>
      <c r="L232" s="81" t="str">
        <f aca="false">Setup!$G$23</f>
        <v>FY2031</v>
      </c>
      <c r="M232" s="81"/>
      <c r="N232" s="81" t="str">
        <f aca="false">Setup!$H$23</f>
        <v>Beyond FY2031</v>
      </c>
      <c r="O232" s="81"/>
    </row>
    <row r="233" customFormat="false" ht="13.5" hidden="false" customHeight="true" outlineLevel="0" collapsed="false">
      <c r="B233" s="82" t="s">
        <v>266</v>
      </c>
      <c r="C233" s="82"/>
      <c r="D233" s="78" t="n">
        <f aca="false">IF('Project Register'!$D15="","",'Project Register'!$O15)</f>
        <v>2000000</v>
      </c>
      <c r="E233" s="78"/>
      <c r="F233" s="78" t="n">
        <f aca="false">IF('Project Register'!$D15="","",'Project Register'!$P15)</f>
        <v>2000000</v>
      </c>
      <c r="G233" s="78"/>
      <c r="H233" s="78" t="n">
        <f aca="false">IF('Project Register'!$D15="","",'Project Register'!$Q15)</f>
        <v>2000000</v>
      </c>
      <c r="I233" s="78"/>
      <c r="J233" s="78" t="n">
        <f aca="false">IF('Project Register'!$D15="","",'Project Register'!$R15)</f>
        <v>2500000</v>
      </c>
      <c r="K233" s="78"/>
      <c r="L233" s="78" t="n">
        <f aca="false">IF('Project Register'!$D15="","",'Project Register'!$S15)</f>
        <v>2500000</v>
      </c>
      <c r="M233" s="78"/>
      <c r="N233" s="78" t="n">
        <f aca="false">IF('Project Register'!$D15="","",'Project Register'!$T15)</f>
        <v>0</v>
      </c>
      <c r="O233" s="78"/>
    </row>
    <row r="234" customFormat="false" ht="13.5" hidden="false" customHeight="true" outlineLevel="0" collapsed="false">
      <c r="B234" s="82" t="s">
        <v>267</v>
      </c>
      <c r="C234" s="82"/>
      <c r="D234" s="79" t="n">
        <f aca="false">IF('Project Register'!$D15="","",'Project Register'!$X15)</f>
        <v>2000000</v>
      </c>
      <c r="E234" s="79"/>
      <c r="F234" s="79" t="n">
        <f aca="false">IF('Project Register'!$D15="","",'Project Register'!$Y15)</f>
        <v>2070000</v>
      </c>
      <c r="G234" s="79"/>
      <c r="H234" s="79" t="n">
        <f aca="false">IF('Project Register'!$D15="","",'Project Register'!$Z15)</f>
        <v>2142450</v>
      </c>
      <c r="I234" s="79"/>
      <c r="J234" s="79" t="n">
        <f aca="false">IF('Project Register'!$D15="","",'Project Register'!$AA15)</f>
        <v>2771794.6875</v>
      </c>
      <c r="K234" s="79"/>
      <c r="L234" s="79" t="n">
        <f aca="false">IF('Project Register'!$D15="","",'Project Register'!$AB15)</f>
        <v>2868807.5015625</v>
      </c>
      <c r="M234" s="79"/>
      <c r="N234" s="79" t="n">
        <f aca="false">IF('Project Register'!$D15="","",'Project Register'!$AC15)</f>
        <v>0</v>
      </c>
      <c r="O234" s="79"/>
    </row>
    <row r="235" customFormat="false" ht="2.25" hidden="false" customHeight="true" outlineLevel="0" collapsed="false"/>
    <row r="236" customFormat="false" ht="15.75" hidden="false" customHeight="true" outlineLevel="0" collapsed="false">
      <c r="B236" s="76" t="s">
        <v>268</v>
      </c>
      <c r="C236" s="76"/>
      <c r="D236" s="76"/>
      <c r="E236" s="76"/>
      <c r="F236" s="76"/>
      <c r="G236" s="76"/>
      <c r="H236" s="76"/>
      <c r="I236" s="76"/>
      <c r="J236" s="76"/>
      <c r="K236" s="76"/>
      <c r="L236" s="76"/>
      <c r="M236" s="76"/>
      <c r="N236" s="76"/>
      <c r="O236" s="76"/>
    </row>
    <row r="237" customFormat="false" ht="13.5" hidden="false" customHeight="true" outlineLevel="0" collapsed="false">
      <c r="B237" s="80" t="s">
        <v>269</v>
      </c>
      <c r="C237" s="80"/>
      <c r="D237" s="80"/>
      <c r="E237" s="80"/>
      <c r="F237" s="80"/>
      <c r="G237" s="80"/>
      <c r="H237" s="29" t="s">
        <v>145</v>
      </c>
      <c r="I237" s="29"/>
      <c r="J237" s="29"/>
      <c r="K237" s="83" t="s">
        <v>270</v>
      </c>
      <c r="L237" s="83"/>
      <c r="M237" s="83"/>
      <c r="N237" s="83"/>
      <c r="O237" s="83"/>
    </row>
    <row r="238" customFormat="false" ht="13.5" hidden="false" customHeight="true" outlineLevel="0" collapsed="false">
      <c r="B238" s="75" t="str">
        <f aca="false">IF('Project Register'!$D15="","",IF('Project Register'!$AF15="","-",'Project Register'!$AF15))</f>
        <v>Reserves</v>
      </c>
      <c r="C238" s="75"/>
      <c r="D238" s="75"/>
      <c r="E238" s="75"/>
      <c r="F238" s="75"/>
      <c r="G238" s="75"/>
      <c r="H238" s="84" t="n">
        <f aca="false">IF('Project Register'!$D15="","",'Project Register'!$AG15)</f>
        <v>1</v>
      </c>
      <c r="I238" s="84"/>
      <c r="J238" s="84"/>
      <c r="K238" s="78" t="n">
        <f aca="false">IF('Project Register'!$D15="","",'Project Register'!$AD15*'Project Register'!$AG15)</f>
        <v>11853052.1890625</v>
      </c>
      <c r="L238" s="78"/>
      <c r="M238" s="78"/>
      <c r="N238" s="78"/>
      <c r="O238" s="78"/>
    </row>
    <row r="239" customFormat="false" ht="13.5" hidden="false" customHeight="true" outlineLevel="0" collapsed="false">
      <c r="B239" s="75" t="str">
        <f aca="false">IF('Project Register'!$D15="","",IF('Project Register'!$AH15="","-",'Project Register'!$AH15))</f>
        <v>-</v>
      </c>
      <c r="C239" s="75"/>
      <c r="D239" s="75"/>
      <c r="E239" s="75"/>
      <c r="F239" s="75"/>
      <c r="G239" s="75"/>
      <c r="H239" s="84" t="n">
        <f aca="false">IF('Project Register'!$D15="","",'Project Register'!$AI15)</f>
        <v>0</v>
      </c>
      <c r="I239" s="84"/>
      <c r="J239" s="84"/>
      <c r="K239" s="78" t="n">
        <f aca="false">IF('Project Register'!$D15="","",'Project Register'!$AD15*'Project Register'!$AI15)</f>
        <v>0</v>
      </c>
      <c r="L239" s="78"/>
      <c r="M239" s="78"/>
      <c r="N239" s="78"/>
      <c r="O239" s="78"/>
    </row>
    <row r="240" customFormat="false" ht="13.5" hidden="false" customHeight="true" outlineLevel="0" collapsed="false">
      <c r="B240" s="85" t="s">
        <v>271</v>
      </c>
      <c r="C240" s="85"/>
      <c r="D240" s="85"/>
      <c r="E240" s="85"/>
      <c r="F240" s="85"/>
      <c r="G240" s="85"/>
      <c r="H240" s="86" t="n">
        <f aca="false">IF('Project Register'!$D15="","",'Project Register'!$AJ15)</f>
        <v>0</v>
      </c>
      <c r="I240" s="86"/>
      <c r="J240" s="86"/>
      <c r="K240" s="79" t="n">
        <f aca="false">IF('Project Register'!$D15="","",'Project Register'!$AL15)</f>
        <v>0</v>
      </c>
      <c r="L240" s="79"/>
      <c r="M240" s="79"/>
      <c r="N240" s="79"/>
      <c r="O240" s="79"/>
    </row>
    <row r="241" customFormat="false" ht="2.25" hidden="false" customHeight="true" outlineLevel="0" collapsed="false"/>
    <row r="242" customFormat="false" ht="15.75" hidden="false" customHeight="true" outlineLevel="0" collapsed="false">
      <c r="B242" s="76" t="s">
        <v>272</v>
      </c>
      <c r="C242" s="76"/>
      <c r="D242" s="76"/>
      <c r="E242" s="76"/>
      <c r="F242" s="76"/>
      <c r="G242" s="76"/>
      <c r="H242" s="76"/>
      <c r="I242" s="76"/>
      <c r="J242" s="76"/>
      <c r="K242" s="76"/>
      <c r="L242" s="76"/>
      <c r="M242" s="76"/>
      <c r="N242" s="76"/>
      <c r="O242" s="76"/>
    </row>
    <row r="243" customFormat="false" ht="17.25" hidden="false" customHeight="true" outlineLevel="0" collapsed="false">
      <c r="B243" s="74" t="s">
        <v>243</v>
      </c>
      <c r="C243" s="74"/>
      <c r="D243" s="87" t="n">
        <f aca="false">IF('Project Register'!$D15="","",Prioritisation!$O15)</f>
        <v>3.59</v>
      </c>
      <c r="E243" s="87"/>
      <c r="F243" s="74" t="s">
        <v>273</v>
      </c>
      <c r="G243" s="74"/>
      <c r="H243" s="74"/>
      <c r="I243" s="88" t="str">
        <f aca="false">IF('Project Register'!$D15="","",TEXT(Prioritisation!$P15,"0")&amp;" of "&amp;TEXT(COUNTIF('Project Register'!$C$9:$C$38,"?*"),"0"))</f>
        <v>8 of 15</v>
      </c>
      <c r="J243" s="88"/>
      <c r="K243" s="82" t="s">
        <v>245</v>
      </c>
      <c r="L243" s="82"/>
      <c r="M243" s="89" t="str">
        <f aca="false">IF('Project Register'!$D15="","",Prioritisation!$Q15)</f>
        <v>High</v>
      </c>
      <c r="N243" s="89"/>
      <c r="O243" s="89"/>
    </row>
    <row r="244" customFormat="false" ht="2.25" hidden="false" customHeight="true" outlineLevel="0" collapsed="false"/>
    <row r="245" customFormat="false" ht="15.75" hidden="false" customHeight="true" outlineLevel="0" collapsed="false">
      <c r="B245" s="76" t="s">
        <v>274</v>
      </c>
      <c r="C245" s="76"/>
      <c r="D245" s="76"/>
      <c r="E245" s="76"/>
      <c r="F245" s="76"/>
      <c r="G245" s="76"/>
      <c r="H245" s="76"/>
      <c r="I245" s="76"/>
      <c r="J245" s="76"/>
      <c r="K245" s="76"/>
      <c r="L245" s="76"/>
      <c r="M245" s="76"/>
      <c r="N245" s="76"/>
      <c r="O245" s="76"/>
    </row>
    <row r="246" customFormat="false" ht="35.25" hidden="false" customHeight="true" outlineLevel="0" collapsed="false">
      <c r="B246" s="90" t="s">
        <v>275</v>
      </c>
      <c r="C246" s="90"/>
      <c r="D246" s="90"/>
      <c r="E246" s="91" t="s">
        <v>346</v>
      </c>
      <c r="F246" s="91"/>
      <c r="G246" s="91"/>
      <c r="H246" s="91"/>
      <c r="I246" s="91"/>
      <c r="J246" s="91"/>
      <c r="K246" s="91"/>
      <c r="L246" s="91"/>
      <c r="M246" s="91"/>
      <c r="N246" s="91"/>
      <c r="O246" s="91"/>
    </row>
    <row r="247" customFormat="false" ht="35.25" hidden="false" customHeight="true" outlineLevel="0" collapsed="false">
      <c r="B247" s="90" t="s">
        <v>277</v>
      </c>
      <c r="C247" s="90"/>
      <c r="D247" s="90"/>
      <c r="E247" s="91" t="s">
        <v>347</v>
      </c>
      <c r="F247" s="91"/>
      <c r="G247" s="91"/>
      <c r="H247" s="91"/>
      <c r="I247" s="91"/>
      <c r="J247" s="91"/>
      <c r="K247" s="91"/>
      <c r="L247" s="91"/>
      <c r="M247" s="91"/>
      <c r="N247" s="91"/>
      <c r="O247" s="91"/>
    </row>
    <row r="248" customFormat="false" ht="35.25" hidden="false" customHeight="true" outlineLevel="0" collapsed="false">
      <c r="B248" s="90" t="s">
        <v>279</v>
      </c>
      <c r="C248" s="90"/>
      <c r="D248" s="90"/>
      <c r="E248" s="91" t="s">
        <v>348</v>
      </c>
      <c r="F248" s="91"/>
      <c r="G248" s="91"/>
      <c r="H248" s="91"/>
      <c r="I248" s="91"/>
      <c r="J248" s="91"/>
      <c r="K248" s="91"/>
      <c r="L248" s="91"/>
      <c r="M248" s="91"/>
      <c r="N248" s="91"/>
      <c r="O248" s="91"/>
    </row>
    <row r="249" customFormat="false" ht="35.25" hidden="false" customHeight="true" outlineLevel="0" collapsed="false">
      <c r="B249" s="90" t="s">
        <v>281</v>
      </c>
      <c r="C249" s="90"/>
      <c r="D249" s="90"/>
      <c r="E249" s="91" t="s">
        <v>349</v>
      </c>
      <c r="F249" s="91"/>
      <c r="G249" s="91"/>
      <c r="H249" s="91"/>
      <c r="I249" s="91"/>
      <c r="J249" s="91"/>
      <c r="K249" s="91"/>
      <c r="L249" s="91"/>
      <c r="M249" s="91"/>
      <c r="N249" s="91"/>
      <c r="O249" s="91"/>
    </row>
    <row r="250" customFormat="false" ht="35.25" hidden="false" customHeight="true" outlineLevel="0" collapsed="false">
      <c r="B250" s="90" t="s">
        <v>283</v>
      </c>
      <c r="C250" s="90"/>
      <c r="D250" s="90"/>
      <c r="E250" s="91" t="s">
        <v>350</v>
      </c>
      <c r="F250" s="91"/>
      <c r="G250" s="91"/>
      <c r="H250" s="91"/>
      <c r="I250" s="91"/>
      <c r="J250" s="91"/>
      <c r="K250" s="91"/>
      <c r="L250" s="91"/>
      <c r="M250" s="91"/>
      <c r="N250" s="91"/>
      <c r="O250" s="91"/>
    </row>
    <row r="251" customFormat="false" ht="35.25" hidden="false" customHeight="true" outlineLevel="0" collapsed="false">
      <c r="B251" s="90" t="s">
        <v>285</v>
      </c>
      <c r="C251" s="90"/>
      <c r="D251" s="90"/>
      <c r="E251" s="91" t="s">
        <v>351</v>
      </c>
      <c r="F251" s="91"/>
      <c r="G251" s="91"/>
      <c r="H251" s="91"/>
      <c r="I251" s="91"/>
      <c r="J251" s="91"/>
      <c r="K251" s="91"/>
      <c r="L251" s="91"/>
      <c r="M251" s="91"/>
      <c r="N251" s="91"/>
      <c r="O251" s="91"/>
    </row>
    <row r="252" customFormat="false" ht="35.25" hidden="false" customHeight="true" outlineLevel="0" collapsed="false">
      <c r="B252" s="90" t="s">
        <v>287</v>
      </c>
      <c r="C252" s="90"/>
      <c r="D252" s="90"/>
      <c r="E252" s="91" t="s">
        <v>352</v>
      </c>
      <c r="F252" s="91"/>
      <c r="G252" s="91"/>
      <c r="H252" s="91"/>
      <c r="I252" s="91"/>
      <c r="J252" s="91"/>
      <c r="K252" s="91"/>
      <c r="L252" s="91"/>
      <c r="M252" s="91"/>
      <c r="N252" s="91"/>
      <c r="O252" s="91"/>
    </row>
    <row r="253" customFormat="false" ht="35.25" hidden="false" customHeight="true" outlineLevel="0" collapsed="false">
      <c r="B253" s="90" t="s">
        <v>289</v>
      </c>
      <c r="C253" s="90"/>
      <c r="D253" s="90"/>
      <c r="E253" s="91" t="s">
        <v>353</v>
      </c>
      <c r="F253" s="91"/>
      <c r="G253" s="91"/>
      <c r="H253" s="91"/>
      <c r="I253" s="91"/>
      <c r="J253" s="91"/>
      <c r="K253" s="91"/>
      <c r="L253" s="91"/>
      <c r="M253" s="91"/>
      <c r="N253" s="91"/>
      <c r="O253" s="91"/>
    </row>
    <row r="254" customFormat="false" ht="35.25" hidden="false" customHeight="true" outlineLevel="0" collapsed="false">
      <c r="B254" s="90" t="s">
        <v>291</v>
      </c>
      <c r="C254" s="90"/>
      <c r="D254" s="90"/>
      <c r="E254" s="91" t="s">
        <v>354</v>
      </c>
      <c r="F254" s="91"/>
      <c r="G254" s="91"/>
      <c r="H254" s="91"/>
      <c r="I254" s="91"/>
      <c r="J254" s="91"/>
      <c r="K254" s="91"/>
      <c r="L254" s="91"/>
      <c r="M254" s="91"/>
      <c r="N254" s="91"/>
      <c r="O254" s="91"/>
    </row>
    <row r="255" customFormat="false" ht="35.25" hidden="false" customHeight="true" outlineLevel="0" collapsed="false">
      <c r="B255" s="90" t="s">
        <v>293</v>
      </c>
      <c r="C255" s="90"/>
      <c r="D255" s="90"/>
      <c r="E255" s="91" t="s">
        <v>355</v>
      </c>
      <c r="F255" s="91"/>
      <c r="G255" s="91"/>
      <c r="H255" s="91"/>
      <c r="I255" s="91"/>
      <c r="J255" s="91"/>
      <c r="K255" s="91"/>
      <c r="L255" s="91"/>
      <c r="M255" s="91"/>
      <c r="N255" s="91"/>
      <c r="O255" s="91"/>
    </row>
    <row r="256" customFormat="false" ht="11.25" hidden="false" customHeight="true" outlineLevel="0" collapsed="false">
      <c r="B256" s="15" t="s">
        <v>295</v>
      </c>
      <c r="C256" s="15"/>
      <c r="D256" s="15"/>
      <c r="E256" s="15"/>
      <c r="F256" s="15"/>
      <c r="G256" s="15"/>
      <c r="H256" s="15"/>
      <c r="I256" s="15"/>
      <c r="J256" s="15"/>
      <c r="K256" s="15"/>
      <c r="L256" s="16" t="s">
        <v>40</v>
      </c>
      <c r="M256" s="16"/>
      <c r="N256" s="16"/>
      <c r="O256" s="16"/>
    </row>
    <row r="257" customFormat="false" ht="3" hidden="false" customHeight="true" outlineLevel="0" collapsed="false"/>
    <row r="258" customFormat="false" ht="27.75" hidden="false" customHeight="true" outlineLevel="0" collapsed="false">
      <c r="B258" s="57" t="s">
        <v>259</v>
      </c>
      <c r="C258" s="57"/>
      <c r="D258" s="57"/>
      <c r="E258" s="57"/>
      <c r="F258" s="69" t="str">
        <f aca="false">IF('Project Register'!$D16="","",'Project Register'!$C16)</f>
        <v>CIP-008</v>
      </c>
      <c r="G258" s="69"/>
      <c r="H258" s="70" t="str">
        <f aca="false">IF('Project Register'!$D16="","",'Project Register'!$D16)</f>
        <v>Core network and cyber security uplift</v>
      </c>
      <c r="I258" s="70"/>
      <c r="J258" s="70"/>
      <c r="K258" s="70"/>
      <c r="L258" s="70"/>
      <c r="M258" s="70"/>
      <c r="N258" s="70"/>
      <c r="O258" s="70"/>
      <c r="R258" s="71" t="str">
        <f aca="false">IF('Project Register'!$D16="","",'Project Register'!$C16)</f>
        <v>CIP-008</v>
      </c>
      <c r="S258" s="72" t="n">
        <f aca="false">COUNTIF($E$282:$E$291,"?*")</f>
        <v>10</v>
      </c>
    </row>
    <row r="259" customFormat="false" ht="24.75" hidden="false" customHeight="true" outlineLevel="0" collapsed="false">
      <c r="B259" s="73" t="str">
        <f aca="false">IF('Project Register'!$D16="","No project on register row 8. Fill that row in on the Project Register and this block writes its own heading.",'Project Register'!$E16)</f>
        <v>Segment the operational technology network and replace end-of-support edge hardware.</v>
      </c>
      <c r="C259" s="73"/>
      <c r="D259" s="73"/>
      <c r="E259" s="73"/>
      <c r="F259" s="73"/>
      <c r="G259" s="73"/>
      <c r="H259" s="73"/>
      <c r="I259" s="73"/>
      <c r="J259" s="73"/>
      <c r="K259" s="73"/>
      <c r="L259" s="73"/>
      <c r="M259" s="73"/>
      <c r="N259" s="73"/>
      <c r="O259" s="73"/>
    </row>
    <row r="260" customFormat="false" ht="13.5" hidden="false" customHeight="true" outlineLevel="0" collapsed="false">
      <c r="B260" s="74" t="s">
        <v>130</v>
      </c>
      <c r="C260" s="74"/>
      <c r="D260" s="74"/>
      <c r="E260" s="75" t="str">
        <f aca="false">IF('Project Register'!$D16="","",'Project Register'!$F16)</f>
        <v>Technology</v>
      </c>
      <c r="F260" s="75"/>
      <c r="G260" s="75"/>
      <c r="H260" s="75"/>
      <c r="I260" s="74" t="s">
        <v>131</v>
      </c>
      <c r="J260" s="74"/>
      <c r="K260" s="74"/>
      <c r="L260" s="75" t="str">
        <f aca="false">IF('Project Register'!$D16="","",'Project Register'!$G16)</f>
        <v>ICT system</v>
      </c>
      <c r="M260" s="75"/>
      <c r="N260" s="75"/>
      <c r="O260" s="75"/>
    </row>
    <row r="261" customFormat="false" ht="13.5" hidden="false" customHeight="true" outlineLevel="0" collapsed="false">
      <c r="B261" s="74" t="s">
        <v>132</v>
      </c>
      <c r="C261" s="74"/>
      <c r="D261" s="74"/>
      <c r="E261" s="75" t="str">
        <f aca="false">IF('Project Register'!$D16="","",'Project Register'!$H16)</f>
        <v>Technology</v>
      </c>
      <c r="F261" s="75"/>
      <c r="G261" s="75"/>
      <c r="H261" s="75"/>
      <c r="I261" s="74" t="s">
        <v>135</v>
      </c>
      <c r="J261" s="74"/>
      <c r="K261" s="74"/>
      <c r="L261" s="75" t="str">
        <f aca="false">IF('Project Register'!$D16="","",'Project Register'!$K16)</f>
        <v>P. Nkemdirim</v>
      </c>
      <c r="M261" s="75"/>
      <c r="N261" s="75"/>
      <c r="O261" s="75"/>
    </row>
    <row r="262" customFormat="false" ht="13.5" hidden="false" customHeight="true" outlineLevel="0" collapsed="false">
      <c r="B262" s="74" t="s">
        <v>260</v>
      </c>
      <c r="C262" s="74"/>
      <c r="D262" s="74"/>
      <c r="E262" s="75" t="str">
        <f aca="false">IF('Project Register'!$D16="","",'Project Register'!$I16)</f>
        <v>Compliance and safety</v>
      </c>
      <c r="F262" s="75"/>
      <c r="G262" s="75"/>
      <c r="H262" s="75"/>
      <c r="I262" s="74" t="s">
        <v>134</v>
      </c>
      <c r="J262" s="74"/>
      <c r="K262" s="74"/>
      <c r="L262" s="75" t="str">
        <f aca="false">IF('Project Register'!$D16="","",'Project Register'!$J16)</f>
        <v>Approved</v>
      </c>
      <c r="M262" s="75"/>
      <c r="N262" s="75"/>
      <c r="O262" s="75"/>
    </row>
    <row r="263" customFormat="false" ht="2.25" hidden="false" customHeight="true" outlineLevel="0" collapsed="false"/>
    <row r="264" customFormat="false" ht="15.75" hidden="false" customHeight="true" outlineLevel="0" collapsed="false">
      <c r="B264" s="76" t="s">
        <v>117</v>
      </c>
      <c r="C264" s="76"/>
      <c r="D264" s="76"/>
      <c r="E264" s="76"/>
      <c r="F264" s="76"/>
      <c r="G264" s="76"/>
      <c r="H264" s="76"/>
      <c r="I264" s="76"/>
      <c r="J264" s="76"/>
      <c r="K264" s="76"/>
      <c r="L264" s="76"/>
      <c r="M264" s="76"/>
      <c r="N264" s="76"/>
      <c r="O264" s="76"/>
    </row>
    <row r="265" customFormat="false" ht="17.25" hidden="false" customHeight="true" outlineLevel="0" collapsed="false">
      <c r="B265" s="74" t="s">
        <v>136</v>
      </c>
      <c r="C265" s="74"/>
      <c r="D265" s="74"/>
      <c r="E265" s="74"/>
      <c r="F265" s="77" t="n">
        <f aca="false">IF('Project Register'!$D16="","",'Project Register'!$L16)</f>
        <v>6200000</v>
      </c>
      <c r="G265" s="77"/>
      <c r="H265" s="77"/>
      <c r="I265" s="74" t="s">
        <v>137</v>
      </c>
      <c r="J265" s="74"/>
      <c r="K265" s="74"/>
      <c r="L265" s="74"/>
      <c r="M265" s="77" t="n">
        <f aca="false">IF('Project Register'!$D16="","",'Project Register'!$M16)</f>
        <v>200000</v>
      </c>
      <c r="N265" s="77"/>
      <c r="O265" s="77"/>
    </row>
    <row r="266" customFormat="false" ht="13.5" hidden="false" customHeight="true" outlineLevel="0" collapsed="false">
      <c r="B266" s="74" t="s">
        <v>261</v>
      </c>
      <c r="C266" s="74"/>
      <c r="D266" s="74"/>
      <c r="E266" s="74"/>
      <c r="F266" s="78" t="n">
        <f aca="false">IF('Project Register'!$D16="","",'Project Register'!$N16)</f>
        <v>6000000</v>
      </c>
      <c r="G266" s="78"/>
      <c r="H266" s="78"/>
      <c r="I266" s="74" t="s">
        <v>262</v>
      </c>
      <c r="J266" s="74"/>
      <c r="K266" s="74"/>
      <c r="L266" s="74"/>
      <c r="M266" s="79" t="n">
        <f aca="false">IF('Project Register'!$D16="","",'Project Register'!$AD16)</f>
        <v>6180337.5</v>
      </c>
      <c r="N266" s="79"/>
      <c r="O266" s="79"/>
    </row>
    <row r="267" customFormat="false" ht="13.5" hidden="false" customHeight="true" outlineLevel="0" collapsed="false">
      <c r="B267" s="74" t="s">
        <v>263</v>
      </c>
      <c r="C267" s="74"/>
      <c r="D267" s="74"/>
      <c r="E267" s="74"/>
      <c r="F267" s="78" t="n">
        <f aca="false">IF('Project Register'!$D16="","",'Project Register'!$AC16)</f>
        <v>0</v>
      </c>
      <c r="G267" s="78"/>
      <c r="H267" s="78"/>
      <c r="I267" s="74" t="s">
        <v>264</v>
      </c>
      <c r="J267" s="74"/>
      <c r="K267" s="74"/>
      <c r="L267" s="74"/>
      <c r="M267" s="78" t="n">
        <f aca="false">IF('Project Register'!$D16="","",'Project Register'!$AE16)</f>
        <v>6180337.5</v>
      </c>
      <c r="N267" s="78"/>
      <c r="O267" s="78"/>
    </row>
    <row r="268" customFormat="false" ht="13.5" hidden="false" customHeight="true" outlineLevel="0" collapsed="false">
      <c r="B268" s="80" t="s">
        <v>265</v>
      </c>
      <c r="C268" s="80"/>
      <c r="D268" s="81" t="str">
        <f aca="false">Setup!$C$23</f>
        <v>FY2027</v>
      </c>
      <c r="E268" s="81"/>
      <c r="F268" s="81" t="str">
        <f aca="false">Setup!$D$23</f>
        <v>FY2028</v>
      </c>
      <c r="G268" s="81"/>
      <c r="H268" s="81" t="str">
        <f aca="false">Setup!$E$23</f>
        <v>FY2029</v>
      </c>
      <c r="I268" s="81"/>
      <c r="J268" s="81" t="str">
        <f aca="false">Setup!$F$23</f>
        <v>FY2030</v>
      </c>
      <c r="K268" s="81"/>
      <c r="L268" s="81" t="str">
        <f aca="false">Setup!$G$23</f>
        <v>FY2031</v>
      </c>
      <c r="M268" s="81"/>
      <c r="N268" s="81" t="str">
        <f aca="false">Setup!$H$23</f>
        <v>Beyond FY2031</v>
      </c>
      <c r="O268" s="81"/>
    </row>
    <row r="269" customFormat="false" ht="13.5" hidden="false" customHeight="true" outlineLevel="0" collapsed="false">
      <c r="B269" s="82" t="s">
        <v>266</v>
      </c>
      <c r="C269" s="82"/>
      <c r="D269" s="78" t="n">
        <f aca="false">IF('Project Register'!$D16="","",'Project Register'!$O16)</f>
        <v>2400000</v>
      </c>
      <c r="E269" s="78"/>
      <c r="F269" s="78" t="n">
        <f aca="false">IF('Project Register'!$D16="","",'Project Register'!$P16)</f>
        <v>2100000</v>
      </c>
      <c r="G269" s="78"/>
      <c r="H269" s="78" t="n">
        <f aca="false">IF('Project Register'!$D16="","",'Project Register'!$Q16)</f>
        <v>1500000</v>
      </c>
      <c r="I269" s="78"/>
      <c r="J269" s="78" t="n">
        <f aca="false">IF('Project Register'!$D16="","",'Project Register'!$R16)</f>
        <v>0</v>
      </c>
      <c r="K269" s="78"/>
      <c r="L269" s="78" t="n">
        <f aca="false">IF('Project Register'!$D16="","",'Project Register'!$S16)</f>
        <v>0</v>
      </c>
      <c r="M269" s="78"/>
      <c r="N269" s="78" t="n">
        <f aca="false">IF('Project Register'!$D16="","",'Project Register'!$T16)</f>
        <v>0</v>
      </c>
      <c r="O269" s="78"/>
    </row>
    <row r="270" customFormat="false" ht="13.5" hidden="false" customHeight="true" outlineLevel="0" collapsed="false">
      <c r="B270" s="82" t="s">
        <v>267</v>
      </c>
      <c r="C270" s="82"/>
      <c r="D270" s="79" t="n">
        <f aca="false">IF('Project Register'!$D16="","",'Project Register'!$X16)</f>
        <v>2400000</v>
      </c>
      <c r="E270" s="79"/>
      <c r="F270" s="79" t="n">
        <f aca="false">IF('Project Register'!$D16="","",'Project Register'!$Y16)</f>
        <v>2173500</v>
      </c>
      <c r="G270" s="79"/>
      <c r="H270" s="79" t="n">
        <f aca="false">IF('Project Register'!$D16="","",'Project Register'!$Z16)</f>
        <v>1606837.5</v>
      </c>
      <c r="I270" s="79"/>
      <c r="J270" s="79" t="n">
        <f aca="false">IF('Project Register'!$D16="","",'Project Register'!$AA16)</f>
        <v>0</v>
      </c>
      <c r="K270" s="79"/>
      <c r="L270" s="79" t="n">
        <f aca="false">IF('Project Register'!$D16="","",'Project Register'!$AB16)</f>
        <v>0</v>
      </c>
      <c r="M270" s="79"/>
      <c r="N270" s="79" t="n">
        <f aca="false">IF('Project Register'!$D16="","",'Project Register'!$AC16)</f>
        <v>0</v>
      </c>
      <c r="O270" s="79"/>
    </row>
    <row r="271" customFormat="false" ht="2.25" hidden="false" customHeight="true" outlineLevel="0" collapsed="false"/>
    <row r="272" customFormat="false" ht="15.75" hidden="false" customHeight="true" outlineLevel="0" collapsed="false">
      <c r="B272" s="76" t="s">
        <v>268</v>
      </c>
      <c r="C272" s="76"/>
      <c r="D272" s="76"/>
      <c r="E272" s="76"/>
      <c r="F272" s="76"/>
      <c r="G272" s="76"/>
      <c r="H272" s="76"/>
      <c r="I272" s="76"/>
      <c r="J272" s="76"/>
      <c r="K272" s="76"/>
      <c r="L272" s="76"/>
      <c r="M272" s="76"/>
      <c r="N272" s="76"/>
      <c r="O272" s="76"/>
    </row>
    <row r="273" customFormat="false" ht="13.5" hidden="false" customHeight="true" outlineLevel="0" collapsed="false">
      <c r="B273" s="80" t="s">
        <v>269</v>
      </c>
      <c r="C273" s="80"/>
      <c r="D273" s="80"/>
      <c r="E273" s="80"/>
      <c r="F273" s="80"/>
      <c r="G273" s="80"/>
      <c r="H273" s="29" t="s">
        <v>145</v>
      </c>
      <c r="I273" s="29"/>
      <c r="J273" s="29"/>
      <c r="K273" s="83" t="s">
        <v>270</v>
      </c>
      <c r="L273" s="83"/>
      <c r="M273" s="83"/>
      <c r="N273" s="83"/>
      <c r="O273" s="83"/>
    </row>
    <row r="274" customFormat="false" ht="13.5" hidden="false" customHeight="true" outlineLevel="0" collapsed="false">
      <c r="B274" s="75" t="str">
        <f aca="false">IF('Project Register'!$D16="","",IF('Project Register'!$AF16="","-",'Project Register'!$AF16))</f>
        <v>Own revenue</v>
      </c>
      <c r="C274" s="75"/>
      <c r="D274" s="75"/>
      <c r="E274" s="75"/>
      <c r="F274" s="75"/>
      <c r="G274" s="75"/>
      <c r="H274" s="84" t="n">
        <f aca="false">IF('Project Register'!$D16="","",'Project Register'!$AG16)</f>
        <v>1</v>
      </c>
      <c r="I274" s="84"/>
      <c r="J274" s="84"/>
      <c r="K274" s="78" t="n">
        <f aca="false">IF('Project Register'!$D16="","",'Project Register'!$AD16*'Project Register'!$AG16)</f>
        <v>6180337.5</v>
      </c>
      <c r="L274" s="78"/>
      <c r="M274" s="78"/>
      <c r="N274" s="78"/>
      <c r="O274" s="78"/>
    </row>
    <row r="275" customFormat="false" ht="13.5" hidden="false" customHeight="true" outlineLevel="0" collapsed="false">
      <c r="B275" s="75" t="str">
        <f aca="false">IF('Project Register'!$D16="","",IF('Project Register'!$AH16="","-",'Project Register'!$AH16))</f>
        <v>-</v>
      </c>
      <c r="C275" s="75"/>
      <c r="D275" s="75"/>
      <c r="E275" s="75"/>
      <c r="F275" s="75"/>
      <c r="G275" s="75"/>
      <c r="H275" s="84" t="n">
        <f aca="false">IF('Project Register'!$D16="","",'Project Register'!$AI16)</f>
        <v>0</v>
      </c>
      <c r="I275" s="84"/>
      <c r="J275" s="84"/>
      <c r="K275" s="78" t="n">
        <f aca="false">IF('Project Register'!$D16="","",'Project Register'!$AD16*'Project Register'!$AI16)</f>
        <v>0</v>
      </c>
      <c r="L275" s="78"/>
      <c r="M275" s="78"/>
      <c r="N275" s="78"/>
      <c r="O275" s="78"/>
    </row>
    <row r="276" customFormat="false" ht="13.5" hidden="false" customHeight="true" outlineLevel="0" collapsed="false">
      <c r="B276" s="85" t="s">
        <v>271</v>
      </c>
      <c r="C276" s="85"/>
      <c r="D276" s="85"/>
      <c r="E276" s="85"/>
      <c r="F276" s="85"/>
      <c r="G276" s="85"/>
      <c r="H276" s="86" t="n">
        <f aca="false">IF('Project Register'!$D16="","",'Project Register'!$AJ16)</f>
        <v>0</v>
      </c>
      <c r="I276" s="86"/>
      <c r="J276" s="86"/>
      <c r="K276" s="79" t="n">
        <f aca="false">IF('Project Register'!$D16="","",'Project Register'!$AL16)</f>
        <v>0</v>
      </c>
      <c r="L276" s="79"/>
      <c r="M276" s="79"/>
      <c r="N276" s="79"/>
      <c r="O276" s="79"/>
    </row>
    <row r="277" customFormat="false" ht="2.25" hidden="false" customHeight="true" outlineLevel="0" collapsed="false"/>
    <row r="278" customFormat="false" ht="15.75" hidden="false" customHeight="true" outlineLevel="0" collapsed="false">
      <c r="B278" s="76" t="s">
        <v>272</v>
      </c>
      <c r="C278" s="76"/>
      <c r="D278" s="76"/>
      <c r="E278" s="76"/>
      <c r="F278" s="76"/>
      <c r="G278" s="76"/>
      <c r="H278" s="76"/>
      <c r="I278" s="76"/>
      <c r="J278" s="76"/>
      <c r="K278" s="76"/>
      <c r="L278" s="76"/>
      <c r="M278" s="76"/>
      <c r="N278" s="76"/>
      <c r="O278" s="76"/>
    </row>
    <row r="279" customFormat="false" ht="17.25" hidden="false" customHeight="true" outlineLevel="0" collapsed="false">
      <c r="B279" s="74" t="s">
        <v>243</v>
      </c>
      <c r="C279" s="74"/>
      <c r="D279" s="87" t="n">
        <f aca="false">IF('Project Register'!$D16="","",Prioritisation!$O16)</f>
        <v>4</v>
      </c>
      <c r="E279" s="87"/>
      <c r="F279" s="74" t="s">
        <v>273</v>
      </c>
      <c r="G279" s="74"/>
      <c r="H279" s="74"/>
      <c r="I279" s="88" t="str">
        <f aca="false">IF('Project Register'!$D16="","",TEXT(Prioritisation!$P16,"0")&amp;" of "&amp;TEXT(COUNTIF('Project Register'!$C$9:$C$38,"?*"),"0"))</f>
        <v>4 of 15</v>
      </c>
      <c r="J279" s="88"/>
      <c r="K279" s="82" t="s">
        <v>245</v>
      </c>
      <c r="L279" s="82"/>
      <c r="M279" s="89" t="str">
        <f aca="false">IF('Project Register'!$D16="","",Prioritisation!$Q16)</f>
        <v>High</v>
      </c>
      <c r="N279" s="89"/>
      <c r="O279" s="89"/>
    </row>
    <row r="280" customFormat="false" ht="2.25" hidden="false" customHeight="true" outlineLevel="0" collapsed="false"/>
    <row r="281" customFormat="false" ht="15.75" hidden="false" customHeight="true" outlineLevel="0" collapsed="false">
      <c r="B281" s="76" t="s">
        <v>274</v>
      </c>
      <c r="C281" s="76"/>
      <c r="D281" s="76"/>
      <c r="E281" s="76"/>
      <c r="F281" s="76"/>
      <c r="G281" s="76"/>
      <c r="H281" s="76"/>
      <c r="I281" s="76"/>
      <c r="J281" s="76"/>
      <c r="K281" s="76"/>
      <c r="L281" s="76"/>
      <c r="M281" s="76"/>
      <c r="N281" s="76"/>
      <c r="O281" s="76"/>
    </row>
    <row r="282" customFormat="false" ht="35.25" hidden="false" customHeight="true" outlineLevel="0" collapsed="false">
      <c r="B282" s="90" t="s">
        <v>275</v>
      </c>
      <c r="C282" s="90"/>
      <c r="D282" s="90"/>
      <c r="E282" s="91" t="s">
        <v>356</v>
      </c>
      <c r="F282" s="91"/>
      <c r="G282" s="91"/>
      <c r="H282" s="91"/>
      <c r="I282" s="91"/>
      <c r="J282" s="91"/>
      <c r="K282" s="91"/>
      <c r="L282" s="91"/>
      <c r="M282" s="91"/>
      <c r="N282" s="91"/>
      <c r="O282" s="91"/>
    </row>
    <row r="283" customFormat="false" ht="35.25" hidden="false" customHeight="true" outlineLevel="0" collapsed="false">
      <c r="B283" s="90" t="s">
        <v>277</v>
      </c>
      <c r="C283" s="90"/>
      <c r="D283" s="90"/>
      <c r="E283" s="91" t="s">
        <v>357</v>
      </c>
      <c r="F283" s="91"/>
      <c r="G283" s="91"/>
      <c r="H283" s="91"/>
      <c r="I283" s="91"/>
      <c r="J283" s="91"/>
      <c r="K283" s="91"/>
      <c r="L283" s="91"/>
      <c r="M283" s="91"/>
      <c r="N283" s="91"/>
      <c r="O283" s="91"/>
    </row>
    <row r="284" customFormat="false" ht="35.25" hidden="false" customHeight="true" outlineLevel="0" collapsed="false">
      <c r="B284" s="90" t="s">
        <v>279</v>
      </c>
      <c r="C284" s="90"/>
      <c r="D284" s="90"/>
      <c r="E284" s="91" t="s">
        <v>358</v>
      </c>
      <c r="F284" s="91"/>
      <c r="G284" s="91"/>
      <c r="H284" s="91"/>
      <c r="I284" s="91"/>
      <c r="J284" s="91"/>
      <c r="K284" s="91"/>
      <c r="L284" s="91"/>
      <c r="M284" s="91"/>
      <c r="N284" s="91"/>
      <c r="O284" s="91"/>
    </row>
    <row r="285" customFormat="false" ht="35.25" hidden="false" customHeight="true" outlineLevel="0" collapsed="false">
      <c r="B285" s="90" t="s">
        <v>281</v>
      </c>
      <c r="C285" s="90"/>
      <c r="D285" s="90"/>
      <c r="E285" s="91" t="s">
        <v>359</v>
      </c>
      <c r="F285" s="91"/>
      <c r="G285" s="91"/>
      <c r="H285" s="91"/>
      <c r="I285" s="91"/>
      <c r="J285" s="91"/>
      <c r="K285" s="91"/>
      <c r="L285" s="91"/>
      <c r="M285" s="91"/>
      <c r="N285" s="91"/>
      <c r="O285" s="91"/>
    </row>
    <row r="286" customFormat="false" ht="35.25" hidden="false" customHeight="true" outlineLevel="0" collapsed="false">
      <c r="B286" s="90" t="s">
        <v>283</v>
      </c>
      <c r="C286" s="90"/>
      <c r="D286" s="90"/>
      <c r="E286" s="91" t="s">
        <v>360</v>
      </c>
      <c r="F286" s="91"/>
      <c r="G286" s="91"/>
      <c r="H286" s="91"/>
      <c r="I286" s="91"/>
      <c r="J286" s="91"/>
      <c r="K286" s="91"/>
      <c r="L286" s="91"/>
      <c r="M286" s="91"/>
      <c r="N286" s="91"/>
      <c r="O286" s="91"/>
    </row>
    <row r="287" customFormat="false" ht="35.25" hidden="false" customHeight="true" outlineLevel="0" collapsed="false">
      <c r="B287" s="90" t="s">
        <v>285</v>
      </c>
      <c r="C287" s="90"/>
      <c r="D287" s="90"/>
      <c r="E287" s="91" t="s">
        <v>361</v>
      </c>
      <c r="F287" s="91"/>
      <c r="G287" s="91"/>
      <c r="H287" s="91"/>
      <c r="I287" s="91"/>
      <c r="J287" s="91"/>
      <c r="K287" s="91"/>
      <c r="L287" s="91"/>
      <c r="M287" s="91"/>
      <c r="N287" s="91"/>
      <c r="O287" s="91"/>
    </row>
    <row r="288" customFormat="false" ht="35.25" hidden="false" customHeight="true" outlineLevel="0" collapsed="false">
      <c r="B288" s="90" t="s">
        <v>287</v>
      </c>
      <c r="C288" s="90"/>
      <c r="D288" s="90"/>
      <c r="E288" s="91" t="s">
        <v>362</v>
      </c>
      <c r="F288" s="91"/>
      <c r="G288" s="91"/>
      <c r="H288" s="91"/>
      <c r="I288" s="91"/>
      <c r="J288" s="91"/>
      <c r="K288" s="91"/>
      <c r="L288" s="91"/>
      <c r="M288" s="91"/>
      <c r="N288" s="91"/>
      <c r="O288" s="91"/>
    </row>
    <row r="289" customFormat="false" ht="35.25" hidden="false" customHeight="true" outlineLevel="0" collapsed="false">
      <c r="B289" s="90" t="s">
        <v>289</v>
      </c>
      <c r="C289" s="90"/>
      <c r="D289" s="90"/>
      <c r="E289" s="91" t="s">
        <v>363</v>
      </c>
      <c r="F289" s="91"/>
      <c r="G289" s="91"/>
      <c r="H289" s="91"/>
      <c r="I289" s="91"/>
      <c r="J289" s="91"/>
      <c r="K289" s="91"/>
      <c r="L289" s="91"/>
      <c r="M289" s="91"/>
      <c r="N289" s="91"/>
      <c r="O289" s="91"/>
    </row>
    <row r="290" customFormat="false" ht="35.25" hidden="false" customHeight="true" outlineLevel="0" collapsed="false">
      <c r="B290" s="90" t="s">
        <v>291</v>
      </c>
      <c r="C290" s="90"/>
      <c r="D290" s="90"/>
      <c r="E290" s="91" t="s">
        <v>364</v>
      </c>
      <c r="F290" s="91"/>
      <c r="G290" s="91"/>
      <c r="H290" s="91"/>
      <c r="I290" s="91"/>
      <c r="J290" s="91"/>
      <c r="K290" s="91"/>
      <c r="L290" s="91"/>
      <c r="M290" s="91"/>
      <c r="N290" s="91"/>
      <c r="O290" s="91"/>
    </row>
    <row r="291" customFormat="false" ht="35.25" hidden="false" customHeight="true" outlineLevel="0" collapsed="false">
      <c r="B291" s="90" t="s">
        <v>293</v>
      </c>
      <c r="C291" s="90"/>
      <c r="D291" s="90"/>
      <c r="E291" s="91" t="s">
        <v>365</v>
      </c>
      <c r="F291" s="91"/>
      <c r="G291" s="91"/>
      <c r="H291" s="91"/>
      <c r="I291" s="91"/>
      <c r="J291" s="91"/>
      <c r="K291" s="91"/>
      <c r="L291" s="91"/>
      <c r="M291" s="91"/>
      <c r="N291" s="91"/>
      <c r="O291" s="91"/>
    </row>
    <row r="292" customFormat="false" ht="11.25" hidden="false" customHeight="true" outlineLevel="0" collapsed="false">
      <c r="B292" s="15" t="s">
        <v>295</v>
      </c>
      <c r="C292" s="15"/>
      <c r="D292" s="15"/>
      <c r="E292" s="15"/>
      <c r="F292" s="15"/>
      <c r="G292" s="15"/>
      <c r="H292" s="15"/>
      <c r="I292" s="15"/>
      <c r="J292" s="15"/>
      <c r="K292" s="15"/>
      <c r="L292" s="16" t="s">
        <v>40</v>
      </c>
      <c r="M292" s="16"/>
      <c r="N292" s="16"/>
      <c r="O292" s="16"/>
    </row>
    <row r="293" customFormat="false" ht="3" hidden="false" customHeight="true" outlineLevel="0" collapsed="false"/>
    <row r="294" customFormat="false" ht="27.75" hidden="false" customHeight="true" outlineLevel="0" collapsed="false">
      <c r="B294" s="57" t="s">
        <v>259</v>
      </c>
      <c r="C294" s="57"/>
      <c r="D294" s="57"/>
      <c r="E294" s="57"/>
      <c r="F294" s="69" t="str">
        <f aca="false">IF('Project Register'!$D17="","",'Project Register'!$C17)</f>
        <v>CIP-009</v>
      </c>
      <c r="G294" s="69"/>
      <c r="H294" s="70" t="str">
        <f aca="false">IF('Project Register'!$D17="","",'Project Register'!$D17)</f>
        <v>Civic administration building - structural and fire upgrade</v>
      </c>
      <c r="I294" s="70"/>
      <c r="J294" s="70"/>
      <c r="K294" s="70"/>
      <c r="L294" s="70"/>
      <c r="M294" s="70"/>
      <c r="N294" s="70"/>
      <c r="O294" s="70"/>
      <c r="R294" s="71" t="str">
        <f aca="false">IF('Project Register'!$D17="","",'Project Register'!$C17)</f>
        <v>CIP-009</v>
      </c>
      <c r="S294" s="72" t="n">
        <f aca="false">COUNTIF($E$318:$E$327,"?*")</f>
        <v>10</v>
      </c>
    </row>
    <row r="295" customFormat="false" ht="24.75" hidden="false" customHeight="true" outlineLevel="0" collapsed="false">
      <c r="B295" s="73" t="str">
        <f aca="false">IF('Project Register'!$D17="","No project on register row 9. Fill that row in on the Project Register and this block writes its own heading.",'Project Register'!$E17)</f>
        <v>Structural strengthening and fire system replacement. The building stays occupied through the works.</v>
      </c>
      <c r="C295" s="73"/>
      <c r="D295" s="73"/>
      <c r="E295" s="73"/>
      <c r="F295" s="73"/>
      <c r="G295" s="73"/>
      <c r="H295" s="73"/>
      <c r="I295" s="73"/>
      <c r="J295" s="73"/>
      <c r="K295" s="73"/>
      <c r="L295" s="73"/>
      <c r="M295" s="73"/>
      <c r="N295" s="73"/>
      <c r="O295" s="73"/>
    </row>
    <row r="296" customFormat="false" ht="13.5" hidden="false" customHeight="true" outlineLevel="0" collapsed="false">
      <c r="B296" s="74" t="s">
        <v>130</v>
      </c>
      <c r="C296" s="74"/>
      <c r="D296" s="74"/>
      <c r="E296" s="75" t="str">
        <f aca="false">IF('Project Register'!$D17="","",'Project Register'!$F17)</f>
        <v>Buildings</v>
      </c>
      <c r="F296" s="75"/>
      <c r="G296" s="75"/>
      <c r="H296" s="75"/>
      <c r="I296" s="74" t="s">
        <v>131</v>
      </c>
      <c r="J296" s="74"/>
      <c r="K296" s="74"/>
      <c r="L296" s="75" t="str">
        <f aca="false">IF('Project Register'!$D17="","",'Project Register'!$G17)</f>
        <v>Building - operational</v>
      </c>
      <c r="M296" s="75"/>
      <c r="N296" s="75"/>
      <c r="O296" s="75"/>
    </row>
    <row r="297" customFormat="false" ht="13.5" hidden="false" customHeight="true" outlineLevel="0" collapsed="false">
      <c r="B297" s="74" t="s">
        <v>132</v>
      </c>
      <c r="C297" s="74"/>
      <c r="D297" s="74"/>
      <c r="E297" s="75" t="str">
        <f aca="false">IF('Project Register'!$D17="","",'Project Register'!$H17)</f>
        <v>Property and facilities</v>
      </c>
      <c r="F297" s="75"/>
      <c r="G297" s="75"/>
      <c r="H297" s="75"/>
      <c r="I297" s="74" t="s">
        <v>135</v>
      </c>
      <c r="J297" s="74"/>
      <c r="K297" s="74"/>
      <c r="L297" s="75" t="str">
        <f aca="false">IF('Project Register'!$D17="","",'Project Register'!$K17)</f>
        <v>S. Duarte</v>
      </c>
      <c r="M297" s="75"/>
      <c r="N297" s="75"/>
      <c r="O297" s="75"/>
    </row>
    <row r="298" customFormat="false" ht="13.5" hidden="false" customHeight="true" outlineLevel="0" collapsed="false">
      <c r="B298" s="74" t="s">
        <v>260</v>
      </c>
      <c r="C298" s="74"/>
      <c r="D298" s="74"/>
      <c r="E298" s="75" t="str">
        <f aca="false">IF('Project Register'!$D17="","",'Project Register'!$I17)</f>
        <v>Compliance and safety</v>
      </c>
      <c r="F298" s="75"/>
      <c r="G298" s="75"/>
      <c r="H298" s="75"/>
      <c r="I298" s="74" t="s">
        <v>134</v>
      </c>
      <c r="J298" s="74"/>
      <c r="K298" s="74"/>
      <c r="L298" s="75" t="str">
        <f aca="false">IF('Project Register'!$D17="","",'Project Register'!$J17)</f>
        <v>Approved</v>
      </c>
      <c r="M298" s="75"/>
      <c r="N298" s="75"/>
      <c r="O298" s="75"/>
    </row>
    <row r="299" customFormat="false" ht="2.25" hidden="false" customHeight="true" outlineLevel="0" collapsed="false"/>
    <row r="300" customFormat="false" ht="15.75" hidden="false" customHeight="true" outlineLevel="0" collapsed="false">
      <c r="B300" s="76" t="s">
        <v>117</v>
      </c>
      <c r="C300" s="76"/>
      <c r="D300" s="76"/>
      <c r="E300" s="76"/>
      <c r="F300" s="76"/>
      <c r="G300" s="76"/>
      <c r="H300" s="76"/>
      <c r="I300" s="76"/>
      <c r="J300" s="76"/>
      <c r="K300" s="76"/>
      <c r="L300" s="76"/>
      <c r="M300" s="76"/>
      <c r="N300" s="76"/>
      <c r="O300" s="76"/>
    </row>
    <row r="301" customFormat="false" ht="17.25" hidden="false" customHeight="true" outlineLevel="0" collapsed="false">
      <c r="B301" s="74" t="s">
        <v>136</v>
      </c>
      <c r="C301" s="74"/>
      <c r="D301" s="74"/>
      <c r="E301" s="74"/>
      <c r="F301" s="77" t="n">
        <f aca="false">IF('Project Register'!$D17="","",'Project Register'!$L17)</f>
        <v>10800000</v>
      </c>
      <c r="G301" s="77"/>
      <c r="H301" s="77"/>
      <c r="I301" s="74" t="s">
        <v>137</v>
      </c>
      <c r="J301" s="74"/>
      <c r="K301" s="74"/>
      <c r="L301" s="74"/>
      <c r="M301" s="77" t="n">
        <f aca="false">IF('Project Register'!$D17="","",'Project Register'!$M17)</f>
        <v>300000</v>
      </c>
      <c r="N301" s="77"/>
      <c r="O301" s="77"/>
    </row>
    <row r="302" customFormat="false" ht="13.5" hidden="false" customHeight="true" outlineLevel="0" collapsed="false">
      <c r="B302" s="74" t="s">
        <v>261</v>
      </c>
      <c r="C302" s="74"/>
      <c r="D302" s="74"/>
      <c r="E302" s="74"/>
      <c r="F302" s="78" t="n">
        <f aca="false">IF('Project Register'!$D17="","",'Project Register'!$N17)</f>
        <v>10500000</v>
      </c>
      <c r="G302" s="78"/>
      <c r="H302" s="78"/>
      <c r="I302" s="74" t="s">
        <v>262</v>
      </c>
      <c r="J302" s="74"/>
      <c r="K302" s="74"/>
      <c r="L302" s="74"/>
      <c r="M302" s="79" t="n">
        <f aca="false">IF('Project Register'!$D17="","",'Project Register'!$AD17)</f>
        <v>10978012.5</v>
      </c>
      <c r="N302" s="79"/>
      <c r="O302" s="79"/>
    </row>
    <row r="303" customFormat="false" ht="13.5" hidden="false" customHeight="true" outlineLevel="0" collapsed="false">
      <c r="B303" s="74" t="s">
        <v>263</v>
      </c>
      <c r="C303" s="74"/>
      <c r="D303" s="74"/>
      <c r="E303" s="74"/>
      <c r="F303" s="78" t="n">
        <f aca="false">IF('Project Register'!$D17="","",'Project Register'!$AC17)</f>
        <v>0</v>
      </c>
      <c r="G303" s="78"/>
      <c r="H303" s="78"/>
      <c r="I303" s="74" t="s">
        <v>264</v>
      </c>
      <c r="J303" s="74"/>
      <c r="K303" s="74"/>
      <c r="L303" s="74"/>
      <c r="M303" s="78" t="n">
        <f aca="false">IF('Project Register'!$D17="","",'Project Register'!$AE17)</f>
        <v>10978012.5</v>
      </c>
      <c r="N303" s="78"/>
      <c r="O303" s="78"/>
    </row>
    <row r="304" customFormat="false" ht="13.5" hidden="false" customHeight="true" outlineLevel="0" collapsed="false">
      <c r="B304" s="80" t="s">
        <v>265</v>
      </c>
      <c r="C304" s="80"/>
      <c r="D304" s="81" t="str">
        <f aca="false">Setup!$C$23</f>
        <v>FY2027</v>
      </c>
      <c r="E304" s="81"/>
      <c r="F304" s="81" t="str">
        <f aca="false">Setup!$D$23</f>
        <v>FY2028</v>
      </c>
      <c r="G304" s="81"/>
      <c r="H304" s="81" t="str">
        <f aca="false">Setup!$E$23</f>
        <v>FY2029</v>
      </c>
      <c r="I304" s="81"/>
      <c r="J304" s="81" t="str">
        <f aca="false">Setup!$F$23</f>
        <v>FY2030</v>
      </c>
      <c r="K304" s="81"/>
      <c r="L304" s="81" t="str">
        <f aca="false">Setup!$G$23</f>
        <v>FY2031</v>
      </c>
      <c r="M304" s="81"/>
      <c r="N304" s="81" t="str">
        <f aca="false">Setup!$H$23</f>
        <v>Beyond FY2031</v>
      </c>
      <c r="O304" s="81"/>
    </row>
    <row r="305" customFormat="false" ht="13.5" hidden="false" customHeight="true" outlineLevel="0" collapsed="false">
      <c r="B305" s="82" t="s">
        <v>266</v>
      </c>
      <c r="C305" s="82"/>
      <c r="D305" s="78" t="n">
        <f aca="false">IF('Project Register'!$D17="","",'Project Register'!$O17)</f>
        <v>1500000</v>
      </c>
      <c r="E305" s="78"/>
      <c r="F305" s="78" t="n">
        <f aca="false">IF('Project Register'!$D17="","",'Project Register'!$P17)</f>
        <v>4500000</v>
      </c>
      <c r="G305" s="78"/>
      <c r="H305" s="78" t="n">
        <f aca="false">IF('Project Register'!$D17="","",'Project Register'!$Q17)</f>
        <v>4500000</v>
      </c>
      <c r="I305" s="78"/>
      <c r="J305" s="78" t="n">
        <f aca="false">IF('Project Register'!$D17="","",'Project Register'!$R17)</f>
        <v>0</v>
      </c>
      <c r="K305" s="78"/>
      <c r="L305" s="78" t="n">
        <f aca="false">IF('Project Register'!$D17="","",'Project Register'!$S17)</f>
        <v>0</v>
      </c>
      <c r="M305" s="78"/>
      <c r="N305" s="78" t="n">
        <f aca="false">IF('Project Register'!$D17="","",'Project Register'!$T17)</f>
        <v>0</v>
      </c>
      <c r="O305" s="78"/>
    </row>
    <row r="306" customFormat="false" ht="13.5" hidden="false" customHeight="true" outlineLevel="0" collapsed="false">
      <c r="B306" s="82" t="s">
        <v>267</v>
      </c>
      <c r="C306" s="82"/>
      <c r="D306" s="79" t="n">
        <f aca="false">IF('Project Register'!$D17="","",'Project Register'!$X17)</f>
        <v>1500000</v>
      </c>
      <c r="E306" s="79"/>
      <c r="F306" s="79" t="n">
        <f aca="false">IF('Project Register'!$D17="","",'Project Register'!$Y17)</f>
        <v>4657500</v>
      </c>
      <c r="G306" s="79"/>
      <c r="H306" s="79" t="n">
        <f aca="false">IF('Project Register'!$D17="","",'Project Register'!$Z17)</f>
        <v>4820512.5</v>
      </c>
      <c r="I306" s="79"/>
      <c r="J306" s="79" t="n">
        <f aca="false">IF('Project Register'!$D17="","",'Project Register'!$AA17)</f>
        <v>0</v>
      </c>
      <c r="K306" s="79"/>
      <c r="L306" s="79" t="n">
        <f aca="false">IF('Project Register'!$D17="","",'Project Register'!$AB17)</f>
        <v>0</v>
      </c>
      <c r="M306" s="79"/>
      <c r="N306" s="79" t="n">
        <f aca="false">IF('Project Register'!$D17="","",'Project Register'!$AC17)</f>
        <v>0</v>
      </c>
      <c r="O306" s="79"/>
    </row>
    <row r="307" customFormat="false" ht="2.25" hidden="false" customHeight="true" outlineLevel="0" collapsed="false"/>
    <row r="308" customFormat="false" ht="15.75" hidden="false" customHeight="true" outlineLevel="0" collapsed="false">
      <c r="B308" s="76" t="s">
        <v>268</v>
      </c>
      <c r="C308" s="76"/>
      <c r="D308" s="76"/>
      <c r="E308" s="76"/>
      <c r="F308" s="76"/>
      <c r="G308" s="76"/>
      <c r="H308" s="76"/>
      <c r="I308" s="76"/>
      <c r="J308" s="76"/>
      <c r="K308" s="76"/>
      <c r="L308" s="76"/>
      <c r="M308" s="76"/>
      <c r="N308" s="76"/>
      <c r="O308" s="76"/>
    </row>
    <row r="309" customFormat="false" ht="13.5" hidden="false" customHeight="true" outlineLevel="0" collapsed="false">
      <c r="B309" s="80" t="s">
        <v>269</v>
      </c>
      <c r="C309" s="80"/>
      <c r="D309" s="80"/>
      <c r="E309" s="80"/>
      <c r="F309" s="80"/>
      <c r="G309" s="80"/>
      <c r="H309" s="29" t="s">
        <v>145</v>
      </c>
      <c r="I309" s="29"/>
      <c r="J309" s="29"/>
      <c r="K309" s="83" t="s">
        <v>270</v>
      </c>
      <c r="L309" s="83"/>
      <c r="M309" s="83"/>
      <c r="N309" s="83"/>
      <c r="O309" s="83"/>
    </row>
    <row r="310" customFormat="false" ht="13.5" hidden="false" customHeight="true" outlineLevel="0" collapsed="false">
      <c r="B310" s="75" t="str">
        <f aca="false">IF('Project Register'!$D17="","",IF('Project Register'!$AF17="","-",'Project Register'!$AF17))</f>
        <v>Own revenue</v>
      </c>
      <c r="C310" s="75"/>
      <c r="D310" s="75"/>
      <c r="E310" s="75"/>
      <c r="F310" s="75"/>
      <c r="G310" s="75"/>
      <c r="H310" s="84" t="n">
        <f aca="false">IF('Project Register'!$D17="","",'Project Register'!$AG17)</f>
        <v>0.6</v>
      </c>
      <c r="I310" s="84"/>
      <c r="J310" s="84"/>
      <c r="K310" s="78" t="n">
        <f aca="false">IF('Project Register'!$D17="","",'Project Register'!$AD17*'Project Register'!$AG17)</f>
        <v>6586807.5</v>
      </c>
      <c r="L310" s="78"/>
      <c r="M310" s="78"/>
      <c r="N310" s="78"/>
      <c r="O310" s="78"/>
    </row>
    <row r="311" customFormat="false" ht="13.5" hidden="false" customHeight="true" outlineLevel="0" collapsed="false">
      <c r="B311" s="75" t="str">
        <f aca="false">IF('Project Register'!$D17="","",IF('Project Register'!$AH17="","-",'Project Register'!$AH17))</f>
        <v>Reserves</v>
      </c>
      <c r="C311" s="75"/>
      <c r="D311" s="75"/>
      <c r="E311" s="75"/>
      <c r="F311" s="75"/>
      <c r="G311" s="75"/>
      <c r="H311" s="84" t="n">
        <f aca="false">IF('Project Register'!$D17="","",'Project Register'!$AI17)</f>
        <v>0.4</v>
      </c>
      <c r="I311" s="84"/>
      <c r="J311" s="84"/>
      <c r="K311" s="78" t="n">
        <f aca="false">IF('Project Register'!$D17="","",'Project Register'!$AD17*'Project Register'!$AI17)</f>
        <v>4391205</v>
      </c>
      <c r="L311" s="78"/>
      <c r="M311" s="78"/>
      <c r="N311" s="78"/>
      <c r="O311" s="78"/>
    </row>
    <row r="312" customFormat="false" ht="13.5" hidden="false" customHeight="true" outlineLevel="0" collapsed="false">
      <c r="B312" s="85" t="s">
        <v>271</v>
      </c>
      <c r="C312" s="85"/>
      <c r="D312" s="85"/>
      <c r="E312" s="85"/>
      <c r="F312" s="85"/>
      <c r="G312" s="85"/>
      <c r="H312" s="86" t="n">
        <f aca="false">IF('Project Register'!$D17="","",'Project Register'!$AJ17)</f>
        <v>0</v>
      </c>
      <c r="I312" s="86"/>
      <c r="J312" s="86"/>
      <c r="K312" s="79" t="n">
        <f aca="false">IF('Project Register'!$D17="","",'Project Register'!$AL17)</f>
        <v>0</v>
      </c>
      <c r="L312" s="79"/>
      <c r="M312" s="79"/>
      <c r="N312" s="79"/>
      <c r="O312" s="79"/>
    </row>
    <row r="313" customFormat="false" ht="2.25" hidden="false" customHeight="true" outlineLevel="0" collapsed="false"/>
    <row r="314" customFormat="false" ht="15.75" hidden="false" customHeight="true" outlineLevel="0" collapsed="false">
      <c r="B314" s="76" t="s">
        <v>272</v>
      </c>
      <c r="C314" s="76"/>
      <c r="D314" s="76"/>
      <c r="E314" s="76"/>
      <c r="F314" s="76"/>
      <c r="G314" s="76"/>
      <c r="H314" s="76"/>
      <c r="I314" s="76"/>
      <c r="J314" s="76"/>
      <c r="K314" s="76"/>
      <c r="L314" s="76"/>
      <c r="M314" s="76"/>
      <c r="N314" s="76"/>
      <c r="O314" s="76"/>
    </row>
    <row r="315" customFormat="false" ht="17.25" hidden="false" customHeight="true" outlineLevel="0" collapsed="false">
      <c r="B315" s="74" t="s">
        <v>243</v>
      </c>
      <c r="C315" s="74"/>
      <c r="D315" s="87" t="n">
        <f aca="false">IF('Project Register'!$D17="","",Prioritisation!$O17)</f>
        <v>3.7</v>
      </c>
      <c r="E315" s="87"/>
      <c r="F315" s="74" t="s">
        <v>273</v>
      </c>
      <c r="G315" s="74"/>
      <c r="H315" s="74"/>
      <c r="I315" s="88" t="str">
        <f aca="false">IF('Project Register'!$D17="","",TEXT(Prioritisation!$P17,"0")&amp;" of "&amp;TEXT(COUNTIF('Project Register'!$C$9:$C$38,"?*"),"0"))</f>
        <v>7 of 15</v>
      </c>
      <c r="J315" s="88"/>
      <c r="K315" s="82" t="s">
        <v>245</v>
      </c>
      <c r="L315" s="82"/>
      <c r="M315" s="89" t="str">
        <f aca="false">IF('Project Register'!$D17="","",Prioritisation!$Q17)</f>
        <v>High</v>
      </c>
      <c r="N315" s="89"/>
      <c r="O315" s="89"/>
    </row>
    <row r="316" customFormat="false" ht="2.25" hidden="false" customHeight="true" outlineLevel="0" collapsed="false"/>
    <row r="317" customFormat="false" ht="15.75" hidden="false" customHeight="true" outlineLevel="0" collapsed="false">
      <c r="B317" s="76" t="s">
        <v>274</v>
      </c>
      <c r="C317" s="76"/>
      <c r="D317" s="76"/>
      <c r="E317" s="76"/>
      <c r="F317" s="76"/>
      <c r="G317" s="76"/>
      <c r="H317" s="76"/>
      <c r="I317" s="76"/>
      <c r="J317" s="76"/>
      <c r="K317" s="76"/>
      <c r="L317" s="76"/>
      <c r="M317" s="76"/>
      <c r="N317" s="76"/>
      <c r="O317" s="76"/>
    </row>
    <row r="318" customFormat="false" ht="35.25" hidden="false" customHeight="true" outlineLevel="0" collapsed="false">
      <c r="B318" s="90" t="s">
        <v>275</v>
      </c>
      <c r="C318" s="90"/>
      <c r="D318" s="90"/>
      <c r="E318" s="91" t="s">
        <v>366</v>
      </c>
      <c r="F318" s="91"/>
      <c r="G318" s="91"/>
      <c r="H318" s="91"/>
      <c r="I318" s="91"/>
      <c r="J318" s="91"/>
      <c r="K318" s="91"/>
      <c r="L318" s="91"/>
      <c r="M318" s="91"/>
      <c r="N318" s="91"/>
      <c r="O318" s="91"/>
    </row>
    <row r="319" customFormat="false" ht="35.25" hidden="false" customHeight="true" outlineLevel="0" collapsed="false">
      <c r="B319" s="90" t="s">
        <v>277</v>
      </c>
      <c r="C319" s="90"/>
      <c r="D319" s="90"/>
      <c r="E319" s="91" t="s">
        <v>367</v>
      </c>
      <c r="F319" s="91"/>
      <c r="G319" s="91"/>
      <c r="H319" s="91"/>
      <c r="I319" s="91"/>
      <c r="J319" s="91"/>
      <c r="K319" s="91"/>
      <c r="L319" s="91"/>
      <c r="M319" s="91"/>
      <c r="N319" s="91"/>
      <c r="O319" s="91"/>
    </row>
    <row r="320" customFormat="false" ht="35.25" hidden="false" customHeight="true" outlineLevel="0" collapsed="false">
      <c r="B320" s="90" t="s">
        <v>279</v>
      </c>
      <c r="C320" s="90"/>
      <c r="D320" s="90"/>
      <c r="E320" s="91" t="s">
        <v>368</v>
      </c>
      <c r="F320" s="91"/>
      <c r="G320" s="91"/>
      <c r="H320" s="91"/>
      <c r="I320" s="91"/>
      <c r="J320" s="91"/>
      <c r="K320" s="91"/>
      <c r="L320" s="91"/>
      <c r="M320" s="91"/>
      <c r="N320" s="91"/>
      <c r="O320" s="91"/>
    </row>
    <row r="321" customFormat="false" ht="35.25" hidden="false" customHeight="true" outlineLevel="0" collapsed="false">
      <c r="B321" s="90" t="s">
        <v>281</v>
      </c>
      <c r="C321" s="90"/>
      <c r="D321" s="90"/>
      <c r="E321" s="91" t="s">
        <v>369</v>
      </c>
      <c r="F321" s="91"/>
      <c r="G321" s="91"/>
      <c r="H321" s="91"/>
      <c r="I321" s="91"/>
      <c r="J321" s="91"/>
      <c r="K321" s="91"/>
      <c r="L321" s="91"/>
      <c r="M321" s="91"/>
      <c r="N321" s="91"/>
      <c r="O321" s="91"/>
    </row>
    <row r="322" customFormat="false" ht="35.25" hidden="false" customHeight="true" outlineLevel="0" collapsed="false">
      <c r="B322" s="90" t="s">
        <v>283</v>
      </c>
      <c r="C322" s="90"/>
      <c r="D322" s="90"/>
      <c r="E322" s="91" t="s">
        <v>370</v>
      </c>
      <c r="F322" s="91"/>
      <c r="G322" s="91"/>
      <c r="H322" s="91"/>
      <c r="I322" s="91"/>
      <c r="J322" s="91"/>
      <c r="K322" s="91"/>
      <c r="L322" s="91"/>
      <c r="M322" s="91"/>
      <c r="N322" s="91"/>
      <c r="O322" s="91"/>
    </row>
    <row r="323" customFormat="false" ht="35.25" hidden="false" customHeight="true" outlineLevel="0" collapsed="false">
      <c r="B323" s="90" t="s">
        <v>285</v>
      </c>
      <c r="C323" s="90"/>
      <c r="D323" s="90"/>
      <c r="E323" s="91" t="s">
        <v>371</v>
      </c>
      <c r="F323" s="91"/>
      <c r="G323" s="91"/>
      <c r="H323" s="91"/>
      <c r="I323" s="91"/>
      <c r="J323" s="91"/>
      <c r="K323" s="91"/>
      <c r="L323" s="91"/>
      <c r="M323" s="91"/>
      <c r="N323" s="91"/>
      <c r="O323" s="91"/>
    </row>
    <row r="324" customFormat="false" ht="35.25" hidden="false" customHeight="true" outlineLevel="0" collapsed="false">
      <c r="B324" s="90" t="s">
        <v>287</v>
      </c>
      <c r="C324" s="90"/>
      <c r="D324" s="90"/>
      <c r="E324" s="91" t="s">
        <v>372</v>
      </c>
      <c r="F324" s="91"/>
      <c r="G324" s="91"/>
      <c r="H324" s="91"/>
      <c r="I324" s="91"/>
      <c r="J324" s="91"/>
      <c r="K324" s="91"/>
      <c r="L324" s="91"/>
      <c r="M324" s="91"/>
      <c r="N324" s="91"/>
      <c r="O324" s="91"/>
    </row>
    <row r="325" customFormat="false" ht="35.25" hidden="false" customHeight="true" outlineLevel="0" collapsed="false">
      <c r="B325" s="90" t="s">
        <v>289</v>
      </c>
      <c r="C325" s="90"/>
      <c r="D325" s="90"/>
      <c r="E325" s="91" t="s">
        <v>373</v>
      </c>
      <c r="F325" s="91"/>
      <c r="G325" s="91"/>
      <c r="H325" s="91"/>
      <c r="I325" s="91"/>
      <c r="J325" s="91"/>
      <c r="K325" s="91"/>
      <c r="L325" s="91"/>
      <c r="M325" s="91"/>
      <c r="N325" s="91"/>
      <c r="O325" s="91"/>
    </row>
    <row r="326" customFormat="false" ht="35.25" hidden="false" customHeight="true" outlineLevel="0" collapsed="false">
      <c r="B326" s="90" t="s">
        <v>291</v>
      </c>
      <c r="C326" s="90"/>
      <c r="D326" s="90"/>
      <c r="E326" s="91" t="s">
        <v>374</v>
      </c>
      <c r="F326" s="91"/>
      <c r="G326" s="91"/>
      <c r="H326" s="91"/>
      <c r="I326" s="91"/>
      <c r="J326" s="91"/>
      <c r="K326" s="91"/>
      <c r="L326" s="91"/>
      <c r="M326" s="91"/>
      <c r="N326" s="91"/>
      <c r="O326" s="91"/>
    </row>
    <row r="327" customFormat="false" ht="35.25" hidden="false" customHeight="true" outlineLevel="0" collapsed="false">
      <c r="B327" s="90" t="s">
        <v>293</v>
      </c>
      <c r="C327" s="90"/>
      <c r="D327" s="90"/>
      <c r="E327" s="91" t="s">
        <v>375</v>
      </c>
      <c r="F327" s="91"/>
      <c r="G327" s="91"/>
      <c r="H327" s="91"/>
      <c r="I327" s="91"/>
      <c r="J327" s="91"/>
      <c r="K327" s="91"/>
      <c r="L327" s="91"/>
      <c r="M327" s="91"/>
      <c r="N327" s="91"/>
      <c r="O327" s="91"/>
    </row>
    <row r="328" customFormat="false" ht="11.25" hidden="false" customHeight="true" outlineLevel="0" collapsed="false">
      <c r="B328" s="15" t="s">
        <v>295</v>
      </c>
      <c r="C328" s="15"/>
      <c r="D328" s="15"/>
      <c r="E328" s="15"/>
      <c r="F328" s="15"/>
      <c r="G328" s="15"/>
      <c r="H328" s="15"/>
      <c r="I328" s="15"/>
      <c r="J328" s="15"/>
      <c r="K328" s="15"/>
      <c r="L328" s="16" t="s">
        <v>40</v>
      </c>
      <c r="M328" s="16"/>
      <c r="N328" s="16"/>
      <c r="O328" s="16"/>
    </row>
    <row r="329" customFormat="false" ht="3" hidden="false" customHeight="true" outlineLevel="0" collapsed="false"/>
    <row r="330" customFormat="false" ht="27.75" hidden="false" customHeight="true" outlineLevel="0" collapsed="false">
      <c r="B330" s="57" t="s">
        <v>259</v>
      </c>
      <c r="C330" s="57"/>
      <c r="D330" s="57"/>
      <c r="E330" s="57"/>
      <c r="F330" s="69" t="str">
        <f aca="false">IF('Project Register'!$D18="","",'Project Register'!$C18)</f>
        <v>CIP-010</v>
      </c>
      <c r="G330" s="69"/>
      <c r="H330" s="70" t="str">
        <f aca="false">IF('Project Register'!$D18="","",'Project Register'!$D18)</f>
        <v>Harbour catchment flood mitigation</v>
      </c>
      <c r="I330" s="70"/>
      <c r="J330" s="70"/>
      <c r="K330" s="70"/>
      <c r="L330" s="70"/>
      <c r="M330" s="70"/>
      <c r="N330" s="70"/>
      <c r="O330" s="70"/>
      <c r="R330" s="71" t="str">
        <f aca="false">IF('Project Register'!$D18="","",'Project Register'!$C18)</f>
        <v>CIP-010</v>
      </c>
      <c r="S330" s="72" t="n">
        <f aca="false">COUNTIF($E$354:$E$363,"?*")</f>
        <v>10</v>
      </c>
    </row>
    <row r="331" customFormat="false" ht="24.75" hidden="false" customHeight="true" outlineLevel="0" collapsed="false">
      <c r="B331" s="73" t="str">
        <f aca="false">IF('Project Register'!$D18="","No project on register row 10. Fill that row in on the Project Register and this block writes its own heading.",'Project Register'!$E18)</f>
        <v>Trunk drainage, detention basins and overland flow works across the harbour catchment.</v>
      </c>
      <c r="C331" s="73"/>
      <c r="D331" s="73"/>
      <c r="E331" s="73"/>
      <c r="F331" s="73"/>
      <c r="G331" s="73"/>
      <c r="H331" s="73"/>
      <c r="I331" s="73"/>
      <c r="J331" s="73"/>
      <c r="K331" s="73"/>
      <c r="L331" s="73"/>
      <c r="M331" s="73"/>
      <c r="N331" s="73"/>
      <c r="O331" s="73"/>
    </row>
    <row r="332" customFormat="false" ht="13.5" hidden="false" customHeight="true" outlineLevel="0" collapsed="false">
      <c r="B332" s="74" t="s">
        <v>130</v>
      </c>
      <c r="C332" s="74"/>
      <c r="D332" s="74"/>
      <c r="E332" s="75" t="str">
        <f aca="false">IF('Project Register'!$D18="","",'Project Register'!$F18)</f>
        <v>Water and wastewater</v>
      </c>
      <c r="F332" s="75"/>
      <c r="G332" s="75"/>
      <c r="H332" s="75"/>
      <c r="I332" s="74" t="s">
        <v>131</v>
      </c>
      <c r="J332" s="74"/>
      <c r="K332" s="74"/>
      <c r="L332" s="75" t="str">
        <f aca="false">IF('Project Register'!$D18="","",'Project Register'!$G18)</f>
        <v>Stormwater</v>
      </c>
      <c r="M332" s="75"/>
      <c r="N332" s="75"/>
      <c r="O332" s="75"/>
    </row>
    <row r="333" customFormat="false" ht="13.5" hidden="false" customHeight="true" outlineLevel="0" collapsed="false">
      <c r="B333" s="74" t="s">
        <v>132</v>
      </c>
      <c r="C333" s="74"/>
      <c r="D333" s="74"/>
      <c r="E333" s="75" t="str">
        <f aca="false">IF('Project Register'!$D18="","",'Project Register'!$H18)</f>
        <v>Infrastructure and delivery</v>
      </c>
      <c r="F333" s="75"/>
      <c r="G333" s="75"/>
      <c r="H333" s="75"/>
      <c r="I333" s="74" t="s">
        <v>135</v>
      </c>
      <c r="J333" s="74"/>
      <c r="K333" s="74"/>
      <c r="L333" s="75" t="str">
        <f aca="false">IF('Project Register'!$D18="","",'Project Register'!$K18)</f>
        <v>M. Okonkwo</v>
      </c>
      <c r="M333" s="75"/>
      <c r="N333" s="75"/>
      <c r="O333" s="75"/>
    </row>
    <row r="334" customFormat="false" ht="13.5" hidden="false" customHeight="true" outlineLevel="0" collapsed="false">
      <c r="B334" s="74" t="s">
        <v>260</v>
      </c>
      <c r="C334" s="74"/>
      <c r="D334" s="74"/>
      <c r="E334" s="75" t="str">
        <f aca="false">IF('Project Register'!$D18="","",'Project Register'!$I18)</f>
        <v>Compliance and safety</v>
      </c>
      <c r="F334" s="75"/>
      <c r="G334" s="75"/>
      <c r="H334" s="75"/>
      <c r="I334" s="74" t="s">
        <v>134</v>
      </c>
      <c r="J334" s="74"/>
      <c r="K334" s="74"/>
      <c r="L334" s="75" t="str">
        <f aca="false">IF('Project Register'!$D18="","",'Project Register'!$J18)</f>
        <v>Proposed</v>
      </c>
      <c r="M334" s="75"/>
      <c r="N334" s="75"/>
      <c r="O334" s="75"/>
    </row>
    <row r="335" customFormat="false" ht="2.25" hidden="false" customHeight="true" outlineLevel="0" collapsed="false"/>
    <row r="336" customFormat="false" ht="15.75" hidden="false" customHeight="true" outlineLevel="0" collapsed="false">
      <c r="B336" s="76" t="s">
        <v>117</v>
      </c>
      <c r="C336" s="76"/>
      <c r="D336" s="76"/>
      <c r="E336" s="76"/>
      <c r="F336" s="76"/>
      <c r="G336" s="76"/>
      <c r="H336" s="76"/>
      <c r="I336" s="76"/>
      <c r="J336" s="76"/>
      <c r="K336" s="76"/>
      <c r="L336" s="76"/>
      <c r="M336" s="76"/>
      <c r="N336" s="76"/>
      <c r="O336" s="76"/>
    </row>
    <row r="337" customFormat="false" ht="17.25" hidden="false" customHeight="true" outlineLevel="0" collapsed="false">
      <c r="B337" s="74" t="s">
        <v>136</v>
      </c>
      <c r="C337" s="74"/>
      <c r="D337" s="74"/>
      <c r="E337" s="74"/>
      <c r="F337" s="77" t="n">
        <f aca="false">IF('Project Register'!$D18="","",'Project Register'!$L18)</f>
        <v>22000000</v>
      </c>
      <c r="G337" s="77"/>
      <c r="H337" s="77"/>
      <c r="I337" s="74" t="s">
        <v>137</v>
      </c>
      <c r="J337" s="74"/>
      <c r="K337" s="74"/>
      <c r="L337" s="74"/>
      <c r="M337" s="77" t="n">
        <f aca="false">IF('Project Register'!$D18="","",'Project Register'!$M18)</f>
        <v>0</v>
      </c>
      <c r="N337" s="77"/>
      <c r="O337" s="77"/>
    </row>
    <row r="338" customFormat="false" ht="13.5" hidden="false" customHeight="true" outlineLevel="0" collapsed="false">
      <c r="B338" s="74" t="s">
        <v>261</v>
      </c>
      <c r="C338" s="74"/>
      <c r="D338" s="74"/>
      <c r="E338" s="74"/>
      <c r="F338" s="78" t="n">
        <f aca="false">IF('Project Register'!$D18="","",'Project Register'!$N18)</f>
        <v>22000000</v>
      </c>
      <c r="G338" s="78"/>
      <c r="H338" s="78"/>
      <c r="I338" s="74" t="s">
        <v>262</v>
      </c>
      <c r="J338" s="74"/>
      <c r="K338" s="74"/>
      <c r="L338" s="74"/>
      <c r="M338" s="79" t="n">
        <f aca="false">IF('Project Register'!$D18="","",'Project Register'!$AD18)</f>
        <v>21113586.129375</v>
      </c>
      <c r="N338" s="79"/>
      <c r="O338" s="79"/>
    </row>
    <row r="339" customFormat="false" ht="13.5" hidden="false" customHeight="true" outlineLevel="0" collapsed="false">
      <c r="B339" s="74" t="s">
        <v>263</v>
      </c>
      <c r="C339" s="74"/>
      <c r="D339" s="74"/>
      <c r="E339" s="74"/>
      <c r="F339" s="78" t="n">
        <f aca="false">IF('Project Register'!$D18="","",'Project Register'!$AC18)</f>
        <v>3563058.91694062</v>
      </c>
      <c r="G339" s="78"/>
      <c r="H339" s="78"/>
      <c r="I339" s="74" t="s">
        <v>264</v>
      </c>
      <c r="J339" s="74"/>
      <c r="K339" s="74"/>
      <c r="L339" s="74"/>
      <c r="M339" s="78" t="n">
        <f aca="false">IF('Project Register'!$D18="","",'Project Register'!$AE18)</f>
        <v>24676645.0463156</v>
      </c>
      <c r="N339" s="78"/>
      <c r="O339" s="78"/>
    </row>
    <row r="340" customFormat="false" ht="13.5" hidden="false" customHeight="true" outlineLevel="0" collapsed="false">
      <c r="B340" s="80" t="s">
        <v>265</v>
      </c>
      <c r="C340" s="80"/>
      <c r="D340" s="81" t="str">
        <f aca="false">Setup!$C$23</f>
        <v>FY2027</v>
      </c>
      <c r="E340" s="81"/>
      <c r="F340" s="81" t="str">
        <f aca="false">Setup!$D$23</f>
        <v>FY2028</v>
      </c>
      <c r="G340" s="81"/>
      <c r="H340" s="81" t="str">
        <f aca="false">Setup!$E$23</f>
        <v>FY2029</v>
      </c>
      <c r="I340" s="81"/>
      <c r="J340" s="81" t="str">
        <f aca="false">Setup!$F$23</f>
        <v>FY2030</v>
      </c>
      <c r="K340" s="81"/>
      <c r="L340" s="81" t="str">
        <f aca="false">Setup!$G$23</f>
        <v>FY2031</v>
      </c>
      <c r="M340" s="81"/>
      <c r="N340" s="81" t="str">
        <f aca="false">Setup!$H$23</f>
        <v>Beyond FY2031</v>
      </c>
      <c r="O340" s="81"/>
    </row>
    <row r="341" customFormat="false" ht="13.5" hidden="false" customHeight="true" outlineLevel="0" collapsed="false">
      <c r="B341" s="82" t="s">
        <v>266</v>
      </c>
      <c r="C341" s="82"/>
      <c r="D341" s="78" t="n">
        <f aca="false">IF('Project Register'!$D18="","",'Project Register'!$O18)</f>
        <v>0</v>
      </c>
      <c r="E341" s="78"/>
      <c r="F341" s="78" t="n">
        <f aca="false">IF('Project Register'!$D18="","",'Project Register'!$P18)</f>
        <v>1000000</v>
      </c>
      <c r="G341" s="78"/>
      <c r="H341" s="78" t="n">
        <f aca="false">IF('Project Register'!$D18="","",'Project Register'!$Q18)</f>
        <v>4000000</v>
      </c>
      <c r="I341" s="78"/>
      <c r="J341" s="78" t="n">
        <f aca="false">IF('Project Register'!$D18="","",'Project Register'!$R18)</f>
        <v>7000000</v>
      </c>
      <c r="K341" s="78"/>
      <c r="L341" s="78" t="n">
        <f aca="false">IF('Project Register'!$D18="","",'Project Register'!$S18)</f>
        <v>7000000</v>
      </c>
      <c r="M341" s="78"/>
      <c r="N341" s="78" t="n">
        <f aca="false">IF('Project Register'!$D18="","",'Project Register'!$T18)</f>
        <v>3000000</v>
      </c>
      <c r="O341" s="78"/>
    </row>
    <row r="342" customFormat="false" ht="13.5" hidden="false" customHeight="true" outlineLevel="0" collapsed="false">
      <c r="B342" s="82" t="s">
        <v>267</v>
      </c>
      <c r="C342" s="82"/>
      <c r="D342" s="79" t="n">
        <f aca="false">IF('Project Register'!$D18="","",'Project Register'!$X18)</f>
        <v>0</v>
      </c>
      <c r="E342" s="79"/>
      <c r="F342" s="79" t="n">
        <f aca="false">IF('Project Register'!$D18="","",'Project Register'!$Y18)</f>
        <v>1035000</v>
      </c>
      <c r="G342" s="79"/>
      <c r="H342" s="79" t="n">
        <f aca="false">IF('Project Register'!$D18="","",'Project Register'!$Z18)</f>
        <v>4284900</v>
      </c>
      <c r="I342" s="79"/>
      <c r="J342" s="79" t="n">
        <f aca="false">IF('Project Register'!$D18="","",'Project Register'!$AA18)</f>
        <v>7761025.125</v>
      </c>
      <c r="K342" s="79"/>
      <c r="L342" s="79" t="n">
        <f aca="false">IF('Project Register'!$D18="","",'Project Register'!$AB18)</f>
        <v>8032661.004375</v>
      </c>
      <c r="M342" s="79"/>
      <c r="N342" s="79" t="n">
        <f aca="false">IF('Project Register'!$D18="","",'Project Register'!$AC18)</f>
        <v>3563058.91694062</v>
      </c>
      <c r="O342" s="79"/>
    </row>
    <row r="343" customFormat="false" ht="2.25" hidden="false" customHeight="true" outlineLevel="0" collapsed="false"/>
    <row r="344" customFormat="false" ht="15.75" hidden="false" customHeight="true" outlineLevel="0" collapsed="false">
      <c r="B344" s="76" t="s">
        <v>268</v>
      </c>
      <c r="C344" s="76"/>
      <c r="D344" s="76"/>
      <c r="E344" s="76"/>
      <c r="F344" s="76"/>
      <c r="G344" s="76"/>
      <c r="H344" s="76"/>
      <c r="I344" s="76"/>
      <c r="J344" s="76"/>
      <c r="K344" s="76"/>
      <c r="L344" s="76"/>
      <c r="M344" s="76"/>
      <c r="N344" s="76"/>
      <c r="O344" s="76"/>
    </row>
    <row r="345" customFormat="false" ht="13.5" hidden="false" customHeight="true" outlineLevel="0" collapsed="false">
      <c r="B345" s="80" t="s">
        <v>269</v>
      </c>
      <c r="C345" s="80"/>
      <c r="D345" s="80"/>
      <c r="E345" s="80"/>
      <c r="F345" s="80"/>
      <c r="G345" s="80"/>
      <c r="H345" s="29" t="s">
        <v>145</v>
      </c>
      <c r="I345" s="29"/>
      <c r="J345" s="29"/>
      <c r="K345" s="83" t="s">
        <v>270</v>
      </c>
      <c r="L345" s="83"/>
      <c r="M345" s="83"/>
      <c r="N345" s="83"/>
      <c r="O345" s="83"/>
    </row>
    <row r="346" customFormat="false" ht="13.5" hidden="false" customHeight="true" outlineLevel="0" collapsed="false">
      <c r="B346" s="75" t="str">
        <f aca="false">IF('Project Register'!$D18="","",IF('Project Register'!$AF18="","-",'Project Register'!$AF18))</f>
        <v>Grants - government</v>
      </c>
      <c r="C346" s="75"/>
      <c r="D346" s="75"/>
      <c r="E346" s="75"/>
      <c r="F346" s="75"/>
      <c r="G346" s="75"/>
      <c r="H346" s="84" t="n">
        <f aca="false">IF('Project Register'!$D18="","",'Project Register'!$AG18)</f>
        <v>0.45</v>
      </c>
      <c r="I346" s="84"/>
      <c r="J346" s="84"/>
      <c r="K346" s="78" t="n">
        <f aca="false">IF('Project Register'!$D18="","",'Project Register'!$AD18*'Project Register'!$AG18)</f>
        <v>9501113.75821875</v>
      </c>
      <c r="L346" s="78"/>
      <c r="M346" s="78"/>
      <c r="N346" s="78"/>
      <c r="O346" s="78"/>
    </row>
    <row r="347" customFormat="false" ht="13.5" hidden="false" customHeight="true" outlineLevel="0" collapsed="false">
      <c r="B347" s="75" t="str">
        <f aca="false">IF('Project Register'!$D18="","",IF('Project Register'!$AH18="","-",'Project Register'!$AH18))</f>
        <v>Borrowings</v>
      </c>
      <c r="C347" s="75"/>
      <c r="D347" s="75"/>
      <c r="E347" s="75"/>
      <c r="F347" s="75"/>
      <c r="G347" s="75"/>
      <c r="H347" s="84" t="n">
        <f aca="false">IF('Project Register'!$D18="","",'Project Register'!$AI18)</f>
        <v>0.25</v>
      </c>
      <c r="I347" s="84"/>
      <c r="J347" s="84"/>
      <c r="K347" s="78" t="n">
        <f aca="false">IF('Project Register'!$D18="","",'Project Register'!$AD18*'Project Register'!$AI18)</f>
        <v>5278396.53234375</v>
      </c>
      <c r="L347" s="78"/>
      <c r="M347" s="78"/>
      <c r="N347" s="78"/>
      <c r="O347" s="78"/>
    </row>
    <row r="348" customFormat="false" ht="13.5" hidden="false" customHeight="true" outlineLevel="0" collapsed="false">
      <c r="B348" s="85" t="s">
        <v>271</v>
      </c>
      <c r="C348" s="85"/>
      <c r="D348" s="85"/>
      <c r="E348" s="85"/>
      <c r="F348" s="85"/>
      <c r="G348" s="85"/>
      <c r="H348" s="86" t="n">
        <f aca="false">IF('Project Register'!$D18="","",'Project Register'!$AJ18)</f>
        <v>0.3</v>
      </c>
      <c r="I348" s="86"/>
      <c r="J348" s="86"/>
      <c r="K348" s="79" t="n">
        <f aca="false">IF('Project Register'!$D18="","",'Project Register'!$AL18)</f>
        <v>6334075.8388125</v>
      </c>
      <c r="L348" s="79"/>
      <c r="M348" s="79"/>
      <c r="N348" s="79"/>
      <c r="O348" s="79"/>
    </row>
    <row r="349" customFormat="false" ht="2.25" hidden="false" customHeight="true" outlineLevel="0" collapsed="false"/>
    <row r="350" customFormat="false" ht="15.75" hidden="false" customHeight="true" outlineLevel="0" collapsed="false">
      <c r="B350" s="76" t="s">
        <v>272</v>
      </c>
      <c r="C350" s="76"/>
      <c r="D350" s="76"/>
      <c r="E350" s="76"/>
      <c r="F350" s="76"/>
      <c r="G350" s="76"/>
      <c r="H350" s="76"/>
      <c r="I350" s="76"/>
      <c r="J350" s="76"/>
      <c r="K350" s="76"/>
      <c r="L350" s="76"/>
      <c r="M350" s="76"/>
      <c r="N350" s="76"/>
      <c r="O350" s="76"/>
    </row>
    <row r="351" customFormat="false" ht="17.25" hidden="false" customHeight="true" outlineLevel="0" collapsed="false">
      <c r="B351" s="74" t="s">
        <v>243</v>
      </c>
      <c r="C351" s="74"/>
      <c r="D351" s="87" t="n">
        <f aca="false">IF('Project Register'!$D18="","",Prioritisation!$O18)</f>
        <v>4.04</v>
      </c>
      <c r="E351" s="87"/>
      <c r="F351" s="74" t="s">
        <v>273</v>
      </c>
      <c r="G351" s="74"/>
      <c r="H351" s="74"/>
      <c r="I351" s="88" t="str">
        <f aca="false">IF('Project Register'!$D18="","",TEXT(Prioritisation!$P18,"0")&amp;" of "&amp;TEXT(COUNTIF('Project Register'!$C$9:$C$38,"?*"),"0"))</f>
        <v>3 of 15</v>
      </c>
      <c r="J351" s="88"/>
      <c r="K351" s="82" t="s">
        <v>245</v>
      </c>
      <c r="L351" s="82"/>
      <c r="M351" s="89" t="str">
        <f aca="false">IF('Project Register'!$D18="","",Prioritisation!$Q18)</f>
        <v>High</v>
      </c>
      <c r="N351" s="89"/>
      <c r="O351" s="89"/>
    </row>
    <row r="352" customFormat="false" ht="2.25" hidden="false" customHeight="true" outlineLevel="0" collapsed="false"/>
    <row r="353" customFormat="false" ht="15.75" hidden="false" customHeight="true" outlineLevel="0" collapsed="false">
      <c r="B353" s="76" t="s">
        <v>274</v>
      </c>
      <c r="C353" s="76"/>
      <c r="D353" s="76"/>
      <c r="E353" s="76"/>
      <c r="F353" s="76"/>
      <c r="G353" s="76"/>
      <c r="H353" s="76"/>
      <c r="I353" s="76"/>
      <c r="J353" s="76"/>
      <c r="K353" s="76"/>
      <c r="L353" s="76"/>
      <c r="M353" s="76"/>
      <c r="N353" s="76"/>
      <c r="O353" s="76"/>
    </row>
    <row r="354" customFormat="false" ht="35.25" hidden="false" customHeight="true" outlineLevel="0" collapsed="false">
      <c r="B354" s="90" t="s">
        <v>275</v>
      </c>
      <c r="C354" s="90"/>
      <c r="D354" s="90"/>
      <c r="E354" s="91" t="s">
        <v>376</v>
      </c>
      <c r="F354" s="91"/>
      <c r="G354" s="91"/>
      <c r="H354" s="91"/>
      <c r="I354" s="91"/>
      <c r="J354" s="91"/>
      <c r="K354" s="91"/>
      <c r="L354" s="91"/>
      <c r="M354" s="91"/>
      <c r="N354" s="91"/>
      <c r="O354" s="91"/>
    </row>
    <row r="355" customFormat="false" ht="35.25" hidden="false" customHeight="true" outlineLevel="0" collapsed="false">
      <c r="B355" s="90" t="s">
        <v>277</v>
      </c>
      <c r="C355" s="90"/>
      <c r="D355" s="90"/>
      <c r="E355" s="91" t="s">
        <v>377</v>
      </c>
      <c r="F355" s="91"/>
      <c r="G355" s="91"/>
      <c r="H355" s="91"/>
      <c r="I355" s="91"/>
      <c r="J355" s="91"/>
      <c r="K355" s="91"/>
      <c r="L355" s="91"/>
      <c r="M355" s="91"/>
      <c r="N355" s="91"/>
      <c r="O355" s="91"/>
    </row>
    <row r="356" customFormat="false" ht="35.25" hidden="false" customHeight="true" outlineLevel="0" collapsed="false">
      <c r="B356" s="90" t="s">
        <v>279</v>
      </c>
      <c r="C356" s="90"/>
      <c r="D356" s="90"/>
      <c r="E356" s="91" t="s">
        <v>378</v>
      </c>
      <c r="F356" s="91"/>
      <c r="G356" s="91"/>
      <c r="H356" s="91"/>
      <c r="I356" s="91"/>
      <c r="J356" s="91"/>
      <c r="K356" s="91"/>
      <c r="L356" s="91"/>
      <c r="M356" s="91"/>
      <c r="N356" s="91"/>
      <c r="O356" s="91"/>
    </row>
    <row r="357" customFormat="false" ht="35.25" hidden="false" customHeight="true" outlineLevel="0" collapsed="false">
      <c r="B357" s="90" t="s">
        <v>281</v>
      </c>
      <c r="C357" s="90"/>
      <c r="D357" s="90"/>
      <c r="E357" s="91" t="s">
        <v>379</v>
      </c>
      <c r="F357" s="91"/>
      <c r="G357" s="91"/>
      <c r="H357" s="91"/>
      <c r="I357" s="91"/>
      <c r="J357" s="91"/>
      <c r="K357" s="91"/>
      <c r="L357" s="91"/>
      <c r="M357" s="91"/>
      <c r="N357" s="91"/>
      <c r="O357" s="91"/>
    </row>
    <row r="358" customFormat="false" ht="35.25" hidden="false" customHeight="true" outlineLevel="0" collapsed="false">
      <c r="B358" s="90" t="s">
        <v>283</v>
      </c>
      <c r="C358" s="90"/>
      <c r="D358" s="90"/>
      <c r="E358" s="91" t="s">
        <v>380</v>
      </c>
      <c r="F358" s="91"/>
      <c r="G358" s="91"/>
      <c r="H358" s="91"/>
      <c r="I358" s="91"/>
      <c r="J358" s="91"/>
      <c r="K358" s="91"/>
      <c r="L358" s="91"/>
      <c r="M358" s="91"/>
      <c r="N358" s="91"/>
      <c r="O358" s="91"/>
    </row>
    <row r="359" customFormat="false" ht="35.25" hidden="false" customHeight="true" outlineLevel="0" collapsed="false">
      <c r="B359" s="90" t="s">
        <v>285</v>
      </c>
      <c r="C359" s="90"/>
      <c r="D359" s="90"/>
      <c r="E359" s="91" t="s">
        <v>381</v>
      </c>
      <c r="F359" s="91"/>
      <c r="G359" s="91"/>
      <c r="H359" s="91"/>
      <c r="I359" s="91"/>
      <c r="J359" s="91"/>
      <c r="K359" s="91"/>
      <c r="L359" s="91"/>
      <c r="M359" s="91"/>
      <c r="N359" s="91"/>
      <c r="O359" s="91"/>
    </row>
    <row r="360" customFormat="false" ht="35.25" hidden="false" customHeight="true" outlineLevel="0" collapsed="false">
      <c r="B360" s="90" t="s">
        <v>287</v>
      </c>
      <c r="C360" s="90"/>
      <c r="D360" s="90"/>
      <c r="E360" s="91" t="s">
        <v>382</v>
      </c>
      <c r="F360" s="91"/>
      <c r="G360" s="91"/>
      <c r="H360" s="91"/>
      <c r="I360" s="91"/>
      <c r="J360" s="91"/>
      <c r="K360" s="91"/>
      <c r="L360" s="91"/>
      <c r="M360" s="91"/>
      <c r="N360" s="91"/>
      <c r="O360" s="91"/>
    </row>
    <row r="361" customFormat="false" ht="35.25" hidden="false" customHeight="true" outlineLevel="0" collapsed="false">
      <c r="B361" s="90" t="s">
        <v>289</v>
      </c>
      <c r="C361" s="90"/>
      <c r="D361" s="90"/>
      <c r="E361" s="91" t="s">
        <v>383</v>
      </c>
      <c r="F361" s="91"/>
      <c r="G361" s="91"/>
      <c r="H361" s="91"/>
      <c r="I361" s="91"/>
      <c r="J361" s="91"/>
      <c r="K361" s="91"/>
      <c r="L361" s="91"/>
      <c r="M361" s="91"/>
      <c r="N361" s="91"/>
      <c r="O361" s="91"/>
    </row>
    <row r="362" customFormat="false" ht="35.25" hidden="false" customHeight="true" outlineLevel="0" collapsed="false">
      <c r="B362" s="90" t="s">
        <v>291</v>
      </c>
      <c r="C362" s="90"/>
      <c r="D362" s="90"/>
      <c r="E362" s="91" t="s">
        <v>384</v>
      </c>
      <c r="F362" s="91"/>
      <c r="G362" s="91"/>
      <c r="H362" s="91"/>
      <c r="I362" s="91"/>
      <c r="J362" s="91"/>
      <c r="K362" s="91"/>
      <c r="L362" s="91"/>
      <c r="M362" s="91"/>
      <c r="N362" s="91"/>
      <c r="O362" s="91"/>
    </row>
    <row r="363" customFormat="false" ht="35.25" hidden="false" customHeight="true" outlineLevel="0" collapsed="false">
      <c r="B363" s="90" t="s">
        <v>293</v>
      </c>
      <c r="C363" s="90"/>
      <c r="D363" s="90"/>
      <c r="E363" s="91" t="s">
        <v>385</v>
      </c>
      <c r="F363" s="91"/>
      <c r="G363" s="91"/>
      <c r="H363" s="91"/>
      <c r="I363" s="91"/>
      <c r="J363" s="91"/>
      <c r="K363" s="91"/>
      <c r="L363" s="91"/>
      <c r="M363" s="91"/>
      <c r="N363" s="91"/>
      <c r="O363" s="91"/>
    </row>
    <row r="364" customFormat="false" ht="11.25" hidden="false" customHeight="true" outlineLevel="0" collapsed="false">
      <c r="B364" s="15" t="s">
        <v>295</v>
      </c>
      <c r="C364" s="15"/>
      <c r="D364" s="15"/>
      <c r="E364" s="15"/>
      <c r="F364" s="15"/>
      <c r="G364" s="15"/>
      <c r="H364" s="15"/>
      <c r="I364" s="15"/>
      <c r="J364" s="15"/>
      <c r="K364" s="15"/>
      <c r="L364" s="16" t="s">
        <v>40</v>
      </c>
      <c r="M364" s="16"/>
      <c r="N364" s="16"/>
      <c r="O364" s="16"/>
    </row>
    <row r="365" customFormat="false" ht="3" hidden="false" customHeight="true" outlineLevel="0" collapsed="false"/>
    <row r="366" customFormat="false" ht="27.75" hidden="false" customHeight="true" outlineLevel="0" collapsed="false">
      <c r="B366" s="57" t="s">
        <v>259</v>
      </c>
      <c r="C366" s="57"/>
      <c r="D366" s="57"/>
      <c r="E366" s="57"/>
      <c r="F366" s="69" t="str">
        <f aca="false">IF('Project Register'!$D19="","",'Project Register'!$C19)</f>
        <v>CIP-011</v>
      </c>
      <c r="G366" s="69"/>
      <c r="H366" s="70" t="str">
        <f aca="false">IF('Project Register'!$D19="","",'Project Register'!$D19)</f>
        <v>Land acquisition - eastern growth corridor</v>
      </c>
      <c r="I366" s="70"/>
      <c r="J366" s="70"/>
      <c r="K366" s="70"/>
      <c r="L366" s="70"/>
      <c r="M366" s="70"/>
      <c r="N366" s="70"/>
      <c r="O366" s="70"/>
      <c r="R366" s="71" t="str">
        <f aca="false">IF('Project Register'!$D19="","",'Project Register'!$C19)</f>
        <v>CIP-011</v>
      </c>
      <c r="S366" s="72" t="n">
        <f aca="false">COUNTIF($E$390:$E$399,"?*")</f>
        <v>10</v>
      </c>
    </row>
    <row r="367" customFormat="false" ht="24.75" hidden="false" customHeight="true" outlineLevel="0" collapsed="false">
      <c r="B367" s="73" t="str">
        <f aca="false">IF('Project Register'!$D19="","No project on register row 11. Fill that row in on the Project Register and this block writes its own heading.",'Project Register'!$E19)</f>
        <v>Acquire four parcels for the future arterial and drainage reserve ahead of development.</v>
      </c>
      <c r="C367" s="73"/>
      <c r="D367" s="73"/>
      <c r="E367" s="73"/>
      <c r="F367" s="73"/>
      <c r="G367" s="73"/>
      <c r="H367" s="73"/>
      <c r="I367" s="73"/>
      <c r="J367" s="73"/>
      <c r="K367" s="73"/>
      <c r="L367" s="73"/>
      <c r="M367" s="73"/>
      <c r="N367" s="73"/>
      <c r="O367" s="73"/>
    </row>
    <row r="368" customFormat="false" ht="13.5" hidden="false" customHeight="true" outlineLevel="0" collapsed="false">
      <c r="B368" s="74" t="s">
        <v>130</v>
      </c>
      <c r="C368" s="74"/>
      <c r="D368" s="74"/>
      <c r="E368" s="75" t="str">
        <f aca="false">IF('Project Register'!$D19="","",'Project Register'!$F19)</f>
        <v>Land</v>
      </c>
      <c r="F368" s="75"/>
      <c r="G368" s="75"/>
      <c r="H368" s="75"/>
      <c r="I368" s="74" t="s">
        <v>131</v>
      </c>
      <c r="J368" s="74"/>
      <c r="K368" s="74"/>
      <c r="L368" s="75" t="str">
        <f aca="false">IF('Project Register'!$D19="","",'Project Register'!$G19)</f>
        <v>Land holding</v>
      </c>
      <c r="M368" s="75"/>
      <c r="N368" s="75"/>
      <c r="O368" s="75"/>
    </row>
    <row r="369" customFormat="false" ht="13.5" hidden="false" customHeight="true" outlineLevel="0" collapsed="false">
      <c r="B369" s="74" t="s">
        <v>132</v>
      </c>
      <c r="C369" s="74"/>
      <c r="D369" s="74"/>
      <c r="E369" s="75" t="str">
        <f aca="false">IF('Project Register'!$D19="","",'Project Register'!$H19)</f>
        <v>Corporate services</v>
      </c>
      <c r="F369" s="75"/>
      <c r="G369" s="75"/>
      <c r="H369" s="75"/>
      <c r="I369" s="74" t="s">
        <v>135</v>
      </c>
      <c r="J369" s="74"/>
      <c r="K369" s="74"/>
      <c r="L369" s="75" t="str">
        <f aca="false">IF('Project Register'!$D19="","",'Project Register'!$K19)</f>
        <v>L. Fenwick</v>
      </c>
      <c r="M369" s="75"/>
      <c r="N369" s="75"/>
      <c r="O369" s="75"/>
    </row>
    <row r="370" customFormat="false" ht="13.5" hidden="false" customHeight="true" outlineLevel="0" collapsed="false">
      <c r="B370" s="74" t="s">
        <v>260</v>
      </c>
      <c r="C370" s="74"/>
      <c r="D370" s="74"/>
      <c r="E370" s="75" t="str">
        <f aca="false">IF('Project Register'!$D19="","",'Project Register'!$I19)</f>
        <v>Growth</v>
      </c>
      <c r="F370" s="75"/>
      <c r="G370" s="75"/>
      <c r="H370" s="75"/>
      <c r="I370" s="74" t="s">
        <v>134</v>
      </c>
      <c r="J370" s="74"/>
      <c r="K370" s="74"/>
      <c r="L370" s="75" t="str">
        <f aca="false">IF('Project Register'!$D19="","",'Project Register'!$J19)</f>
        <v>Approved</v>
      </c>
      <c r="M370" s="75"/>
      <c r="N370" s="75"/>
      <c r="O370" s="75"/>
    </row>
    <row r="371" customFormat="false" ht="2.25" hidden="false" customHeight="true" outlineLevel="0" collapsed="false"/>
    <row r="372" customFormat="false" ht="15.75" hidden="false" customHeight="true" outlineLevel="0" collapsed="false">
      <c r="B372" s="76" t="s">
        <v>117</v>
      </c>
      <c r="C372" s="76"/>
      <c r="D372" s="76"/>
      <c r="E372" s="76"/>
      <c r="F372" s="76"/>
      <c r="G372" s="76"/>
      <c r="H372" s="76"/>
      <c r="I372" s="76"/>
      <c r="J372" s="76"/>
      <c r="K372" s="76"/>
      <c r="L372" s="76"/>
      <c r="M372" s="76"/>
      <c r="N372" s="76"/>
      <c r="O372" s="76"/>
    </row>
    <row r="373" customFormat="false" ht="17.25" hidden="false" customHeight="true" outlineLevel="0" collapsed="false">
      <c r="B373" s="74" t="s">
        <v>136</v>
      </c>
      <c r="C373" s="74"/>
      <c r="D373" s="74"/>
      <c r="E373" s="74"/>
      <c r="F373" s="77" t="n">
        <f aca="false">IF('Project Register'!$D19="","",'Project Register'!$L19)</f>
        <v>7500000</v>
      </c>
      <c r="G373" s="77"/>
      <c r="H373" s="77"/>
      <c r="I373" s="74" t="s">
        <v>137</v>
      </c>
      <c r="J373" s="74"/>
      <c r="K373" s="74"/>
      <c r="L373" s="74"/>
      <c r="M373" s="77" t="n">
        <f aca="false">IF('Project Register'!$D19="","",'Project Register'!$M19)</f>
        <v>0</v>
      </c>
      <c r="N373" s="77"/>
      <c r="O373" s="77"/>
    </row>
    <row r="374" customFormat="false" ht="13.5" hidden="false" customHeight="true" outlineLevel="0" collapsed="false">
      <c r="B374" s="74" t="s">
        <v>261</v>
      </c>
      <c r="C374" s="74"/>
      <c r="D374" s="74"/>
      <c r="E374" s="74"/>
      <c r="F374" s="78" t="n">
        <f aca="false">IF('Project Register'!$D19="","",'Project Register'!$N19)</f>
        <v>7500000</v>
      </c>
      <c r="G374" s="78"/>
      <c r="H374" s="78"/>
      <c r="I374" s="74" t="s">
        <v>262</v>
      </c>
      <c r="J374" s="74"/>
      <c r="K374" s="74"/>
      <c r="L374" s="74"/>
      <c r="M374" s="79" t="n">
        <f aca="false">IF('Project Register'!$D19="","",'Project Register'!$AD19)</f>
        <v>7657500</v>
      </c>
      <c r="N374" s="79"/>
      <c r="O374" s="79"/>
    </row>
    <row r="375" customFormat="false" ht="13.5" hidden="false" customHeight="true" outlineLevel="0" collapsed="false">
      <c r="B375" s="74" t="s">
        <v>263</v>
      </c>
      <c r="C375" s="74"/>
      <c r="D375" s="74"/>
      <c r="E375" s="74"/>
      <c r="F375" s="78" t="n">
        <f aca="false">IF('Project Register'!$D19="","",'Project Register'!$AC19)</f>
        <v>0</v>
      </c>
      <c r="G375" s="78"/>
      <c r="H375" s="78"/>
      <c r="I375" s="74" t="s">
        <v>264</v>
      </c>
      <c r="J375" s="74"/>
      <c r="K375" s="74"/>
      <c r="L375" s="74"/>
      <c r="M375" s="78" t="n">
        <f aca="false">IF('Project Register'!$D19="","",'Project Register'!$AE19)</f>
        <v>7657500</v>
      </c>
      <c r="N375" s="78"/>
      <c r="O375" s="78"/>
    </row>
    <row r="376" customFormat="false" ht="13.5" hidden="false" customHeight="true" outlineLevel="0" collapsed="false">
      <c r="B376" s="80" t="s">
        <v>265</v>
      </c>
      <c r="C376" s="80"/>
      <c r="D376" s="81" t="str">
        <f aca="false">Setup!$C$23</f>
        <v>FY2027</v>
      </c>
      <c r="E376" s="81"/>
      <c r="F376" s="81" t="str">
        <f aca="false">Setup!$D$23</f>
        <v>FY2028</v>
      </c>
      <c r="G376" s="81"/>
      <c r="H376" s="81" t="str">
        <f aca="false">Setup!$E$23</f>
        <v>FY2029</v>
      </c>
      <c r="I376" s="81"/>
      <c r="J376" s="81" t="str">
        <f aca="false">Setup!$F$23</f>
        <v>FY2030</v>
      </c>
      <c r="K376" s="81"/>
      <c r="L376" s="81" t="str">
        <f aca="false">Setup!$G$23</f>
        <v>FY2031</v>
      </c>
      <c r="M376" s="81"/>
      <c r="N376" s="81" t="str">
        <f aca="false">Setup!$H$23</f>
        <v>Beyond FY2031</v>
      </c>
      <c r="O376" s="81"/>
    </row>
    <row r="377" customFormat="false" ht="13.5" hidden="false" customHeight="true" outlineLevel="0" collapsed="false">
      <c r="B377" s="82" t="s">
        <v>266</v>
      </c>
      <c r="C377" s="82"/>
      <c r="D377" s="78" t="n">
        <f aca="false">IF('Project Register'!$D19="","",'Project Register'!$O19)</f>
        <v>3000000</v>
      </c>
      <c r="E377" s="78"/>
      <c r="F377" s="78" t="n">
        <f aca="false">IF('Project Register'!$D19="","",'Project Register'!$P19)</f>
        <v>4500000</v>
      </c>
      <c r="G377" s="78"/>
      <c r="H377" s="78" t="n">
        <f aca="false">IF('Project Register'!$D19="","",'Project Register'!$Q19)</f>
        <v>0</v>
      </c>
      <c r="I377" s="78"/>
      <c r="J377" s="78" t="n">
        <f aca="false">IF('Project Register'!$D19="","",'Project Register'!$R19)</f>
        <v>0</v>
      </c>
      <c r="K377" s="78"/>
      <c r="L377" s="78" t="n">
        <f aca="false">IF('Project Register'!$D19="","",'Project Register'!$S19)</f>
        <v>0</v>
      </c>
      <c r="M377" s="78"/>
      <c r="N377" s="78" t="n">
        <f aca="false">IF('Project Register'!$D19="","",'Project Register'!$T19)</f>
        <v>0</v>
      </c>
      <c r="O377" s="78"/>
    </row>
    <row r="378" customFormat="false" ht="13.5" hidden="false" customHeight="true" outlineLevel="0" collapsed="false">
      <c r="B378" s="82" t="s">
        <v>267</v>
      </c>
      <c r="C378" s="82"/>
      <c r="D378" s="79" t="n">
        <f aca="false">IF('Project Register'!$D19="","",'Project Register'!$X19)</f>
        <v>3000000</v>
      </c>
      <c r="E378" s="79"/>
      <c r="F378" s="79" t="n">
        <f aca="false">IF('Project Register'!$D19="","",'Project Register'!$Y19)</f>
        <v>4657500</v>
      </c>
      <c r="G378" s="79"/>
      <c r="H378" s="79" t="n">
        <f aca="false">IF('Project Register'!$D19="","",'Project Register'!$Z19)</f>
        <v>0</v>
      </c>
      <c r="I378" s="79"/>
      <c r="J378" s="79" t="n">
        <f aca="false">IF('Project Register'!$D19="","",'Project Register'!$AA19)</f>
        <v>0</v>
      </c>
      <c r="K378" s="79"/>
      <c r="L378" s="79" t="n">
        <f aca="false">IF('Project Register'!$D19="","",'Project Register'!$AB19)</f>
        <v>0</v>
      </c>
      <c r="M378" s="79"/>
      <c r="N378" s="79" t="n">
        <f aca="false">IF('Project Register'!$D19="","",'Project Register'!$AC19)</f>
        <v>0</v>
      </c>
      <c r="O378" s="79"/>
    </row>
    <row r="379" customFormat="false" ht="2.25" hidden="false" customHeight="true" outlineLevel="0" collapsed="false"/>
    <row r="380" customFormat="false" ht="15.75" hidden="false" customHeight="true" outlineLevel="0" collapsed="false">
      <c r="B380" s="76" t="s">
        <v>268</v>
      </c>
      <c r="C380" s="76"/>
      <c r="D380" s="76"/>
      <c r="E380" s="76"/>
      <c r="F380" s="76"/>
      <c r="G380" s="76"/>
      <c r="H380" s="76"/>
      <c r="I380" s="76"/>
      <c r="J380" s="76"/>
      <c r="K380" s="76"/>
      <c r="L380" s="76"/>
      <c r="M380" s="76"/>
      <c r="N380" s="76"/>
      <c r="O380" s="76"/>
    </row>
    <row r="381" customFormat="false" ht="13.5" hidden="false" customHeight="true" outlineLevel="0" collapsed="false">
      <c r="B381" s="80" t="s">
        <v>269</v>
      </c>
      <c r="C381" s="80"/>
      <c r="D381" s="80"/>
      <c r="E381" s="80"/>
      <c r="F381" s="80"/>
      <c r="G381" s="80"/>
      <c r="H381" s="29" t="s">
        <v>145</v>
      </c>
      <c r="I381" s="29"/>
      <c r="J381" s="29"/>
      <c r="K381" s="83" t="s">
        <v>270</v>
      </c>
      <c r="L381" s="83"/>
      <c r="M381" s="83"/>
      <c r="N381" s="83"/>
      <c r="O381" s="83"/>
    </row>
    <row r="382" customFormat="false" ht="13.5" hidden="false" customHeight="true" outlineLevel="0" collapsed="false">
      <c r="B382" s="75" t="str">
        <f aca="false">IF('Project Register'!$D19="","",IF('Project Register'!$AF19="","-",'Project Register'!$AF19))</f>
        <v>Developer contributions</v>
      </c>
      <c r="C382" s="75"/>
      <c r="D382" s="75"/>
      <c r="E382" s="75"/>
      <c r="F382" s="75"/>
      <c r="G382" s="75"/>
      <c r="H382" s="84" t="n">
        <f aca="false">IF('Project Register'!$D19="","",'Project Register'!$AG19)</f>
        <v>0.6</v>
      </c>
      <c r="I382" s="84"/>
      <c r="J382" s="84"/>
      <c r="K382" s="78" t="n">
        <f aca="false">IF('Project Register'!$D19="","",'Project Register'!$AD19*'Project Register'!$AG19)</f>
        <v>4594500</v>
      </c>
      <c r="L382" s="78"/>
      <c r="M382" s="78"/>
      <c r="N382" s="78"/>
      <c r="O382" s="78"/>
    </row>
    <row r="383" customFormat="false" ht="13.5" hidden="false" customHeight="true" outlineLevel="0" collapsed="false">
      <c r="B383" s="75" t="str">
        <f aca="false">IF('Project Register'!$D19="","",IF('Project Register'!$AH19="","-",'Project Register'!$AH19))</f>
        <v>Asset sales</v>
      </c>
      <c r="C383" s="75"/>
      <c r="D383" s="75"/>
      <c r="E383" s="75"/>
      <c r="F383" s="75"/>
      <c r="G383" s="75"/>
      <c r="H383" s="84" t="n">
        <f aca="false">IF('Project Register'!$D19="","",'Project Register'!$AI19)</f>
        <v>0.4</v>
      </c>
      <c r="I383" s="84"/>
      <c r="J383" s="84"/>
      <c r="K383" s="78" t="n">
        <f aca="false">IF('Project Register'!$D19="","",'Project Register'!$AD19*'Project Register'!$AI19)</f>
        <v>3063000</v>
      </c>
      <c r="L383" s="78"/>
      <c r="M383" s="78"/>
      <c r="N383" s="78"/>
      <c r="O383" s="78"/>
    </row>
    <row r="384" customFormat="false" ht="13.5" hidden="false" customHeight="true" outlineLevel="0" collapsed="false">
      <c r="B384" s="85" t="s">
        <v>271</v>
      </c>
      <c r="C384" s="85"/>
      <c r="D384" s="85"/>
      <c r="E384" s="85"/>
      <c r="F384" s="85"/>
      <c r="G384" s="85"/>
      <c r="H384" s="86" t="n">
        <f aca="false">IF('Project Register'!$D19="","",'Project Register'!$AJ19)</f>
        <v>0</v>
      </c>
      <c r="I384" s="86"/>
      <c r="J384" s="86"/>
      <c r="K384" s="79" t="n">
        <f aca="false">IF('Project Register'!$D19="","",'Project Register'!$AL19)</f>
        <v>0</v>
      </c>
      <c r="L384" s="79"/>
      <c r="M384" s="79"/>
      <c r="N384" s="79"/>
      <c r="O384" s="79"/>
    </row>
    <row r="385" customFormat="false" ht="2.25" hidden="false" customHeight="true" outlineLevel="0" collapsed="false"/>
    <row r="386" customFormat="false" ht="15.75" hidden="false" customHeight="true" outlineLevel="0" collapsed="false">
      <c r="B386" s="76" t="s">
        <v>272</v>
      </c>
      <c r="C386" s="76"/>
      <c r="D386" s="76"/>
      <c r="E386" s="76"/>
      <c r="F386" s="76"/>
      <c r="G386" s="76"/>
      <c r="H386" s="76"/>
      <c r="I386" s="76"/>
      <c r="J386" s="76"/>
      <c r="K386" s="76"/>
      <c r="L386" s="76"/>
      <c r="M386" s="76"/>
      <c r="N386" s="76"/>
      <c r="O386" s="76"/>
    </row>
    <row r="387" customFormat="false" ht="17.25" hidden="false" customHeight="true" outlineLevel="0" collapsed="false">
      <c r="B387" s="74" t="s">
        <v>243</v>
      </c>
      <c r="C387" s="74"/>
      <c r="D387" s="87" t="n">
        <f aca="false">IF('Project Register'!$D19="","",Prioritisation!$O19)</f>
        <v>3.54</v>
      </c>
      <c r="E387" s="87"/>
      <c r="F387" s="74" t="s">
        <v>273</v>
      </c>
      <c r="G387" s="74"/>
      <c r="H387" s="74"/>
      <c r="I387" s="88" t="str">
        <f aca="false">IF('Project Register'!$D19="","",TEXT(Prioritisation!$P19,"0")&amp;" of "&amp;TEXT(COUNTIF('Project Register'!$C$9:$C$38,"?*"),"0"))</f>
        <v>9 of 15</v>
      </c>
      <c r="J387" s="88"/>
      <c r="K387" s="82" t="s">
        <v>245</v>
      </c>
      <c r="L387" s="82"/>
      <c r="M387" s="89" t="str">
        <f aca="false">IF('Project Register'!$D19="","",Prioritisation!$Q19)</f>
        <v>High</v>
      </c>
      <c r="N387" s="89"/>
      <c r="O387" s="89"/>
    </row>
    <row r="388" customFormat="false" ht="2.25" hidden="false" customHeight="true" outlineLevel="0" collapsed="false"/>
    <row r="389" customFormat="false" ht="15.75" hidden="false" customHeight="true" outlineLevel="0" collapsed="false">
      <c r="B389" s="76" t="s">
        <v>274</v>
      </c>
      <c r="C389" s="76"/>
      <c r="D389" s="76"/>
      <c r="E389" s="76"/>
      <c r="F389" s="76"/>
      <c r="G389" s="76"/>
      <c r="H389" s="76"/>
      <c r="I389" s="76"/>
      <c r="J389" s="76"/>
      <c r="K389" s="76"/>
      <c r="L389" s="76"/>
      <c r="M389" s="76"/>
      <c r="N389" s="76"/>
      <c r="O389" s="76"/>
    </row>
    <row r="390" customFormat="false" ht="35.25" hidden="false" customHeight="true" outlineLevel="0" collapsed="false">
      <c r="B390" s="90" t="s">
        <v>275</v>
      </c>
      <c r="C390" s="90"/>
      <c r="D390" s="90"/>
      <c r="E390" s="91" t="s">
        <v>386</v>
      </c>
      <c r="F390" s="91"/>
      <c r="G390" s="91"/>
      <c r="H390" s="91"/>
      <c r="I390" s="91"/>
      <c r="J390" s="91"/>
      <c r="K390" s="91"/>
      <c r="L390" s="91"/>
      <c r="M390" s="91"/>
      <c r="N390" s="91"/>
      <c r="O390" s="91"/>
    </row>
    <row r="391" customFormat="false" ht="35.25" hidden="false" customHeight="true" outlineLevel="0" collapsed="false">
      <c r="B391" s="90" t="s">
        <v>277</v>
      </c>
      <c r="C391" s="90"/>
      <c r="D391" s="90"/>
      <c r="E391" s="91" t="s">
        <v>387</v>
      </c>
      <c r="F391" s="91"/>
      <c r="G391" s="91"/>
      <c r="H391" s="91"/>
      <c r="I391" s="91"/>
      <c r="J391" s="91"/>
      <c r="K391" s="91"/>
      <c r="L391" s="91"/>
      <c r="M391" s="91"/>
      <c r="N391" s="91"/>
      <c r="O391" s="91"/>
    </row>
    <row r="392" customFormat="false" ht="35.25" hidden="false" customHeight="true" outlineLevel="0" collapsed="false">
      <c r="B392" s="90" t="s">
        <v>279</v>
      </c>
      <c r="C392" s="90"/>
      <c r="D392" s="90"/>
      <c r="E392" s="91" t="s">
        <v>388</v>
      </c>
      <c r="F392" s="91"/>
      <c r="G392" s="91"/>
      <c r="H392" s="91"/>
      <c r="I392" s="91"/>
      <c r="J392" s="91"/>
      <c r="K392" s="91"/>
      <c r="L392" s="91"/>
      <c r="M392" s="91"/>
      <c r="N392" s="91"/>
      <c r="O392" s="91"/>
    </row>
    <row r="393" customFormat="false" ht="35.25" hidden="false" customHeight="true" outlineLevel="0" collapsed="false">
      <c r="B393" s="90" t="s">
        <v>281</v>
      </c>
      <c r="C393" s="90"/>
      <c r="D393" s="90"/>
      <c r="E393" s="91" t="s">
        <v>389</v>
      </c>
      <c r="F393" s="91"/>
      <c r="G393" s="91"/>
      <c r="H393" s="91"/>
      <c r="I393" s="91"/>
      <c r="J393" s="91"/>
      <c r="K393" s="91"/>
      <c r="L393" s="91"/>
      <c r="M393" s="91"/>
      <c r="N393" s="91"/>
      <c r="O393" s="91"/>
    </row>
    <row r="394" customFormat="false" ht="35.25" hidden="false" customHeight="true" outlineLevel="0" collapsed="false">
      <c r="B394" s="90" t="s">
        <v>283</v>
      </c>
      <c r="C394" s="90"/>
      <c r="D394" s="90"/>
      <c r="E394" s="91" t="s">
        <v>390</v>
      </c>
      <c r="F394" s="91"/>
      <c r="G394" s="91"/>
      <c r="H394" s="91"/>
      <c r="I394" s="91"/>
      <c r="J394" s="91"/>
      <c r="K394" s="91"/>
      <c r="L394" s="91"/>
      <c r="M394" s="91"/>
      <c r="N394" s="91"/>
      <c r="O394" s="91"/>
    </row>
    <row r="395" customFormat="false" ht="35.25" hidden="false" customHeight="true" outlineLevel="0" collapsed="false">
      <c r="B395" s="90" t="s">
        <v>285</v>
      </c>
      <c r="C395" s="90"/>
      <c r="D395" s="90"/>
      <c r="E395" s="91" t="s">
        <v>391</v>
      </c>
      <c r="F395" s="91"/>
      <c r="G395" s="91"/>
      <c r="H395" s="91"/>
      <c r="I395" s="91"/>
      <c r="J395" s="91"/>
      <c r="K395" s="91"/>
      <c r="L395" s="91"/>
      <c r="M395" s="91"/>
      <c r="N395" s="91"/>
      <c r="O395" s="91"/>
    </row>
    <row r="396" customFormat="false" ht="35.25" hidden="false" customHeight="true" outlineLevel="0" collapsed="false">
      <c r="B396" s="90" t="s">
        <v>287</v>
      </c>
      <c r="C396" s="90"/>
      <c r="D396" s="90"/>
      <c r="E396" s="91" t="s">
        <v>392</v>
      </c>
      <c r="F396" s="91"/>
      <c r="G396" s="91"/>
      <c r="H396" s="91"/>
      <c r="I396" s="91"/>
      <c r="J396" s="91"/>
      <c r="K396" s="91"/>
      <c r="L396" s="91"/>
      <c r="M396" s="91"/>
      <c r="N396" s="91"/>
      <c r="O396" s="91"/>
    </row>
    <row r="397" customFormat="false" ht="35.25" hidden="false" customHeight="true" outlineLevel="0" collapsed="false">
      <c r="B397" s="90" t="s">
        <v>289</v>
      </c>
      <c r="C397" s="90"/>
      <c r="D397" s="90"/>
      <c r="E397" s="91" t="s">
        <v>393</v>
      </c>
      <c r="F397" s="91"/>
      <c r="G397" s="91"/>
      <c r="H397" s="91"/>
      <c r="I397" s="91"/>
      <c r="J397" s="91"/>
      <c r="K397" s="91"/>
      <c r="L397" s="91"/>
      <c r="M397" s="91"/>
      <c r="N397" s="91"/>
      <c r="O397" s="91"/>
    </row>
    <row r="398" customFormat="false" ht="35.25" hidden="false" customHeight="true" outlineLevel="0" collapsed="false">
      <c r="B398" s="90" t="s">
        <v>291</v>
      </c>
      <c r="C398" s="90"/>
      <c r="D398" s="90"/>
      <c r="E398" s="91" t="s">
        <v>394</v>
      </c>
      <c r="F398" s="91"/>
      <c r="G398" s="91"/>
      <c r="H398" s="91"/>
      <c r="I398" s="91"/>
      <c r="J398" s="91"/>
      <c r="K398" s="91"/>
      <c r="L398" s="91"/>
      <c r="M398" s="91"/>
      <c r="N398" s="91"/>
      <c r="O398" s="91"/>
    </row>
    <row r="399" customFormat="false" ht="35.25" hidden="false" customHeight="true" outlineLevel="0" collapsed="false">
      <c r="B399" s="90" t="s">
        <v>293</v>
      </c>
      <c r="C399" s="90"/>
      <c r="D399" s="90"/>
      <c r="E399" s="91" t="s">
        <v>395</v>
      </c>
      <c r="F399" s="91"/>
      <c r="G399" s="91"/>
      <c r="H399" s="91"/>
      <c r="I399" s="91"/>
      <c r="J399" s="91"/>
      <c r="K399" s="91"/>
      <c r="L399" s="91"/>
      <c r="M399" s="91"/>
      <c r="N399" s="91"/>
      <c r="O399" s="91"/>
    </row>
    <row r="400" customFormat="false" ht="11.25" hidden="false" customHeight="true" outlineLevel="0" collapsed="false">
      <c r="B400" s="15" t="s">
        <v>295</v>
      </c>
      <c r="C400" s="15"/>
      <c r="D400" s="15"/>
      <c r="E400" s="15"/>
      <c r="F400" s="15"/>
      <c r="G400" s="15"/>
      <c r="H400" s="15"/>
      <c r="I400" s="15"/>
      <c r="J400" s="15"/>
      <c r="K400" s="15"/>
      <c r="L400" s="16" t="s">
        <v>40</v>
      </c>
      <c r="M400" s="16"/>
      <c r="N400" s="16"/>
      <c r="O400" s="16"/>
    </row>
    <row r="401" customFormat="false" ht="3" hidden="false" customHeight="true" outlineLevel="0" collapsed="false"/>
    <row r="402" customFormat="false" ht="27.75" hidden="false" customHeight="true" outlineLevel="0" collapsed="false">
      <c r="B402" s="57" t="s">
        <v>259</v>
      </c>
      <c r="C402" s="57"/>
      <c r="D402" s="57"/>
      <c r="E402" s="57"/>
      <c r="F402" s="69" t="str">
        <f aca="false">IF('Project Register'!$D20="","",'Project Register'!$C20)</f>
        <v>CIP-012</v>
      </c>
      <c r="G402" s="69"/>
      <c r="H402" s="70" t="str">
        <f aca="false">IF('Project Register'!$D20="","",'Project Register'!$D20)</f>
        <v>Library and learning hub fit-out</v>
      </c>
      <c r="I402" s="70"/>
      <c r="J402" s="70"/>
      <c r="K402" s="70"/>
      <c r="L402" s="70"/>
      <c r="M402" s="70"/>
      <c r="N402" s="70"/>
      <c r="O402" s="70"/>
      <c r="R402" s="71" t="str">
        <f aca="false">IF('Project Register'!$D20="","",'Project Register'!$C20)</f>
        <v>CIP-012</v>
      </c>
      <c r="S402" s="72" t="n">
        <f aca="false">COUNTIF($E$426:$E$435,"?*")</f>
        <v>10</v>
      </c>
    </row>
    <row r="403" customFormat="false" ht="24.75" hidden="false" customHeight="true" outlineLevel="0" collapsed="false">
      <c r="B403" s="73" t="str">
        <f aca="false">IF('Project Register'!$D20="","No project on register row 12. Fill that row in on the Project Register and this block writes its own heading.",'Project Register'!$E20)</f>
        <v>Fit-out of leased floor space as a branch library. Deferred pending a decision on the lease.</v>
      </c>
      <c r="C403" s="73"/>
      <c r="D403" s="73"/>
      <c r="E403" s="73"/>
      <c r="F403" s="73"/>
      <c r="G403" s="73"/>
      <c r="H403" s="73"/>
      <c r="I403" s="73"/>
      <c r="J403" s="73"/>
      <c r="K403" s="73"/>
      <c r="L403" s="73"/>
      <c r="M403" s="73"/>
      <c r="N403" s="73"/>
      <c r="O403" s="73"/>
    </row>
    <row r="404" customFormat="false" ht="13.5" hidden="false" customHeight="true" outlineLevel="0" collapsed="false">
      <c r="B404" s="74" t="s">
        <v>130</v>
      </c>
      <c r="C404" s="74"/>
      <c r="D404" s="74"/>
      <c r="E404" s="75" t="str">
        <f aca="false">IF('Project Register'!$D20="","",'Project Register'!$F20)</f>
        <v>Buildings</v>
      </c>
      <c r="F404" s="75"/>
      <c r="G404" s="75"/>
      <c r="H404" s="75"/>
      <c r="I404" s="74" t="s">
        <v>131</v>
      </c>
      <c r="J404" s="74"/>
      <c r="K404" s="74"/>
      <c r="L404" s="75" t="str">
        <f aca="false">IF('Project Register'!$D20="","",'Project Register'!$G20)</f>
        <v>Building - community</v>
      </c>
      <c r="M404" s="75"/>
      <c r="N404" s="75"/>
      <c r="O404" s="75"/>
    </row>
    <row r="405" customFormat="false" ht="13.5" hidden="false" customHeight="true" outlineLevel="0" collapsed="false">
      <c r="B405" s="74" t="s">
        <v>132</v>
      </c>
      <c r="C405" s="74"/>
      <c r="D405" s="74"/>
      <c r="E405" s="75" t="str">
        <f aca="false">IF('Project Register'!$D20="","",'Project Register'!$H20)</f>
        <v>Community services</v>
      </c>
      <c r="F405" s="75"/>
      <c r="G405" s="75"/>
      <c r="H405" s="75"/>
      <c r="I405" s="74" t="s">
        <v>135</v>
      </c>
      <c r="J405" s="74"/>
      <c r="K405" s="74"/>
      <c r="L405" s="75" t="str">
        <f aca="false">IF('Project Register'!$D20="","",'Project Register'!$K20)</f>
        <v>S. Duarte</v>
      </c>
      <c r="M405" s="75"/>
      <c r="N405" s="75"/>
      <c r="O405" s="75"/>
    </row>
    <row r="406" customFormat="false" ht="13.5" hidden="false" customHeight="true" outlineLevel="0" collapsed="false">
      <c r="B406" s="74" t="s">
        <v>260</v>
      </c>
      <c r="C406" s="74"/>
      <c r="D406" s="74"/>
      <c r="E406" s="75" t="str">
        <f aca="false">IF('Project Register'!$D20="","",'Project Register'!$I20)</f>
        <v>Service improvement</v>
      </c>
      <c r="F406" s="75"/>
      <c r="G406" s="75"/>
      <c r="H406" s="75"/>
      <c r="I406" s="74" t="s">
        <v>134</v>
      </c>
      <c r="J406" s="74"/>
      <c r="K406" s="74"/>
      <c r="L406" s="75" t="str">
        <f aca="false">IF('Project Register'!$D20="","",'Project Register'!$J20)</f>
        <v>Deferred</v>
      </c>
      <c r="M406" s="75"/>
      <c r="N406" s="75"/>
      <c r="O406" s="75"/>
    </row>
    <row r="407" customFormat="false" ht="2.25" hidden="false" customHeight="true" outlineLevel="0" collapsed="false"/>
    <row r="408" customFormat="false" ht="15.75" hidden="false" customHeight="true" outlineLevel="0" collapsed="false">
      <c r="B408" s="76" t="s">
        <v>117</v>
      </c>
      <c r="C408" s="76"/>
      <c r="D408" s="76"/>
      <c r="E408" s="76"/>
      <c r="F408" s="76"/>
      <c r="G408" s="76"/>
      <c r="H408" s="76"/>
      <c r="I408" s="76"/>
      <c r="J408" s="76"/>
      <c r="K408" s="76"/>
      <c r="L408" s="76"/>
      <c r="M408" s="76"/>
      <c r="N408" s="76"/>
      <c r="O408" s="76"/>
    </row>
    <row r="409" customFormat="false" ht="17.25" hidden="false" customHeight="true" outlineLevel="0" collapsed="false">
      <c r="B409" s="74" t="s">
        <v>136</v>
      </c>
      <c r="C409" s="74"/>
      <c r="D409" s="74"/>
      <c r="E409" s="74"/>
      <c r="F409" s="77" t="n">
        <f aca="false">IF('Project Register'!$D20="","",'Project Register'!$L20)</f>
        <v>5400000</v>
      </c>
      <c r="G409" s="77"/>
      <c r="H409" s="77"/>
      <c r="I409" s="74" t="s">
        <v>137</v>
      </c>
      <c r="J409" s="74"/>
      <c r="K409" s="74"/>
      <c r="L409" s="74"/>
      <c r="M409" s="77" t="n">
        <f aca="false">IF('Project Register'!$D20="","",'Project Register'!$M20)</f>
        <v>0</v>
      </c>
      <c r="N409" s="77"/>
      <c r="O409" s="77"/>
    </row>
    <row r="410" customFormat="false" ht="13.5" hidden="false" customHeight="true" outlineLevel="0" collapsed="false">
      <c r="B410" s="74" t="s">
        <v>261</v>
      </c>
      <c r="C410" s="74"/>
      <c r="D410" s="74"/>
      <c r="E410" s="74"/>
      <c r="F410" s="78" t="n">
        <f aca="false">IF('Project Register'!$D20="","",'Project Register'!$N20)</f>
        <v>5400000</v>
      </c>
      <c r="G410" s="78"/>
      <c r="H410" s="78"/>
      <c r="I410" s="74" t="s">
        <v>262</v>
      </c>
      <c r="J410" s="74"/>
      <c r="K410" s="74"/>
      <c r="L410" s="74"/>
      <c r="M410" s="79" t="n">
        <f aca="false">IF('Project Register'!$D20="","",'Project Register'!$AD20)</f>
        <v>6142297.0275</v>
      </c>
      <c r="N410" s="79"/>
      <c r="O410" s="79"/>
    </row>
    <row r="411" customFormat="false" ht="13.5" hidden="false" customHeight="true" outlineLevel="0" collapsed="false">
      <c r="B411" s="74" t="s">
        <v>263</v>
      </c>
      <c r="C411" s="74"/>
      <c r="D411" s="74"/>
      <c r="E411" s="74"/>
      <c r="F411" s="78" t="n">
        <f aca="false">IF('Project Register'!$D20="","",'Project Register'!$AC20)</f>
        <v>0</v>
      </c>
      <c r="G411" s="78"/>
      <c r="H411" s="78"/>
      <c r="I411" s="74" t="s">
        <v>264</v>
      </c>
      <c r="J411" s="74"/>
      <c r="K411" s="74"/>
      <c r="L411" s="74"/>
      <c r="M411" s="78" t="n">
        <f aca="false">IF('Project Register'!$D20="","",'Project Register'!$AE20)</f>
        <v>6142297.0275</v>
      </c>
      <c r="N411" s="78"/>
      <c r="O411" s="78"/>
    </row>
    <row r="412" customFormat="false" ht="13.5" hidden="false" customHeight="true" outlineLevel="0" collapsed="false">
      <c r="B412" s="80" t="s">
        <v>265</v>
      </c>
      <c r="C412" s="80"/>
      <c r="D412" s="81" t="str">
        <f aca="false">Setup!$C$23</f>
        <v>FY2027</v>
      </c>
      <c r="E412" s="81"/>
      <c r="F412" s="81" t="str">
        <f aca="false">Setup!$D$23</f>
        <v>FY2028</v>
      </c>
      <c r="G412" s="81"/>
      <c r="H412" s="81" t="str">
        <f aca="false">Setup!$E$23</f>
        <v>FY2029</v>
      </c>
      <c r="I412" s="81"/>
      <c r="J412" s="81" t="str">
        <f aca="false">Setup!$F$23</f>
        <v>FY2030</v>
      </c>
      <c r="K412" s="81"/>
      <c r="L412" s="81" t="str">
        <f aca="false">Setup!$G$23</f>
        <v>FY2031</v>
      </c>
      <c r="M412" s="81"/>
      <c r="N412" s="81" t="str">
        <f aca="false">Setup!$H$23</f>
        <v>Beyond FY2031</v>
      </c>
      <c r="O412" s="81"/>
    </row>
    <row r="413" customFormat="false" ht="13.5" hidden="false" customHeight="true" outlineLevel="0" collapsed="false">
      <c r="B413" s="82" t="s">
        <v>266</v>
      </c>
      <c r="C413" s="82"/>
      <c r="D413" s="78" t="n">
        <f aca="false">IF('Project Register'!$D20="","",'Project Register'!$O20)</f>
        <v>0</v>
      </c>
      <c r="E413" s="78"/>
      <c r="F413" s="78" t="n">
        <f aca="false">IF('Project Register'!$D20="","",'Project Register'!$P20)</f>
        <v>0</v>
      </c>
      <c r="G413" s="78"/>
      <c r="H413" s="78" t="n">
        <f aca="false">IF('Project Register'!$D20="","",'Project Register'!$Q20)</f>
        <v>0</v>
      </c>
      <c r="I413" s="78"/>
      <c r="J413" s="78" t="n">
        <f aca="false">IF('Project Register'!$D20="","",'Project Register'!$R20)</f>
        <v>1400000</v>
      </c>
      <c r="K413" s="78"/>
      <c r="L413" s="78" t="n">
        <f aca="false">IF('Project Register'!$D20="","",'Project Register'!$S20)</f>
        <v>4000000</v>
      </c>
      <c r="M413" s="78"/>
      <c r="N413" s="78" t="n">
        <f aca="false">IF('Project Register'!$D20="","",'Project Register'!$T20)</f>
        <v>0</v>
      </c>
      <c r="O413" s="78"/>
    </row>
    <row r="414" customFormat="false" ht="13.5" hidden="false" customHeight="true" outlineLevel="0" collapsed="false">
      <c r="B414" s="82" t="s">
        <v>267</v>
      </c>
      <c r="C414" s="82"/>
      <c r="D414" s="79" t="n">
        <f aca="false">IF('Project Register'!$D20="","",'Project Register'!$X20)</f>
        <v>0</v>
      </c>
      <c r="E414" s="79"/>
      <c r="F414" s="79" t="n">
        <f aca="false">IF('Project Register'!$D20="","",'Project Register'!$Y20)</f>
        <v>0</v>
      </c>
      <c r="G414" s="79"/>
      <c r="H414" s="79" t="n">
        <f aca="false">IF('Project Register'!$D20="","",'Project Register'!$Z20)</f>
        <v>0</v>
      </c>
      <c r="I414" s="79"/>
      <c r="J414" s="79" t="n">
        <f aca="false">IF('Project Register'!$D20="","",'Project Register'!$AA20)</f>
        <v>1552205.025</v>
      </c>
      <c r="K414" s="79"/>
      <c r="L414" s="79" t="n">
        <f aca="false">IF('Project Register'!$D20="","",'Project Register'!$AB20)</f>
        <v>4590092.0025</v>
      </c>
      <c r="M414" s="79"/>
      <c r="N414" s="79" t="n">
        <f aca="false">IF('Project Register'!$D20="","",'Project Register'!$AC20)</f>
        <v>0</v>
      </c>
      <c r="O414" s="79"/>
    </row>
    <row r="415" customFormat="false" ht="2.25" hidden="false" customHeight="true" outlineLevel="0" collapsed="false"/>
    <row r="416" customFormat="false" ht="15.75" hidden="false" customHeight="true" outlineLevel="0" collapsed="false">
      <c r="B416" s="76" t="s">
        <v>268</v>
      </c>
      <c r="C416" s="76"/>
      <c r="D416" s="76"/>
      <c r="E416" s="76"/>
      <c r="F416" s="76"/>
      <c r="G416" s="76"/>
      <c r="H416" s="76"/>
      <c r="I416" s="76"/>
      <c r="J416" s="76"/>
      <c r="K416" s="76"/>
      <c r="L416" s="76"/>
      <c r="M416" s="76"/>
      <c r="N416" s="76"/>
      <c r="O416" s="76"/>
    </row>
    <row r="417" customFormat="false" ht="13.5" hidden="false" customHeight="true" outlineLevel="0" collapsed="false">
      <c r="B417" s="80" t="s">
        <v>269</v>
      </c>
      <c r="C417" s="80"/>
      <c r="D417" s="80"/>
      <c r="E417" s="80"/>
      <c r="F417" s="80"/>
      <c r="G417" s="80"/>
      <c r="H417" s="29" t="s">
        <v>145</v>
      </c>
      <c r="I417" s="29"/>
      <c r="J417" s="29"/>
      <c r="K417" s="83" t="s">
        <v>270</v>
      </c>
      <c r="L417" s="83"/>
      <c r="M417" s="83"/>
      <c r="N417" s="83"/>
      <c r="O417" s="83"/>
    </row>
    <row r="418" customFormat="false" ht="13.5" hidden="false" customHeight="true" outlineLevel="0" collapsed="false">
      <c r="B418" s="75" t="str">
        <f aca="false">IF('Project Register'!$D20="","",IF('Project Register'!$AF20="","-",'Project Register'!$AF20))</f>
        <v>Own revenue</v>
      </c>
      <c r="C418" s="75"/>
      <c r="D418" s="75"/>
      <c r="E418" s="75"/>
      <c r="F418" s="75"/>
      <c r="G418" s="75"/>
      <c r="H418" s="84" t="n">
        <f aca="false">IF('Project Register'!$D20="","",'Project Register'!$AG20)</f>
        <v>0.5</v>
      </c>
      <c r="I418" s="84"/>
      <c r="J418" s="84"/>
      <c r="K418" s="78" t="n">
        <f aca="false">IF('Project Register'!$D20="","",'Project Register'!$AD20*'Project Register'!$AG20)</f>
        <v>3071148.51375</v>
      </c>
      <c r="L418" s="78"/>
      <c r="M418" s="78"/>
      <c r="N418" s="78"/>
      <c r="O418" s="78"/>
    </row>
    <row r="419" customFormat="false" ht="13.5" hidden="false" customHeight="true" outlineLevel="0" collapsed="false">
      <c r="B419" s="75" t="str">
        <f aca="false">IF('Project Register'!$D20="","",IF('Project Register'!$AH20="","-",'Project Register'!$AH20))</f>
        <v>-</v>
      </c>
      <c r="C419" s="75"/>
      <c r="D419" s="75"/>
      <c r="E419" s="75"/>
      <c r="F419" s="75"/>
      <c r="G419" s="75"/>
      <c r="H419" s="84" t="n">
        <f aca="false">IF('Project Register'!$D20="","",'Project Register'!$AI20)</f>
        <v>0</v>
      </c>
      <c r="I419" s="84"/>
      <c r="J419" s="84"/>
      <c r="K419" s="78" t="n">
        <f aca="false">IF('Project Register'!$D20="","",'Project Register'!$AD20*'Project Register'!$AI20)</f>
        <v>0</v>
      </c>
      <c r="L419" s="78"/>
      <c r="M419" s="78"/>
      <c r="N419" s="78"/>
      <c r="O419" s="78"/>
    </row>
    <row r="420" customFormat="false" ht="13.5" hidden="false" customHeight="true" outlineLevel="0" collapsed="false">
      <c r="B420" s="85" t="s">
        <v>271</v>
      </c>
      <c r="C420" s="85"/>
      <c r="D420" s="85"/>
      <c r="E420" s="85"/>
      <c r="F420" s="85"/>
      <c r="G420" s="85"/>
      <c r="H420" s="86" t="n">
        <f aca="false">IF('Project Register'!$D20="","",'Project Register'!$AJ20)</f>
        <v>0.5</v>
      </c>
      <c r="I420" s="86"/>
      <c r="J420" s="86"/>
      <c r="K420" s="79" t="n">
        <f aca="false">IF('Project Register'!$D20="","",'Project Register'!$AL20)</f>
        <v>3071148.51375</v>
      </c>
      <c r="L420" s="79"/>
      <c r="M420" s="79"/>
      <c r="N420" s="79"/>
      <c r="O420" s="79"/>
    </row>
    <row r="421" customFormat="false" ht="2.25" hidden="false" customHeight="true" outlineLevel="0" collapsed="false"/>
    <row r="422" customFormat="false" ht="15.75" hidden="false" customHeight="true" outlineLevel="0" collapsed="false">
      <c r="B422" s="76" t="s">
        <v>272</v>
      </c>
      <c r="C422" s="76"/>
      <c r="D422" s="76"/>
      <c r="E422" s="76"/>
      <c r="F422" s="76"/>
      <c r="G422" s="76"/>
      <c r="H422" s="76"/>
      <c r="I422" s="76"/>
      <c r="J422" s="76"/>
      <c r="K422" s="76"/>
      <c r="L422" s="76"/>
      <c r="M422" s="76"/>
      <c r="N422" s="76"/>
      <c r="O422" s="76"/>
    </row>
    <row r="423" customFormat="false" ht="17.25" hidden="false" customHeight="true" outlineLevel="0" collapsed="false">
      <c r="B423" s="74" t="s">
        <v>243</v>
      </c>
      <c r="C423" s="74"/>
      <c r="D423" s="87" t="n">
        <f aca="false">IF('Project Register'!$D20="","",Prioritisation!$O20)</f>
        <v>1.98</v>
      </c>
      <c r="E423" s="87"/>
      <c r="F423" s="74" t="s">
        <v>273</v>
      </c>
      <c r="G423" s="74"/>
      <c r="H423" s="74"/>
      <c r="I423" s="88" t="str">
        <f aca="false">IF('Project Register'!$D20="","",TEXT(Prioritisation!$P20,"0")&amp;" of "&amp;TEXT(COUNTIF('Project Register'!$C$9:$C$38,"?*"),"0"))</f>
        <v>15 of 15</v>
      </c>
      <c r="J423" s="88"/>
      <c r="K423" s="82" t="s">
        <v>245</v>
      </c>
      <c r="L423" s="82"/>
      <c r="M423" s="89" t="str">
        <f aca="false">IF('Project Register'!$D20="","",Prioritisation!$Q20)</f>
        <v>Low</v>
      </c>
      <c r="N423" s="89"/>
      <c r="O423" s="89"/>
    </row>
    <row r="424" customFormat="false" ht="2.25" hidden="false" customHeight="true" outlineLevel="0" collapsed="false"/>
    <row r="425" customFormat="false" ht="15.75" hidden="false" customHeight="true" outlineLevel="0" collapsed="false">
      <c r="B425" s="76" t="s">
        <v>274</v>
      </c>
      <c r="C425" s="76"/>
      <c r="D425" s="76"/>
      <c r="E425" s="76"/>
      <c r="F425" s="76"/>
      <c r="G425" s="76"/>
      <c r="H425" s="76"/>
      <c r="I425" s="76"/>
      <c r="J425" s="76"/>
      <c r="K425" s="76"/>
      <c r="L425" s="76"/>
      <c r="M425" s="76"/>
      <c r="N425" s="76"/>
      <c r="O425" s="76"/>
    </row>
    <row r="426" customFormat="false" ht="35.25" hidden="false" customHeight="true" outlineLevel="0" collapsed="false">
      <c r="B426" s="90" t="s">
        <v>275</v>
      </c>
      <c r="C426" s="90"/>
      <c r="D426" s="90"/>
      <c r="E426" s="91" t="s">
        <v>396</v>
      </c>
      <c r="F426" s="91"/>
      <c r="G426" s="91"/>
      <c r="H426" s="91"/>
      <c r="I426" s="91"/>
      <c r="J426" s="91"/>
      <c r="K426" s="91"/>
      <c r="L426" s="91"/>
      <c r="M426" s="91"/>
      <c r="N426" s="91"/>
      <c r="O426" s="91"/>
    </row>
    <row r="427" customFormat="false" ht="35.25" hidden="false" customHeight="true" outlineLevel="0" collapsed="false">
      <c r="B427" s="90" t="s">
        <v>277</v>
      </c>
      <c r="C427" s="90"/>
      <c r="D427" s="90"/>
      <c r="E427" s="91" t="s">
        <v>397</v>
      </c>
      <c r="F427" s="91"/>
      <c r="G427" s="91"/>
      <c r="H427" s="91"/>
      <c r="I427" s="91"/>
      <c r="J427" s="91"/>
      <c r="K427" s="91"/>
      <c r="L427" s="91"/>
      <c r="M427" s="91"/>
      <c r="N427" s="91"/>
      <c r="O427" s="91"/>
    </row>
    <row r="428" customFormat="false" ht="35.25" hidden="false" customHeight="true" outlineLevel="0" collapsed="false">
      <c r="B428" s="90" t="s">
        <v>279</v>
      </c>
      <c r="C428" s="90"/>
      <c r="D428" s="90"/>
      <c r="E428" s="91" t="s">
        <v>398</v>
      </c>
      <c r="F428" s="91"/>
      <c r="G428" s="91"/>
      <c r="H428" s="91"/>
      <c r="I428" s="91"/>
      <c r="J428" s="91"/>
      <c r="K428" s="91"/>
      <c r="L428" s="91"/>
      <c r="M428" s="91"/>
      <c r="N428" s="91"/>
      <c r="O428" s="91"/>
    </row>
    <row r="429" customFormat="false" ht="35.25" hidden="false" customHeight="true" outlineLevel="0" collapsed="false">
      <c r="B429" s="90" t="s">
        <v>281</v>
      </c>
      <c r="C429" s="90"/>
      <c r="D429" s="90"/>
      <c r="E429" s="91" t="s">
        <v>399</v>
      </c>
      <c r="F429" s="91"/>
      <c r="G429" s="91"/>
      <c r="H429" s="91"/>
      <c r="I429" s="91"/>
      <c r="J429" s="91"/>
      <c r="K429" s="91"/>
      <c r="L429" s="91"/>
      <c r="M429" s="91"/>
      <c r="N429" s="91"/>
      <c r="O429" s="91"/>
    </row>
    <row r="430" customFormat="false" ht="35.25" hidden="false" customHeight="true" outlineLevel="0" collapsed="false">
      <c r="B430" s="90" t="s">
        <v>283</v>
      </c>
      <c r="C430" s="90"/>
      <c r="D430" s="90"/>
      <c r="E430" s="91" t="s">
        <v>400</v>
      </c>
      <c r="F430" s="91"/>
      <c r="G430" s="91"/>
      <c r="H430" s="91"/>
      <c r="I430" s="91"/>
      <c r="J430" s="91"/>
      <c r="K430" s="91"/>
      <c r="L430" s="91"/>
      <c r="M430" s="91"/>
      <c r="N430" s="91"/>
      <c r="O430" s="91"/>
    </row>
    <row r="431" customFormat="false" ht="35.25" hidden="false" customHeight="true" outlineLevel="0" collapsed="false">
      <c r="B431" s="90" t="s">
        <v>285</v>
      </c>
      <c r="C431" s="90"/>
      <c r="D431" s="90"/>
      <c r="E431" s="91" t="s">
        <v>401</v>
      </c>
      <c r="F431" s="91"/>
      <c r="G431" s="91"/>
      <c r="H431" s="91"/>
      <c r="I431" s="91"/>
      <c r="J431" s="91"/>
      <c r="K431" s="91"/>
      <c r="L431" s="91"/>
      <c r="M431" s="91"/>
      <c r="N431" s="91"/>
      <c r="O431" s="91"/>
    </row>
    <row r="432" customFormat="false" ht="35.25" hidden="false" customHeight="true" outlineLevel="0" collapsed="false">
      <c r="B432" s="90" t="s">
        <v>287</v>
      </c>
      <c r="C432" s="90"/>
      <c r="D432" s="90"/>
      <c r="E432" s="91" t="s">
        <v>402</v>
      </c>
      <c r="F432" s="91"/>
      <c r="G432" s="91"/>
      <c r="H432" s="91"/>
      <c r="I432" s="91"/>
      <c r="J432" s="91"/>
      <c r="K432" s="91"/>
      <c r="L432" s="91"/>
      <c r="M432" s="91"/>
      <c r="N432" s="91"/>
      <c r="O432" s="91"/>
    </row>
    <row r="433" customFormat="false" ht="35.25" hidden="false" customHeight="true" outlineLevel="0" collapsed="false">
      <c r="B433" s="90" t="s">
        <v>289</v>
      </c>
      <c r="C433" s="90"/>
      <c r="D433" s="90"/>
      <c r="E433" s="91" t="s">
        <v>403</v>
      </c>
      <c r="F433" s="91"/>
      <c r="G433" s="91"/>
      <c r="H433" s="91"/>
      <c r="I433" s="91"/>
      <c r="J433" s="91"/>
      <c r="K433" s="91"/>
      <c r="L433" s="91"/>
      <c r="M433" s="91"/>
      <c r="N433" s="91"/>
      <c r="O433" s="91"/>
    </row>
    <row r="434" customFormat="false" ht="35.25" hidden="false" customHeight="true" outlineLevel="0" collapsed="false">
      <c r="B434" s="90" t="s">
        <v>291</v>
      </c>
      <c r="C434" s="90"/>
      <c r="D434" s="90"/>
      <c r="E434" s="91" t="s">
        <v>404</v>
      </c>
      <c r="F434" s="91"/>
      <c r="G434" s="91"/>
      <c r="H434" s="91"/>
      <c r="I434" s="91"/>
      <c r="J434" s="91"/>
      <c r="K434" s="91"/>
      <c r="L434" s="91"/>
      <c r="M434" s="91"/>
      <c r="N434" s="91"/>
      <c r="O434" s="91"/>
    </row>
    <row r="435" customFormat="false" ht="35.25" hidden="false" customHeight="true" outlineLevel="0" collapsed="false">
      <c r="B435" s="90" t="s">
        <v>293</v>
      </c>
      <c r="C435" s="90"/>
      <c r="D435" s="90"/>
      <c r="E435" s="91" t="s">
        <v>405</v>
      </c>
      <c r="F435" s="91"/>
      <c r="G435" s="91"/>
      <c r="H435" s="91"/>
      <c r="I435" s="91"/>
      <c r="J435" s="91"/>
      <c r="K435" s="91"/>
      <c r="L435" s="91"/>
      <c r="M435" s="91"/>
      <c r="N435" s="91"/>
      <c r="O435" s="91"/>
    </row>
    <row r="436" customFormat="false" ht="11.25" hidden="false" customHeight="true" outlineLevel="0" collapsed="false">
      <c r="B436" s="15" t="s">
        <v>295</v>
      </c>
      <c r="C436" s="15"/>
      <c r="D436" s="15"/>
      <c r="E436" s="15"/>
      <c r="F436" s="15"/>
      <c r="G436" s="15"/>
      <c r="H436" s="15"/>
      <c r="I436" s="15"/>
      <c r="J436" s="15"/>
      <c r="K436" s="15"/>
      <c r="L436" s="16" t="s">
        <v>40</v>
      </c>
      <c r="M436" s="16"/>
      <c r="N436" s="16"/>
      <c r="O436" s="16"/>
    </row>
    <row r="437" customFormat="false" ht="3" hidden="false" customHeight="true" outlineLevel="0" collapsed="false"/>
    <row r="438" customFormat="false" ht="27.75" hidden="false" customHeight="true" outlineLevel="0" collapsed="false">
      <c r="B438" s="57" t="s">
        <v>259</v>
      </c>
      <c r="C438" s="57"/>
      <c r="D438" s="57"/>
      <c r="E438" s="57"/>
      <c r="F438" s="69" t="str">
        <f aca="false">IF('Project Register'!$D21="","",'Project Register'!$C21)</f>
        <v>CIP-013</v>
      </c>
      <c r="G438" s="69"/>
      <c r="H438" s="70" t="str">
        <f aca="false">IF('Project Register'!$D21="","",'Project Register'!$D21)</f>
        <v>Asset renewal program - minor buildings and structures</v>
      </c>
      <c r="I438" s="70"/>
      <c r="J438" s="70"/>
      <c r="K438" s="70"/>
      <c r="L438" s="70"/>
      <c r="M438" s="70"/>
      <c r="N438" s="70"/>
      <c r="O438" s="70"/>
      <c r="R438" s="71" t="str">
        <f aca="false">IF('Project Register'!$D21="","",'Project Register'!$C21)</f>
        <v>CIP-013</v>
      </c>
      <c r="S438" s="72" t="n">
        <f aca="false">COUNTIF($E$462:$E$471,"?*")</f>
        <v>10</v>
      </c>
    </row>
    <row r="439" customFormat="false" ht="24.75" hidden="false" customHeight="true" outlineLevel="0" collapsed="false">
      <c r="B439" s="73" t="str">
        <f aca="false">IF('Project Register'!$D21="","No project on register row 13. Fill that row in on the Project Register and this block writes its own heading.",'Project Register'!$E21)</f>
        <v>Annual allowance for roof, cladding and plant renewals identified by condition survey.</v>
      </c>
      <c r="C439" s="73"/>
      <c r="D439" s="73"/>
      <c r="E439" s="73"/>
      <c r="F439" s="73"/>
      <c r="G439" s="73"/>
      <c r="H439" s="73"/>
      <c r="I439" s="73"/>
      <c r="J439" s="73"/>
      <c r="K439" s="73"/>
      <c r="L439" s="73"/>
      <c r="M439" s="73"/>
      <c r="N439" s="73"/>
      <c r="O439" s="73"/>
    </row>
    <row r="440" customFormat="false" ht="13.5" hidden="false" customHeight="true" outlineLevel="0" collapsed="false">
      <c r="B440" s="74" t="s">
        <v>130</v>
      </c>
      <c r="C440" s="74"/>
      <c r="D440" s="74"/>
      <c r="E440" s="75" t="str">
        <f aca="false">IF('Project Register'!$D21="","",'Project Register'!$F21)</f>
        <v>Renewals</v>
      </c>
      <c r="F440" s="75"/>
      <c r="G440" s="75"/>
      <c r="H440" s="75"/>
      <c r="I440" s="74" t="s">
        <v>131</v>
      </c>
      <c r="J440" s="74"/>
      <c r="K440" s="74"/>
      <c r="L440" s="75" t="str">
        <f aca="false">IF('Project Register'!$D21="","",'Project Register'!$G21)</f>
        <v>Building - operational</v>
      </c>
      <c r="M440" s="75"/>
      <c r="N440" s="75"/>
      <c r="O440" s="75"/>
    </row>
    <row r="441" customFormat="false" ht="13.5" hidden="false" customHeight="true" outlineLevel="0" collapsed="false">
      <c r="B441" s="74" t="s">
        <v>132</v>
      </c>
      <c r="C441" s="74"/>
      <c r="D441" s="74"/>
      <c r="E441" s="75" t="str">
        <f aca="false">IF('Project Register'!$D21="","",'Project Register'!$H21)</f>
        <v>Property and facilities</v>
      </c>
      <c r="F441" s="75"/>
      <c r="G441" s="75"/>
      <c r="H441" s="75"/>
      <c r="I441" s="74" t="s">
        <v>135</v>
      </c>
      <c r="J441" s="74"/>
      <c r="K441" s="74"/>
      <c r="L441" s="75" t="str">
        <f aca="false">IF('Project Register'!$D21="","",'Project Register'!$K21)</f>
        <v>R. Castillo</v>
      </c>
      <c r="M441" s="75"/>
      <c r="N441" s="75"/>
      <c r="O441" s="75"/>
    </row>
    <row r="442" customFormat="false" ht="13.5" hidden="false" customHeight="true" outlineLevel="0" collapsed="false">
      <c r="B442" s="74" t="s">
        <v>260</v>
      </c>
      <c r="C442" s="74"/>
      <c r="D442" s="74"/>
      <c r="E442" s="75" t="str">
        <f aca="false">IF('Project Register'!$D21="","",'Project Register'!$I21)</f>
        <v>Renewal</v>
      </c>
      <c r="F442" s="75"/>
      <c r="G442" s="75"/>
      <c r="H442" s="75"/>
      <c r="I442" s="74" t="s">
        <v>134</v>
      </c>
      <c r="J442" s="74"/>
      <c r="K442" s="74"/>
      <c r="L442" s="75" t="str">
        <f aca="false">IF('Project Register'!$D21="","",'Project Register'!$J21)</f>
        <v>Approved</v>
      </c>
      <c r="M442" s="75"/>
      <c r="N442" s="75"/>
      <c r="O442" s="75"/>
    </row>
    <row r="443" customFormat="false" ht="2.25" hidden="false" customHeight="true" outlineLevel="0" collapsed="false"/>
    <row r="444" customFormat="false" ht="15.75" hidden="false" customHeight="true" outlineLevel="0" collapsed="false">
      <c r="B444" s="76" t="s">
        <v>117</v>
      </c>
      <c r="C444" s="76"/>
      <c r="D444" s="76"/>
      <c r="E444" s="76"/>
      <c r="F444" s="76"/>
      <c r="G444" s="76"/>
      <c r="H444" s="76"/>
      <c r="I444" s="76"/>
      <c r="J444" s="76"/>
      <c r="K444" s="76"/>
      <c r="L444" s="76"/>
      <c r="M444" s="76"/>
      <c r="N444" s="76"/>
      <c r="O444" s="76"/>
    </row>
    <row r="445" customFormat="false" ht="17.25" hidden="false" customHeight="true" outlineLevel="0" collapsed="false">
      <c r="B445" s="74" t="s">
        <v>136</v>
      </c>
      <c r="C445" s="74"/>
      <c r="D445" s="74"/>
      <c r="E445" s="74"/>
      <c r="F445" s="77" t="n">
        <f aca="false">IF('Project Register'!$D21="","",'Project Register'!$L21)</f>
        <v>6000000</v>
      </c>
      <c r="G445" s="77"/>
      <c r="H445" s="77"/>
      <c r="I445" s="74" t="s">
        <v>137</v>
      </c>
      <c r="J445" s="74"/>
      <c r="K445" s="74"/>
      <c r="L445" s="74"/>
      <c r="M445" s="77" t="n">
        <f aca="false">IF('Project Register'!$D21="","",'Project Register'!$M21)</f>
        <v>0</v>
      </c>
      <c r="N445" s="77"/>
      <c r="O445" s="77"/>
    </row>
    <row r="446" customFormat="false" ht="13.5" hidden="false" customHeight="true" outlineLevel="0" collapsed="false">
      <c r="B446" s="74" t="s">
        <v>261</v>
      </c>
      <c r="C446" s="74"/>
      <c r="D446" s="74"/>
      <c r="E446" s="74"/>
      <c r="F446" s="78" t="n">
        <f aca="false">IF('Project Register'!$D21="","",'Project Register'!$N21)</f>
        <v>6000000</v>
      </c>
      <c r="G446" s="78"/>
      <c r="H446" s="78"/>
      <c r="I446" s="74" t="s">
        <v>262</v>
      </c>
      <c r="J446" s="74"/>
      <c r="K446" s="74"/>
      <c r="L446" s="74"/>
      <c r="M446" s="79" t="n">
        <f aca="false">IF('Project Register'!$D21="","",'Project Register'!$AD21)</f>
        <v>6434959.05075</v>
      </c>
      <c r="N446" s="79"/>
      <c r="O446" s="79"/>
    </row>
    <row r="447" customFormat="false" ht="13.5" hidden="false" customHeight="true" outlineLevel="0" collapsed="false">
      <c r="B447" s="74" t="s">
        <v>263</v>
      </c>
      <c r="C447" s="74"/>
      <c r="D447" s="74"/>
      <c r="E447" s="74"/>
      <c r="F447" s="78" t="n">
        <f aca="false">IF('Project Register'!$D21="","",'Project Register'!$AC21)</f>
        <v>0</v>
      </c>
      <c r="G447" s="78"/>
      <c r="H447" s="78"/>
      <c r="I447" s="74" t="s">
        <v>264</v>
      </c>
      <c r="J447" s="74"/>
      <c r="K447" s="74"/>
      <c r="L447" s="74"/>
      <c r="M447" s="78" t="n">
        <f aca="false">IF('Project Register'!$D21="","",'Project Register'!$AE21)</f>
        <v>6434959.05075</v>
      </c>
      <c r="N447" s="78"/>
      <c r="O447" s="78"/>
    </row>
    <row r="448" customFormat="false" ht="13.5" hidden="false" customHeight="true" outlineLevel="0" collapsed="false">
      <c r="B448" s="80" t="s">
        <v>265</v>
      </c>
      <c r="C448" s="80"/>
      <c r="D448" s="81" t="str">
        <f aca="false">Setup!$C$23</f>
        <v>FY2027</v>
      </c>
      <c r="E448" s="81"/>
      <c r="F448" s="81" t="str">
        <f aca="false">Setup!$D$23</f>
        <v>FY2028</v>
      </c>
      <c r="G448" s="81"/>
      <c r="H448" s="81" t="str">
        <f aca="false">Setup!$E$23</f>
        <v>FY2029</v>
      </c>
      <c r="I448" s="81"/>
      <c r="J448" s="81" t="str">
        <f aca="false">Setup!$F$23</f>
        <v>FY2030</v>
      </c>
      <c r="K448" s="81"/>
      <c r="L448" s="81" t="str">
        <f aca="false">Setup!$G$23</f>
        <v>FY2031</v>
      </c>
      <c r="M448" s="81"/>
      <c r="N448" s="81" t="str">
        <f aca="false">Setup!$H$23</f>
        <v>Beyond FY2031</v>
      </c>
      <c r="O448" s="81"/>
    </row>
    <row r="449" customFormat="false" ht="13.5" hidden="false" customHeight="true" outlineLevel="0" collapsed="false">
      <c r="B449" s="82" t="s">
        <v>266</v>
      </c>
      <c r="C449" s="82"/>
      <c r="D449" s="78" t="n">
        <f aca="false">IF('Project Register'!$D21="","",'Project Register'!$O21)</f>
        <v>1200000</v>
      </c>
      <c r="E449" s="78"/>
      <c r="F449" s="78" t="n">
        <f aca="false">IF('Project Register'!$D21="","",'Project Register'!$P21)</f>
        <v>1200000</v>
      </c>
      <c r="G449" s="78"/>
      <c r="H449" s="78" t="n">
        <f aca="false">IF('Project Register'!$D21="","",'Project Register'!$Q21)</f>
        <v>1200000</v>
      </c>
      <c r="I449" s="78"/>
      <c r="J449" s="78" t="n">
        <f aca="false">IF('Project Register'!$D21="","",'Project Register'!$R21)</f>
        <v>1200000</v>
      </c>
      <c r="K449" s="78"/>
      <c r="L449" s="78" t="n">
        <f aca="false">IF('Project Register'!$D21="","",'Project Register'!$S21)</f>
        <v>1200000</v>
      </c>
      <c r="M449" s="78"/>
      <c r="N449" s="78" t="n">
        <f aca="false">IF('Project Register'!$D21="","",'Project Register'!$T21)</f>
        <v>0</v>
      </c>
      <c r="O449" s="78"/>
    </row>
    <row r="450" customFormat="false" ht="13.5" hidden="false" customHeight="true" outlineLevel="0" collapsed="false">
      <c r="B450" s="82" t="s">
        <v>267</v>
      </c>
      <c r="C450" s="82"/>
      <c r="D450" s="79" t="n">
        <f aca="false">IF('Project Register'!$D21="","",'Project Register'!$X21)</f>
        <v>1200000</v>
      </c>
      <c r="E450" s="79"/>
      <c r="F450" s="79" t="n">
        <f aca="false">IF('Project Register'!$D21="","",'Project Register'!$Y21)</f>
        <v>1242000</v>
      </c>
      <c r="G450" s="79"/>
      <c r="H450" s="79" t="n">
        <f aca="false">IF('Project Register'!$D21="","",'Project Register'!$Z21)</f>
        <v>1285470</v>
      </c>
      <c r="I450" s="79"/>
      <c r="J450" s="79" t="n">
        <f aca="false">IF('Project Register'!$D21="","",'Project Register'!$AA21)</f>
        <v>1330461.45</v>
      </c>
      <c r="K450" s="79"/>
      <c r="L450" s="79" t="n">
        <f aca="false">IF('Project Register'!$D21="","",'Project Register'!$AB21)</f>
        <v>1377027.60075</v>
      </c>
      <c r="M450" s="79"/>
      <c r="N450" s="79" t="n">
        <f aca="false">IF('Project Register'!$D21="","",'Project Register'!$AC21)</f>
        <v>0</v>
      </c>
      <c r="O450" s="79"/>
    </row>
    <row r="451" customFormat="false" ht="2.25" hidden="false" customHeight="true" outlineLevel="0" collapsed="false"/>
    <row r="452" customFormat="false" ht="15.75" hidden="false" customHeight="true" outlineLevel="0" collapsed="false">
      <c r="B452" s="76" t="s">
        <v>268</v>
      </c>
      <c r="C452" s="76"/>
      <c r="D452" s="76"/>
      <c r="E452" s="76"/>
      <c r="F452" s="76"/>
      <c r="G452" s="76"/>
      <c r="H452" s="76"/>
      <c r="I452" s="76"/>
      <c r="J452" s="76"/>
      <c r="K452" s="76"/>
      <c r="L452" s="76"/>
      <c r="M452" s="76"/>
      <c r="N452" s="76"/>
      <c r="O452" s="76"/>
    </row>
    <row r="453" customFormat="false" ht="13.5" hidden="false" customHeight="true" outlineLevel="0" collapsed="false">
      <c r="B453" s="80" t="s">
        <v>269</v>
      </c>
      <c r="C453" s="80"/>
      <c r="D453" s="80"/>
      <c r="E453" s="80"/>
      <c r="F453" s="80"/>
      <c r="G453" s="80"/>
      <c r="H453" s="29" t="s">
        <v>145</v>
      </c>
      <c r="I453" s="29"/>
      <c r="J453" s="29"/>
      <c r="K453" s="83" t="s">
        <v>270</v>
      </c>
      <c r="L453" s="83"/>
      <c r="M453" s="83"/>
      <c r="N453" s="83"/>
      <c r="O453" s="83"/>
    </row>
    <row r="454" customFormat="false" ht="13.5" hidden="false" customHeight="true" outlineLevel="0" collapsed="false">
      <c r="B454" s="75" t="str">
        <f aca="false">IF('Project Register'!$D21="","",IF('Project Register'!$AF21="","-",'Project Register'!$AF21))</f>
        <v>Own revenue</v>
      </c>
      <c r="C454" s="75"/>
      <c r="D454" s="75"/>
      <c r="E454" s="75"/>
      <c r="F454" s="75"/>
      <c r="G454" s="75"/>
      <c r="H454" s="84" t="n">
        <f aca="false">IF('Project Register'!$D21="","",'Project Register'!$AG21)</f>
        <v>1</v>
      </c>
      <c r="I454" s="84"/>
      <c r="J454" s="84"/>
      <c r="K454" s="78" t="n">
        <f aca="false">IF('Project Register'!$D21="","",'Project Register'!$AD21*'Project Register'!$AG21)</f>
        <v>6434959.05075</v>
      </c>
      <c r="L454" s="78"/>
      <c r="M454" s="78"/>
      <c r="N454" s="78"/>
      <c r="O454" s="78"/>
    </row>
    <row r="455" customFormat="false" ht="13.5" hidden="false" customHeight="true" outlineLevel="0" collapsed="false">
      <c r="B455" s="75" t="str">
        <f aca="false">IF('Project Register'!$D21="","",IF('Project Register'!$AH21="","-",'Project Register'!$AH21))</f>
        <v>-</v>
      </c>
      <c r="C455" s="75"/>
      <c r="D455" s="75"/>
      <c r="E455" s="75"/>
      <c r="F455" s="75"/>
      <c r="G455" s="75"/>
      <c r="H455" s="84" t="n">
        <f aca="false">IF('Project Register'!$D21="","",'Project Register'!$AI21)</f>
        <v>0</v>
      </c>
      <c r="I455" s="84"/>
      <c r="J455" s="84"/>
      <c r="K455" s="78" t="n">
        <f aca="false">IF('Project Register'!$D21="","",'Project Register'!$AD21*'Project Register'!$AI21)</f>
        <v>0</v>
      </c>
      <c r="L455" s="78"/>
      <c r="M455" s="78"/>
      <c r="N455" s="78"/>
      <c r="O455" s="78"/>
    </row>
    <row r="456" customFormat="false" ht="13.5" hidden="false" customHeight="true" outlineLevel="0" collapsed="false">
      <c r="B456" s="85" t="s">
        <v>271</v>
      </c>
      <c r="C456" s="85"/>
      <c r="D456" s="85"/>
      <c r="E456" s="85"/>
      <c r="F456" s="85"/>
      <c r="G456" s="85"/>
      <c r="H456" s="86" t="n">
        <f aca="false">IF('Project Register'!$D21="","",'Project Register'!$AJ21)</f>
        <v>0</v>
      </c>
      <c r="I456" s="86"/>
      <c r="J456" s="86"/>
      <c r="K456" s="79" t="n">
        <f aca="false">IF('Project Register'!$D21="","",'Project Register'!$AL21)</f>
        <v>0</v>
      </c>
      <c r="L456" s="79"/>
      <c r="M456" s="79"/>
      <c r="N456" s="79"/>
      <c r="O456" s="79"/>
    </row>
    <row r="457" customFormat="false" ht="2.25" hidden="false" customHeight="true" outlineLevel="0" collapsed="false"/>
    <row r="458" customFormat="false" ht="15.75" hidden="false" customHeight="true" outlineLevel="0" collapsed="false">
      <c r="B458" s="76" t="s">
        <v>272</v>
      </c>
      <c r="C458" s="76"/>
      <c r="D458" s="76"/>
      <c r="E458" s="76"/>
      <c r="F458" s="76"/>
      <c r="G458" s="76"/>
      <c r="H458" s="76"/>
      <c r="I458" s="76"/>
      <c r="J458" s="76"/>
      <c r="K458" s="76"/>
      <c r="L458" s="76"/>
      <c r="M458" s="76"/>
      <c r="N458" s="76"/>
      <c r="O458" s="76"/>
    </row>
    <row r="459" customFormat="false" ht="17.25" hidden="false" customHeight="true" outlineLevel="0" collapsed="false">
      <c r="B459" s="74" t="s">
        <v>243</v>
      </c>
      <c r="C459" s="74"/>
      <c r="D459" s="87" t="n">
        <f aca="false">IF('Project Register'!$D21="","",Prioritisation!$O21)</f>
        <v>3.29</v>
      </c>
      <c r="E459" s="87"/>
      <c r="F459" s="74" t="s">
        <v>273</v>
      </c>
      <c r="G459" s="74"/>
      <c r="H459" s="74"/>
      <c r="I459" s="88" t="str">
        <f aca="false">IF('Project Register'!$D21="","",TEXT(Prioritisation!$P21,"0")&amp;" of "&amp;TEXT(COUNTIF('Project Register'!$C$9:$C$38,"?*"),"0"))</f>
        <v>11 of 15</v>
      </c>
      <c r="J459" s="88"/>
      <c r="K459" s="82" t="s">
        <v>245</v>
      </c>
      <c r="L459" s="82"/>
      <c r="M459" s="89" t="str">
        <f aca="false">IF('Project Register'!$D21="","",Prioritisation!$Q21)</f>
        <v>Medium</v>
      </c>
      <c r="N459" s="89"/>
      <c r="O459" s="89"/>
    </row>
    <row r="460" customFormat="false" ht="2.25" hidden="false" customHeight="true" outlineLevel="0" collapsed="false"/>
    <row r="461" customFormat="false" ht="15.75" hidden="false" customHeight="true" outlineLevel="0" collapsed="false">
      <c r="B461" s="76" t="s">
        <v>274</v>
      </c>
      <c r="C461" s="76"/>
      <c r="D461" s="76"/>
      <c r="E461" s="76"/>
      <c r="F461" s="76"/>
      <c r="G461" s="76"/>
      <c r="H461" s="76"/>
      <c r="I461" s="76"/>
      <c r="J461" s="76"/>
      <c r="K461" s="76"/>
      <c r="L461" s="76"/>
      <c r="M461" s="76"/>
      <c r="N461" s="76"/>
      <c r="O461" s="76"/>
    </row>
    <row r="462" customFormat="false" ht="35.25" hidden="false" customHeight="true" outlineLevel="0" collapsed="false">
      <c r="B462" s="90" t="s">
        <v>275</v>
      </c>
      <c r="C462" s="90"/>
      <c r="D462" s="90"/>
      <c r="E462" s="91" t="s">
        <v>406</v>
      </c>
      <c r="F462" s="91"/>
      <c r="G462" s="91"/>
      <c r="H462" s="91"/>
      <c r="I462" s="91"/>
      <c r="J462" s="91"/>
      <c r="K462" s="91"/>
      <c r="L462" s="91"/>
      <c r="M462" s="91"/>
      <c r="N462" s="91"/>
      <c r="O462" s="91"/>
    </row>
    <row r="463" customFormat="false" ht="35.25" hidden="false" customHeight="true" outlineLevel="0" collapsed="false">
      <c r="B463" s="90" t="s">
        <v>277</v>
      </c>
      <c r="C463" s="90"/>
      <c r="D463" s="90"/>
      <c r="E463" s="91" t="s">
        <v>407</v>
      </c>
      <c r="F463" s="91"/>
      <c r="G463" s="91"/>
      <c r="H463" s="91"/>
      <c r="I463" s="91"/>
      <c r="J463" s="91"/>
      <c r="K463" s="91"/>
      <c r="L463" s="91"/>
      <c r="M463" s="91"/>
      <c r="N463" s="91"/>
      <c r="O463" s="91"/>
    </row>
    <row r="464" customFormat="false" ht="35.25" hidden="false" customHeight="true" outlineLevel="0" collapsed="false">
      <c r="B464" s="90" t="s">
        <v>279</v>
      </c>
      <c r="C464" s="90"/>
      <c r="D464" s="90"/>
      <c r="E464" s="91" t="s">
        <v>408</v>
      </c>
      <c r="F464" s="91"/>
      <c r="G464" s="91"/>
      <c r="H464" s="91"/>
      <c r="I464" s="91"/>
      <c r="J464" s="91"/>
      <c r="K464" s="91"/>
      <c r="L464" s="91"/>
      <c r="M464" s="91"/>
      <c r="N464" s="91"/>
      <c r="O464" s="91"/>
    </row>
    <row r="465" customFormat="false" ht="35.25" hidden="false" customHeight="true" outlineLevel="0" collapsed="false">
      <c r="B465" s="90" t="s">
        <v>281</v>
      </c>
      <c r="C465" s="90"/>
      <c r="D465" s="90"/>
      <c r="E465" s="91" t="s">
        <v>409</v>
      </c>
      <c r="F465" s="91"/>
      <c r="G465" s="91"/>
      <c r="H465" s="91"/>
      <c r="I465" s="91"/>
      <c r="J465" s="91"/>
      <c r="K465" s="91"/>
      <c r="L465" s="91"/>
      <c r="M465" s="91"/>
      <c r="N465" s="91"/>
      <c r="O465" s="91"/>
    </row>
    <row r="466" customFormat="false" ht="35.25" hidden="false" customHeight="true" outlineLevel="0" collapsed="false">
      <c r="B466" s="90" t="s">
        <v>283</v>
      </c>
      <c r="C466" s="90"/>
      <c r="D466" s="90"/>
      <c r="E466" s="91" t="s">
        <v>410</v>
      </c>
      <c r="F466" s="91"/>
      <c r="G466" s="91"/>
      <c r="H466" s="91"/>
      <c r="I466" s="91"/>
      <c r="J466" s="91"/>
      <c r="K466" s="91"/>
      <c r="L466" s="91"/>
      <c r="M466" s="91"/>
      <c r="N466" s="91"/>
      <c r="O466" s="91"/>
    </row>
    <row r="467" customFormat="false" ht="35.25" hidden="false" customHeight="true" outlineLevel="0" collapsed="false">
      <c r="B467" s="90" t="s">
        <v>285</v>
      </c>
      <c r="C467" s="90"/>
      <c r="D467" s="90"/>
      <c r="E467" s="91" t="s">
        <v>411</v>
      </c>
      <c r="F467" s="91"/>
      <c r="G467" s="91"/>
      <c r="H467" s="91"/>
      <c r="I467" s="91"/>
      <c r="J467" s="91"/>
      <c r="K467" s="91"/>
      <c r="L467" s="91"/>
      <c r="M467" s="91"/>
      <c r="N467" s="91"/>
      <c r="O467" s="91"/>
    </row>
    <row r="468" customFormat="false" ht="35.25" hidden="false" customHeight="true" outlineLevel="0" collapsed="false">
      <c r="B468" s="90" t="s">
        <v>287</v>
      </c>
      <c r="C468" s="90"/>
      <c r="D468" s="90"/>
      <c r="E468" s="91" t="s">
        <v>412</v>
      </c>
      <c r="F468" s="91"/>
      <c r="G468" s="91"/>
      <c r="H468" s="91"/>
      <c r="I468" s="91"/>
      <c r="J468" s="91"/>
      <c r="K468" s="91"/>
      <c r="L468" s="91"/>
      <c r="M468" s="91"/>
      <c r="N468" s="91"/>
      <c r="O468" s="91"/>
    </row>
    <row r="469" customFormat="false" ht="35.25" hidden="false" customHeight="true" outlineLevel="0" collapsed="false">
      <c r="B469" s="90" t="s">
        <v>289</v>
      </c>
      <c r="C469" s="90"/>
      <c r="D469" s="90"/>
      <c r="E469" s="91" t="s">
        <v>413</v>
      </c>
      <c r="F469" s="91"/>
      <c r="G469" s="91"/>
      <c r="H469" s="91"/>
      <c r="I469" s="91"/>
      <c r="J469" s="91"/>
      <c r="K469" s="91"/>
      <c r="L469" s="91"/>
      <c r="M469" s="91"/>
      <c r="N469" s="91"/>
      <c r="O469" s="91"/>
    </row>
    <row r="470" customFormat="false" ht="35.25" hidden="false" customHeight="true" outlineLevel="0" collapsed="false">
      <c r="B470" s="90" t="s">
        <v>291</v>
      </c>
      <c r="C470" s="90"/>
      <c r="D470" s="90"/>
      <c r="E470" s="91" t="s">
        <v>414</v>
      </c>
      <c r="F470" s="91"/>
      <c r="G470" s="91"/>
      <c r="H470" s="91"/>
      <c r="I470" s="91"/>
      <c r="J470" s="91"/>
      <c r="K470" s="91"/>
      <c r="L470" s="91"/>
      <c r="M470" s="91"/>
      <c r="N470" s="91"/>
      <c r="O470" s="91"/>
    </row>
    <row r="471" customFormat="false" ht="35.25" hidden="false" customHeight="true" outlineLevel="0" collapsed="false">
      <c r="B471" s="90" t="s">
        <v>293</v>
      </c>
      <c r="C471" s="90"/>
      <c r="D471" s="90"/>
      <c r="E471" s="91" t="s">
        <v>415</v>
      </c>
      <c r="F471" s="91"/>
      <c r="G471" s="91"/>
      <c r="H471" s="91"/>
      <c r="I471" s="91"/>
      <c r="J471" s="91"/>
      <c r="K471" s="91"/>
      <c r="L471" s="91"/>
      <c r="M471" s="91"/>
      <c r="N471" s="91"/>
      <c r="O471" s="91"/>
    </row>
    <row r="472" customFormat="false" ht="11.25" hidden="false" customHeight="true" outlineLevel="0" collapsed="false">
      <c r="B472" s="15" t="s">
        <v>295</v>
      </c>
      <c r="C472" s="15"/>
      <c r="D472" s="15"/>
      <c r="E472" s="15"/>
      <c r="F472" s="15"/>
      <c r="G472" s="15"/>
      <c r="H472" s="15"/>
      <c r="I472" s="15"/>
      <c r="J472" s="15"/>
      <c r="K472" s="15"/>
      <c r="L472" s="16" t="s">
        <v>40</v>
      </c>
      <c r="M472" s="16"/>
      <c r="N472" s="16"/>
      <c r="O472" s="16"/>
    </row>
    <row r="473" customFormat="false" ht="3" hidden="false" customHeight="true" outlineLevel="0" collapsed="false"/>
    <row r="474" customFormat="false" ht="27.75" hidden="false" customHeight="true" outlineLevel="0" collapsed="false">
      <c r="B474" s="57" t="s">
        <v>259</v>
      </c>
      <c r="C474" s="57"/>
      <c r="D474" s="57"/>
      <c r="E474" s="57"/>
      <c r="F474" s="69" t="str">
        <f aca="false">IF('Project Register'!$D22="","",'Project Register'!$C22)</f>
        <v>CIP-014</v>
      </c>
      <c r="G474" s="69"/>
      <c r="H474" s="70" t="str">
        <f aca="false">IF('Project Register'!$D22="","",'Project Register'!$D22)</f>
        <v>Transit interchange upgrade</v>
      </c>
      <c r="I474" s="70"/>
      <c r="J474" s="70"/>
      <c r="K474" s="70"/>
      <c r="L474" s="70"/>
      <c r="M474" s="70"/>
      <c r="N474" s="70"/>
      <c r="O474" s="70"/>
      <c r="R474" s="71" t="str">
        <f aca="false">IF('Project Register'!$D22="","",'Project Register'!$C22)</f>
        <v>CIP-014</v>
      </c>
      <c r="S474" s="72" t="n">
        <f aca="false">COUNTIF($E$498:$E$507,"?*")</f>
        <v>10</v>
      </c>
    </row>
    <row r="475" customFormat="false" ht="24.75" hidden="false" customHeight="true" outlineLevel="0" collapsed="false">
      <c r="B475" s="73" t="str">
        <f aca="false">IF('Project Register'!$D22="","No project on register row 14. Fill that row in on the Project Register and this block writes its own heading.",'Project Register'!$E22)</f>
        <v>Rebuild the interchange with the transport agency. Joint funding is agreed in principle only.</v>
      </c>
      <c r="C475" s="73"/>
      <c r="D475" s="73"/>
      <c r="E475" s="73"/>
      <c r="F475" s="73"/>
      <c r="G475" s="73"/>
      <c r="H475" s="73"/>
      <c r="I475" s="73"/>
      <c r="J475" s="73"/>
      <c r="K475" s="73"/>
      <c r="L475" s="73"/>
      <c r="M475" s="73"/>
      <c r="N475" s="73"/>
      <c r="O475" s="73"/>
    </row>
    <row r="476" customFormat="false" ht="13.5" hidden="false" customHeight="true" outlineLevel="0" collapsed="false">
      <c r="B476" s="74" t="s">
        <v>130</v>
      </c>
      <c r="C476" s="74"/>
      <c r="D476" s="74"/>
      <c r="E476" s="75" t="str">
        <f aca="false">IF('Project Register'!$D22="","",'Project Register'!$F22)</f>
        <v>Roads and bridges</v>
      </c>
      <c r="F476" s="75"/>
      <c r="G476" s="75"/>
      <c r="H476" s="75"/>
      <c r="I476" s="74" t="s">
        <v>131</v>
      </c>
      <c r="J476" s="74"/>
      <c r="K476" s="74"/>
      <c r="L476" s="75" t="str">
        <f aca="false">IF('Project Register'!$D22="","",'Project Register'!$G22)</f>
        <v>Other</v>
      </c>
      <c r="M476" s="75"/>
      <c r="N476" s="75"/>
      <c r="O476" s="75"/>
    </row>
    <row r="477" customFormat="false" ht="13.5" hidden="false" customHeight="true" outlineLevel="0" collapsed="false">
      <c r="B477" s="74" t="s">
        <v>132</v>
      </c>
      <c r="C477" s="74"/>
      <c r="D477" s="74"/>
      <c r="E477" s="75" t="str">
        <f aca="false">IF('Project Register'!$D22="","",'Project Register'!$H22)</f>
        <v>Infrastructure and delivery</v>
      </c>
      <c r="F477" s="75"/>
      <c r="G477" s="75"/>
      <c r="H477" s="75"/>
      <c r="I477" s="74" t="s">
        <v>135</v>
      </c>
      <c r="J477" s="74"/>
      <c r="K477" s="74"/>
      <c r="L477" s="75" t="str">
        <f aca="false">IF('Project Register'!$D22="","",'Project Register'!$K22)</f>
        <v>A. Whitfield</v>
      </c>
      <c r="M477" s="75"/>
      <c r="N477" s="75"/>
      <c r="O477" s="75"/>
    </row>
    <row r="478" customFormat="false" ht="13.5" hidden="false" customHeight="true" outlineLevel="0" collapsed="false">
      <c r="B478" s="74" t="s">
        <v>260</v>
      </c>
      <c r="C478" s="74"/>
      <c r="D478" s="74"/>
      <c r="E478" s="75" t="str">
        <f aca="false">IF('Project Register'!$D22="","",'Project Register'!$I22)</f>
        <v>Growth</v>
      </c>
      <c r="F478" s="75"/>
      <c r="G478" s="75"/>
      <c r="H478" s="75"/>
      <c r="I478" s="74" t="s">
        <v>134</v>
      </c>
      <c r="J478" s="74"/>
      <c r="K478" s="74"/>
      <c r="L478" s="75" t="str">
        <f aca="false">IF('Project Register'!$D22="","",'Project Register'!$J22)</f>
        <v>Proposed</v>
      </c>
      <c r="M478" s="75"/>
      <c r="N478" s="75"/>
      <c r="O478" s="75"/>
    </row>
    <row r="479" customFormat="false" ht="2.25" hidden="false" customHeight="true" outlineLevel="0" collapsed="false"/>
    <row r="480" customFormat="false" ht="15.75" hidden="false" customHeight="true" outlineLevel="0" collapsed="false">
      <c r="B480" s="76" t="s">
        <v>117</v>
      </c>
      <c r="C480" s="76"/>
      <c r="D480" s="76"/>
      <c r="E480" s="76"/>
      <c r="F480" s="76"/>
      <c r="G480" s="76"/>
      <c r="H480" s="76"/>
      <c r="I480" s="76"/>
      <c r="J480" s="76"/>
      <c r="K480" s="76"/>
      <c r="L480" s="76"/>
      <c r="M480" s="76"/>
      <c r="N480" s="76"/>
      <c r="O480" s="76"/>
    </row>
    <row r="481" customFormat="false" ht="17.25" hidden="false" customHeight="true" outlineLevel="0" collapsed="false">
      <c r="B481" s="74" t="s">
        <v>136</v>
      </c>
      <c r="C481" s="74"/>
      <c r="D481" s="74"/>
      <c r="E481" s="74"/>
      <c r="F481" s="77" t="n">
        <f aca="false">IF('Project Register'!$D22="","",'Project Register'!$L22)</f>
        <v>18000000</v>
      </c>
      <c r="G481" s="77"/>
      <c r="H481" s="77"/>
      <c r="I481" s="74" t="s">
        <v>137</v>
      </c>
      <c r="J481" s="74"/>
      <c r="K481" s="74"/>
      <c r="L481" s="74"/>
      <c r="M481" s="77" t="n">
        <f aca="false">IF('Project Register'!$D22="","",'Project Register'!$M22)</f>
        <v>0</v>
      </c>
      <c r="N481" s="77"/>
      <c r="O481" s="77"/>
    </row>
    <row r="482" customFormat="false" ht="13.5" hidden="false" customHeight="true" outlineLevel="0" collapsed="false">
      <c r="B482" s="74" t="s">
        <v>261</v>
      </c>
      <c r="C482" s="74"/>
      <c r="D482" s="74"/>
      <c r="E482" s="74"/>
      <c r="F482" s="78" t="n">
        <f aca="false">IF('Project Register'!$D22="","",'Project Register'!$N22)</f>
        <v>18000000</v>
      </c>
      <c r="G482" s="78"/>
      <c r="H482" s="78"/>
      <c r="I482" s="74" t="s">
        <v>262</v>
      </c>
      <c r="J482" s="74"/>
      <c r="K482" s="74"/>
      <c r="L482" s="74"/>
      <c r="M482" s="79" t="n">
        <f aca="false">IF('Project Register'!$D22="","",'Project Register'!$AD22)</f>
        <v>14571177.37875</v>
      </c>
      <c r="N482" s="79"/>
      <c r="O482" s="79"/>
    </row>
    <row r="483" customFormat="false" ht="13.5" hidden="false" customHeight="true" outlineLevel="0" collapsed="false">
      <c r="B483" s="74" t="s">
        <v>263</v>
      </c>
      <c r="C483" s="74"/>
      <c r="D483" s="74"/>
      <c r="E483" s="74"/>
      <c r="F483" s="78" t="n">
        <f aca="false">IF('Project Register'!$D22="","",'Project Register'!$AC22)</f>
        <v>5938431.52823437</v>
      </c>
      <c r="G483" s="78"/>
      <c r="H483" s="78"/>
      <c r="I483" s="74" t="s">
        <v>264</v>
      </c>
      <c r="J483" s="74"/>
      <c r="K483" s="74"/>
      <c r="L483" s="74"/>
      <c r="M483" s="78" t="n">
        <f aca="false">IF('Project Register'!$D22="","",'Project Register'!$AE22)</f>
        <v>20509608.9069844</v>
      </c>
      <c r="N483" s="78"/>
      <c r="O483" s="78"/>
    </row>
    <row r="484" customFormat="false" ht="13.5" hidden="false" customHeight="true" outlineLevel="0" collapsed="false">
      <c r="B484" s="80" t="s">
        <v>265</v>
      </c>
      <c r="C484" s="80"/>
      <c r="D484" s="81" t="str">
        <f aca="false">Setup!$C$23</f>
        <v>FY2027</v>
      </c>
      <c r="E484" s="81"/>
      <c r="F484" s="81" t="str">
        <f aca="false">Setup!$D$23</f>
        <v>FY2028</v>
      </c>
      <c r="G484" s="81"/>
      <c r="H484" s="81" t="str">
        <f aca="false">Setup!$E$23</f>
        <v>FY2029</v>
      </c>
      <c r="I484" s="81"/>
      <c r="J484" s="81" t="str">
        <f aca="false">Setup!$F$23</f>
        <v>FY2030</v>
      </c>
      <c r="K484" s="81"/>
      <c r="L484" s="81" t="str">
        <f aca="false">Setup!$G$23</f>
        <v>FY2031</v>
      </c>
      <c r="M484" s="81"/>
      <c r="N484" s="81" t="str">
        <f aca="false">Setup!$H$23</f>
        <v>Beyond FY2031</v>
      </c>
      <c r="O484" s="81"/>
    </row>
    <row r="485" customFormat="false" ht="13.5" hidden="false" customHeight="true" outlineLevel="0" collapsed="false">
      <c r="B485" s="82" t="s">
        <v>266</v>
      </c>
      <c r="C485" s="82"/>
      <c r="D485" s="78" t="n">
        <f aca="false">IF('Project Register'!$D22="","",'Project Register'!$O22)</f>
        <v>0</v>
      </c>
      <c r="E485" s="78"/>
      <c r="F485" s="78" t="n">
        <f aca="false">IF('Project Register'!$D22="","",'Project Register'!$P22)</f>
        <v>0</v>
      </c>
      <c r="G485" s="78"/>
      <c r="H485" s="78" t="n">
        <f aca="false">IF('Project Register'!$D22="","",'Project Register'!$Q22)</f>
        <v>2000000</v>
      </c>
      <c r="I485" s="78"/>
      <c r="J485" s="78" t="n">
        <f aca="false">IF('Project Register'!$D22="","",'Project Register'!$R22)</f>
        <v>5000000</v>
      </c>
      <c r="K485" s="78"/>
      <c r="L485" s="78" t="n">
        <f aca="false">IF('Project Register'!$D22="","",'Project Register'!$S22)</f>
        <v>6000000</v>
      </c>
      <c r="M485" s="78"/>
      <c r="N485" s="78" t="n">
        <f aca="false">IF('Project Register'!$D22="","",'Project Register'!$T22)</f>
        <v>5000000</v>
      </c>
      <c r="O485" s="78"/>
    </row>
    <row r="486" customFormat="false" ht="13.5" hidden="false" customHeight="true" outlineLevel="0" collapsed="false">
      <c r="B486" s="82" t="s">
        <v>267</v>
      </c>
      <c r="C486" s="82"/>
      <c r="D486" s="79" t="n">
        <f aca="false">IF('Project Register'!$D22="","",'Project Register'!$X22)</f>
        <v>0</v>
      </c>
      <c r="E486" s="79"/>
      <c r="F486" s="79" t="n">
        <f aca="false">IF('Project Register'!$D22="","",'Project Register'!$Y22)</f>
        <v>0</v>
      </c>
      <c r="G486" s="79"/>
      <c r="H486" s="79" t="n">
        <f aca="false">IF('Project Register'!$D22="","",'Project Register'!$Z22)</f>
        <v>2142450</v>
      </c>
      <c r="I486" s="79"/>
      <c r="J486" s="79" t="n">
        <f aca="false">IF('Project Register'!$D22="","",'Project Register'!$AA22)</f>
        <v>5543589.375</v>
      </c>
      <c r="K486" s="79"/>
      <c r="L486" s="79" t="n">
        <f aca="false">IF('Project Register'!$D22="","",'Project Register'!$AB22)</f>
        <v>6885138.00375</v>
      </c>
      <c r="M486" s="79"/>
      <c r="N486" s="79" t="n">
        <f aca="false">IF('Project Register'!$D22="","",'Project Register'!$AC22)</f>
        <v>5938431.52823437</v>
      </c>
      <c r="O486" s="79"/>
    </row>
    <row r="487" customFormat="false" ht="2.25" hidden="false" customHeight="true" outlineLevel="0" collapsed="false"/>
    <row r="488" customFormat="false" ht="15.75" hidden="false" customHeight="true" outlineLevel="0" collapsed="false">
      <c r="B488" s="76" t="s">
        <v>268</v>
      </c>
      <c r="C488" s="76"/>
      <c r="D488" s="76"/>
      <c r="E488" s="76"/>
      <c r="F488" s="76"/>
      <c r="G488" s="76"/>
      <c r="H488" s="76"/>
      <c r="I488" s="76"/>
      <c r="J488" s="76"/>
      <c r="K488" s="76"/>
      <c r="L488" s="76"/>
      <c r="M488" s="76"/>
      <c r="N488" s="76"/>
      <c r="O488" s="76"/>
    </row>
    <row r="489" customFormat="false" ht="13.5" hidden="false" customHeight="true" outlineLevel="0" collapsed="false">
      <c r="B489" s="80" t="s">
        <v>269</v>
      </c>
      <c r="C489" s="80"/>
      <c r="D489" s="80"/>
      <c r="E489" s="80"/>
      <c r="F489" s="80"/>
      <c r="G489" s="80"/>
      <c r="H489" s="29" t="s">
        <v>145</v>
      </c>
      <c r="I489" s="29"/>
      <c r="J489" s="29"/>
      <c r="K489" s="83" t="s">
        <v>270</v>
      </c>
      <c r="L489" s="83"/>
      <c r="M489" s="83"/>
      <c r="N489" s="83"/>
      <c r="O489" s="83"/>
    </row>
    <row r="490" customFormat="false" ht="13.5" hidden="false" customHeight="true" outlineLevel="0" collapsed="false">
      <c r="B490" s="75" t="str">
        <f aca="false">IF('Project Register'!$D22="","",IF('Project Register'!$AF22="","-",'Project Register'!$AF22))</f>
        <v>Partner contributions</v>
      </c>
      <c r="C490" s="75"/>
      <c r="D490" s="75"/>
      <c r="E490" s="75"/>
      <c r="F490" s="75"/>
      <c r="G490" s="75"/>
      <c r="H490" s="84" t="n">
        <f aca="false">IF('Project Register'!$D22="","",'Project Register'!$AG22)</f>
        <v>0.4</v>
      </c>
      <c r="I490" s="84"/>
      <c r="J490" s="84"/>
      <c r="K490" s="78" t="n">
        <f aca="false">IF('Project Register'!$D22="","",'Project Register'!$AD22*'Project Register'!$AG22)</f>
        <v>5828470.9515</v>
      </c>
      <c r="L490" s="78"/>
      <c r="M490" s="78"/>
      <c r="N490" s="78"/>
      <c r="O490" s="78"/>
    </row>
    <row r="491" customFormat="false" ht="13.5" hidden="false" customHeight="true" outlineLevel="0" collapsed="false">
      <c r="B491" s="75" t="str">
        <f aca="false">IF('Project Register'!$D22="","",IF('Project Register'!$AH22="","-",'Project Register'!$AH22))</f>
        <v>Grants - government</v>
      </c>
      <c r="C491" s="75"/>
      <c r="D491" s="75"/>
      <c r="E491" s="75"/>
      <c r="F491" s="75"/>
      <c r="G491" s="75"/>
      <c r="H491" s="84" t="n">
        <f aca="false">IF('Project Register'!$D22="","",'Project Register'!$AI22)</f>
        <v>0.3</v>
      </c>
      <c r="I491" s="84"/>
      <c r="J491" s="84"/>
      <c r="K491" s="78" t="n">
        <f aca="false">IF('Project Register'!$D22="","",'Project Register'!$AD22*'Project Register'!$AI22)</f>
        <v>4371353.213625</v>
      </c>
      <c r="L491" s="78"/>
      <c r="M491" s="78"/>
      <c r="N491" s="78"/>
      <c r="O491" s="78"/>
    </row>
    <row r="492" customFormat="false" ht="13.5" hidden="false" customHeight="true" outlineLevel="0" collapsed="false">
      <c r="B492" s="85" t="s">
        <v>271</v>
      </c>
      <c r="C492" s="85"/>
      <c r="D492" s="85"/>
      <c r="E492" s="85"/>
      <c r="F492" s="85"/>
      <c r="G492" s="85"/>
      <c r="H492" s="86" t="n">
        <f aca="false">IF('Project Register'!$D22="","",'Project Register'!$AJ22)</f>
        <v>0.3</v>
      </c>
      <c r="I492" s="86"/>
      <c r="J492" s="86"/>
      <c r="K492" s="79" t="n">
        <f aca="false">IF('Project Register'!$D22="","",'Project Register'!$AL22)</f>
        <v>4371353.213625</v>
      </c>
      <c r="L492" s="79"/>
      <c r="M492" s="79"/>
      <c r="N492" s="79"/>
      <c r="O492" s="79"/>
    </row>
    <row r="493" customFormat="false" ht="2.25" hidden="false" customHeight="true" outlineLevel="0" collapsed="false"/>
    <row r="494" customFormat="false" ht="15.75" hidden="false" customHeight="true" outlineLevel="0" collapsed="false">
      <c r="B494" s="76" t="s">
        <v>272</v>
      </c>
      <c r="C494" s="76"/>
      <c r="D494" s="76"/>
      <c r="E494" s="76"/>
      <c r="F494" s="76"/>
      <c r="G494" s="76"/>
      <c r="H494" s="76"/>
      <c r="I494" s="76"/>
      <c r="J494" s="76"/>
      <c r="K494" s="76"/>
      <c r="L494" s="76"/>
      <c r="M494" s="76"/>
      <c r="N494" s="76"/>
      <c r="O494" s="76"/>
    </row>
    <row r="495" customFormat="false" ht="17.25" hidden="false" customHeight="true" outlineLevel="0" collapsed="false">
      <c r="B495" s="74" t="s">
        <v>243</v>
      </c>
      <c r="C495" s="74"/>
      <c r="D495" s="87" t="n">
        <f aca="false">IF('Project Register'!$D22="","",Prioritisation!$O22)</f>
        <v>3.14</v>
      </c>
      <c r="E495" s="87"/>
      <c r="F495" s="74" t="s">
        <v>273</v>
      </c>
      <c r="G495" s="74"/>
      <c r="H495" s="74"/>
      <c r="I495" s="88" t="str">
        <f aca="false">IF('Project Register'!$D22="","",TEXT(Prioritisation!$P22,"0")&amp;" of "&amp;TEXT(COUNTIF('Project Register'!$C$9:$C$38,"?*"),"0"))</f>
        <v>12 of 15</v>
      </c>
      <c r="J495" s="88"/>
      <c r="K495" s="82" t="s">
        <v>245</v>
      </c>
      <c r="L495" s="82"/>
      <c r="M495" s="89" t="str">
        <f aca="false">IF('Project Register'!$D22="","",Prioritisation!$Q22)</f>
        <v>Medium</v>
      </c>
      <c r="N495" s="89"/>
      <c r="O495" s="89"/>
    </row>
    <row r="496" customFormat="false" ht="2.25" hidden="false" customHeight="true" outlineLevel="0" collapsed="false"/>
    <row r="497" customFormat="false" ht="15.75" hidden="false" customHeight="true" outlineLevel="0" collapsed="false">
      <c r="B497" s="76" t="s">
        <v>274</v>
      </c>
      <c r="C497" s="76"/>
      <c r="D497" s="76"/>
      <c r="E497" s="76"/>
      <c r="F497" s="76"/>
      <c r="G497" s="76"/>
      <c r="H497" s="76"/>
      <c r="I497" s="76"/>
      <c r="J497" s="76"/>
      <c r="K497" s="76"/>
      <c r="L497" s="76"/>
      <c r="M497" s="76"/>
      <c r="N497" s="76"/>
      <c r="O497" s="76"/>
    </row>
    <row r="498" customFormat="false" ht="35.25" hidden="false" customHeight="true" outlineLevel="0" collapsed="false">
      <c r="B498" s="90" t="s">
        <v>275</v>
      </c>
      <c r="C498" s="90"/>
      <c r="D498" s="90"/>
      <c r="E498" s="91" t="s">
        <v>416</v>
      </c>
      <c r="F498" s="91"/>
      <c r="G498" s="91"/>
      <c r="H498" s="91"/>
      <c r="I498" s="91"/>
      <c r="J498" s="91"/>
      <c r="K498" s="91"/>
      <c r="L498" s="91"/>
      <c r="M498" s="91"/>
      <c r="N498" s="91"/>
      <c r="O498" s="91"/>
    </row>
    <row r="499" customFormat="false" ht="35.25" hidden="false" customHeight="true" outlineLevel="0" collapsed="false">
      <c r="B499" s="90" t="s">
        <v>277</v>
      </c>
      <c r="C499" s="90"/>
      <c r="D499" s="90"/>
      <c r="E499" s="91" t="s">
        <v>417</v>
      </c>
      <c r="F499" s="91"/>
      <c r="G499" s="91"/>
      <c r="H499" s="91"/>
      <c r="I499" s="91"/>
      <c r="J499" s="91"/>
      <c r="K499" s="91"/>
      <c r="L499" s="91"/>
      <c r="M499" s="91"/>
      <c r="N499" s="91"/>
      <c r="O499" s="91"/>
    </row>
    <row r="500" customFormat="false" ht="35.25" hidden="false" customHeight="true" outlineLevel="0" collapsed="false">
      <c r="B500" s="90" t="s">
        <v>279</v>
      </c>
      <c r="C500" s="90"/>
      <c r="D500" s="90"/>
      <c r="E500" s="91" t="s">
        <v>418</v>
      </c>
      <c r="F500" s="91"/>
      <c r="G500" s="91"/>
      <c r="H500" s="91"/>
      <c r="I500" s="91"/>
      <c r="J500" s="91"/>
      <c r="K500" s="91"/>
      <c r="L500" s="91"/>
      <c r="M500" s="91"/>
      <c r="N500" s="91"/>
      <c r="O500" s="91"/>
    </row>
    <row r="501" customFormat="false" ht="35.25" hidden="false" customHeight="true" outlineLevel="0" collapsed="false">
      <c r="B501" s="90" t="s">
        <v>281</v>
      </c>
      <c r="C501" s="90"/>
      <c r="D501" s="90"/>
      <c r="E501" s="91" t="s">
        <v>419</v>
      </c>
      <c r="F501" s="91"/>
      <c r="G501" s="91"/>
      <c r="H501" s="91"/>
      <c r="I501" s="91"/>
      <c r="J501" s="91"/>
      <c r="K501" s="91"/>
      <c r="L501" s="91"/>
      <c r="M501" s="91"/>
      <c r="N501" s="91"/>
      <c r="O501" s="91"/>
    </row>
    <row r="502" customFormat="false" ht="35.25" hidden="false" customHeight="true" outlineLevel="0" collapsed="false">
      <c r="B502" s="90" t="s">
        <v>283</v>
      </c>
      <c r="C502" s="90"/>
      <c r="D502" s="90"/>
      <c r="E502" s="91" t="s">
        <v>420</v>
      </c>
      <c r="F502" s="91"/>
      <c r="G502" s="91"/>
      <c r="H502" s="91"/>
      <c r="I502" s="91"/>
      <c r="J502" s="91"/>
      <c r="K502" s="91"/>
      <c r="L502" s="91"/>
      <c r="M502" s="91"/>
      <c r="N502" s="91"/>
      <c r="O502" s="91"/>
    </row>
    <row r="503" customFormat="false" ht="35.25" hidden="false" customHeight="true" outlineLevel="0" collapsed="false">
      <c r="B503" s="90" t="s">
        <v>285</v>
      </c>
      <c r="C503" s="90"/>
      <c r="D503" s="90"/>
      <c r="E503" s="91" t="s">
        <v>421</v>
      </c>
      <c r="F503" s="91"/>
      <c r="G503" s="91"/>
      <c r="H503" s="91"/>
      <c r="I503" s="91"/>
      <c r="J503" s="91"/>
      <c r="K503" s="91"/>
      <c r="L503" s="91"/>
      <c r="M503" s="91"/>
      <c r="N503" s="91"/>
      <c r="O503" s="91"/>
    </row>
    <row r="504" customFormat="false" ht="35.25" hidden="false" customHeight="true" outlineLevel="0" collapsed="false">
      <c r="B504" s="90" t="s">
        <v>287</v>
      </c>
      <c r="C504" s="90"/>
      <c r="D504" s="90"/>
      <c r="E504" s="91" t="s">
        <v>422</v>
      </c>
      <c r="F504" s="91"/>
      <c r="G504" s="91"/>
      <c r="H504" s="91"/>
      <c r="I504" s="91"/>
      <c r="J504" s="91"/>
      <c r="K504" s="91"/>
      <c r="L504" s="91"/>
      <c r="M504" s="91"/>
      <c r="N504" s="91"/>
      <c r="O504" s="91"/>
    </row>
    <row r="505" customFormat="false" ht="35.25" hidden="false" customHeight="true" outlineLevel="0" collapsed="false">
      <c r="B505" s="90" t="s">
        <v>289</v>
      </c>
      <c r="C505" s="90"/>
      <c r="D505" s="90"/>
      <c r="E505" s="91" t="s">
        <v>423</v>
      </c>
      <c r="F505" s="91"/>
      <c r="G505" s="91"/>
      <c r="H505" s="91"/>
      <c r="I505" s="91"/>
      <c r="J505" s="91"/>
      <c r="K505" s="91"/>
      <c r="L505" s="91"/>
      <c r="M505" s="91"/>
      <c r="N505" s="91"/>
      <c r="O505" s="91"/>
    </row>
    <row r="506" customFormat="false" ht="35.25" hidden="false" customHeight="true" outlineLevel="0" collapsed="false">
      <c r="B506" s="90" t="s">
        <v>291</v>
      </c>
      <c r="C506" s="90"/>
      <c r="D506" s="90"/>
      <c r="E506" s="91" t="s">
        <v>424</v>
      </c>
      <c r="F506" s="91"/>
      <c r="G506" s="91"/>
      <c r="H506" s="91"/>
      <c r="I506" s="91"/>
      <c r="J506" s="91"/>
      <c r="K506" s="91"/>
      <c r="L506" s="91"/>
      <c r="M506" s="91"/>
      <c r="N506" s="91"/>
      <c r="O506" s="91"/>
    </row>
    <row r="507" customFormat="false" ht="35.25" hidden="false" customHeight="true" outlineLevel="0" collapsed="false">
      <c r="B507" s="90" t="s">
        <v>293</v>
      </c>
      <c r="C507" s="90"/>
      <c r="D507" s="90"/>
      <c r="E507" s="91" t="s">
        <v>425</v>
      </c>
      <c r="F507" s="91"/>
      <c r="G507" s="91"/>
      <c r="H507" s="91"/>
      <c r="I507" s="91"/>
      <c r="J507" s="91"/>
      <c r="K507" s="91"/>
      <c r="L507" s="91"/>
      <c r="M507" s="91"/>
      <c r="N507" s="91"/>
      <c r="O507" s="91"/>
    </row>
    <row r="508" customFormat="false" ht="11.25" hidden="false" customHeight="true" outlineLevel="0" collapsed="false">
      <c r="B508" s="15" t="s">
        <v>295</v>
      </c>
      <c r="C508" s="15"/>
      <c r="D508" s="15"/>
      <c r="E508" s="15"/>
      <c r="F508" s="15"/>
      <c r="G508" s="15"/>
      <c r="H508" s="15"/>
      <c r="I508" s="15"/>
      <c r="J508" s="15"/>
      <c r="K508" s="15"/>
      <c r="L508" s="16" t="s">
        <v>40</v>
      </c>
      <c r="M508" s="16"/>
      <c r="N508" s="16"/>
      <c r="O508" s="16"/>
    </row>
    <row r="509" customFormat="false" ht="3" hidden="false" customHeight="true" outlineLevel="0" collapsed="false"/>
    <row r="510" customFormat="false" ht="27.75" hidden="false" customHeight="true" outlineLevel="0" collapsed="false">
      <c r="B510" s="57" t="s">
        <v>259</v>
      </c>
      <c r="C510" s="57"/>
      <c r="D510" s="57"/>
      <c r="E510" s="57"/>
      <c r="F510" s="69" t="str">
        <f aca="false">IF('Project Register'!$D23="","",'Project Register'!$C23)</f>
        <v>CIP-015</v>
      </c>
      <c r="G510" s="69"/>
      <c r="H510" s="70" t="str">
        <f aca="false">IF('Project Register'!$D23="","",'Project Register'!$D23)</f>
        <v>Solar and battery installation - operational sites</v>
      </c>
      <c r="I510" s="70"/>
      <c r="J510" s="70"/>
      <c r="K510" s="70"/>
      <c r="L510" s="70"/>
      <c r="M510" s="70"/>
      <c r="N510" s="70"/>
      <c r="O510" s="70"/>
      <c r="R510" s="71" t="str">
        <f aca="false">IF('Project Register'!$D23="","",'Project Register'!$C23)</f>
        <v>CIP-015</v>
      </c>
      <c r="S510" s="72" t="n">
        <f aca="false">COUNTIF($E$534:$E$543,"?*")</f>
        <v>10</v>
      </c>
    </row>
    <row r="511" customFormat="false" ht="24.75" hidden="false" customHeight="true" outlineLevel="0" collapsed="false">
      <c r="B511" s="73" t="str">
        <f aca="false">IF('Project Register'!$D23="","No project on register row 15. Fill that row in on the Project Register and this block writes its own heading.",'Project Register'!$E23)</f>
        <v>Rooftop solar and storage at the depot, library and civic building. Payback inside 9 years.</v>
      </c>
      <c r="C511" s="73"/>
      <c r="D511" s="73"/>
      <c r="E511" s="73"/>
      <c r="F511" s="73"/>
      <c r="G511" s="73"/>
      <c r="H511" s="73"/>
      <c r="I511" s="73"/>
      <c r="J511" s="73"/>
      <c r="K511" s="73"/>
      <c r="L511" s="73"/>
      <c r="M511" s="73"/>
      <c r="N511" s="73"/>
      <c r="O511" s="73"/>
    </row>
    <row r="512" customFormat="false" ht="13.5" hidden="false" customHeight="true" outlineLevel="0" collapsed="false">
      <c r="B512" s="74" t="s">
        <v>130</v>
      </c>
      <c r="C512" s="74"/>
      <c r="D512" s="74"/>
      <c r="E512" s="75" t="str">
        <f aca="false">IF('Project Register'!$D23="","",'Project Register'!$F23)</f>
        <v>Buildings</v>
      </c>
      <c r="F512" s="75"/>
      <c r="G512" s="75"/>
      <c r="H512" s="75"/>
      <c r="I512" s="74" t="s">
        <v>131</v>
      </c>
      <c r="J512" s="74"/>
      <c r="K512" s="74"/>
      <c r="L512" s="75" t="str">
        <f aca="false">IF('Project Register'!$D23="","",'Project Register'!$G23)</f>
        <v>Building - operational</v>
      </c>
      <c r="M512" s="75"/>
      <c r="N512" s="75"/>
      <c r="O512" s="75"/>
    </row>
    <row r="513" customFormat="false" ht="13.5" hidden="false" customHeight="true" outlineLevel="0" collapsed="false">
      <c r="B513" s="74" t="s">
        <v>132</v>
      </c>
      <c r="C513" s="74"/>
      <c r="D513" s="74"/>
      <c r="E513" s="75" t="str">
        <f aca="false">IF('Project Register'!$D23="","",'Project Register'!$H23)</f>
        <v>Property and facilities</v>
      </c>
      <c r="F513" s="75"/>
      <c r="G513" s="75"/>
      <c r="H513" s="75"/>
      <c r="I513" s="74" t="s">
        <v>135</v>
      </c>
      <c r="J513" s="74"/>
      <c r="K513" s="74"/>
      <c r="L513" s="75" t="str">
        <f aca="false">IF('Project Register'!$D23="","",'Project Register'!$K23)</f>
        <v>P. Nkemdirim</v>
      </c>
      <c r="M513" s="75"/>
      <c r="N513" s="75"/>
      <c r="O513" s="75"/>
    </row>
    <row r="514" customFormat="false" ht="13.5" hidden="false" customHeight="true" outlineLevel="0" collapsed="false">
      <c r="B514" s="74" t="s">
        <v>260</v>
      </c>
      <c r="C514" s="74"/>
      <c r="D514" s="74"/>
      <c r="E514" s="75" t="str">
        <f aca="false">IF('Project Register'!$D23="","",'Project Register'!$I23)</f>
        <v>Service improvement</v>
      </c>
      <c r="F514" s="75"/>
      <c r="G514" s="75"/>
      <c r="H514" s="75"/>
      <c r="I514" s="74" t="s">
        <v>134</v>
      </c>
      <c r="J514" s="74"/>
      <c r="K514" s="74"/>
      <c r="L514" s="75" t="str">
        <f aca="false">IF('Project Register'!$D23="","",'Project Register'!$J23)</f>
        <v>Proposed</v>
      </c>
      <c r="M514" s="75"/>
      <c r="N514" s="75"/>
      <c r="O514" s="75"/>
    </row>
    <row r="515" customFormat="false" ht="2.25" hidden="false" customHeight="true" outlineLevel="0" collapsed="false"/>
    <row r="516" customFormat="false" ht="15.75" hidden="false" customHeight="true" outlineLevel="0" collapsed="false">
      <c r="B516" s="76" t="s">
        <v>117</v>
      </c>
      <c r="C516" s="76"/>
      <c r="D516" s="76"/>
      <c r="E516" s="76"/>
      <c r="F516" s="76"/>
      <c r="G516" s="76"/>
      <c r="H516" s="76"/>
      <c r="I516" s="76"/>
      <c r="J516" s="76"/>
      <c r="K516" s="76"/>
      <c r="L516" s="76"/>
      <c r="M516" s="76"/>
      <c r="N516" s="76"/>
      <c r="O516" s="76"/>
    </row>
    <row r="517" customFormat="false" ht="17.25" hidden="false" customHeight="true" outlineLevel="0" collapsed="false">
      <c r="B517" s="74" t="s">
        <v>136</v>
      </c>
      <c r="C517" s="74"/>
      <c r="D517" s="74"/>
      <c r="E517" s="74"/>
      <c r="F517" s="77" t="n">
        <f aca="false">IF('Project Register'!$D23="","",'Project Register'!$L23)</f>
        <v>4200000</v>
      </c>
      <c r="G517" s="77"/>
      <c r="H517" s="77"/>
      <c r="I517" s="74" t="s">
        <v>137</v>
      </c>
      <c r="J517" s="74"/>
      <c r="K517" s="74"/>
      <c r="L517" s="74"/>
      <c r="M517" s="77" t="n">
        <f aca="false">IF('Project Register'!$D23="","",'Project Register'!$M23)</f>
        <v>0</v>
      </c>
      <c r="N517" s="77"/>
      <c r="O517" s="77"/>
    </row>
    <row r="518" customFormat="false" ht="13.5" hidden="false" customHeight="true" outlineLevel="0" collapsed="false">
      <c r="B518" s="74" t="s">
        <v>261</v>
      </c>
      <c r="C518" s="74"/>
      <c r="D518" s="74"/>
      <c r="E518" s="74"/>
      <c r="F518" s="78" t="n">
        <f aca="false">IF('Project Register'!$D23="","",'Project Register'!$N23)</f>
        <v>4200000</v>
      </c>
      <c r="G518" s="78"/>
      <c r="H518" s="78"/>
      <c r="I518" s="74" t="s">
        <v>262</v>
      </c>
      <c r="J518" s="74"/>
      <c r="K518" s="74"/>
      <c r="L518" s="74"/>
      <c r="M518" s="79" t="n">
        <f aca="false">IF('Project Register'!$D23="","",'Project Register'!$AD23)</f>
        <v>4455675</v>
      </c>
      <c r="N518" s="79"/>
      <c r="O518" s="79"/>
    </row>
    <row r="519" customFormat="false" ht="13.5" hidden="false" customHeight="true" outlineLevel="0" collapsed="false">
      <c r="B519" s="74" t="s">
        <v>263</v>
      </c>
      <c r="C519" s="74"/>
      <c r="D519" s="74"/>
      <c r="E519" s="74"/>
      <c r="F519" s="78" t="n">
        <f aca="false">IF('Project Register'!$D23="","",'Project Register'!$AC23)</f>
        <v>0</v>
      </c>
      <c r="G519" s="78"/>
      <c r="H519" s="78"/>
      <c r="I519" s="74" t="s">
        <v>264</v>
      </c>
      <c r="J519" s="74"/>
      <c r="K519" s="74"/>
      <c r="L519" s="74"/>
      <c r="M519" s="78" t="n">
        <f aca="false">IF('Project Register'!$D23="","",'Project Register'!$AE23)</f>
        <v>4455675</v>
      </c>
      <c r="N519" s="78"/>
      <c r="O519" s="78"/>
    </row>
    <row r="520" customFormat="false" ht="13.5" hidden="false" customHeight="true" outlineLevel="0" collapsed="false">
      <c r="B520" s="80" t="s">
        <v>265</v>
      </c>
      <c r="C520" s="80"/>
      <c r="D520" s="81" t="str">
        <f aca="false">Setup!$C$23</f>
        <v>FY2027</v>
      </c>
      <c r="E520" s="81"/>
      <c r="F520" s="81" t="str">
        <f aca="false">Setup!$D$23</f>
        <v>FY2028</v>
      </c>
      <c r="G520" s="81"/>
      <c r="H520" s="81" t="str">
        <f aca="false">Setup!$E$23</f>
        <v>FY2029</v>
      </c>
      <c r="I520" s="81"/>
      <c r="J520" s="81" t="str">
        <f aca="false">Setup!$F$23</f>
        <v>FY2030</v>
      </c>
      <c r="K520" s="81"/>
      <c r="L520" s="81" t="str">
        <f aca="false">Setup!$G$23</f>
        <v>FY2031</v>
      </c>
      <c r="M520" s="81"/>
      <c r="N520" s="81" t="str">
        <f aca="false">Setup!$H$23</f>
        <v>Beyond FY2031</v>
      </c>
      <c r="O520" s="81"/>
    </row>
    <row r="521" customFormat="false" ht="13.5" hidden="false" customHeight="true" outlineLevel="0" collapsed="false">
      <c r="B521" s="82" t="s">
        <v>266</v>
      </c>
      <c r="C521" s="82"/>
      <c r="D521" s="78" t="n">
        <f aca="false">IF('Project Register'!$D23="","",'Project Register'!$O23)</f>
        <v>0</v>
      </c>
      <c r="E521" s="78"/>
      <c r="F521" s="78" t="n">
        <f aca="false">IF('Project Register'!$D23="","",'Project Register'!$P23)</f>
        <v>1200000</v>
      </c>
      <c r="G521" s="78"/>
      <c r="H521" s="78" t="n">
        <f aca="false">IF('Project Register'!$D23="","",'Project Register'!$Q23)</f>
        <v>3000000</v>
      </c>
      <c r="I521" s="78"/>
      <c r="J521" s="78" t="n">
        <f aca="false">IF('Project Register'!$D23="","",'Project Register'!$R23)</f>
        <v>0</v>
      </c>
      <c r="K521" s="78"/>
      <c r="L521" s="78" t="n">
        <f aca="false">IF('Project Register'!$D23="","",'Project Register'!$S23)</f>
        <v>0</v>
      </c>
      <c r="M521" s="78"/>
      <c r="N521" s="78" t="n">
        <f aca="false">IF('Project Register'!$D23="","",'Project Register'!$T23)</f>
        <v>0</v>
      </c>
      <c r="O521" s="78"/>
    </row>
    <row r="522" customFormat="false" ht="13.5" hidden="false" customHeight="true" outlineLevel="0" collapsed="false">
      <c r="B522" s="82" t="s">
        <v>267</v>
      </c>
      <c r="C522" s="82"/>
      <c r="D522" s="79" t="n">
        <f aca="false">IF('Project Register'!$D23="","",'Project Register'!$X23)</f>
        <v>0</v>
      </c>
      <c r="E522" s="79"/>
      <c r="F522" s="79" t="n">
        <f aca="false">IF('Project Register'!$D23="","",'Project Register'!$Y23)</f>
        <v>1242000</v>
      </c>
      <c r="G522" s="79"/>
      <c r="H522" s="79" t="n">
        <f aca="false">IF('Project Register'!$D23="","",'Project Register'!$Z23)</f>
        <v>3213675</v>
      </c>
      <c r="I522" s="79"/>
      <c r="J522" s="79" t="n">
        <f aca="false">IF('Project Register'!$D23="","",'Project Register'!$AA23)</f>
        <v>0</v>
      </c>
      <c r="K522" s="79"/>
      <c r="L522" s="79" t="n">
        <f aca="false">IF('Project Register'!$D23="","",'Project Register'!$AB23)</f>
        <v>0</v>
      </c>
      <c r="M522" s="79"/>
      <c r="N522" s="79" t="n">
        <f aca="false">IF('Project Register'!$D23="","",'Project Register'!$AC23)</f>
        <v>0</v>
      </c>
      <c r="O522" s="79"/>
    </row>
    <row r="523" customFormat="false" ht="2.25" hidden="false" customHeight="true" outlineLevel="0" collapsed="false"/>
    <row r="524" customFormat="false" ht="15.75" hidden="false" customHeight="true" outlineLevel="0" collapsed="false">
      <c r="B524" s="76" t="s">
        <v>268</v>
      </c>
      <c r="C524" s="76"/>
      <c r="D524" s="76"/>
      <c r="E524" s="76"/>
      <c r="F524" s="76"/>
      <c r="G524" s="76"/>
      <c r="H524" s="76"/>
      <c r="I524" s="76"/>
      <c r="J524" s="76"/>
      <c r="K524" s="76"/>
      <c r="L524" s="76"/>
      <c r="M524" s="76"/>
      <c r="N524" s="76"/>
      <c r="O524" s="76"/>
    </row>
    <row r="525" customFormat="false" ht="13.5" hidden="false" customHeight="true" outlineLevel="0" collapsed="false">
      <c r="B525" s="80" t="s">
        <v>269</v>
      </c>
      <c r="C525" s="80"/>
      <c r="D525" s="80"/>
      <c r="E525" s="80"/>
      <c r="F525" s="80"/>
      <c r="G525" s="80"/>
      <c r="H525" s="29" t="s">
        <v>145</v>
      </c>
      <c r="I525" s="29"/>
      <c r="J525" s="29"/>
      <c r="K525" s="83" t="s">
        <v>270</v>
      </c>
      <c r="L525" s="83"/>
      <c r="M525" s="83"/>
      <c r="N525" s="83"/>
      <c r="O525" s="83"/>
    </row>
    <row r="526" customFormat="false" ht="13.5" hidden="false" customHeight="true" outlineLevel="0" collapsed="false">
      <c r="B526" s="75" t="str">
        <f aca="false">IF('Project Register'!$D23="","",IF('Project Register'!$AF23="","-",'Project Register'!$AF23))</f>
        <v>Own revenue</v>
      </c>
      <c r="C526" s="75"/>
      <c r="D526" s="75"/>
      <c r="E526" s="75"/>
      <c r="F526" s="75"/>
      <c r="G526" s="75"/>
      <c r="H526" s="84" t="n">
        <f aca="false">IF('Project Register'!$D23="","",'Project Register'!$AG23)</f>
        <v>0.5</v>
      </c>
      <c r="I526" s="84"/>
      <c r="J526" s="84"/>
      <c r="K526" s="78" t="n">
        <f aca="false">IF('Project Register'!$D23="","",'Project Register'!$AD23*'Project Register'!$AG23)</f>
        <v>2227837.5</v>
      </c>
      <c r="L526" s="78"/>
      <c r="M526" s="78"/>
      <c r="N526" s="78"/>
      <c r="O526" s="78"/>
    </row>
    <row r="527" customFormat="false" ht="13.5" hidden="false" customHeight="true" outlineLevel="0" collapsed="false">
      <c r="B527" s="75" t="str">
        <f aca="false">IF('Project Register'!$D23="","",IF('Project Register'!$AH23="","-",'Project Register'!$AH23))</f>
        <v>Asset sales</v>
      </c>
      <c r="C527" s="75"/>
      <c r="D527" s="75"/>
      <c r="E527" s="75"/>
      <c r="F527" s="75"/>
      <c r="G527" s="75"/>
      <c r="H527" s="84" t="n">
        <f aca="false">IF('Project Register'!$D23="","",'Project Register'!$AI23)</f>
        <v>0.5</v>
      </c>
      <c r="I527" s="84"/>
      <c r="J527" s="84"/>
      <c r="K527" s="78" t="n">
        <f aca="false">IF('Project Register'!$D23="","",'Project Register'!$AD23*'Project Register'!$AI23)</f>
        <v>2227837.5</v>
      </c>
      <c r="L527" s="78"/>
      <c r="M527" s="78"/>
      <c r="N527" s="78"/>
      <c r="O527" s="78"/>
    </row>
    <row r="528" customFormat="false" ht="13.5" hidden="false" customHeight="true" outlineLevel="0" collapsed="false">
      <c r="B528" s="85" t="s">
        <v>271</v>
      </c>
      <c r="C528" s="85"/>
      <c r="D528" s="85"/>
      <c r="E528" s="85"/>
      <c r="F528" s="85"/>
      <c r="G528" s="85"/>
      <c r="H528" s="86" t="n">
        <f aca="false">IF('Project Register'!$D23="","",'Project Register'!$AJ23)</f>
        <v>0</v>
      </c>
      <c r="I528" s="86"/>
      <c r="J528" s="86"/>
      <c r="K528" s="79" t="n">
        <f aca="false">IF('Project Register'!$D23="","",'Project Register'!$AL23)</f>
        <v>0</v>
      </c>
      <c r="L528" s="79"/>
      <c r="M528" s="79"/>
      <c r="N528" s="79"/>
      <c r="O528" s="79"/>
    </row>
    <row r="529" customFormat="false" ht="2.25" hidden="false" customHeight="true" outlineLevel="0" collapsed="false"/>
    <row r="530" customFormat="false" ht="15.75" hidden="false" customHeight="true" outlineLevel="0" collapsed="false">
      <c r="B530" s="76" t="s">
        <v>272</v>
      </c>
      <c r="C530" s="76"/>
      <c r="D530" s="76"/>
      <c r="E530" s="76"/>
      <c r="F530" s="76"/>
      <c r="G530" s="76"/>
      <c r="H530" s="76"/>
      <c r="I530" s="76"/>
      <c r="J530" s="76"/>
      <c r="K530" s="76"/>
      <c r="L530" s="76"/>
      <c r="M530" s="76"/>
      <c r="N530" s="76"/>
      <c r="O530" s="76"/>
    </row>
    <row r="531" customFormat="false" ht="17.25" hidden="false" customHeight="true" outlineLevel="0" collapsed="false">
      <c r="B531" s="74" t="s">
        <v>243</v>
      </c>
      <c r="C531" s="74"/>
      <c r="D531" s="87" t="n">
        <f aca="false">IF('Project Register'!$D23="","",Prioritisation!$O23)</f>
        <v>2.65</v>
      </c>
      <c r="E531" s="87"/>
      <c r="F531" s="74" t="s">
        <v>273</v>
      </c>
      <c r="G531" s="74"/>
      <c r="H531" s="74"/>
      <c r="I531" s="88" t="str">
        <f aca="false">IF('Project Register'!$D23="","",TEXT(Prioritisation!$P23,"0")&amp;" of "&amp;TEXT(COUNTIF('Project Register'!$C$9:$C$38,"?*"),"0"))</f>
        <v>14 of 15</v>
      </c>
      <c r="J531" s="88"/>
      <c r="K531" s="82" t="s">
        <v>245</v>
      </c>
      <c r="L531" s="82"/>
      <c r="M531" s="89" t="str">
        <f aca="false">IF('Project Register'!$D23="","",Prioritisation!$Q23)</f>
        <v>Medium</v>
      </c>
      <c r="N531" s="89"/>
      <c r="O531" s="89"/>
    </row>
    <row r="532" customFormat="false" ht="2.25" hidden="false" customHeight="true" outlineLevel="0" collapsed="false"/>
    <row r="533" customFormat="false" ht="15.75" hidden="false" customHeight="true" outlineLevel="0" collapsed="false">
      <c r="B533" s="76" t="s">
        <v>274</v>
      </c>
      <c r="C533" s="76"/>
      <c r="D533" s="76"/>
      <c r="E533" s="76"/>
      <c r="F533" s="76"/>
      <c r="G533" s="76"/>
      <c r="H533" s="76"/>
      <c r="I533" s="76"/>
      <c r="J533" s="76"/>
      <c r="K533" s="76"/>
      <c r="L533" s="76"/>
      <c r="M533" s="76"/>
      <c r="N533" s="76"/>
      <c r="O533" s="76"/>
    </row>
    <row r="534" customFormat="false" ht="35.25" hidden="false" customHeight="true" outlineLevel="0" collapsed="false">
      <c r="B534" s="90" t="s">
        <v>275</v>
      </c>
      <c r="C534" s="90"/>
      <c r="D534" s="90"/>
      <c r="E534" s="91" t="s">
        <v>426</v>
      </c>
      <c r="F534" s="91"/>
      <c r="G534" s="91"/>
      <c r="H534" s="91"/>
      <c r="I534" s="91"/>
      <c r="J534" s="91"/>
      <c r="K534" s="91"/>
      <c r="L534" s="91"/>
      <c r="M534" s="91"/>
      <c r="N534" s="91"/>
      <c r="O534" s="91"/>
    </row>
    <row r="535" customFormat="false" ht="35.25" hidden="false" customHeight="true" outlineLevel="0" collapsed="false">
      <c r="B535" s="90" t="s">
        <v>277</v>
      </c>
      <c r="C535" s="90"/>
      <c r="D535" s="90"/>
      <c r="E535" s="91" t="s">
        <v>427</v>
      </c>
      <c r="F535" s="91"/>
      <c r="G535" s="91"/>
      <c r="H535" s="91"/>
      <c r="I535" s="91"/>
      <c r="J535" s="91"/>
      <c r="K535" s="91"/>
      <c r="L535" s="91"/>
      <c r="M535" s="91"/>
      <c r="N535" s="91"/>
      <c r="O535" s="91"/>
    </row>
    <row r="536" customFormat="false" ht="35.25" hidden="false" customHeight="true" outlineLevel="0" collapsed="false">
      <c r="B536" s="90" t="s">
        <v>279</v>
      </c>
      <c r="C536" s="90"/>
      <c r="D536" s="90"/>
      <c r="E536" s="91" t="s">
        <v>428</v>
      </c>
      <c r="F536" s="91"/>
      <c r="G536" s="91"/>
      <c r="H536" s="91"/>
      <c r="I536" s="91"/>
      <c r="J536" s="91"/>
      <c r="K536" s="91"/>
      <c r="L536" s="91"/>
      <c r="M536" s="91"/>
      <c r="N536" s="91"/>
      <c r="O536" s="91"/>
    </row>
    <row r="537" customFormat="false" ht="35.25" hidden="false" customHeight="true" outlineLevel="0" collapsed="false">
      <c r="B537" s="90" t="s">
        <v>281</v>
      </c>
      <c r="C537" s="90"/>
      <c r="D537" s="90"/>
      <c r="E537" s="91" t="s">
        <v>429</v>
      </c>
      <c r="F537" s="91"/>
      <c r="G537" s="91"/>
      <c r="H537" s="91"/>
      <c r="I537" s="91"/>
      <c r="J537" s="91"/>
      <c r="K537" s="91"/>
      <c r="L537" s="91"/>
      <c r="M537" s="91"/>
      <c r="N537" s="91"/>
      <c r="O537" s="91"/>
    </row>
    <row r="538" customFormat="false" ht="35.25" hidden="false" customHeight="true" outlineLevel="0" collapsed="false">
      <c r="B538" s="90" t="s">
        <v>283</v>
      </c>
      <c r="C538" s="90"/>
      <c r="D538" s="90"/>
      <c r="E538" s="91" t="s">
        <v>430</v>
      </c>
      <c r="F538" s="91"/>
      <c r="G538" s="91"/>
      <c r="H538" s="91"/>
      <c r="I538" s="91"/>
      <c r="J538" s="91"/>
      <c r="K538" s="91"/>
      <c r="L538" s="91"/>
      <c r="M538" s="91"/>
      <c r="N538" s="91"/>
      <c r="O538" s="91"/>
    </row>
    <row r="539" customFormat="false" ht="35.25" hidden="false" customHeight="true" outlineLevel="0" collapsed="false">
      <c r="B539" s="90" t="s">
        <v>285</v>
      </c>
      <c r="C539" s="90"/>
      <c r="D539" s="90"/>
      <c r="E539" s="91" t="s">
        <v>431</v>
      </c>
      <c r="F539" s="91"/>
      <c r="G539" s="91"/>
      <c r="H539" s="91"/>
      <c r="I539" s="91"/>
      <c r="J539" s="91"/>
      <c r="K539" s="91"/>
      <c r="L539" s="91"/>
      <c r="M539" s="91"/>
      <c r="N539" s="91"/>
      <c r="O539" s="91"/>
    </row>
    <row r="540" customFormat="false" ht="35.25" hidden="false" customHeight="true" outlineLevel="0" collapsed="false">
      <c r="B540" s="90" t="s">
        <v>287</v>
      </c>
      <c r="C540" s="90"/>
      <c r="D540" s="90"/>
      <c r="E540" s="91" t="s">
        <v>432</v>
      </c>
      <c r="F540" s="91"/>
      <c r="G540" s="91"/>
      <c r="H540" s="91"/>
      <c r="I540" s="91"/>
      <c r="J540" s="91"/>
      <c r="K540" s="91"/>
      <c r="L540" s="91"/>
      <c r="M540" s="91"/>
      <c r="N540" s="91"/>
      <c r="O540" s="91"/>
    </row>
    <row r="541" customFormat="false" ht="35.25" hidden="false" customHeight="true" outlineLevel="0" collapsed="false">
      <c r="B541" s="90" t="s">
        <v>289</v>
      </c>
      <c r="C541" s="90"/>
      <c r="D541" s="90"/>
      <c r="E541" s="91" t="s">
        <v>433</v>
      </c>
      <c r="F541" s="91"/>
      <c r="G541" s="91"/>
      <c r="H541" s="91"/>
      <c r="I541" s="91"/>
      <c r="J541" s="91"/>
      <c r="K541" s="91"/>
      <c r="L541" s="91"/>
      <c r="M541" s="91"/>
      <c r="N541" s="91"/>
      <c r="O541" s="91"/>
    </row>
    <row r="542" customFormat="false" ht="35.25" hidden="false" customHeight="true" outlineLevel="0" collapsed="false">
      <c r="B542" s="90" t="s">
        <v>291</v>
      </c>
      <c r="C542" s="90"/>
      <c r="D542" s="90"/>
      <c r="E542" s="91" t="s">
        <v>434</v>
      </c>
      <c r="F542" s="91"/>
      <c r="G542" s="91"/>
      <c r="H542" s="91"/>
      <c r="I542" s="91"/>
      <c r="J542" s="91"/>
      <c r="K542" s="91"/>
      <c r="L542" s="91"/>
      <c r="M542" s="91"/>
      <c r="N542" s="91"/>
      <c r="O542" s="91"/>
    </row>
    <row r="543" customFormat="false" ht="35.25" hidden="false" customHeight="true" outlineLevel="0" collapsed="false">
      <c r="B543" s="90" t="s">
        <v>293</v>
      </c>
      <c r="C543" s="90"/>
      <c r="D543" s="90"/>
      <c r="E543" s="91" t="s">
        <v>435</v>
      </c>
      <c r="F543" s="91"/>
      <c r="G543" s="91"/>
      <c r="H543" s="91"/>
      <c r="I543" s="91"/>
      <c r="J543" s="91"/>
      <c r="K543" s="91"/>
      <c r="L543" s="91"/>
      <c r="M543" s="91"/>
      <c r="N543" s="91"/>
      <c r="O543" s="91"/>
    </row>
    <row r="544" customFormat="false" ht="11.25" hidden="false" customHeight="true" outlineLevel="0" collapsed="false">
      <c r="B544" s="15" t="s">
        <v>295</v>
      </c>
      <c r="C544" s="15"/>
      <c r="D544" s="15"/>
      <c r="E544" s="15"/>
      <c r="F544" s="15"/>
      <c r="G544" s="15"/>
      <c r="H544" s="15"/>
      <c r="I544" s="15"/>
      <c r="J544" s="15"/>
      <c r="K544" s="15"/>
      <c r="L544" s="16" t="s">
        <v>40</v>
      </c>
      <c r="M544" s="16"/>
      <c r="N544" s="16"/>
      <c r="O544" s="16"/>
    </row>
    <row r="545" customFormat="false" ht="3" hidden="false" customHeight="true" outlineLevel="0" collapsed="false"/>
    <row r="546" customFormat="false" ht="27.75" hidden="false" customHeight="true" outlineLevel="0" collapsed="false">
      <c r="B546" s="57" t="s">
        <v>259</v>
      </c>
      <c r="C546" s="57"/>
      <c r="D546" s="57"/>
      <c r="E546" s="57"/>
      <c r="F546" s="69" t="str">
        <f aca="false">IF('Project Register'!$D24="","",'Project Register'!$C24)</f>
        <v/>
      </c>
      <c r="G546" s="69"/>
      <c r="H546" s="70" t="str">
        <f aca="false">IF('Project Register'!$D24="","",'Project Register'!$D24)</f>
        <v/>
      </c>
      <c r="I546" s="70"/>
      <c r="J546" s="70"/>
      <c r="K546" s="70"/>
      <c r="L546" s="70"/>
      <c r="M546" s="70"/>
      <c r="N546" s="70"/>
      <c r="O546" s="70"/>
      <c r="R546" s="71" t="str">
        <f aca="false">IF('Project Register'!$D24="","",'Project Register'!$C24)</f>
        <v/>
      </c>
      <c r="S546" s="72" t="n">
        <f aca="false">COUNTIF($E$570:$E$579,"?*")</f>
        <v>0</v>
      </c>
    </row>
    <row r="547" customFormat="false" ht="24.75" hidden="false" customHeight="true" outlineLevel="0" collapsed="false">
      <c r="B547" s="73" t="str">
        <f aca="false">IF('Project Register'!$D24="","No project on register row 16. Fill that row in on the Project Register and this block writes its own heading.",'Project Register'!$E24)</f>
        <v>No project on register row 16. Fill that row in on the Project Register and this block writes its own heading.</v>
      </c>
      <c r="C547" s="73"/>
      <c r="D547" s="73"/>
      <c r="E547" s="73"/>
      <c r="F547" s="73"/>
      <c r="G547" s="73"/>
      <c r="H547" s="73"/>
      <c r="I547" s="73"/>
      <c r="J547" s="73"/>
      <c r="K547" s="73"/>
      <c r="L547" s="73"/>
      <c r="M547" s="73"/>
      <c r="N547" s="73"/>
      <c r="O547" s="73"/>
    </row>
    <row r="548" customFormat="false" ht="13.5" hidden="false" customHeight="true" outlineLevel="0" collapsed="false">
      <c r="B548" s="74" t="s">
        <v>130</v>
      </c>
      <c r="C548" s="74"/>
      <c r="D548" s="74"/>
      <c r="E548" s="75" t="str">
        <f aca="false">IF('Project Register'!$D24="","",'Project Register'!$F24)</f>
        <v/>
      </c>
      <c r="F548" s="75"/>
      <c r="G548" s="75"/>
      <c r="H548" s="75"/>
      <c r="I548" s="74" t="s">
        <v>131</v>
      </c>
      <c r="J548" s="74"/>
      <c r="K548" s="74"/>
      <c r="L548" s="75" t="str">
        <f aca="false">IF('Project Register'!$D24="","",'Project Register'!$G24)</f>
        <v/>
      </c>
      <c r="M548" s="75"/>
      <c r="N548" s="75"/>
      <c r="O548" s="75"/>
    </row>
    <row r="549" customFormat="false" ht="13.5" hidden="false" customHeight="true" outlineLevel="0" collapsed="false">
      <c r="B549" s="74" t="s">
        <v>132</v>
      </c>
      <c r="C549" s="74"/>
      <c r="D549" s="74"/>
      <c r="E549" s="75" t="str">
        <f aca="false">IF('Project Register'!$D24="","",'Project Register'!$H24)</f>
        <v/>
      </c>
      <c r="F549" s="75"/>
      <c r="G549" s="75"/>
      <c r="H549" s="75"/>
      <c r="I549" s="74" t="s">
        <v>135</v>
      </c>
      <c r="J549" s="74"/>
      <c r="K549" s="74"/>
      <c r="L549" s="75" t="str">
        <f aca="false">IF('Project Register'!$D24="","",'Project Register'!$K24)</f>
        <v/>
      </c>
      <c r="M549" s="75"/>
      <c r="N549" s="75"/>
      <c r="O549" s="75"/>
    </row>
    <row r="550" customFormat="false" ht="13.5" hidden="false" customHeight="true" outlineLevel="0" collapsed="false">
      <c r="B550" s="74" t="s">
        <v>260</v>
      </c>
      <c r="C550" s="74"/>
      <c r="D550" s="74"/>
      <c r="E550" s="75" t="str">
        <f aca="false">IF('Project Register'!$D24="","",'Project Register'!$I24)</f>
        <v/>
      </c>
      <c r="F550" s="75"/>
      <c r="G550" s="75"/>
      <c r="H550" s="75"/>
      <c r="I550" s="74" t="s">
        <v>134</v>
      </c>
      <c r="J550" s="74"/>
      <c r="K550" s="74"/>
      <c r="L550" s="75" t="str">
        <f aca="false">IF('Project Register'!$D24="","",'Project Register'!$J24)</f>
        <v/>
      </c>
      <c r="M550" s="75"/>
      <c r="N550" s="75"/>
      <c r="O550" s="75"/>
    </row>
    <row r="551" customFormat="false" ht="2.25" hidden="false" customHeight="true" outlineLevel="0" collapsed="false"/>
    <row r="552" customFormat="false" ht="15.75" hidden="false" customHeight="true" outlineLevel="0" collapsed="false">
      <c r="B552" s="76" t="s">
        <v>117</v>
      </c>
      <c r="C552" s="76"/>
      <c r="D552" s="76"/>
      <c r="E552" s="76"/>
      <c r="F552" s="76"/>
      <c r="G552" s="76"/>
      <c r="H552" s="76"/>
      <c r="I552" s="76"/>
      <c r="J552" s="76"/>
      <c r="K552" s="76"/>
      <c r="L552" s="76"/>
      <c r="M552" s="76"/>
      <c r="N552" s="76"/>
      <c r="O552" s="76"/>
    </row>
    <row r="553" customFormat="false" ht="17.25" hidden="false" customHeight="true" outlineLevel="0" collapsed="false">
      <c r="B553" s="74" t="s">
        <v>136</v>
      </c>
      <c r="C553" s="74"/>
      <c r="D553" s="74"/>
      <c r="E553" s="74"/>
      <c r="F553" s="77" t="str">
        <f aca="false">IF('Project Register'!$D24="","",'Project Register'!$L24)</f>
        <v/>
      </c>
      <c r="G553" s="77"/>
      <c r="H553" s="77"/>
      <c r="I553" s="74" t="s">
        <v>137</v>
      </c>
      <c r="J553" s="74"/>
      <c r="K553" s="74"/>
      <c r="L553" s="74"/>
      <c r="M553" s="77" t="str">
        <f aca="false">IF('Project Register'!$D24="","",'Project Register'!$M24)</f>
        <v/>
      </c>
      <c r="N553" s="77"/>
      <c r="O553" s="77"/>
    </row>
    <row r="554" customFormat="false" ht="13.5" hidden="false" customHeight="true" outlineLevel="0" collapsed="false">
      <c r="B554" s="74" t="s">
        <v>261</v>
      </c>
      <c r="C554" s="74"/>
      <c r="D554" s="74"/>
      <c r="E554" s="74"/>
      <c r="F554" s="78" t="str">
        <f aca="false">IF('Project Register'!$D24="","",'Project Register'!$N24)</f>
        <v/>
      </c>
      <c r="G554" s="78"/>
      <c r="H554" s="78"/>
      <c r="I554" s="74" t="s">
        <v>262</v>
      </c>
      <c r="J554" s="74"/>
      <c r="K554" s="74"/>
      <c r="L554" s="74"/>
      <c r="M554" s="79" t="str">
        <f aca="false">IF('Project Register'!$D24="","",'Project Register'!$AD24)</f>
        <v/>
      </c>
      <c r="N554" s="79"/>
      <c r="O554" s="79"/>
    </row>
    <row r="555" customFormat="false" ht="13.5" hidden="false" customHeight="true" outlineLevel="0" collapsed="false">
      <c r="B555" s="74" t="s">
        <v>263</v>
      </c>
      <c r="C555" s="74"/>
      <c r="D555" s="74"/>
      <c r="E555" s="74"/>
      <c r="F555" s="78" t="str">
        <f aca="false">IF('Project Register'!$D24="","",'Project Register'!$AC24)</f>
        <v/>
      </c>
      <c r="G555" s="78"/>
      <c r="H555" s="78"/>
      <c r="I555" s="74" t="s">
        <v>264</v>
      </c>
      <c r="J555" s="74"/>
      <c r="K555" s="74"/>
      <c r="L555" s="74"/>
      <c r="M555" s="78" t="str">
        <f aca="false">IF('Project Register'!$D24="","",'Project Register'!$AE24)</f>
        <v/>
      </c>
      <c r="N555" s="78"/>
      <c r="O555" s="78"/>
    </row>
    <row r="556" customFormat="false" ht="13.5" hidden="false" customHeight="true" outlineLevel="0" collapsed="false">
      <c r="B556" s="80" t="s">
        <v>265</v>
      </c>
      <c r="C556" s="80"/>
      <c r="D556" s="81" t="str">
        <f aca="false">Setup!$C$23</f>
        <v>FY2027</v>
      </c>
      <c r="E556" s="81"/>
      <c r="F556" s="81" t="str">
        <f aca="false">Setup!$D$23</f>
        <v>FY2028</v>
      </c>
      <c r="G556" s="81"/>
      <c r="H556" s="81" t="str">
        <f aca="false">Setup!$E$23</f>
        <v>FY2029</v>
      </c>
      <c r="I556" s="81"/>
      <c r="J556" s="81" t="str">
        <f aca="false">Setup!$F$23</f>
        <v>FY2030</v>
      </c>
      <c r="K556" s="81"/>
      <c r="L556" s="81" t="str">
        <f aca="false">Setup!$G$23</f>
        <v>FY2031</v>
      </c>
      <c r="M556" s="81"/>
      <c r="N556" s="81" t="str">
        <f aca="false">Setup!$H$23</f>
        <v>Beyond FY2031</v>
      </c>
      <c r="O556" s="81"/>
    </row>
    <row r="557" customFormat="false" ht="13.5" hidden="false" customHeight="true" outlineLevel="0" collapsed="false">
      <c r="B557" s="82" t="s">
        <v>266</v>
      </c>
      <c r="C557" s="82"/>
      <c r="D557" s="78" t="str">
        <f aca="false">IF('Project Register'!$D24="","",'Project Register'!$O24)</f>
        <v/>
      </c>
      <c r="E557" s="78"/>
      <c r="F557" s="78" t="str">
        <f aca="false">IF('Project Register'!$D24="","",'Project Register'!$P24)</f>
        <v/>
      </c>
      <c r="G557" s="78"/>
      <c r="H557" s="78" t="str">
        <f aca="false">IF('Project Register'!$D24="","",'Project Register'!$Q24)</f>
        <v/>
      </c>
      <c r="I557" s="78"/>
      <c r="J557" s="78" t="str">
        <f aca="false">IF('Project Register'!$D24="","",'Project Register'!$R24)</f>
        <v/>
      </c>
      <c r="K557" s="78"/>
      <c r="L557" s="78" t="str">
        <f aca="false">IF('Project Register'!$D24="","",'Project Register'!$S24)</f>
        <v/>
      </c>
      <c r="M557" s="78"/>
      <c r="N557" s="78" t="str">
        <f aca="false">IF('Project Register'!$D24="","",'Project Register'!$T24)</f>
        <v/>
      </c>
      <c r="O557" s="78"/>
    </row>
    <row r="558" customFormat="false" ht="13.5" hidden="false" customHeight="true" outlineLevel="0" collapsed="false">
      <c r="B558" s="82" t="s">
        <v>267</v>
      </c>
      <c r="C558" s="82"/>
      <c r="D558" s="79" t="str">
        <f aca="false">IF('Project Register'!$D24="","",'Project Register'!$X24)</f>
        <v/>
      </c>
      <c r="E558" s="79"/>
      <c r="F558" s="79" t="str">
        <f aca="false">IF('Project Register'!$D24="","",'Project Register'!$Y24)</f>
        <v/>
      </c>
      <c r="G558" s="79"/>
      <c r="H558" s="79" t="str">
        <f aca="false">IF('Project Register'!$D24="","",'Project Register'!$Z24)</f>
        <v/>
      </c>
      <c r="I558" s="79"/>
      <c r="J558" s="79" t="str">
        <f aca="false">IF('Project Register'!$D24="","",'Project Register'!$AA24)</f>
        <v/>
      </c>
      <c r="K558" s="79"/>
      <c r="L558" s="79" t="str">
        <f aca="false">IF('Project Register'!$D24="","",'Project Register'!$AB24)</f>
        <v/>
      </c>
      <c r="M558" s="79"/>
      <c r="N558" s="79" t="str">
        <f aca="false">IF('Project Register'!$D24="","",'Project Register'!$AC24)</f>
        <v/>
      </c>
      <c r="O558" s="79"/>
    </row>
    <row r="559" customFormat="false" ht="2.25" hidden="false" customHeight="true" outlineLevel="0" collapsed="false"/>
    <row r="560" customFormat="false" ht="15.75" hidden="false" customHeight="true" outlineLevel="0" collapsed="false">
      <c r="B560" s="76" t="s">
        <v>268</v>
      </c>
      <c r="C560" s="76"/>
      <c r="D560" s="76"/>
      <c r="E560" s="76"/>
      <c r="F560" s="76"/>
      <c r="G560" s="76"/>
      <c r="H560" s="76"/>
      <c r="I560" s="76"/>
      <c r="J560" s="76"/>
      <c r="K560" s="76"/>
      <c r="L560" s="76"/>
      <c r="M560" s="76"/>
      <c r="N560" s="76"/>
      <c r="O560" s="76"/>
    </row>
    <row r="561" customFormat="false" ht="13.5" hidden="false" customHeight="true" outlineLevel="0" collapsed="false">
      <c r="B561" s="80" t="s">
        <v>269</v>
      </c>
      <c r="C561" s="80"/>
      <c r="D561" s="80"/>
      <c r="E561" s="80"/>
      <c r="F561" s="80"/>
      <c r="G561" s="80"/>
      <c r="H561" s="29" t="s">
        <v>145</v>
      </c>
      <c r="I561" s="29"/>
      <c r="J561" s="29"/>
      <c r="K561" s="83" t="s">
        <v>270</v>
      </c>
      <c r="L561" s="83"/>
      <c r="M561" s="83"/>
      <c r="N561" s="83"/>
      <c r="O561" s="83"/>
    </row>
    <row r="562" customFormat="false" ht="13.5" hidden="false" customHeight="true" outlineLevel="0" collapsed="false">
      <c r="B562" s="75" t="str">
        <f aca="false">IF('Project Register'!$D24="","",IF('Project Register'!$AF24="","-",'Project Register'!$AF24))</f>
        <v/>
      </c>
      <c r="C562" s="75"/>
      <c r="D562" s="75"/>
      <c r="E562" s="75"/>
      <c r="F562" s="75"/>
      <c r="G562" s="75"/>
      <c r="H562" s="84" t="str">
        <f aca="false">IF('Project Register'!$D24="","",'Project Register'!$AG24)</f>
        <v/>
      </c>
      <c r="I562" s="84"/>
      <c r="J562" s="84"/>
      <c r="K562" s="78" t="str">
        <f aca="false">IF('Project Register'!$D24="","",'Project Register'!$AD24*'Project Register'!$AG24)</f>
        <v/>
      </c>
      <c r="L562" s="78"/>
      <c r="M562" s="78"/>
      <c r="N562" s="78"/>
      <c r="O562" s="78"/>
    </row>
    <row r="563" customFormat="false" ht="13.5" hidden="false" customHeight="true" outlineLevel="0" collapsed="false">
      <c r="B563" s="75" t="str">
        <f aca="false">IF('Project Register'!$D24="","",IF('Project Register'!$AH24="","-",'Project Register'!$AH24))</f>
        <v/>
      </c>
      <c r="C563" s="75"/>
      <c r="D563" s="75"/>
      <c r="E563" s="75"/>
      <c r="F563" s="75"/>
      <c r="G563" s="75"/>
      <c r="H563" s="84" t="str">
        <f aca="false">IF('Project Register'!$D24="","",'Project Register'!$AI24)</f>
        <v/>
      </c>
      <c r="I563" s="84"/>
      <c r="J563" s="84"/>
      <c r="K563" s="78" t="str">
        <f aca="false">IF('Project Register'!$D24="","",'Project Register'!$AD24*'Project Register'!$AI24)</f>
        <v/>
      </c>
      <c r="L563" s="78"/>
      <c r="M563" s="78"/>
      <c r="N563" s="78"/>
      <c r="O563" s="78"/>
    </row>
    <row r="564" customFormat="false" ht="13.5" hidden="false" customHeight="true" outlineLevel="0" collapsed="false">
      <c r="B564" s="85" t="s">
        <v>271</v>
      </c>
      <c r="C564" s="85"/>
      <c r="D564" s="85"/>
      <c r="E564" s="85"/>
      <c r="F564" s="85"/>
      <c r="G564" s="85"/>
      <c r="H564" s="86" t="str">
        <f aca="false">IF('Project Register'!$D24="","",'Project Register'!$AJ24)</f>
        <v/>
      </c>
      <c r="I564" s="86"/>
      <c r="J564" s="86"/>
      <c r="K564" s="79" t="str">
        <f aca="false">IF('Project Register'!$D24="","",'Project Register'!$AL24)</f>
        <v/>
      </c>
      <c r="L564" s="79"/>
      <c r="M564" s="79"/>
      <c r="N564" s="79"/>
      <c r="O564" s="79"/>
    </row>
    <row r="565" customFormat="false" ht="2.25" hidden="false" customHeight="true" outlineLevel="0" collapsed="false"/>
    <row r="566" customFormat="false" ht="15.75" hidden="false" customHeight="true" outlineLevel="0" collapsed="false">
      <c r="B566" s="76" t="s">
        <v>272</v>
      </c>
      <c r="C566" s="76"/>
      <c r="D566" s="76"/>
      <c r="E566" s="76"/>
      <c r="F566" s="76"/>
      <c r="G566" s="76"/>
      <c r="H566" s="76"/>
      <c r="I566" s="76"/>
      <c r="J566" s="76"/>
      <c r="K566" s="76"/>
      <c r="L566" s="76"/>
      <c r="M566" s="76"/>
      <c r="N566" s="76"/>
      <c r="O566" s="76"/>
    </row>
    <row r="567" customFormat="false" ht="17.25" hidden="false" customHeight="true" outlineLevel="0" collapsed="false">
      <c r="B567" s="74" t="s">
        <v>243</v>
      </c>
      <c r="C567" s="74"/>
      <c r="D567" s="87" t="str">
        <f aca="false">IF('Project Register'!$D24="","",Prioritisation!$O24)</f>
        <v/>
      </c>
      <c r="E567" s="87"/>
      <c r="F567" s="74" t="s">
        <v>273</v>
      </c>
      <c r="G567" s="74"/>
      <c r="H567" s="74"/>
      <c r="I567" s="88" t="str">
        <f aca="false">IF('Project Register'!$D24="","",TEXT(Prioritisation!$P24,"0")&amp;" of "&amp;TEXT(COUNTIF('Project Register'!$C$9:$C$38,"?*"),"0"))</f>
        <v/>
      </c>
      <c r="J567" s="88"/>
      <c r="K567" s="82" t="s">
        <v>245</v>
      </c>
      <c r="L567" s="82"/>
      <c r="M567" s="89" t="str">
        <f aca="false">IF('Project Register'!$D24="","",Prioritisation!$Q24)</f>
        <v/>
      </c>
      <c r="N567" s="89"/>
      <c r="O567" s="89"/>
    </row>
    <row r="568" customFormat="false" ht="2.25" hidden="false" customHeight="true" outlineLevel="0" collapsed="false"/>
    <row r="569" customFormat="false" ht="15.75" hidden="false" customHeight="true" outlineLevel="0" collapsed="false">
      <c r="B569" s="76" t="s">
        <v>274</v>
      </c>
      <c r="C569" s="76"/>
      <c r="D569" s="76"/>
      <c r="E569" s="76"/>
      <c r="F569" s="76"/>
      <c r="G569" s="76"/>
      <c r="H569" s="76"/>
      <c r="I569" s="76"/>
      <c r="J569" s="76"/>
      <c r="K569" s="76"/>
      <c r="L569" s="76"/>
      <c r="M569" s="76"/>
      <c r="N569" s="76"/>
      <c r="O569" s="76"/>
    </row>
    <row r="570" customFormat="false" ht="35.25" hidden="false" customHeight="true" outlineLevel="0" collapsed="false">
      <c r="B570" s="90" t="s">
        <v>275</v>
      </c>
      <c r="C570" s="90"/>
      <c r="D570" s="90"/>
      <c r="E570" s="91"/>
      <c r="F570" s="91"/>
      <c r="G570" s="91"/>
      <c r="H570" s="91"/>
      <c r="I570" s="91"/>
      <c r="J570" s="91"/>
      <c r="K570" s="91"/>
      <c r="L570" s="91"/>
      <c r="M570" s="91"/>
      <c r="N570" s="91"/>
      <c r="O570" s="91"/>
    </row>
    <row r="571" customFormat="false" ht="35.25" hidden="false" customHeight="true" outlineLevel="0" collapsed="false">
      <c r="B571" s="90" t="s">
        <v>277</v>
      </c>
      <c r="C571" s="90"/>
      <c r="D571" s="90"/>
      <c r="E571" s="91"/>
      <c r="F571" s="91"/>
      <c r="G571" s="91"/>
      <c r="H571" s="91"/>
      <c r="I571" s="91"/>
      <c r="J571" s="91"/>
      <c r="K571" s="91"/>
      <c r="L571" s="91"/>
      <c r="M571" s="91"/>
      <c r="N571" s="91"/>
      <c r="O571" s="91"/>
    </row>
    <row r="572" customFormat="false" ht="35.25" hidden="false" customHeight="true" outlineLevel="0" collapsed="false">
      <c r="B572" s="90" t="s">
        <v>279</v>
      </c>
      <c r="C572" s="90"/>
      <c r="D572" s="90"/>
      <c r="E572" s="91"/>
      <c r="F572" s="91"/>
      <c r="G572" s="91"/>
      <c r="H572" s="91"/>
      <c r="I572" s="91"/>
      <c r="J572" s="91"/>
      <c r="K572" s="91"/>
      <c r="L572" s="91"/>
      <c r="M572" s="91"/>
      <c r="N572" s="91"/>
      <c r="O572" s="91"/>
    </row>
    <row r="573" customFormat="false" ht="35.25" hidden="false" customHeight="true" outlineLevel="0" collapsed="false">
      <c r="B573" s="90" t="s">
        <v>281</v>
      </c>
      <c r="C573" s="90"/>
      <c r="D573" s="90"/>
      <c r="E573" s="91"/>
      <c r="F573" s="91"/>
      <c r="G573" s="91"/>
      <c r="H573" s="91"/>
      <c r="I573" s="91"/>
      <c r="J573" s="91"/>
      <c r="K573" s="91"/>
      <c r="L573" s="91"/>
      <c r="M573" s="91"/>
      <c r="N573" s="91"/>
      <c r="O573" s="91"/>
    </row>
    <row r="574" customFormat="false" ht="35.25" hidden="false" customHeight="true" outlineLevel="0" collapsed="false">
      <c r="B574" s="90" t="s">
        <v>283</v>
      </c>
      <c r="C574" s="90"/>
      <c r="D574" s="90"/>
      <c r="E574" s="91"/>
      <c r="F574" s="91"/>
      <c r="G574" s="91"/>
      <c r="H574" s="91"/>
      <c r="I574" s="91"/>
      <c r="J574" s="91"/>
      <c r="K574" s="91"/>
      <c r="L574" s="91"/>
      <c r="M574" s="91"/>
      <c r="N574" s="91"/>
      <c r="O574" s="91"/>
    </row>
    <row r="575" customFormat="false" ht="35.25" hidden="false" customHeight="true" outlineLevel="0" collapsed="false">
      <c r="B575" s="90" t="s">
        <v>285</v>
      </c>
      <c r="C575" s="90"/>
      <c r="D575" s="90"/>
      <c r="E575" s="91"/>
      <c r="F575" s="91"/>
      <c r="G575" s="91"/>
      <c r="H575" s="91"/>
      <c r="I575" s="91"/>
      <c r="J575" s="91"/>
      <c r="K575" s="91"/>
      <c r="L575" s="91"/>
      <c r="M575" s="91"/>
      <c r="N575" s="91"/>
      <c r="O575" s="91"/>
    </row>
    <row r="576" customFormat="false" ht="35.25" hidden="false" customHeight="true" outlineLevel="0" collapsed="false">
      <c r="B576" s="90" t="s">
        <v>287</v>
      </c>
      <c r="C576" s="90"/>
      <c r="D576" s="90"/>
      <c r="E576" s="91"/>
      <c r="F576" s="91"/>
      <c r="G576" s="91"/>
      <c r="H576" s="91"/>
      <c r="I576" s="91"/>
      <c r="J576" s="91"/>
      <c r="K576" s="91"/>
      <c r="L576" s="91"/>
      <c r="M576" s="91"/>
      <c r="N576" s="91"/>
      <c r="O576" s="91"/>
    </row>
    <row r="577" customFormat="false" ht="35.25" hidden="false" customHeight="true" outlineLevel="0" collapsed="false">
      <c r="B577" s="90" t="s">
        <v>289</v>
      </c>
      <c r="C577" s="90"/>
      <c r="D577" s="90"/>
      <c r="E577" s="91"/>
      <c r="F577" s="91"/>
      <c r="G577" s="91"/>
      <c r="H577" s="91"/>
      <c r="I577" s="91"/>
      <c r="J577" s="91"/>
      <c r="K577" s="91"/>
      <c r="L577" s="91"/>
      <c r="M577" s="91"/>
      <c r="N577" s="91"/>
      <c r="O577" s="91"/>
    </row>
    <row r="578" customFormat="false" ht="35.25" hidden="false" customHeight="true" outlineLevel="0" collapsed="false">
      <c r="B578" s="90" t="s">
        <v>291</v>
      </c>
      <c r="C578" s="90"/>
      <c r="D578" s="90"/>
      <c r="E578" s="91"/>
      <c r="F578" s="91"/>
      <c r="G578" s="91"/>
      <c r="H578" s="91"/>
      <c r="I578" s="91"/>
      <c r="J578" s="91"/>
      <c r="K578" s="91"/>
      <c r="L578" s="91"/>
      <c r="M578" s="91"/>
      <c r="N578" s="91"/>
      <c r="O578" s="91"/>
    </row>
    <row r="579" customFormat="false" ht="35.25" hidden="false" customHeight="true" outlineLevel="0" collapsed="false">
      <c r="B579" s="90" t="s">
        <v>293</v>
      </c>
      <c r="C579" s="90"/>
      <c r="D579" s="90"/>
      <c r="E579" s="91"/>
      <c r="F579" s="91"/>
      <c r="G579" s="91"/>
      <c r="H579" s="91"/>
      <c r="I579" s="91"/>
      <c r="J579" s="91"/>
      <c r="K579" s="91"/>
      <c r="L579" s="91"/>
      <c r="M579" s="91"/>
      <c r="N579" s="91"/>
      <c r="O579" s="91"/>
    </row>
    <row r="580" customFormat="false" ht="11.25" hidden="false" customHeight="true" outlineLevel="0" collapsed="false">
      <c r="B580" s="15" t="s">
        <v>295</v>
      </c>
      <c r="C580" s="15"/>
      <c r="D580" s="15"/>
      <c r="E580" s="15"/>
      <c r="F580" s="15"/>
      <c r="G580" s="15"/>
      <c r="H580" s="15"/>
      <c r="I580" s="15"/>
      <c r="J580" s="15"/>
      <c r="K580" s="15"/>
      <c r="L580" s="16" t="s">
        <v>40</v>
      </c>
      <c r="M580" s="16"/>
      <c r="N580" s="16"/>
      <c r="O580" s="16"/>
    </row>
    <row r="581" customFormat="false" ht="3" hidden="false" customHeight="true" outlineLevel="0" collapsed="false"/>
    <row r="582" customFormat="false" ht="27.75" hidden="false" customHeight="true" outlineLevel="0" collapsed="false">
      <c r="B582" s="57" t="s">
        <v>259</v>
      </c>
      <c r="C582" s="57"/>
      <c r="D582" s="57"/>
      <c r="E582" s="57"/>
      <c r="F582" s="69" t="str">
        <f aca="false">IF('Project Register'!$D25="","",'Project Register'!$C25)</f>
        <v/>
      </c>
      <c r="G582" s="69"/>
      <c r="H582" s="70" t="str">
        <f aca="false">IF('Project Register'!$D25="","",'Project Register'!$D25)</f>
        <v/>
      </c>
      <c r="I582" s="70"/>
      <c r="J582" s="70"/>
      <c r="K582" s="70"/>
      <c r="L582" s="70"/>
      <c r="M582" s="70"/>
      <c r="N582" s="70"/>
      <c r="O582" s="70"/>
      <c r="R582" s="71" t="str">
        <f aca="false">IF('Project Register'!$D25="","",'Project Register'!$C25)</f>
        <v/>
      </c>
      <c r="S582" s="72" t="n">
        <f aca="false">COUNTIF($E$606:$E$615,"?*")</f>
        <v>0</v>
      </c>
    </row>
    <row r="583" customFormat="false" ht="24.75" hidden="false" customHeight="true" outlineLevel="0" collapsed="false">
      <c r="B583" s="73" t="str">
        <f aca="false">IF('Project Register'!$D25="","No project on register row 17. Fill that row in on the Project Register and this block writes its own heading.",'Project Register'!$E25)</f>
        <v>No project on register row 17. Fill that row in on the Project Register and this block writes its own heading.</v>
      </c>
      <c r="C583" s="73"/>
      <c r="D583" s="73"/>
      <c r="E583" s="73"/>
      <c r="F583" s="73"/>
      <c r="G583" s="73"/>
      <c r="H583" s="73"/>
      <c r="I583" s="73"/>
      <c r="J583" s="73"/>
      <c r="K583" s="73"/>
      <c r="L583" s="73"/>
      <c r="M583" s="73"/>
      <c r="N583" s="73"/>
      <c r="O583" s="73"/>
    </row>
    <row r="584" customFormat="false" ht="13.5" hidden="false" customHeight="true" outlineLevel="0" collapsed="false">
      <c r="B584" s="74" t="s">
        <v>130</v>
      </c>
      <c r="C584" s="74"/>
      <c r="D584" s="74"/>
      <c r="E584" s="75" t="str">
        <f aca="false">IF('Project Register'!$D25="","",'Project Register'!$F25)</f>
        <v/>
      </c>
      <c r="F584" s="75"/>
      <c r="G584" s="75"/>
      <c r="H584" s="75"/>
      <c r="I584" s="74" t="s">
        <v>131</v>
      </c>
      <c r="J584" s="74"/>
      <c r="K584" s="74"/>
      <c r="L584" s="75" t="str">
        <f aca="false">IF('Project Register'!$D25="","",'Project Register'!$G25)</f>
        <v/>
      </c>
      <c r="M584" s="75"/>
      <c r="N584" s="75"/>
      <c r="O584" s="75"/>
    </row>
    <row r="585" customFormat="false" ht="13.5" hidden="false" customHeight="true" outlineLevel="0" collapsed="false">
      <c r="B585" s="74" t="s">
        <v>132</v>
      </c>
      <c r="C585" s="74"/>
      <c r="D585" s="74"/>
      <c r="E585" s="75" t="str">
        <f aca="false">IF('Project Register'!$D25="","",'Project Register'!$H25)</f>
        <v/>
      </c>
      <c r="F585" s="75"/>
      <c r="G585" s="75"/>
      <c r="H585" s="75"/>
      <c r="I585" s="74" t="s">
        <v>135</v>
      </c>
      <c r="J585" s="74"/>
      <c r="K585" s="74"/>
      <c r="L585" s="75" t="str">
        <f aca="false">IF('Project Register'!$D25="","",'Project Register'!$K25)</f>
        <v/>
      </c>
      <c r="M585" s="75"/>
      <c r="N585" s="75"/>
      <c r="O585" s="75"/>
    </row>
    <row r="586" customFormat="false" ht="13.5" hidden="false" customHeight="true" outlineLevel="0" collapsed="false">
      <c r="B586" s="74" t="s">
        <v>260</v>
      </c>
      <c r="C586" s="74"/>
      <c r="D586" s="74"/>
      <c r="E586" s="75" t="str">
        <f aca="false">IF('Project Register'!$D25="","",'Project Register'!$I25)</f>
        <v/>
      </c>
      <c r="F586" s="75"/>
      <c r="G586" s="75"/>
      <c r="H586" s="75"/>
      <c r="I586" s="74" t="s">
        <v>134</v>
      </c>
      <c r="J586" s="74"/>
      <c r="K586" s="74"/>
      <c r="L586" s="75" t="str">
        <f aca="false">IF('Project Register'!$D25="","",'Project Register'!$J25)</f>
        <v/>
      </c>
      <c r="M586" s="75"/>
      <c r="N586" s="75"/>
      <c r="O586" s="75"/>
    </row>
    <row r="587" customFormat="false" ht="2.25" hidden="false" customHeight="true" outlineLevel="0" collapsed="false"/>
    <row r="588" customFormat="false" ht="15.75" hidden="false" customHeight="true" outlineLevel="0" collapsed="false">
      <c r="B588" s="76" t="s">
        <v>117</v>
      </c>
      <c r="C588" s="76"/>
      <c r="D588" s="76"/>
      <c r="E588" s="76"/>
      <c r="F588" s="76"/>
      <c r="G588" s="76"/>
      <c r="H588" s="76"/>
      <c r="I588" s="76"/>
      <c r="J588" s="76"/>
      <c r="K588" s="76"/>
      <c r="L588" s="76"/>
      <c r="M588" s="76"/>
      <c r="N588" s="76"/>
      <c r="O588" s="76"/>
    </row>
    <row r="589" customFormat="false" ht="17.25" hidden="false" customHeight="true" outlineLevel="0" collapsed="false">
      <c r="B589" s="74" t="s">
        <v>136</v>
      </c>
      <c r="C589" s="74"/>
      <c r="D589" s="74"/>
      <c r="E589" s="74"/>
      <c r="F589" s="77" t="str">
        <f aca="false">IF('Project Register'!$D25="","",'Project Register'!$L25)</f>
        <v/>
      </c>
      <c r="G589" s="77"/>
      <c r="H589" s="77"/>
      <c r="I589" s="74" t="s">
        <v>137</v>
      </c>
      <c r="J589" s="74"/>
      <c r="K589" s="74"/>
      <c r="L589" s="74"/>
      <c r="M589" s="77" t="str">
        <f aca="false">IF('Project Register'!$D25="","",'Project Register'!$M25)</f>
        <v/>
      </c>
      <c r="N589" s="77"/>
      <c r="O589" s="77"/>
    </row>
    <row r="590" customFormat="false" ht="13.5" hidden="false" customHeight="true" outlineLevel="0" collapsed="false">
      <c r="B590" s="74" t="s">
        <v>261</v>
      </c>
      <c r="C590" s="74"/>
      <c r="D590" s="74"/>
      <c r="E590" s="74"/>
      <c r="F590" s="78" t="str">
        <f aca="false">IF('Project Register'!$D25="","",'Project Register'!$N25)</f>
        <v/>
      </c>
      <c r="G590" s="78"/>
      <c r="H590" s="78"/>
      <c r="I590" s="74" t="s">
        <v>262</v>
      </c>
      <c r="J590" s="74"/>
      <c r="K590" s="74"/>
      <c r="L590" s="74"/>
      <c r="M590" s="79" t="str">
        <f aca="false">IF('Project Register'!$D25="","",'Project Register'!$AD25)</f>
        <v/>
      </c>
      <c r="N590" s="79"/>
      <c r="O590" s="79"/>
    </row>
    <row r="591" customFormat="false" ht="13.5" hidden="false" customHeight="true" outlineLevel="0" collapsed="false">
      <c r="B591" s="74" t="s">
        <v>263</v>
      </c>
      <c r="C591" s="74"/>
      <c r="D591" s="74"/>
      <c r="E591" s="74"/>
      <c r="F591" s="78" t="str">
        <f aca="false">IF('Project Register'!$D25="","",'Project Register'!$AC25)</f>
        <v/>
      </c>
      <c r="G591" s="78"/>
      <c r="H591" s="78"/>
      <c r="I591" s="74" t="s">
        <v>264</v>
      </c>
      <c r="J591" s="74"/>
      <c r="K591" s="74"/>
      <c r="L591" s="74"/>
      <c r="M591" s="78" t="str">
        <f aca="false">IF('Project Register'!$D25="","",'Project Register'!$AE25)</f>
        <v/>
      </c>
      <c r="N591" s="78"/>
      <c r="O591" s="78"/>
    </row>
    <row r="592" customFormat="false" ht="13.5" hidden="false" customHeight="true" outlineLevel="0" collapsed="false">
      <c r="B592" s="80" t="s">
        <v>265</v>
      </c>
      <c r="C592" s="80"/>
      <c r="D592" s="81" t="str">
        <f aca="false">Setup!$C$23</f>
        <v>FY2027</v>
      </c>
      <c r="E592" s="81"/>
      <c r="F592" s="81" t="str">
        <f aca="false">Setup!$D$23</f>
        <v>FY2028</v>
      </c>
      <c r="G592" s="81"/>
      <c r="H592" s="81" t="str">
        <f aca="false">Setup!$E$23</f>
        <v>FY2029</v>
      </c>
      <c r="I592" s="81"/>
      <c r="J592" s="81" t="str">
        <f aca="false">Setup!$F$23</f>
        <v>FY2030</v>
      </c>
      <c r="K592" s="81"/>
      <c r="L592" s="81" t="str">
        <f aca="false">Setup!$G$23</f>
        <v>FY2031</v>
      </c>
      <c r="M592" s="81"/>
      <c r="N592" s="81" t="str">
        <f aca="false">Setup!$H$23</f>
        <v>Beyond FY2031</v>
      </c>
      <c r="O592" s="81"/>
    </row>
    <row r="593" customFormat="false" ht="13.5" hidden="false" customHeight="true" outlineLevel="0" collapsed="false">
      <c r="B593" s="82" t="s">
        <v>266</v>
      </c>
      <c r="C593" s="82"/>
      <c r="D593" s="78" t="str">
        <f aca="false">IF('Project Register'!$D25="","",'Project Register'!$O25)</f>
        <v/>
      </c>
      <c r="E593" s="78"/>
      <c r="F593" s="78" t="str">
        <f aca="false">IF('Project Register'!$D25="","",'Project Register'!$P25)</f>
        <v/>
      </c>
      <c r="G593" s="78"/>
      <c r="H593" s="78" t="str">
        <f aca="false">IF('Project Register'!$D25="","",'Project Register'!$Q25)</f>
        <v/>
      </c>
      <c r="I593" s="78"/>
      <c r="J593" s="78" t="str">
        <f aca="false">IF('Project Register'!$D25="","",'Project Register'!$R25)</f>
        <v/>
      </c>
      <c r="K593" s="78"/>
      <c r="L593" s="78" t="str">
        <f aca="false">IF('Project Register'!$D25="","",'Project Register'!$S25)</f>
        <v/>
      </c>
      <c r="M593" s="78"/>
      <c r="N593" s="78" t="str">
        <f aca="false">IF('Project Register'!$D25="","",'Project Register'!$T25)</f>
        <v/>
      </c>
      <c r="O593" s="78"/>
    </row>
    <row r="594" customFormat="false" ht="13.5" hidden="false" customHeight="true" outlineLevel="0" collapsed="false">
      <c r="B594" s="82" t="s">
        <v>267</v>
      </c>
      <c r="C594" s="82"/>
      <c r="D594" s="79" t="str">
        <f aca="false">IF('Project Register'!$D25="","",'Project Register'!$X25)</f>
        <v/>
      </c>
      <c r="E594" s="79"/>
      <c r="F594" s="79" t="str">
        <f aca="false">IF('Project Register'!$D25="","",'Project Register'!$Y25)</f>
        <v/>
      </c>
      <c r="G594" s="79"/>
      <c r="H594" s="79" t="str">
        <f aca="false">IF('Project Register'!$D25="","",'Project Register'!$Z25)</f>
        <v/>
      </c>
      <c r="I594" s="79"/>
      <c r="J594" s="79" t="str">
        <f aca="false">IF('Project Register'!$D25="","",'Project Register'!$AA25)</f>
        <v/>
      </c>
      <c r="K594" s="79"/>
      <c r="L594" s="79" t="str">
        <f aca="false">IF('Project Register'!$D25="","",'Project Register'!$AB25)</f>
        <v/>
      </c>
      <c r="M594" s="79"/>
      <c r="N594" s="79" t="str">
        <f aca="false">IF('Project Register'!$D25="","",'Project Register'!$AC25)</f>
        <v/>
      </c>
      <c r="O594" s="79"/>
    </row>
    <row r="595" customFormat="false" ht="2.25" hidden="false" customHeight="true" outlineLevel="0" collapsed="false"/>
    <row r="596" customFormat="false" ht="15.75" hidden="false" customHeight="true" outlineLevel="0" collapsed="false">
      <c r="B596" s="76" t="s">
        <v>268</v>
      </c>
      <c r="C596" s="76"/>
      <c r="D596" s="76"/>
      <c r="E596" s="76"/>
      <c r="F596" s="76"/>
      <c r="G596" s="76"/>
      <c r="H596" s="76"/>
      <c r="I596" s="76"/>
      <c r="J596" s="76"/>
      <c r="K596" s="76"/>
      <c r="L596" s="76"/>
      <c r="M596" s="76"/>
      <c r="N596" s="76"/>
      <c r="O596" s="76"/>
    </row>
    <row r="597" customFormat="false" ht="13.5" hidden="false" customHeight="true" outlineLevel="0" collapsed="false">
      <c r="B597" s="80" t="s">
        <v>269</v>
      </c>
      <c r="C597" s="80"/>
      <c r="D597" s="80"/>
      <c r="E597" s="80"/>
      <c r="F597" s="80"/>
      <c r="G597" s="80"/>
      <c r="H597" s="29" t="s">
        <v>145</v>
      </c>
      <c r="I597" s="29"/>
      <c r="J597" s="29"/>
      <c r="K597" s="83" t="s">
        <v>270</v>
      </c>
      <c r="L597" s="83"/>
      <c r="M597" s="83"/>
      <c r="N597" s="83"/>
      <c r="O597" s="83"/>
    </row>
    <row r="598" customFormat="false" ht="13.5" hidden="false" customHeight="true" outlineLevel="0" collapsed="false">
      <c r="B598" s="75" t="str">
        <f aca="false">IF('Project Register'!$D25="","",IF('Project Register'!$AF25="","-",'Project Register'!$AF25))</f>
        <v/>
      </c>
      <c r="C598" s="75"/>
      <c r="D598" s="75"/>
      <c r="E598" s="75"/>
      <c r="F598" s="75"/>
      <c r="G598" s="75"/>
      <c r="H598" s="84" t="str">
        <f aca="false">IF('Project Register'!$D25="","",'Project Register'!$AG25)</f>
        <v/>
      </c>
      <c r="I598" s="84"/>
      <c r="J598" s="84"/>
      <c r="K598" s="78" t="str">
        <f aca="false">IF('Project Register'!$D25="","",'Project Register'!$AD25*'Project Register'!$AG25)</f>
        <v/>
      </c>
      <c r="L598" s="78"/>
      <c r="M598" s="78"/>
      <c r="N598" s="78"/>
      <c r="O598" s="78"/>
    </row>
    <row r="599" customFormat="false" ht="13.5" hidden="false" customHeight="true" outlineLevel="0" collapsed="false">
      <c r="B599" s="75" t="str">
        <f aca="false">IF('Project Register'!$D25="","",IF('Project Register'!$AH25="","-",'Project Register'!$AH25))</f>
        <v/>
      </c>
      <c r="C599" s="75"/>
      <c r="D599" s="75"/>
      <c r="E599" s="75"/>
      <c r="F599" s="75"/>
      <c r="G599" s="75"/>
      <c r="H599" s="84" t="str">
        <f aca="false">IF('Project Register'!$D25="","",'Project Register'!$AI25)</f>
        <v/>
      </c>
      <c r="I599" s="84"/>
      <c r="J599" s="84"/>
      <c r="K599" s="78" t="str">
        <f aca="false">IF('Project Register'!$D25="","",'Project Register'!$AD25*'Project Register'!$AI25)</f>
        <v/>
      </c>
      <c r="L599" s="78"/>
      <c r="M599" s="78"/>
      <c r="N599" s="78"/>
      <c r="O599" s="78"/>
    </row>
    <row r="600" customFormat="false" ht="13.5" hidden="false" customHeight="true" outlineLevel="0" collapsed="false">
      <c r="B600" s="85" t="s">
        <v>271</v>
      </c>
      <c r="C600" s="85"/>
      <c r="D600" s="85"/>
      <c r="E600" s="85"/>
      <c r="F600" s="85"/>
      <c r="G600" s="85"/>
      <c r="H600" s="86" t="str">
        <f aca="false">IF('Project Register'!$D25="","",'Project Register'!$AJ25)</f>
        <v/>
      </c>
      <c r="I600" s="86"/>
      <c r="J600" s="86"/>
      <c r="K600" s="79" t="str">
        <f aca="false">IF('Project Register'!$D25="","",'Project Register'!$AL25)</f>
        <v/>
      </c>
      <c r="L600" s="79"/>
      <c r="M600" s="79"/>
      <c r="N600" s="79"/>
      <c r="O600" s="79"/>
    </row>
    <row r="601" customFormat="false" ht="2.25" hidden="false" customHeight="true" outlineLevel="0" collapsed="false"/>
    <row r="602" customFormat="false" ht="15.75" hidden="false" customHeight="true" outlineLevel="0" collapsed="false">
      <c r="B602" s="76" t="s">
        <v>272</v>
      </c>
      <c r="C602" s="76"/>
      <c r="D602" s="76"/>
      <c r="E602" s="76"/>
      <c r="F602" s="76"/>
      <c r="G602" s="76"/>
      <c r="H602" s="76"/>
      <c r="I602" s="76"/>
      <c r="J602" s="76"/>
      <c r="K602" s="76"/>
      <c r="L602" s="76"/>
      <c r="M602" s="76"/>
      <c r="N602" s="76"/>
      <c r="O602" s="76"/>
    </row>
    <row r="603" customFormat="false" ht="17.25" hidden="false" customHeight="true" outlineLevel="0" collapsed="false">
      <c r="B603" s="74" t="s">
        <v>243</v>
      </c>
      <c r="C603" s="74"/>
      <c r="D603" s="87" t="str">
        <f aca="false">IF('Project Register'!$D25="","",Prioritisation!$O25)</f>
        <v/>
      </c>
      <c r="E603" s="87"/>
      <c r="F603" s="74" t="s">
        <v>273</v>
      </c>
      <c r="G603" s="74"/>
      <c r="H603" s="74"/>
      <c r="I603" s="88" t="str">
        <f aca="false">IF('Project Register'!$D25="","",TEXT(Prioritisation!$P25,"0")&amp;" of "&amp;TEXT(COUNTIF('Project Register'!$C$9:$C$38,"?*"),"0"))</f>
        <v/>
      </c>
      <c r="J603" s="88"/>
      <c r="K603" s="82" t="s">
        <v>245</v>
      </c>
      <c r="L603" s="82"/>
      <c r="M603" s="89" t="str">
        <f aca="false">IF('Project Register'!$D25="","",Prioritisation!$Q25)</f>
        <v/>
      </c>
      <c r="N603" s="89"/>
      <c r="O603" s="89"/>
    </row>
    <row r="604" customFormat="false" ht="2.25" hidden="false" customHeight="true" outlineLevel="0" collapsed="false"/>
    <row r="605" customFormat="false" ht="15.75" hidden="false" customHeight="true" outlineLevel="0" collapsed="false">
      <c r="B605" s="76" t="s">
        <v>274</v>
      </c>
      <c r="C605" s="76"/>
      <c r="D605" s="76"/>
      <c r="E605" s="76"/>
      <c r="F605" s="76"/>
      <c r="G605" s="76"/>
      <c r="H605" s="76"/>
      <c r="I605" s="76"/>
      <c r="J605" s="76"/>
      <c r="K605" s="76"/>
      <c r="L605" s="76"/>
      <c r="M605" s="76"/>
      <c r="N605" s="76"/>
      <c r="O605" s="76"/>
    </row>
    <row r="606" customFormat="false" ht="35.25" hidden="false" customHeight="true" outlineLevel="0" collapsed="false">
      <c r="B606" s="90" t="s">
        <v>275</v>
      </c>
      <c r="C606" s="90"/>
      <c r="D606" s="90"/>
      <c r="E606" s="91"/>
      <c r="F606" s="91"/>
      <c r="G606" s="91"/>
      <c r="H606" s="91"/>
      <c r="I606" s="91"/>
      <c r="J606" s="91"/>
      <c r="K606" s="91"/>
      <c r="L606" s="91"/>
      <c r="M606" s="91"/>
      <c r="N606" s="91"/>
      <c r="O606" s="91"/>
    </row>
    <row r="607" customFormat="false" ht="35.25" hidden="false" customHeight="true" outlineLevel="0" collapsed="false">
      <c r="B607" s="90" t="s">
        <v>277</v>
      </c>
      <c r="C607" s="90"/>
      <c r="D607" s="90"/>
      <c r="E607" s="91"/>
      <c r="F607" s="91"/>
      <c r="G607" s="91"/>
      <c r="H607" s="91"/>
      <c r="I607" s="91"/>
      <c r="J607" s="91"/>
      <c r="K607" s="91"/>
      <c r="L607" s="91"/>
      <c r="M607" s="91"/>
      <c r="N607" s="91"/>
      <c r="O607" s="91"/>
    </row>
    <row r="608" customFormat="false" ht="35.25" hidden="false" customHeight="true" outlineLevel="0" collapsed="false">
      <c r="B608" s="90" t="s">
        <v>279</v>
      </c>
      <c r="C608" s="90"/>
      <c r="D608" s="90"/>
      <c r="E608" s="91"/>
      <c r="F608" s="91"/>
      <c r="G608" s="91"/>
      <c r="H608" s="91"/>
      <c r="I608" s="91"/>
      <c r="J608" s="91"/>
      <c r="K608" s="91"/>
      <c r="L608" s="91"/>
      <c r="M608" s="91"/>
      <c r="N608" s="91"/>
      <c r="O608" s="91"/>
    </row>
    <row r="609" customFormat="false" ht="35.25" hidden="false" customHeight="true" outlineLevel="0" collapsed="false">
      <c r="B609" s="90" t="s">
        <v>281</v>
      </c>
      <c r="C609" s="90"/>
      <c r="D609" s="90"/>
      <c r="E609" s="91"/>
      <c r="F609" s="91"/>
      <c r="G609" s="91"/>
      <c r="H609" s="91"/>
      <c r="I609" s="91"/>
      <c r="J609" s="91"/>
      <c r="K609" s="91"/>
      <c r="L609" s="91"/>
      <c r="M609" s="91"/>
      <c r="N609" s="91"/>
      <c r="O609" s="91"/>
    </row>
    <row r="610" customFormat="false" ht="35.25" hidden="false" customHeight="true" outlineLevel="0" collapsed="false">
      <c r="B610" s="90" t="s">
        <v>283</v>
      </c>
      <c r="C610" s="90"/>
      <c r="D610" s="90"/>
      <c r="E610" s="91"/>
      <c r="F610" s="91"/>
      <c r="G610" s="91"/>
      <c r="H610" s="91"/>
      <c r="I610" s="91"/>
      <c r="J610" s="91"/>
      <c r="K610" s="91"/>
      <c r="L610" s="91"/>
      <c r="M610" s="91"/>
      <c r="N610" s="91"/>
      <c r="O610" s="91"/>
    </row>
    <row r="611" customFormat="false" ht="35.25" hidden="false" customHeight="true" outlineLevel="0" collapsed="false">
      <c r="B611" s="90" t="s">
        <v>285</v>
      </c>
      <c r="C611" s="90"/>
      <c r="D611" s="90"/>
      <c r="E611" s="91"/>
      <c r="F611" s="91"/>
      <c r="G611" s="91"/>
      <c r="H611" s="91"/>
      <c r="I611" s="91"/>
      <c r="J611" s="91"/>
      <c r="K611" s="91"/>
      <c r="L611" s="91"/>
      <c r="M611" s="91"/>
      <c r="N611" s="91"/>
      <c r="O611" s="91"/>
    </row>
    <row r="612" customFormat="false" ht="35.25" hidden="false" customHeight="true" outlineLevel="0" collapsed="false">
      <c r="B612" s="90" t="s">
        <v>287</v>
      </c>
      <c r="C612" s="90"/>
      <c r="D612" s="90"/>
      <c r="E612" s="91"/>
      <c r="F612" s="91"/>
      <c r="G612" s="91"/>
      <c r="H612" s="91"/>
      <c r="I612" s="91"/>
      <c r="J612" s="91"/>
      <c r="K612" s="91"/>
      <c r="L612" s="91"/>
      <c r="M612" s="91"/>
      <c r="N612" s="91"/>
      <c r="O612" s="91"/>
    </row>
    <row r="613" customFormat="false" ht="35.25" hidden="false" customHeight="true" outlineLevel="0" collapsed="false">
      <c r="B613" s="90" t="s">
        <v>289</v>
      </c>
      <c r="C613" s="90"/>
      <c r="D613" s="90"/>
      <c r="E613" s="91"/>
      <c r="F613" s="91"/>
      <c r="G613" s="91"/>
      <c r="H613" s="91"/>
      <c r="I613" s="91"/>
      <c r="J613" s="91"/>
      <c r="K613" s="91"/>
      <c r="L613" s="91"/>
      <c r="M613" s="91"/>
      <c r="N613" s="91"/>
      <c r="O613" s="91"/>
    </row>
    <row r="614" customFormat="false" ht="35.25" hidden="false" customHeight="true" outlineLevel="0" collapsed="false">
      <c r="B614" s="90" t="s">
        <v>291</v>
      </c>
      <c r="C614" s="90"/>
      <c r="D614" s="90"/>
      <c r="E614" s="91"/>
      <c r="F614" s="91"/>
      <c r="G614" s="91"/>
      <c r="H614" s="91"/>
      <c r="I614" s="91"/>
      <c r="J614" s="91"/>
      <c r="K614" s="91"/>
      <c r="L614" s="91"/>
      <c r="M614" s="91"/>
      <c r="N614" s="91"/>
      <c r="O614" s="91"/>
    </row>
    <row r="615" customFormat="false" ht="35.25" hidden="false" customHeight="true" outlineLevel="0" collapsed="false">
      <c r="B615" s="90" t="s">
        <v>293</v>
      </c>
      <c r="C615" s="90"/>
      <c r="D615" s="90"/>
      <c r="E615" s="91"/>
      <c r="F615" s="91"/>
      <c r="G615" s="91"/>
      <c r="H615" s="91"/>
      <c r="I615" s="91"/>
      <c r="J615" s="91"/>
      <c r="K615" s="91"/>
      <c r="L615" s="91"/>
      <c r="M615" s="91"/>
      <c r="N615" s="91"/>
      <c r="O615" s="91"/>
    </row>
    <row r="616" customFormat="false" ht="11.25" hidden="false" customHeight="true" outlineLevel="0" collapsed="false">
      <c r="B616" s="15" t="s">
        <v>295</v>
      </c>
      <c r="C616" s="15"/>
      <c r="D616" s="15"/>
      <c r="E616" s="15"/>
      <c r="F616" s="15"/>
      <c r="G616" s="15"/>
      <c r="H616" s="15"/>
      <c r="I616" s="15"/>
      <c r="J616" s="15"/>
      <c r="K616" s="15"/>
      <c r="L616" s="16" t="s">
        <v>40</v>
      </c>
      <c r="M616" s="16"/>
      <c r="N616" s="16"/>
      <c r="O616" s="16"/>
    </row>
    <row r="617" customFormat="false" ht="3" hidden="false" customHeight="true" outlineLevel="0" collapsed="false"/>
    <row r="618" customFormat="false" ht="27.75" hidden="false" customHeight="true" outlineLevel="0" collapsed="false">
      <c r="B618" s="57" t="s">
        <v>259</v>
      </c>
      <c r="C618" s="57"/>
      <c r="D618" s="57"/>
      <c r="E618" s="57"/>
      <c r="F618" s="69" t="str">
        <f aca="false">IF('Project Register'!$D26="","",'Project Register'!$C26)</f>
        <v/>
      </c>
      <c r="G618" s="69"/>
      <c r="H618" s="70" t="str">
        <f aca="false">IF('Project Register'!$D26="","",'Project Register'!$D26)</f>
        <v/>
      </c>
      <c r="I618" s="70"/>
      <c r="J618" s="70"/>
      <c r="K618" s="70"/>
      <c r="L618" s="70"/>
      <c r="M618" s="70"/>
      <c r="N618" s="70"/>
      <c r="O618" s="70"/>
      <c r="R618" s="71" t="str">
        <f aca="false">IF('Project Register'!$D26="","",'Project Register'!$C26)</f>
        <v/>
      </c>
      <c r="S618" s="72" t="n">
        <f aca="false">COUNTIF($E$642:$E$651,"?*")</f>
        <v>0</v>
      </c>
    </row>
    <row r="619" customFormat="false" ht="24.75" hidden="false" customHeight="true" outlineLevel="0" collapsed="false">
      <c r="B619" s="73" t="str">
        <f aca="false">IF('Project Register'!$D26="","No project on register row 18. Fill that row in on the Project Register and this block writes its own heading.",'Project Register'!$E26)</f>
        <v>No project on register row 18. Fill that row in on the Project Register and this block writes its own heading.</v>
      </c>
      <c r="C619" s="73"/>
      <c r="D619" s="73"/>
      <c r="E619" s="73"/>
      <c r="F619" s="73"/>
      <c r="G619" s="73"/>
      <c r="H619" s="73"/>
      <c r="I619" s="73"/>
      <c r="J619" s="73"/>
      <c r="K619" s="73"/>
      <c r="L619" s="73"/>
      <c r="M619" s="73"/>
      <c r="N619" s="73"/>
      <c r="O619" s="73"/>
    </row>
    <row r="620" customFormat="false" ht="13.5" hidden="false" customHeight="true" outlineLevel="0" collapsed="false">
      <c r="B620" s="74" t="s">
        <v>130</v>
      </c>
      <c r="C620" s="74"/>
      <c r="D620" s="74"/>
      <c r="E620" s="75" t="str">
        <f aca="false">IF('Project Register'!$D26="","",'Project Register'!$F26)</f>
        <v/>
      </c>
      <c r="F620" s="75"/>
      <c r="G620" s="75"/>
      <c r="H620" s="75"/>
      <c r="I620" s="74" t="s">
        <v>131</v>
      </c>
      <c r="J620" s="74"/>
      <c r="K620" s="74"/>
      <c r="L620" s="75" t="str">
        <f aca="false">IF('Project Register'!$D26="","",'Project Register'!$G26)</f>
        <v/>
      </c>
      <c r="M620" s="75"/>
      <c r="N620" s="75"/>
      <c r="O620" s="75"/>
    </row>
    <row r="621" customFormat="false" ht="13.5" hidden="false" customHeight="true" outlineLevel="0" collapsed="false">
      <c r="B621" s="74" t="s">
        <v>132</v>
      </c>
      <c r="C621" s="74"/>
      <c r="D621" s="74"/>
      <c r="E621" s="75" t="str">
        <f aca="false">IF('Project Register'!$D26="","",'Project Register'!$H26)</f>
        <v/>
      </c>
      <c r="F621" s="75"/>
      <c r="G621" s="75"/>
      <c r="H621" s="75"/>
      <c r="I621" s="74" t="s">
        <v>135</v>
      </c>
      <c r="J621" s="74"/>
      <c r="K621" s="74"/>
      <c r="L621" s="75" t="str">
        <f aca="false">IF('Project Register'!$D26="","",'Project Register'!$K26)</f>
        <v/>
      </c>
      <c r="M621" s="75"/>
      <c r="N621" s="75"/>
      <c r="O621" s="75"/>
    </row>
    <row r="622" customFormat="false" ht="13.5" hidden="false" customHeight="true" outlineLevel="0" collapsed="false">
      <c r="B622" s="74" t="s">
        <v>260</v>
      </c>
      <c r="C622" s="74"/>
      <c r="D622" s="74"/>
      <c r="E622" s="75" t="str">
        <f aca="false">IF('Project Register'!$D26="","",'Project Register'!$I26)</f>
        <v/>
      </c>
      <c r="F622" s="75"/>
      <c r="G622" s="75"/>
      <c r="H622" s="75"/>
      <c r="I622" s="74" t="s">
        <v>134</v>
      </c>
      <c r="J622" s="74"/>
      <c r="K622" s="74"/>
      <c r="L622" s="75" t="str">
        <f aca="false">IF('Project Register'!$D26="","",'Project Register'!$J26)</f>
        <v/>
      </c>
      <c r="M622" s="75"/>
      <c r="N622" s="75"/>
      <c r="O622" s="75"/>
    </row>
    <row r="623" customFormat="false" ht="2.25" hidden="false" customHeight="true" outlineLevel="0" collapsed="false"/>
    <row r="624" customFormat="false" ht="15.75" hidden="false" customHeight="true" outlineLevel="0" collapsed="false">
      <c r="B624" s="76" t="s">
        <v>117</v>
      </c>
      <c r="C624" s="76"/>
      <c r="D624" s="76"/>
      <c r="E624" s="76"/>
      <c r="F624" s="76"/>
      <c r="G624" s="76"/>
      <c r="H624" s="76"/>
      <c r="I624" s="76"/>
      <c r="J624" s="76"/>
      <c r="K624" s="76"/>
      <c r="L624" s="76"/>
      <c r="M624" s="76"/>
      <c r="N624" s="76"/>
      <c r="O624" s="76"/>
    </row>
    <row r="625" customFormat="false" ht="17.25" hidden="false" customHeight="true" outlineLevel="0" collapsed="false">
      <c r="B625" s="74" t="s">
        <v>136</v>
      </c>
      <c r="C625" s="74"/>
      <c r="D625" s="74"/>
      <c r="E625" s="74"/>
      <c r="F625" s="77" t="str">
        <f aca="false">IF('Project Register'!$D26="","",'Project Register'!$L26)</f>
        <v/>
      </c>
      <c r="G625" s="77"/>
      <c r="H625" s="77"/>
      <c r="I625" s="74" t="s">
        <v>137</v>
      </c>
      <c r="J625" s="74"/>
      <c r="K625" s="74"/>
      <c r="L625" s="74"/>
      <c r="M625" s="77" t="str">
        <f aca="false">IF('Project Register'!$D26="","",'Project Register'!$M26)</f>
        <v/>
      </c>
      <c r="N625" s="77"/>
      <c r="O625" s="77"/>
    </row>
    <row r="626" customFormat="false" ht="13.5" hidden="false" customHeight="true" outlineLevel="0" collapsed="false">
      <c r="B626" s="74" t="s">
        <v>261</v>
      </c>
      <c r="C626" s="74"/>
      <c r="D626" s="74"/>
      <c r="E626" s="74"/>
      <c r="F626" s="78" t="str">
        <f aca="false">IF('Project Register'!$D26="","",'Project Register'!$N26)</f>
        <v/>
      </c>
      <c r="G626" s="78"/>
      <c r="H626" s="78"/>
      <c r="I626" s="74" t="s">
        <v>262</v>
      </c>
      <c r="J626" s="74"/>
      <c r="K626" s="74"/>
      <c r="L626" s="74"/>
      <c r="M626" s="79" t="str">
        <f aca="false">IF('Project Register'!$D26="","",'Project Register'!$AD26)</f>
        <v/>
      </c>
      <c r="N626" s="79"/>
      <c r="O626" s="79"/>
    </row>
    <row r="627" customFormat="false" ht="13.5" hidden="false" customHeight="true" outlineLevel="0" collapsed="false">
      <c r="B627" s="74" t="s">
        <v>263</v>
      </c>
      <c r="C627" s="74"/>
      <c r="D627" s="74"/>
      <c r="E627" s="74"/>
      <c r="F627" s="78" t="str">
        <f aca="false">IF('Project Register'!$D26="","",'Project Register'!$AC26)</f>
        <v/>
      </c>
      <c r="G627" s="78"/>
      <c r="H627" s="78"/>
      <c r="I627" s="74" t="s">
        <v>264</v>
      </c>
      <c r="J627" s="74"/>
      <c r="K627" s="74"/>
      <c r="L627" s="74"/>
      <c r="M627" s="78" t="str">
        <f aca="false">IF('Project Register'!$D26="","",'Project Register'!$AE26)</f>
        <v/>
      </c>
      <c r="N627" s="78"/>
      <c r="O627" s="78"/>
    </row>
    <row r="628" customFormat="false" ht="13.5" hidden="false" customHeight="true" outlineLevel="0" collapsed="false">
      <c r="B628" s="80" t="s">
        <v>265</v>
      </c>
      <c r="C628" s="80"/>
      <c r="D628" s="81" t="str">
        <f aca="false">Setup!$C$23</f>
        <v>FY2027</v>
      </c>
      <c r="E628" s="81"/>
      <c r="F628" s="81" t="str">
        <f aca="false">Setup!$D$23</f>
        <v>FY2028</v>
      </c>
      <c r="G628" s="81"/>
      <c r="H628" s="81" t="str">
        <f aca="false">Setup!$E$23</f>
        <v>FY2029</v>
      </c>
      <c r="I628" s="81"/>
      <c r="J628" s="81" t="str">
        <f aca="false">Setup!$F$23</f>
        <v>FY2030</v>
      </c>
      <c r="K628" s="81"/>
      <c r="L628" s="81" t="str">
        <f aca="false">Setup!$G$23</f>
        <v>FY2031</v>
      </c>
      <c r="M628" s="81"/>
      <c r="N628" s="81" t="str">
        <f aca="false">Setup!$H$23</f>
        <v>Beyond FY2031</v>
      </c>
      <c r="O628" s="81"/>
    </row>
    <row r="629" customFormat="false" ht="13.5" hidden="false" customHeight="true" outlineLevel="0" collapsed="false">
      <c r="B629" s="82" t="s">
        <v>266</v>
      </c>
      <c r="C629" s="82"/>
      <c r="D629" s="78" t="str">
        <f aca="false">IF('Project Register'!$D26="","",'Project Register'!$O26)</f>
        <v/>
      </c>
      <c r="E629" s="78"/>
      <c r="F629" s="78" t="str">
        <f aca="false">IF('Project Register'!$D26="","",'Project Register'!$P26)</f>
        <v/>
      </c>
      <c r="G629" s="78"/>
      <c r="H629" s="78" t="str">
        <f aca="false">IF('Project Register'!$D26="","",'Project Register'!$Q26)</f>
        <v/>
      </c>
      <c r="I629" s="78"/>
      <c r="J629" s="78" t="str">
        <f aca="false">IF('Project Register'!$D26="","",'Project Register'!$R26)</f>
        <v/>
      </c>
      <c r="K629" s="78"/>
      <c r="L629" s="78" t="str">
        <f aca="false">IF('Project Register'!$D26="","",'Project Register'!$S26)</f>
        <v/>
      </c>
      <c r="M629" s="78"/>
      <c r="N629" s="78" t="str">
        <f aca="false">IF('Project Register'!$D26="","",'Project Register'!$T26)</f>
        <v/>
      </c>
      <c r="O629" s="78"/>
    </row>
    <row r="630" customFormat="false" ht="13.5" hidden="false" customHeight="true" outlineLevel="0" collapsed="false">
      <c r="B630" s="82" t="s">
        <v>267</v>
      </c>
      <c r="C630" s="82"/>
      <c r="D630" s="79" t="str">
        <f aca="false">IF('Project Register'!$D26="","",'Project Register'!$X26)</f>
        <v/>
      </c>
      <c r="E630" s="79"/>
      <c r="F630" s="79" t="str">
        <f aca="false">IF('Project Register'!$D26="","",'Project Register'!$Y26)</f>
        <v/>
      </c>
      <c r="G630" s="79"/>
      <c r="H630" s="79" t="str">
        <f aca="false">IF('Project Register'!$D26="","",'Project Register'!$Z26)</f>
        <v/>
      </c>
      <c r="I630" s="79"/>
      <c r="J630" s="79" t="str">
        <f aca="false">IF('Project Register'!$D26="","",'Project Register'!$AA26)</f>
        <v/>
      </c>
      <c r="K630" s="79"/>
      <c r="L630" s="79" t="str">
        <f aca="false">IF('Project Register'!$D26="","",'Project Register'!$AB26)</f>
        <v/>
      </c>
      <c r="M630" s="79"/>
      <c r="N630" s="79" t="str">
        <f aca="false">IF('Project Register'!$D26="","",'Project Register'!$AC26)</f>
        <v/>
      </c>
      <c r="O630" s="79"/>
    </row>
    <row r="631" customFormat="false" ht="2.25" hidden="false" customHeight="true" outlineLevel="0" collapsed="false"/>
    <row r="632" customFormat="false" ht="15.75" hidden="false" customHeight="true" outlineLevel="0" collapsed="false">
      <c r="B632" s="76" t="s">
        <v>268</v>
      </c>
      <c r="C632" s="76"/>
      <c r="D632" s="76"/>
      <c r="E632" s="76"/>
      <c r="F632" s="76"/>
      <c r="G632" s="76"/>
      <c r="H632" s="76"/>
      <c r="I632" s="76"/>
      <c r="J632" s="76"/>
      <c r="K632" s="76"/>
      <c r="L632" s="76"/>
      <c r="M632" s="76"/>
      <c r="N632" s="76"/>
      <c r="O632" s="76"/>
    </row>
    <row r="633" customFormat="false" ht="13.5" hidden="false" customHeight="true" outlineLevel="0" collapsed="false">
      <c r="B633" s="80" t="s">
        <v>269</v>
      </c>
      <c r="C633" s="80"/>
      <c r="D633" s="80"/>
      <c r="E633" s="80"/>
      <c r="F633" s="80"/>
      <c r="G633" s="80"/>
      <c r="H633" s="29" t="s">
        <v>145</v>
      </c>
      <c r="I633" s="29"/>
      <c r="J633" s="29"/>
      <c r="K633" s="83" t="s">
        <v>270</v>
      </c>
      <c r="L633" s="83"/>
      <c r="M633" s="83"/>
      <c r="N633" s="83"/>
      <c r="O633" s="83"/>
    </row>
    <row r="634" customFormat="false" ht="13.5" hidden="false" customHeight="true" outlineLevel="0" collapsed="false">
      <c r="B634" s="75" t="str">
        <f aca="false">IF('Project Register'!$D26="","",IF('Project Register'!$AF26="","-",'Project Register'!$AF26))</f>
        <v/>
      </c>
      <c r="C634" s="75"/>
      <c r="D634" s="75"/>
      <c r="E634" s="75"/>
      <c r="F634" s="75"/>
      <c r="G634" s="75"/>
      <c r="H634" s="84" t="str">
        <f aca="false">IF('Project Register'!$D26="","",'Project Register'!$AG26)</f>
        <v/>
      </c>
      <c r="I634" s="84"/>
      <c r="J634" s="84"/>
      <c r="K634" s="78" t="str">
        <f aca="false">IF('Project Register'!$D26="","",'Project Register'!$AD26*'Project Register'!$AG26)</f>
        <v/>
      </c>
      <c r="L634" s="78"/>
      <c r="M634" s="78"/>
      <c r="N634" s="78"/>
      <c r="O634" s="78"/>
    </row>
    <row r="635" customFormat="false" ht="13.5" hidden="false" customHeight="true" outlineLevel="0" collapsed="false">
      <c r="B635" s="75" t="str">
        <f aca="false">IF('Project Register'!$D26="","",IF('Project Register'!$AH26="","-",'Project Register'!$AH26))</f>
        <v/>
      </c>
      <c r="C635" s="75"/>
      <c r="D635" s="75"/>
      <c r="E635" s="75"/>
      <c r="F635" s="75"/>
      <c r="G635" s="75"/>
      <c r="H635" s="84" t="str">
        <f aca="false">IF('Project Register'!$D26="","",'Project Register'!$AI26)</f>
        <v/>
      </c>
      <c r="I635" s="84"/>
      <c r="J635" s="84"/>
      <c r="K635" s="78" t="str">
        <f aca="false">IF('Project Register'!$D26="","",'Project Register'!$AD26*'Project Register'!$AI26)</f>
        <v/>
      </c>
      <c r="L635" s="78"/>
      <c r="M635" s="78"/>
      <c r="N635" s="78"/>
      <c r="O635" s="78"/>
    </row>
    <row r="636" customFormat="false" ht="13.5" hidden="false" customHeight="true" outlineLevel="0" collapsed="false">
      <c r="B636" s="85" t="s">
        <v>271</v>
      </c>
      <c r="C636" s="85"/>
      <c r="D636" s="85"/>
      <c r="E636" s="85"/>
      <c r="F636" s="85"/>
      <c r="G636" s="85"/>
      <c r="H636" s="86" t="str">
        <f aca="false">IF('Project Register'!$D26="","",'Project Register'!$AJ26)</f>
        <v/>
      </c>
      <c r="I636" s="86"/>
      <c r="J636" s="86"/>
      <c r="K636" s="79" t="str">
        <f aca="false">IF('Project Register'!$D26="","",'Project Register'!$AL26)</f>
        <v/>
      </c>
      <c r="L636" s="79"/>
      <c r="M636" s="79"/>
      <c r="N636" s="79"/>
      <c r="O636" s="79"/>
    </row>
    <row r="637" customFormat="false" ht="2.25" hidden="false" customHeight="true" outlineLevel="0" collapsed="false"/>
    <row r="638" customFormat="false" ht="15.75" hidden="false" customHeight="true" outlineLevel="0" collapsed="false">
      <c r="B638" s="76" t="s">
        <v>272</v>
      </c>
      <c r="C638" s="76"/>
      <c r="D638" s="76"/>
      <c r="E638" s="76"/>
      <c r="F638" s="76"/>
      <c r="G638" s="76"/>
      <c r="H638" s="76"/>
      <c r="I638" s="76"/>
      <c r="J638" s="76"/>
      <c r="K638" s="76"/>
      <c r="L638" s="76"/>
      <c r="M638" s="76"/>
      <c r="N638" s="76"/>
      <c r="O638" s="76"/>
    </row>
    <row r="639" customFormat="false" ht="17.25" hidden="false" customHeight="true" outlineLevel="0" collapsed="false">
      <c r="B639" s="74" t="s">
        <v>243</v>
      </c>
      <c r="C639" s="74"/>
      <c r="D639" s="87" t="str">
        <f aca="false">IF('Project Register'!$D26="","",Prioritisation!$O26)</f>
        <v/>
      </c>
      <c r="E639" s="87"/>
      <c r="F639" s="74" t="s">
        <v>273</v>
      </c>
      <c r="G639" s="74"/>
      <c r="H639" s="74"/>
      <c r="I639" s="88" t="str">
        <f aca="false">IF('Project Register'!$D26="","",TEXT(Prioritisation!$P26,"0")&amp;" of "&amp;TEXT(COUNTIF('Project Register'!$C$9:$C$38,"?*"),"0"))</f>
        <v/>
      </c>
      <c r="J639" s="88"/>
      <c r="K639" s="82" t="s">
        <v>245</v>
      </c>
      <c r="L639" s="82"/>
      <c r="M639" s="89" t="str">
        <f aca="false">IF('Project Register'!$D26="","",Prioritisation!$Q26)</f>
        <v/>
      </c>
      <c r="N639" s="89"/>
      <c r="O639" s="89"/>
    </row>
    <row r="640" customFormat="false" ht="2.25" hidden="false" customHeight="true" outlineLevel="0" collapsed="false"/>
    <row r="641" customFormat="false" ht="15.75" hidden="false" customHeight="true" outlineLevel="0" collapsed="false">
      <c r="B641" s="76" t="s">
        <v>274</v>
      </c>
      <c r="C641" s="76"/>
      <c r="D641" s="76"/>
      <c r="E641" s="76"/>
      <c r="F641" s="76"/>
      <c r="G641" s="76"/>
      <c r="H641" s="76"/>
      <c r="I641" s="76"/>
      <c r="J641" s="76"/>
      <c r="K641" s="76"/>
      <c r="L641" s="76"/>
      <c r="M641" s="76"/>
      <c r="N641" s="76"/>
      <c r="O641" s="76"/>
    </row>
    <row r="642" customFormat="false" ht="35.25" hidden="false" customHeight="true" outlineLevel="0" collapsed="false">
      <c r="B642" s="90" t="s">
        <v>275</v>
      </c>
      <c r="C642" s="90"/>
      <c r="D642" s="90"/>
      <c r="E642" s="91"/>
      <c r="F642" s="91"/>
      <c r="G642" s="91"/>
      <c r="H642" s="91"/>
      <c r="I642" s="91"/>
      <c r="J642" s="91"/>
      <c r="K642" s="91"/>
      <c r="L642" s="91"/>
      <c r="M642" s="91"/>
      <c r="N642" s="91"/>
      <c r="O642" s="91"/>
    </row>
    <row r="643" customFormat="false" ht="35.25" hidden="false" customHeight="true" outlineLevel="0" collapsed="false">
      <c r="B643" s="90" t="s">
        <v>277</v>
      </c>
      <c r="C643" s="90"/>
      <c r="D643" s="90"/>
      <c r="E643" s="91"/>
      <c r="F643" s="91"/>
      <c r="G643" s="91"/>
      <c r="H643" s="91"/>
      <c r="I643" s="91"/>
      <c r="J643" s="91"/>
      <c r="K643" s="91"/>
      <c r="L643" s="91"/>
      <c r="M643" s="91"/>
      <c r="N643" s="91"/>
      <c r="O643" s="91"/>
    </row>
    <row r="644" customFormat="false" ht="35.25" hidden="false" customHeight="true" outlineLevel="0" collapsed="false">
      <c r="B644" s="90" t="s">
        <v>279</v>
      </c>
      <c r="C644" s="90"/>
      <c r="D644" s="90"/>
      <c r="E644" s="91"/>
      <c r="F644" s="91"/>
      <c r="G644" s="91"/>
      <c r="H644" s="91"/>
      <c r="I644" s="91"/>
      <c r="J644" s="91"/>
      <c r="K644" s="91"/>
      <c r="L644" s="91"/>
      <c r="M644" s="91"/>
      <c r="N644" s="91"/>
      <c r="O644" s="91"/>
    </row>
    <row r="645" customFormat="false" ht="35.25" hidden="false" customHeight="true" outlineLevel="0" collapsed="false">
      <c r="B645" s="90" t="s">
        <v>281</v>
      </c>
      <c r="C645" s="90"/>
      <c r="D645" s="90"/>
      <c r="E645" s="91"/>
      <c r="F645" s="91"/>
      <c r="G645" s="91"/>
      <c r="H645" s="91"/>
      <c r="I645" s="91"/>
      <c r="J645" s="91"/>
      <c r="K645" s="91"/>
      <c r="L645" s="91"/>
      <c r="M645" s="91"/>
      <c r="N645" s="91"/>
      <c r="O645" s="91"/>
    </row>
    <row r="646" customFormat="false" ht="35.25" hidden="false" customHeight="true" outlineLevel="0" collapsed="false">
      <c r="B646" s="90" t="s">
        <v>283</v>
      </c>
      <c r="C646" s="90"/>
      <c r="D646" s="90"/>
      <c r="E646" s="91"/>
      <c r="F646" s="91"/>
      <c r="G646" s="91"/>
      <c r="H646" s="91"/>
      <c r="I646" s="91"/>
      <c r="J646" s="91"/>
      <c r="K646" s="91"/>
      <c r="L646" s="91"/>
      <c r="M646" s="91"/>
      <c r="N646" s="91"/>
      <c r="O646" s="91"/>
    </row>
    <row r="647" customFormat="false" ht="35.25" hidden="false" customHeight="true" outlineLevel="0" collapsed="false">
      <c r="B647" s="90" t="s">
        <v>285</v>
      </c>
      <c r="C647" s="90"/>
      <c r="D647" s="90"/>
      <c r="E647" s="91"/>
      <c r="F647" s="91"/>
      <c r="G647" s="91"/>
      <c r="H647" s="91"/>
      <c r="I647" s="91"/>
      <c r="J647" s="91"/>
      <c r="K647" s="91"/>
      <c r="L647" s="91"/>
      <c r="M647" s="91"/>
      <c r="N647" s="91"/>
      <c r="O647" s="91"/>
    </row>
    <row r="648" customFormat="false" ht="35.25" hidden="false" customHeight="true" outlineLevel="0" collapsed="false">
      <c r="B648" s="90" t="s">
        <v>287</v>
      </c>
      <c r="C648" s="90"/>
      <c r="D648" s="90"/>
      <c r="E648" s="91"/>
      <c r="F648" s="91"/>
      <c r="G648" s="91"/>
      <c r="H648" s="91"/>
      <c r="I648" s="91"/>
      <c r="J648" s="91"/>
      <c r="K648" s="91"/>
      <c r="L648" s="91"/>
      <c r="M648" s="91"/>
      <c r="N648" s="91"/>
      <c r="O648" s="91"/>
    </row>
    <row r="649" customFormat="false" ht="35.25" hidden="false" customHeight="true" outlineLevel="0" collapsed="false">
      <c r="B649" s="90" t="s">
        <v>289</v>
      </c>
      <c r="C649" s="90"/>
      <c r="D649" s="90"/>
      <c r="E649" s="91"/>
      <c r="F649" s="91"/>
      <c r="G649" s="91"/>
      <c r="H649" s="91"/>
      <c r="I649" s="91"/>
      <c r="J649" s="91"/>
      <c r="K649" s="91"/>
      <c r="L649" s="91"/>
      <c r="M649" s="91"/>
      <c r="N649" s="91"/>
      <c r="O649" s="91"/>
    </row>
    <row r="650" customFormat="false" ht="35.25" hidden="false" customHeight="true" outlineLevel="0" collapsed="false">
      <c r="B650" s="90" t="s">
        <v>291</v>
      </c>
      <c r="C650" s="90"/>
      <c r="D650" s="90"/>
      <c r="E650" s="91"/>
      <c r="F650" s="91"/>
      <c r="G650" s="91"/>
      <c r="H650" s="91"/>
      <c r="I650" s="91"/>
      <c r="J650" s="91"/>
      <c r="K650" s="91"/>
      <c r="L650" s="91"/>
      <c r="M650" s="91"/>
      <c r="N650" s="91"/>
      <c r="O650" s="91"/>
    </row>
    <row r="651" customFormat="false" ht="35.25" hidden="false" customHeight="true" outlineLevel="0" collapsed="false">
      <c r="B651" s="90" t="s">
        <v>293</v>
      </c>
      <c r="C651" s="90"/>
      <c r="D651" s="90"/>
      <c r="E651" s="91"/>
      <c r="F651" s="91"/>
      <c r="G651" s="91"/>
      <c r="H651" s="91"/>
      <c r="I651" s="91"/>
      <c r="J651" s="91"/>
      <c r="K651" s="91"/>
      <c r="L651" s="91"/>
      <c r="M651" s="91"/>
      <c r="N651" s="91"/>
      <c r="O651" s="91"/>
    </row>
    <row r="652" customFormat="false" ht="11.25" hidden="false" customHeight="true" outlineLevel="0" collapsed="false">
      <c r="B652" s="15" t="s">
        <v>295</v>
      </c>
      <c r="C652" s="15"/>
      <c r="D652" s="15"/>
      <c r="E652" s="15"/>
      <c r="F652" s="15"/>
      <c r="G652" s="15"/>
      <c r="H652" s="15"/>
      <c r="I652" s="15"/>
      <c r="J652" s="15"/>
      <c r="K652" s="15"/>
      <c r="L652" s="16" t="s">
        <v>40</v>
      </c>
      <c r="M652" s="16"/>
      <c r="N652" s="16"/>
      <c r="O652" s="16"/>
    </row>
    <row r="653" customFormat="false" ht="3" hidden="false" customHeight="true" outlineLevel="0" collapsed="false"/>
    <row r="654" customFormat="false" ht="27.75" hidden="false" customHeight="true" outlineLevel="0" collapsed="false">
      <c r="B654" s="57" t="s">
        <v>259</v>
      </c>
      <c r="C654" s="57"/>
      <c r="D654" s="57"/>
      <c r="E654" s="57"/>
      <c r="F654" s="69" t="str">
        <f aca="false">IF('Project Register'!$D27="","",'Project Register'!$C27)</f>
        <v/>
      </c>
      <c r="G654" s="69"/>
      <c r="H654" s="70" t="str">
        <f aca="false">IF('Project Register'!$D27="","",'Project Register'!$D27)</f>
        <v/>
      </c>
      <c r="I654" s="70"/>
      <c r="J654" s="70"/>
      <c r="K654" s="70"/>
      <c r="L654" s="70"/>
      <c r="M654" s="70"/>
      <c r="N654" s="70"/>
      <c r="O654" s="70"/>
      <c r="R654" s="71" t="str">
        <f aca="false">IF('Project Register'!$D27="","",'Project Register'!$C27)</f>
        <v/>
      </c>
      <c r="S654" s="72" t="n">
        <f aca="false">COUNTIF($E$678:$E$687,"?*")</f>
        <v>0</v>
      </c>
    </row>
    <row r="655" customFormat="false" ht="24.75" hidden="false" customHeight="true" outlineLevel="0" collapsed="false">
      <c r="B655" s="73" t="str">
        <f aca="false">IF('Project Register'!$D27="","No project on register row 19. Fill that row in on the Project Register and this block writes its own heading.",'Project Register'!$E27)</f>
        <v>No project on register row 19. Fill that row in on the Project Register and this block writes its own heading.</v>
      </c>
      <c r="C655" s="73"/>
      <c r="D655" s="73"/>
      <c r="E655" s="73"/>
      <c r="F655" s="73"/>
      <c r="G655" s="73"/>
      <c r="H655" s="73"/>
      <c r="I655" s="73"/>
      <c r="J655" s="73"/>
      <c r="K655" s="73"/>
      <c r="L655" s="73"/>
      <c r="M655" s="73"/>
      <c r="N655" s="73"/>
      <c r="O655" s="73"/>
    </row>
    <row r="656" customFormat="false" ht="13.5" hidden="false" customHeight="true" outlineLevel="0" collapsed="false">
      <c r="B656" s="74" t="s">
        <v>130</v>
      </c>
      <c r="C656" s="74"/>
      <c r="D656" s="74"/>
      <c r="E656" s="75" t="str">
        <f aca="false">IF('Project Register'!$D27="","",'Project Register'!$F27)</f>
        <v/>
      </c>
      <c r="F656" s="75"/>
      <c r="G656" s="75"/>
      <c r="H656" s="75"/>
      <c r="I656" s="74" t="s">
        <v>131</v>
      </c>
      <c r="J656" s="74"/>
      <c r="K656" s="74"/>
      <c r="L656" s="75" t="str">
        <f aca="false">IF('Project Register'!$D27="","",'Project Register'!$G27)</f>
        <v/>
      </c>
      <c r="M656" s="75"/>
      <c r="N656" s="75"/>
      <c r="O656" s="75"/>
    </row>
    <row r="657" customFormat="false" ht="13.5" hidden="false" customHeight="true" outlineLevel="0" collapsed="false">
      <c r="B657" s="74" t="s">
        <v>132</v>
      </c>
      <c r="C657" s="74"/>
      <c r="D657" s="74"/>
      <c r="E657" s="75" t="str">
        <f aca="false">IF('Project Register'!$D27="","",'Project Register'!$H27)</f>
        <v/>
      </c>
      <c r="F657" s="75"/>
      <c r="G657" s="75"/>
      <c r="H657" s="75"/>
      <c r="I657" s="74" t="s">
        <v>135</v>
      </c>
      <c r="J657" s="74"/>
      <c r="K657" s="74"/>
      <c r="L657" s="75" t="str">
        <f aca="false">IF('Project Register'!$D27="","",'Project Register'!$K27)</f>
        <v/>
      </c>
      <c r="M657" s="75"/>
      <c r="N657" s="75"/>
      <c r="O657" s="75"/>
    </row>
    <row r="658" customFormat="false" ht="13.5" hidden="false" customHeight="true" outlineLevel="0" collapsed="false">
      <c r="B658" s="74" t="s">
        <v>260</v>
      </c>
      <c r="C658" s="74"/>
      <c r="D658" s="74"/>
      <c r="E658" s="75" t="str">
        <f aca="false">IF('Project Register'!$D27="","",'Project Register'!$I27)</f>
        <v/>
      </c>
      <c r="F658" s="75"/>
      <c r="G658" s="75"/>
      <c r="H658" s="75"/>
      <c r="I658" s="74" t="s">
        <v>134</v>
      </c>
      <c r="J658" s="74"/>
      <c r="K658" s="74"/>
      <c r="L658" s="75" t="str">
        <f aca="false">IF('Project Register'!$D27="","",'Project Register'!$J27)</f>
        <v/>
      </c>
      <c r="M658" s="75"/>
      <c r="N658" s="75"/>
      <c r="O658" s="75"/>
    </row>
    <row r="659" customFormat="false" ht="2.25" hidden="false" customHeight="true" outlineLevel="0" collapsed="false"/>
    <row r="660" customFormat="false" ht="15.75" hidden="false" customHeight="true" outlineLevel="0" collapsed="false">
      <c r="B660" s="76" t="s">
        <v>117</v>
      </c>
      <c r="C660" s="76"/>
      <c r="D660" s="76"/>
      <c r="E660" s="76"/>
      <c r="F660" s="76"/>
      <c r="G660" s="76"/>
      <c r="H660" s="76"/>
      <c r="I660" s="76"/>
      <c r="J660" s="76"/>
      <c r="K660" s="76"/>
      <c r="L660" s="76"/>
      <c r="M660" s="76"/>
      <c r="N660" s="76"/>
      <c r="O660" s="76"/>
    </row>
    <row r="661" customFormat="false" ht="17.25" hidden="false" customHeight="true" outlineLevel="0" collapsed="false">
      <c r="B661" s="74" t="s">
        <v>136</v>
      </c>
      <c r="C661" s="74"/>
      <c r="D661" s="74"/>
      <c r="E661" s="74"/>
      <c r="F661" s="77" t="str">
        <f aca="false">IF('Project Register'!$D27="","",'Project Register'!$L27)</f>
        <v/>
      </c>
      <c r="G661" s="77"/>
      <c r="H661" s="77"/>
      <c r="I661" s="74" t="s">
        <v>137</v>
      </c>
      <c r="J661" s="74"/>
      <c r="K661" s="74"/>
      <c r="L661" s="74"/>
      <c r="M661" s="77" t="str">
        <f aca="false">IF('Project Register'!$D27="","",'Project Register'!$M27)</f>
        <v/>
      </c>
      <c r="N661" s="77"/>
      <c r="O661" s="77"/>
    </row>
    <row r="662" customFormat="false" ht="13.5" hidden="false" customHeight="true" outlineLevel="0" collapsed="false">
      <c r="B662" s="74" t="s">
        <v>261</v>
      </c>
      <c r="C662" s="74"/>
      <c r="D662" s="74"/>
      <c r="E662" s="74"/>
      <c r="F662" s="78" t="str">
        <f aca="false">IF('Project Register'!$D27="","",'Project Register'!$N27)</f>
        <v/>
      </c>
      <c r="G662" s="78"/>
      <c r="H662" s="78"/>
      <c r="I662" s="74" t="s">
        <v>262</v>
      </c>
      <c r="J662" s="74"/>
      <c r="K662" s="74"/>
      <c r="L662" s="74"/>
      <c r="M662" s="79" t="str">
        <f aca="false">IF('Project Register'!$D27="","",'Project Register'!$AD27)</f>
        <v/>
      </c>
      <c r="N662" s="79"/>
      <c r="O662" s="79"/>
    </row>
    <row r="663" customFormat="false" ht="13.5" hidden="false" customHeight="true" outlineLevel="0" collapsed="false">
      <c r="B663" s="74" t="s">
        <v>263</v>
      </c>
      <c r="C663" s="74"/>
      <c r="D663" s="74"/>
      <c r="E663" s="74"/>
      <c r="F663" s="78" t="str">
        <f aca="false">IF('Project Register'!$D27="","",'Project Register'!$AC27)</f>
        <v/>
      </c>
      <c r="G663" s="78"/>
      <c r="H663" s="78"/>
      <c r="I663" s="74" t="s">
        <v>264</v>
      </c>
      <c r="J663" s="74"/>
      <c r="K663" s="74"/>
      <c r="L663" s="74"/>
      <c r="M663" s="78" t="str">
        <f aca="false">IF('Project Register'!$D27="","",'Project Register'!$AE27)</f>
        <v/>
      </c>
      <c r="N663" s="78"/>
      <c r="O663" s="78"/>
    </row>
    <row r="664" customFormat="false" ht="13.5" hidden="false" customHeight="true" outlineLevel="0" collapsed="false">
      <c r="B664" s="80" t="s">
        <v>265</v>
      </c>
      <c r="C664" s="80"/>
      <c r="D664" s="81" t="str">
        <f aca="false">Setup!$C$23</f>
        <v>FY2027</v>
      </c>
      <c r="E664" s="81"/>
      <c r="F664" s="81" t="str">
        <f aca="false">Setup!$D$23</f>
        <v>FY2028</v>
      </c>
      <c r="G664" s="81"/>
      <c r="H664" s="81" t="str">
        <f aca="false">Setup!$E$23</f>
        <v>FY2029</v>
      </c>
      <c r="I664" s="81"/>
      <c r="J664" s="81" t="str">
        <f aca="false">Setup!$F$23</f>
        <v>FY2030</v>
      </c>
      <c r="K664" s="81"/>
      <c r="L664" s="81" t="str">
        <f aca="false">Setup!$G$23</f>
        <v>FY2031</v>
      </c>
      <c r="M664" s="81"/>
      <c r="N664" s="81" t="str">
        <f aca="false">Setup!$H$23</f>
        <v>Beyond FY2031</v>
      </c>
      <c r="O664" s="81"/>
    </row>
    <row r="665" customFormat="false" ht="13.5" hidden="false" customHeight="true" outlineLevel="0" collapsed="false">
      <c r="B665" s="82" t="s">
        <v>266</v>
      </c>
      <c r="C665" s="82"/>
      <c r="D665" s="78" t="str">
        <f aca="false">IF('Project Register'!$D27="","",'Project Register'!$O27)</f>
        <v/>
      </c>
      <c r="E665" s="78"/>
      <c r="F665" s="78" t="str">
        <f aca="false">IF('Project Register'!$D27="","",'Project Register'!$P27)</f>
        <v/>
      </c>
      <c r="G665" s="78"/>
      <c r="H665" s="78" t="str">
        <f aca="false">IF('Project Register'!$D27="","",'Project Register'!$Q27)</f>
        <v/>
      </c>
      <c r="I665" s="78"/>
      <c r="J665" s="78" t="str">
        <f aca="false">IF('Project Register'!$D27="","",'Project Register'!$R27)</f>
        <v/>
      </c>
      <c r="K665" s="78"/>
      <c r="L665" s="78" t="str">
        <f aca="false">IF('Project Register'!$D27="","",'Project Register'!$S27)</f>
        <v/>
      </c>
      <c r="M665" s="78"/>
      <c r="N665" s="78" t="str">
        <f aca="false">IF('Project Register'!$D27="","",'Project Register'!$T27)</f>
        <v/>
      </c>
      <c r="O665" s="78"/>
    </row>
    <row r="666" customFormat="false" ht="13.5" hidden="false" customHeight="true" outlineLevel="0" collapsed="false">
      <c r="B666" s="82" t="s">
        <v>267</v>
      </c>
      <c r="C666" s="82"/>
      <c r="D666" s="79" t="str">
        <f aca="false">IF('Project Register'!$D27="","",'Project Register'!$X27)</f>
        <v/>
      </c>
      <c r="E666" s="79"/>
      <c r="F666" s="79" t="str">
        <f aca="false">IF('Project Register'!$D27="","",'Project Register'!$Y27)</f>
        <v/>
      </c>
      <c r="G666" s="79"/>
      <c r="H666" s="79" t="str">
        <f aca="false">IF('Project Register'!$D27="","",'Project Register'!$Z27)</f>
        <v/>
      </c>
      <c r="I666" s="79"/>
      <c r="J666" s="79" t="str">
        <f aca="false">IF('Project Register'!$D27="","",'Project Register'!$AA27)</f>
        <v/>
      </c>
      <c r="K666" s="79"/>
      <c r="L666" s="79" t="str">
        <f aca="false">IF('Project Register'!$D27="","",'Project Register'!$AB27)</f>
        <v/>
      </c>
      <c r="M666" s="79"/>
      <c r="N666" s="79" t="str">
        <f aca="false">IF('Project Register'!$D27="","",'Project Register'!$AC27)</f>
        <v/>
      </c>
      <c r="O666" s="79"/>
    </row>
    <row r="667" customFormat="false" ht="2.25" hidden="false" customHeight="true" outlineLevel="0" collapsed="false"/>
    <row r="668" customFormat="false" ht="15.75" hidden="false" customHeight="true" outlineLevel="0" collapsed="false">
      <c r="B668" s="76" t="s">
        <v>268</v>
      </c>
      <c r="C668" s="76"/>
      <c r="D668" s="76"/>
      <c r="E668" s="76"/>
      <c r="F668" s="76"/>
      <c r="G668" s="76"/>
      <c r="H668" s="76"/>
      <c r="I668" s="76"/>
      <c r="J668" s="76"/>
      <c r="K668" s="76"/>
      <c r="L668" s="76"/>
      <c r="M668" s="76"/>
      <c r="N668" s="76"/>
      <c r="O668" s="76"/>
    </row>
    <row r="669" customFormat="false" ht="13.5" hidden="false" customHeight="true" outlineLevel="0" collapsed="false">
      <c r="B669" s="80" t="s">
        <v>269</v>
      </c>
      <c r="C669" s="80"/>
      <c r="D669" s="80"/>
      <c r="E669" s="80"/>
      <c r="F669" s="80"/>
      <c r="G669" s="80"/>
      <c r="H669" s="29" t="s">
        <v>145</v>
      </c>
      <c r="I669" s="29"/>
      <c r="J669" s="29"/>
      <c r="K669" s="83" t="s">
        <v>270</v>
      </c>
      <c r="L669" s="83"/>
      <c r="M669" s="83"/>
      <c r="N669" s="83"/>
      <c r="O669" s="83"/>
    </row>
    <row r="670" customFormat="false" ht="13.5" hidden="false" customHeight="true" outlineLevel="0" collapsed="false">
      <c r="B670" s="75" t="str">
        <f aca="false">IF('Project Register'!$D27="","",IF('Project Register'!$AF27="","-",'Project Register'!$AF27))</f>
        <v/>
      </c>
      <c r="C670" s="75"/>
      <c r="D670" s="75"/>
      <c r="E670" s="75"/>
      <c r="F670" s="75"/>
      <c r="G670" s="75"/>
      <c r="H670" s="84" t="str">
        <f aca="false">IF('Project Register'!$D27="","",'Project Register'!$AG27)</f>
        <v/>
      </c>
      <c r="I670" s="84"/>
      <c r="J670" s="84"/>
      <c r="K670" s="78" t="str">
        <f aca="false">IF('Project Register'!$D27="","",'Project Register'!$AD27*'Project Register'!$AG27)</f>
        <v/>
      </c>
      <c r="L670" s="78"/>
      <c r="M670" s="78"/>
      <c r="N670" s="78"/>
      <c r="O670" s="78"/>
    </row>
    <row r="671" customFormat="false" ht="13.5" hidden="false" customHeight="true" outlineLevel="0" collapsed="false">
      <c r="B671" s="75" t="str">
        <f aca="false">IF('Project Register'!$D27="","",IF('Project Register'!$AH27="","-",'Project Register'!$AH27))</f>
        <v/>
      </c>
      <c r="C671" s="75"/>
      <c r="D671" s="75"/>
      <c r="E671" s="75"/>
      <c r="F671" s="75"/>
      <c r="G671" s="75"/>
      <c r="H671" s="84" t="str">
        <f aca="false">IF('Project Register'!$D27="","",'Project Register'!$AI27)</f>
        <v/>
      </c>
      <c r="I671" s="84"/>
      <c r="J671" s="84"/>
      <c r="K671" s="78" t="str">
        <f aca="false">IF('Project Register'!$D27="","",'Project Register'!$AD27*'Project Register'!$AI27)</f>
        <v/>
      </c>
      <c r="L671" s="78"/>
      <c r="M671" s="78"/>
      <c r="N671" s="78"/>
      <c r="O671" s="78"/>
    </row>
    <row r="672" customFormat="false" ht="13.5" hidden="false" customHeight="true" outlineLevel="0" collapsed="false">
      <c r="B672" s="85" t="s">
        <v>271</v>
      </c>
      <c r="C672" s="85"/>
      <c r="D672" s="85"/>
      <c r="E672" s="85"/>
      <c r="F672" s="85"/>
      <c r="G672" s="85"/>
      <c r="H672" s="86" t="str">
        <f aca="false">IF('Project Register'!$D27="","",'Project Register'!$AJ27)</f>
        <v/>
      </c>
      <c r="I672" s="86"/>
      <c r="J672" s="86"/>
      <c r="K672" s="79" t="str">
        <f aca="false">IF('Project Register'!$D27="","",'Project Register'!$AL27)</f>
        <v/>
      </c>
      <c r="L672" s="79"/>
      <c r="M672" s="79"/>
      <c r="N672" s="79"/>
      <c r="O672" s="79"/>
    </row>
    <row r="673" customFormat="false" ht="2.25" hidden="false" customHeight="true" outlineLevel="0" collapsed="false"/>
    <row r="674" customFormat="false" ht="15.75" hidden="false" customHeight="true" outlineLevel="0" collapsed="false">
      <c r="B674" s="76" t="s">
        <v>272</v>
      </c>
      <c r="C674" s="76"/>
      <c r="D674" s="76"/>
      <c r="E674" s="76"/>
      <c r="F674" s="76"/>
      <c r="G674" s="76"/>
      <c r="H674" s="76"/>
      <c r="I674" s="76"/>
      <c r="J674" s="76"/>
      <c r="K674" s="76"/>
      <c r="L674" s="76"/>
      <c r="M674" s="76"/>
      <c r="N674" s="76"/>
      <c r="O674" s="76"/>
    </row>
    <row r="675" customFormat="false" ht="17.25" hidden="false" customHeight="true" outlineLevel="0" collapsed="false">
      <c r="B675" s="74" t="s">
        <v>243</v>
      </c>
      <c r="C675" s="74"/>
      <c r="D675" s="87" t="str">
        <f aca="false">IF('Project Register'!$D27="","",Prioritisation!$O27)</f>
        <v/>
      </c>
      <c r="E675" s="87"/>
      <c r="F675" s="74" t="s">
        <v>273</v>
      </c>
      <c r="G675" s="74"/>
      <c r="H675" s="74"/>
      <c r="I675" s="88" t="str">
        <f aca="false">IF('Project Register'!$D27="","",TEXT(Prioritisation!$P27,"0")&amp;" of "&amp;TEXT(COUNTIF('Project Register'!$C$9:$C$38,"?*"),"0"))</f>
        <v/>
      </c>
      <c r="J675" s="88"/>
      <c r="K675" s="82" t="s">
        <v>245</v>
      </c>
      <c r="L675" s="82"/>
      <c r="M675" s="89" t="str">
        <f aca="false">IF('Project Register'!$D27="","",Prioritisation!$Q27)</f>
        <v/>
      </c>
      <c r="N675" s="89"/>
      <c r="O675" s="89"/>
    </row>
    <row r="676" customFormat="false" ht="2.25" hidden="false" customHeight="true" outlineLevel="0" collapsed="false"/>
    <row r="677" customFormat="false" ht="15.75" hidden="false" customHeight="true" outlineLevel="0" collapsed="false">
      <c r="B677" s="76" t="s">
        <v>274</v>
      </c>
      <c r="C677" s="76"/>
      <c r="D677" s="76"/>
      <c r="E677" s="76"/>
      <c r="F677" s="76"/>
      <c r="G677" s="76"/>
      <c r="H677" s="76"/>
      <c r="I677" s="76"/>
      <c r="J677" s="76"/>
      <c r="K677" s="76"/>
      <c r="L677" s="76"/>
      <c r="M677" s="76"/>
      <c r="N677" s="76"/>
      <c r="O677" s="76"/>
    </row>
    <row r="678" customFormat="false" ht="35.25" hidden="false" customHeight="true" outlineLevel="0" collapsed="false">
      <c r="B678" s="90" t="s">
        <v>275</v>
      </c>
      <c r="C678" s="90"/>
      <c r="D678" s="90"/>
      <c r="E678" s="91"/>
      <c r="F678" s="91"/>
      <c r="G678" s="91"/>
      <c r="H678" s="91"/>
      <c r="I678" s="91"/>
      <c r="J678" s="91"/>
      <c r="K678" s="91"/>
      <c r="L678" s="91"/>
      <c r="M678" s="91"/>
      <c r="N678" s="91"/>
      <c r="O678" s="91"/>
    </row>
    <row r="679" customFormat="false" ht="35.25" hidden="false" customHeight="true" outlineLevel="0" collapsed="false">
      <c r="B679" s="90" t="s">
        <v>277</v>
      </c>
      <c r="C679" s="90"/>
      <c r="D679" s="90"/>
      <c r="E679" s="91"/>
      <c r="F679" s="91"/>
      <c r="G679" s="91"/>
      <c r="H679" s="91"/>
      <c r="I679" s="91"/>
      <c r="J679" s="91"/>
      <c r="K679" s="91"/>
      <c r="L679" s="91"/>
      <c r="M679" s="91"/>
      <c r="N679" s="91"/>
      <c r="O679" s="91"/>
    </row>
    <row r="680" customFormat="false" ht="35.25" hidden="false" customHeight="true" outlineLevel="0" collapsed="false">
      <c r="B680" s="90" t="s">
        <v>279</v>
      </c>
      <c r="C680" s="90"/>
      <c r="D680" s="90"/>
      <c r="E680" s="91"/>
      <c r="F680" s="91"/>
      <c r="G680" s="91"/>
      <c r="H680" s="91"/>
      <c r="I680" s="91"/>
      <c r="J680" s="91"/>
      <c r="K680" s="91"/>
      <c r="L680" s="91"/>
      <c r="M680" s="91"/>
      <c r="N680" s="91"/>
      <c r="O680" s="91"/>
    </row>
    <row r="681" customFormat="false" ht="35.25" hidden="false" customHeight="true" outlineLevel="0" collapsed="false">
      <c r="B681" s="90" t="s">
        <v>281</v>
      </c>
      <c r="C681" s="90"/>
      <c r="D681" s="90"/>
      <c r="E681" s="91"/>
      <c r="F681" s="91"/>
      <c r="G681" s="91"/>
      <c r="H681" s="91"/>
      <c r="I681" s="91"/>
      <c r="J681" s="91"/>
      <c r="K681" s="91"/>
      <c r="L681" s="91"/>
      <c r="M681" s="91"/>
      <c r="N681" s="91"/>
      <c r="O681" s="91"/>
    </row>
    <row r="682" customFormat="false" ht="35.25" hidden="false" customHeight="true" outlineLevel="0" collapsed="false">
      <c r="B682" s="90" t="s">
        <v>283</v>
      </c>
      <c r="C682" s="90"/>
      <c r="D682" s="90"/>
      <c r="E682" s="91"/>
      <c r="F682" s="91"/>
      <c r="G682" s="91"/>
      <c r="H682" s="91"/>
      <c r="I682" s="91"/>
      <c r="J682" s="91"/>
      <c r="K682" s="91"/>
      <c r="L682" s="91"/>
      <c r="M682" s="91"/>
      <c r="N682" s="91"/>
      <c r="O682" s="91"/>
    </row>
    <row r="683" customFormat="false" ht="35.25" hidden="false" customHeight="true" outlineLevel="0" collapsed="false">
      <c r="B683" s="90" t="s">
        <v>285</v>
      </c>
      <c r="C683" s="90"/>
      <c r="D683" s="90"/>
      <c r="E683" s="91"/>
      <c r="F683" s="91"/>
      <c r="G683" s="91"/>
      <c r="H683" s="91"/>
      <c r="I683" s="91"/>
      <c r="J683" s="91"/>
      <c r="K683" s="91"/>
      <c r="L683" s="91"/>
      <c r="M683" s="91"/>
      <c r="N683" s="91"/>
      <c r="O683" s="91"/>
    </row>
    <row r="684" customFormat="false" ht="35.25" hidden="false" customHeight="true" outlineLevel="0" collapsed="false">
      <c r="B684" s="90" t="s">
        <v>287</v>
      </c>
      <c r="C684" s="90"/>
      <c r="D684" s="90"/>
      <c r="E684" s="91"/>
      <c r="F684" s="91"/>
      <c r="G684" s="91"/>
      <c r="H684" s="91"/>
      <c r="I684" s="91"/>
      <c r="J684" s="91"/>
      <c r="K684" s="91"/>
      <c r="L684" s="91"/>
      <c r="M684" s="91"/>
      <c r="N684" s="91"/>
      <c r="O684" s="91"/>
    </row>
    <row r="685" customFormat="false" ht="35.25" hidden="false" customHeight="true" outlineLevel="0" collapsed="false">
      <c r="B685" s="90" t="s">
        <v>289</v>
      </c>
      <c r="C685" s="90"/>
      <c r="D685" s="90"/>
      <c r="E685" s="91"/>
      <c r="F685" s="91"/>
      <c r="G685" s="91"/>
      <c r="H685" s="91"/>
      <c r="I685" s="91"/>
      <c r="J685" s="91"/>
      <c r="K685" s="91"/>
      <c r="L685" s="91"/>
      <c r="M685" s="91"/>
      <c r="N685" s="91"/>
      <c r="O685" s="91"/>
    </row>
    <row r="686" customFormat="false" ht="35.25" hidden="false" customHeight="true" outlineLevel="0" collapsed="false">
      <c r="B686" s="90" t="s">
        <v>291</v>
      </c>
      <c r="C686" s="90"/>
      <c r="D686" s="90"/>
      <c r="E686" s="91"/>
      <c r="F686" s="91"/>
      <c r="G686" s="91"/>
      <c r="H686" s="91"/>
      <c r="I686" s="91"/>
      <c r="J686" s="91"/>
      <c r="K686" s="91"/>
      <c r="L686" s="91"/>
      <c r="M686" s="91"/>
      <c r="N686" s="91"/>
      <c r="O686" s="91"/>
    </row>
    <row r="687" customFormat="false" ht="35.25" hidden="false" customHeight="true" outlineLevel="0" collapsed="false">
      <c r="B687" s="90" t="s">
        <v>293</v>
      </c>
      <c r="C687" s="90"/>
      <c r="D687" s="90"/>
      <c r="E687" s="91"/>
      <c r="F687" s="91"/>
      <c r="G687" s="91"/>
      <c r="H687" s="91"/>
      <c r="I687" s="91"/>
      <c r="J687" s="91"/>
      <c r="K687" s="91"/>
      <c r="L687" s="91"/>
      <c r="M687" s="91"/>
      <c r="N687" s="91"/>
      <c r="O687" s="91"/>
    </row>
    <row r="688" customFormat="false" ht="11.25" hidden="false" customHeight="true" outlineLevel="0" collapsed="false">
      <c r="B688" s="15" t="s">
        <v>295</v>
      </c>
      <c r="C688" s="15"/>
      <c r="D688" s="15"/>
      <c r="E688" s="15"/>
      <c r="F688" s="15"/>
      <c r="G688" s="15"/>
      <c r="H688" s="15"/>
      <c r="I688" s="15"/>
      <c r="J688" s="15"/>
      <c r="K688" s="15"/>
      <c r="L688" s="16" t="s">
        <v>40</v>
      </c>
      <c r="M688" s="16"/>
      <c r="N688" s="16"/>
      <c r="O688" s="16"/>
    </row>
    <row r="689" customFormat="false" ht="3" hidden="false" customHeight="true" outlineLevel="0" collapsed="false"/>
    <row r="690" customFormat="false" ht="27.75" hidden="false" customHeight="true" outlineLevel="0" collapsed="false">
      <c r="B690" s="57" t="s">
        <v>259</v>
      </c>
      <c r="C690" s="57"/>
      <c r="D690" s="57"/>
      <c r="E690" s="57"/>
      <c r="F690" s="69" t="str">
        <f aca="false">IF('Project Register'!$D28="","",'Project Register'!$C28)</f>
        <v/>
      </c>
      <c r="G690" s="69"/>
      <c r="H690" s="70" t="str">
        <f aca="false">IF('Project Register'!$D28="","",'Project Register'!$D28)</f>
        <v/>
      </c>
      <c r="I690" s="70"/>
      <c r="J690" s="70"/>
      <c r="K690" s="70"/>
      <c r="L690" s="70"/>
      <c r="M690" s="70"/>
      <c r="N690" s="70"/>
      <c r="O690" s="70"/>
      <c r="R690" s="71" t="str">
        <f aca="false">IF('Project Register'!$D28="","",'Project Register'!$C28)</f>
        <v/>
      </c>
      <c r="S690" s="72" t="n">
        <f aca="false">COUNTIF($E$714:$E$723,"?*")</f>
        <v>0</v>
      </c>
    </row>
    <row r="691" customFormat="false" ht="24.75" hidden="false" customHeight="true" outlineLevel="0" collapsed="false">
      <c r="B691" s="73" t="str">
        <f aca="false">IF('Project Register'!$D28="","No project on register row 20. Fill that row in on the Project Register and this block writes its own heading.",'Project Register'!$E28)</f>
        <v>No project on register row 20. Fill that row in on the Project Register and this block writes its own heading.</v>
      </c>
      <c r="C691" s="73"/>
      <c r="D691" s="73"/>
      <c r="E691" s="73"/>
      <c r="F691" s="73"/>
      <c r="G691" s="73"/>
      <c r="H691" s="73"/>
      <c r="I691" s="73"/>
      <c r="J691" s="73"/>
      <c r="K691" s="73"/>
      <c r="L691" s="73"/>
      <c r="M691" s="73"/>
      <c r="N691" s="73"/>
      <c r="O691" s="73"/>
    </row>
    <row r="692" customFormat="false" ht="13.5" hidden="false" customHeight="true" outlineLevel="0" collapsed="false">
      <c r="B692" s="74" t="s">
        <v>130</v>
      </c>
      <c r="C692" s="74"/>
      <c r="D692" s="74"/>
      <c r="E692" s="75" t="str">
        <f aca="false">IF('Project Register'!$D28="","",'Project Register'!$F28)</f>
        <v/>
      </c>
      <c r="F692" s="75"/>
      <c r="G692" s="75"/>
      <c r="H692" s="75"/>
      <c r="I692" s="74" t="s">
        <v>131</v>
      </c>
      <c r="J692" s="74"/>
      <c r="K692" s="74"/>
      <c r="L692" s="75" t="str">
        <f aca="false">IF('Project Register'!$D28="","",'Project Register'!$G28)</f>
        <v/>
      </c>
      <c r="M692" s="75"/>
      <c r="N692" s="75"/>
      <c r="O692" s="75"/>
    </row>
    <row r="693" customFormat="false" ht="13.5" hidden="false" customHeight="true" outlineLevel="0" collapsed="false">
      <c r="B693" s="74" t="s">
        <v>132</v>
      </c>
      <c r="C693" s="74"/>
      <c r="D693" s="74"/>
      <c r="E693" s="75" t="str">
        <f aca="false">IF('Project Register'!$D28="","",'Project Register'!$H28)</f>
        <v/>
      </c>
      <c r="F693" s="75"/>
      <c r="G693" s="75"/>
      <c r="H693" s="75"/>
      <c r="I693" s="74" t="s">
        <v>135</v>
      </c>
      <c r="J693" s="74"/>
      <c r="K693" s="74"/>
      <c r="L693" s="75" t="str">
        <f aca="false">IF('Project Register'!$D28="","",'Project Register'!$K28)</f>
        <v/>
      </c>
      <c r="M693" s="75"/>
      <c r="N693" s="75"/>
      <c r="O693" s="75"/>
    </row>
    <row r="694" customFormat="false" ht="13.5" hidden="false" customHeight="true" outlineLevel="0" collapsed="false">
      <c r="B694" s="74" t="s">
        <v>260</v>
      </c>
      <c r="C694" s="74"/>
      <c r="D694" s="74"/>
      <c r="E694" s="75" t="str">
        <f aca="false">IF('Project Register'!$D28="","",'Project Register'!$I28)</f>
        <v/>
      </c>
      <c r="F694" s="75"/>
      <c r="G694" s="75"/>
      <c r="H694" s="75"/>
      <c r="I694" s="74" t="s">
        <v>134</v>
      </c>
      <c r="J694" s="74"/>
      <c r="K694" s="74"/>
      <c r="L694" s="75" t="str">
        <f aca="false">IF('Project Register'!$D28="","",'Project Register'!$J28)</f>
        <v/>
      </c>
      <c r="M694" s="75"/>
      <c r="N694" s="75"/>
      <c r="O694" s="75"/>
    </row>
    <row r="695" customFormat="false" ht="2.25" hidden="false" customHeight="true" outlineLevel="0" collapsed="false"/>
    <row r="696" customFormat="false" ht="15.75" hidden="false" customHeight="true" outlineLevel="0" collapsed="false">
      <c r="B696" s="76" t="s">
        <v>117</v>
      </c>
      <c r="C696" s="76"/>
      <c r="D696" s="76"/>
      <c r="E696" s="76"/>
      <c r="F696" s="76"/>
      <c r="G696" s="76"/>
      <c r="H696" s="76"/>
      <c r="I696" s="76"/>
      <c r="J696" s="76"/>
      <c r="K696" s="76"/>
      <c r="L696" s="76"/>
      <c r="M696" s="76"/>
      <c r="N696" s="76"/>
      <c r="O696" s="76"/>
    </row>
    <row r="697" customFormat="false" ht="17.25" hidden="false" customHeight="true" outlineLevel="0" collapsed="false">
      <c r="B697" s="74" t="s">
        <v>136</v>
      </c>
      <c r="C697" s="74"/>
      <c r="D697" s="74"/>
      <c r="E697" s="74"/>
      <c r="F697" s="77" t="str">
        <f aca="false">IF('Project Register'!$D28="","",'Project Register'!$L28)</f>
        <v/>
      </c>
      <c r="G697" s="77"/>
      <c r="H697" s="77"/>
      <c r="I697" s="74" t="s">
        <v>137</v>
      </c>
      <c r="J697" s="74"/>
      <c r="K697" s="74"/>
      <c r="L697" s="74"/>
      <c r="M697" s="77" t="str">
        <f aca="false">IF('Project Register'!$D28="","",'Project Register'!$M28)</f>
        <v/>
      </c>
      <c r="N697" s="77"/>
      <c r="O697" s="77"/>
    </row>
    <row r="698" customFormat="false" ht="13.5" hidden="false" customHeight="true" outlineLevel="0" collapsed="false">
      <c r="B698" s="74" t="s">
        <v>261</v>
      </c>
      <c r="C698" s="74"/>
      <c r="D698" s="74"/>
      <c r="E698" s="74"/>
      <c r="F698" s="78" t="str">
        <f aca="false">IF('Project Register'!$D28="","",'Project Register'!$N28)</f>
        <v/>
      </c>
      <c r="G698" s="78"/>
      <c r="H698" s="78"/>
      <c r="I698" s="74" t="s">
        <v>262</v>
      </c>
      <c r="J698" s="74"/>
      <c r="K698" s="74"/>
      <c r="L698" s="74"/>
      <c r="M698" s="79" t="str">
        <f aca="false">IF('Project Register'!$D28="","",'Project Register'!$AD28)</f>
        <v/>
      </c>
      <c r="N698" s="79"/>
      <c r="O698" s="79"/>
    </row>
    <row r="699" customFormat="false" ht="13.5" hidden="false" customHeight="true" outlineLevel="0" collapsed="false">
      <c r="B699" s="74" t="s">
        <v>263</v>
      </c>
      <c r="C699" s="74"/>
      <c r="D699" s="74"/>
      <c r="E699" s="74"/>
      <c r="F699" s="78" t="str">
        <f aca="false">IF('Project Register'!$D28="","",'Project Register'!$AC28)</f>
        <v/>
      </c>
      <c r="G699" s="78"/>
      <c r="H699" s="78"/>
      <c r="I699" s="74" t="s">
        <v>264</v>
      </c>
      <c r="J699" s="74"/>
      <c r="K699" s="74"/>
      <c r="L699" s="74"/>
      <c r="M699" s="78" t="str">
        <f aca="false">IF('Project Register'!$D28="","",'Project Register'!$AE28)</f>
        <v/>
      </c>
      <c r="N699" s="78"/>
      <c r="O699" s="78"/>
    </row>
    <row r="700" customFormat="false" ht="13.5" hidden="false" customHeight="true" outlineLevel="0" collapsed="false">
      <c r="B700" s="80" t="s">
        <v>265</v>
      </c>
      <c r="C700" s="80"/>
      <c r="D700" s="81" t="str">
        <f aca="false">Setup!$C$23</f>
        <v>FY2027</v>
      </c>
      <c r="E700" s="81"/>
      <c r="F700" s="81" t="str">
        <f aca="false">Setup!$D$23</f>
        <v>FY2028</v>
      </c>
      <c r="G700" s="81"/>
      <c r="H700" s="81" t="str">
        <f aca="false">Setup!$E$23</f>
        <v>FY2029</v>
      </c>
      <c r="I700" s="81"/>
      <c r="J700" s="81" t="str">
        <f aca="false">Setup!$F$23</f>
        <v>FY2030</v>
      </c>
      <c r="K700" s="81"/>
      <c r="L700" s="81" t="str">
        <f aca="false">Setup!$G$23</f>
        <v>FY2031</v>
      </c>
      <c r="M700" s="81"/>
      <c r="N700" s="81" t="str">
        <f aca="false">Setup!$H$23</f>
        <v>Beyond FY2031</v>
      </c>
      <c r="O700" s="81"/>
    </row>
    <row r="701" customFormat="false" ht="13.5" hidden="false" customHeight="true" outlineLevel="0" collapsed="false">
      <c r="B701" s="82" t="s">
        <v>266</v>
      </c>
      <c r="C701" s="82"/>
      <c r="D701" s="78" t="str">
        <f aca="false">IF('Project Register'!$D28="","",'Project Register'!$O28)</f>
        <v/>
      </c>
      <c r="E701" s="78"/>
      <c r="F701" s="78" t="str">
        <f aca="false">IF('Project Register'!$D28="","",'Project Register'!$P28)</f>
        <v/>
      </c>
      <c r="G701" s="78"/>
      <c r="H701" s="78" t="str">
        <f aca="false">IF('Project Register'!$D28="","",'Project Register'!$Q28)</f>
        <v/>
      </c>
      <c r="I701" s="78"/>
      <c r="J701" s="78" t="str">
        <f aca="false">IF('Project Register'!$D28="","",'Project Register'!$R28)</f>
        <v/>
      </c>
      <c r="K701" s="78"/>
      <c r="L701" s="78" t="str">
        <f aca="false">IF('Project Register'!$D28="","",'Project Register'!$S28)</f>
        <v/>
      </c>
      <c r="M701" s="78"/>
      <c r="N701" s="78" t="str">
        <f aca="false">IF('Project Register'!$D28="","",'Project Register'!$T28)</f>
        <v/>
      </c>
      <c r="O701" s="78"/>
    </row>
    <row r="702" customFormat="false" ht="13.5" hidden="false" customHeight="true" outlineLevel="0" collapsed="false">
      <c r="B702" s="82" t="s">
        <v>267</v>
      </c>
      <c r="C702" s="82"/>
      <c r="D702" s="79" t="str">
        <f aca="false">IF('Project Register'!$D28="","",'Project Register'!$X28)</f>
        <v/>
      </c>
      <c r="E702" s="79"/>
      <c r="F702" s="79" t="str">
        <f aca="false">IF('Project Register'!$D28="","",'Project Register'!$Y28)</f>
        <v/>
      </c>
      <c r="G702" s="79"/>
      <c r="H702" s="79" t="str">
        <f aca="false">IF('Project Register'!$D28="","",'Project Register'!$Z28)</f>
        <v/>
      </c>
      <c r="I702" s="79"/>
      <c r="J702" s="79" t="str">
        <f aca="false">IF('Project Register'!$D28="","",'Project Register'!$AA28)</f>
        <v/>
      </c>
      <c r="K702" s="79"/>
      <c r="L702" s="79" t="str">
        <f aca="false">IF('Project Register'!$D28="","",'Project Register'!$AB28)</f>
        <v/>
      </c>
      <c r="M702" s="79"/>
      <c r="N702" s="79" t="str">
        <f aca="false">IF('Project Register'!$D28="","",'Project Register'!$AC28)</f>
        <v/>
      </c>
      <c r="O702" s="79"/>
    </row>
    <row r="703" customFormat="false" ht="2.25" hidden="false" customHeight="true" outlineLevel="0" collapsed="false"/>
    <row r="704" customFormat="false" ht="15.75" hidden="false" customHeight="true" outlineLevel="0" collapsed="false">
      <c r="B704" s="76" t="s">
        <v>268</v>
      </c>
      <c r="C704" s="76"/>
      <c r="D704" s="76"/>
      <c r="E704" s="76"/>
      <c r="F704" s="76"/>
      <c r="G704" s="76"/>
      <c r="H704" s="76"/>
      <c r="I704" s="76"/>
      <c r="J704" s="76"/>
      <c r="K704" s="76"/>
      <c r="L704" s="76"/>
      <c r="M704" s="76"/>
      <c r="N704" s="76"/>
      <c r="O704" s="76"/>
    </row>
    <row r="705" customFormat="false" ht="13.5" hidden="false" customHeight="true" outlineLevel="0" collapsed="false">
      <c r="B705" s="80" t="s">
        <v>269</v>
      </c>
      <c r="C705" s="80"/>
      <c r="D705" s="80"/>
      <c r="E705" s="80"/>
      <c r="F705" s="80"/>
      <c r="G705" s="80"/>
      <c r="H705" s="29" t="s">
        <v>145</v>
      </c>
      <c r="I705" s="29"/>
      <c r="J705" s="29"/>
      <c r="K705" s="83" t="s">
        <v>270</v>
      </c>
      <c r="L705" s="83"/>
      <c r="M705" s="83"/>
      <c r="N705" s="83"/>
      <c r="O705" s="83"/>
    </row>
    <row r="706" customFormat="false" ht="13.5" hidden="false" customHeight="true" outlineLevel="0" collapsed="false">
      <c r="B706" s="75" t="str">
        <f aca="false">IF('Project Register'!$D28="","",IF('Project Register'!$AF28="","-",'Project Register'!$AF28))</f>
        <v/>
      </c>
      <c r="C706" s="75"/>
      <c r="D706" s="75"/>
      <c r="E706" s="75"/>
      <c r="F706" s="75"/>
      <c r="G706" s="75"/>
      <c r="H706" s="84" t="str">
        <f aca="false">IF('Project Register'!$D28="","",'Project Register'!$AG28)</f>
        <v/>
      </c>
      <c r="I706" s="84"/>
      <c r="J706" s="84"/>
      <c r="K706" s="78" t="str">
        <f aca="false">IF('Project Register'!$D28="","",'Project Register'!$AD28*'Project Register'!$AG28)</f>
        <v/>
      </c>
      <c r="L706" s="78"/>
      <c r="M706" s="78"/>
      <c r="N706" s="78"/>
      <c r="O706" s="78"/>
    </row>
    <row r="707" customFormat="false" ht="13.5" hidden="false" customHeight="true" outlineLevel="0" collapsed="false">
      <c r="B707" s="75" t="str">
        <f aca="false">IF('Project Register'!$D28="","",IF('Project Register'!$AH28="","-",'Project Register'!$AH28))</f>
        <v/>
      </c>
      <c r="C707" s="75"/>
      <c r="D707" s="75"/>
      <c r="E707" s="75"/>
      <c r="F707" s="75"/>
      <c r="G707" s="75"/>
      <c r="H707" s="84" t="str">
        <f aca="false">IF('Project Register'!$D28="","",'Project Register'!$AI28)</f>
        <v/>
      </c>
      <c r="I707" s="84"/>
      <c r="J707" s="84"/>
      <c r="K707" s="78" t="str">
        <f aca="false">IF('Project Register'!$D28="","",'Project Register'!$AD28*'Project Register'!$AI28)</f>
        <v/>
      </c>
      <c r="L707" s="78"/>
      <c r="M707" s="78"/>
      <c r="N707" s="78"/>
      <c r="O707" s="78"/>
    </row>
    <row r="708" customFormat="false" ht="13.5" hidden="false" customHeight="true" outlineLevel="0" collapsed="false">
      <c r="B708" s="85" t="s">
        <v>271</v>
      </c>
      <c r="C708" s="85"/>
      <c r="D708" s="85"/>
      <c r="E708" s="85"/>
      <c r="F708" s="85"/>
      <c r="G708" s="85"/>
      <c r="H708" s="86" t="str">
        <f aca="false">IF('Project Register'!$D28="","",'Project Register'!$AJ28)</f>
        <v/>
      </c>
      <c r="I708" s="86"/>
      <c r="J708" s="86"/>
      <c r="K708" s="79" t="str">
        <f aca="false">IF('Project Register'!$D28="","",'Project Register'!$AL28)</f>
        <v/>
      </c>
      <c r="L708" s="79"/>
      <c r="M708" s="79"/>
      <c r="N708" s="79"/>
      <c r="O708" s="79"/>
    </row>
    <row r="709" customFormat="false" ht="2.25" hidden="false" customHeight="true" outlineLevel="0" collapsed="false"/>
    <row r="710" customFormat="false" ht="15.75" hidden="false" customHeight="true" outlineLevel="0" collapsed="false">
      <c r="B710" s="76" t="s">
        <v>272</v>
      </c>
      <c r="C710" s="76"/>
      <c r="D710" s="76"/>
      <c r="E710" s="76"/>
      <c r="F710" s="76"/>
      <c r="G710" s="76"/>
      <c r="H710" s="76"/>
      <c r="I710" s="76"/>
      <c r="J710" s="76"/>
      <c r="K710" s="76"/>
      <c r="L710" s="76"/>
      <c r="M710" s="76"/>
      <c r="N710" s="76"/>
      <c r="O710" s="76"/>
    </row>
    <row r="711" customFormat="false" ht="17.25" hidden="false" customHeight="true" outlineLevel="0" collapsed="false">
      <c r="B711" s="74" t="s">
        <v>243</v>
      </c>
      <c r="C711" s="74"/>
      <c r="D711" s="87" t="str">
        <f aca="false">IF('Project Register'!$D28="","",Prioritisation!$O28)</f>
        <v/>
      </c>
      <c r="E711" s="87"/>
      <c r="F711" s="74" t="s">
        <v>273</v>
      </c>
      <c r="G711" s="74"/>
      <c r="H711" s="74"/>
      <c r="I711" s="88" t="str">
        <f aca="false">IF('Project Register'!$D28="","",TEXT(Prioritisation!$P28,"0")&amp;" of "&amp;TEXT(COUNTIF('Project Register'!$C$9:$C$38,"?*"),"0"))</f>
        <v/>
      </c>
      <c r="J711" s="88"/>
      <c r="K711" s="82" t="s">
        <v>245</v>
      </c>
      <c r="L711" s="82"/>
      <c r="M711" s="89" t="str">
        <f aca="false">IF('Project Register'!$D28="","",Prioritisation!$Q28)</f>
        <v/>
      </c>
      <c r="N711" s="89"/>
      <c r="O711" s="89"/>
    </row>
    <row r="712" customFormat="false" ht="2.25" hidden="false" customHeight="true" outlineLevel="0" collapsed="false"/>
    <row r="713" customFormat="false" ht="15.75" hidden="false" customHeight="true" outlineLevel="0" collapsed="false">
      <c r="B713" s="76" t="s">
        <v>274</v>
      </c>
      <c r="C713" s="76"/>
      <c r="D713" s="76"/>
      <c r="E713" s="76"/>
      <c r="F713" s="76"/>
      <c r="G713" s="76"/>
      <c r="H713" s="76"/>
      <c r="I713" s="76"/>
      <c r="J713" s="76"/>
      <c r="K713" s="76"/>
      <c r="L713" s="76"/>
      <c r="M713" s="76"/>
      <c r="N713" s="76"/>
      <c r="O713" s="76"/>
    </row>
    <row r="714" customFormat="false" ht="35.25" hidden="false" customHeight="true" outlineLevel="0" collapsed="false">
      <c r="B714" s="90" t="s">
        <v>275</v>
      </c>
      <c r="C714" s="90"/>
      <c r="D714" s="90"/>
      <c r="E714" s="91"/>
      <c r="F714" s="91"/>
      <c r="G714" s="91"/>
      <c r="H714" s="91"/>
      <c r="I714" s="91"/>
      <c r="J714" s="91"/>
      <c r="K714" s="91"/>
      <c r="L714" s="91"/>
      <c r="M714" s="91"/>
      <c r="N714" s="91"/>
      <c r="O714" s="91"/>
    </row>
    <row r="715" customFormat="false" ht="35.25" hidden="false" customHeight="true" outlineLevel="0" collapsed="false">
      <c r="B715" s="90" t="s">
        <v>277</v>
      </c>
      <c r="C715" s="90"/>
      <c r="D715" s="90"/>
      <c r="E715" s="91"/>
      <c r="F715" s="91"/>
      <c r="G715" s="91"/>
      <c r="H715" s="91"/>
      <c r="I715" s="91"/>
      <c r="J715" s="91"/>
      <c r="K715" s="91"/>
      <c r="L715" s="91"/>
      <c r="M715" s="91"/>
      <c r="N715" s="91"/>
      <c r="O715" s="91"/>
    </row>
    <row r="716" customFormat="false" ht="35.25" hidden="false" customHeight="true" outlineLevel="0" collapsed="false">
      <c r="B716" s="90" t="s">
        <v>279</v>
      </c>
      <c r="C716" s="90"/>
      <c r="D716" s="90"/>
      <c r="E716" s="91"/>
      <c r="F716" s="91"/>
      <c r="G716" s="91"/>
      <c r="H716" s="91"/>
      <c r="I716" s="91"/>
      <c r="J716" s="91"/>
      <c r="K716" s="91"/>
      <c r="L716" s="91"/>
      <c r="M716" s="91"/>
      <c r="N716" s="91"/>
      <c r="O716" s="91"/>
    </row>
    <row r="717" customFormat="false" ht="35.25" hidden="false" customHeight="true" outlineLevel="0" collapsed="false">
      <c r="B717" s="90" t="s">
        <v>281</v>
      </c>
      <c r="C717" s="90"/>
      <c r="D717" s="90"/>
      <c r="E717" s="91"/>
      <c r="F717" s="91"/>
      <c r="G717" s="91"/>
      <c r="H717" s="91"/>
      <c r="I717" s="91"/>
      <c r="J717" s="91"/>
      <c r="K717" s="91"/>
      <c r="L717" s="91"/>
      <c r="M717" s="91"/>
      <c r="N717" s="91"/>
      <c r="O717" s="91"/>
    </row>
    <row r="718" customFormat="false" ht="35.25" hidden="false" customHeight="true" outlineLevel="0" collapsed="false">
      <c r="B718" s="90" t="s">
        <v>283</v>
      </c>
      <c r="C718" s="90"/>
      <c r="D718" s="90"/>
      <c r="E718" s="91"/>
      <c r="F718" s="91"/>
      <c r="G718" s="91"/>
      <c r="H718" s="91"/>
      <c r="I718" s="91"/>
      <c r="J718" s="91"/>
      <c r="K718" s="91"/>
      <c r="L718" s="91"/>
      <c r="M718" s="91"/>
      <c r="N718" s="91"/>
      <c r="O718" s="91"/>
    </row>
    <row r="719" customFormat="false" ht="35.25" hidden="false" customHeight="true" outlineLevel="0" collapsed="false">
      <c r="B719" s="90" t="s">
        <v>285</v>
      </c>
      <c r="C719" s="90"/>
      <c r="D719" s="90"/>
      <c r="E719" s="91"/>
      <c r="F719" s="91"/>
      <c r="G719" s="91"/>
      <c r="H719" s="91"/>
      <c r="I719" s="91"/>
      <c r="J719" s="91"/>
      <c r="K719" s="91"/>
      <c r="L719" s="91"/>
      <c r="M719" s="91"/>
      <c r="N719" s="91"/>
      <c r="O719" s="91"/>
    </row>
    <row r="720" customFormat="false" ht="35.25" hidden="false" customHeight="true" outlineLevel="0" collapsed="false">
      <c r="B720" s="90" t="s">
        <v>287</v>
      </c>
      <c r="C720" s="90"/>
      <c r="D720" s="90"/>
      <c r="E720" s="91"/>
      <c r="F720" s="91"/>
      <c r="G720" s="91"/>
      <c r="H720" s="91"/>
      <c r="I720" s="91"/>
      <c r="J720" s="91"/>
      <c r="K720" s="91"/>
      <c r="L720" s="91"/>
      <c r="M720" s="91"/>
      <c r="N720" s="91"/>
      <c r="O720" s="91"/>
    </row>
    <row r="721" customFormat="false" ht="35.25" hidden="false" customHeight="true" outlineLevel="0" collapsed="false">
      <c r="B721" s="90" t="s">
        <v>289</v>
      </c>
      <c r="C721" s="90"/>
      <c r="D721" s="90"/>
      <c r="E721" s="91"/>
      <c r="F721" s="91"/>
      <c r="G721" s="91"/>
      <c r="H721" s="91"/>
      <c r="I721" s="91"/>
      <c r="J721" s="91"/>
      <c r="K721" s="91"/>
      <c r="L721" s="91"/>
      <c r="M721" s="91"/>
      <c r="N721" s="91"/>
      <c r="O721" s="91"/>
    </row>
    <row r="722" customFormat="false" ht="35.25" hidden="false" customHeight="true" outlineLevel="0" collapsed="false">
      <c r="B722" s="90" t="s">
        <v>291</v>
      </c>
      <c r="C722" s="90"/>
      <c r="D722" s="90"/>
      <c r="E722" s="91"/>
      <c r="F722" s="91"/>
      <c r="G722" s="91"/>
      <c r="H722" s="91"/>
      <c r="I722" s="91"/>
      <c r="J722" s="91"/>
      <c r="K722" s="91"/>
      <c r="L722" s="91"/>
      <c r="M722" s="91"/>
      <c r="N722" s="91"/>
      <c r="O722" s="91"/>
    </row>
    <row r="723" customFormat="false" ht="35.25" hidden="false" customHeight="true" outlineLevel="0" collapsed="false">
      <c r="B723" s="90" t="s">
        <v>293</v>
      </c>
      <c r="C723" s="90"/>
      <c r="D723" s="90"/>
      <c r="E723" s="91"/>
      <c r="F723" s="91"/>
      <c r="G723" s="91"/>
      <c r="H723" s="91"/>
      <c r="I723" s="91"/>
      <c r="J723" s="91"/>
      <c r="K723" s="91"/>
      <c r="L723" s="91"/>
      <c r="M723" s="91"/>
      <c r="N723" s="91"/>
      <c r="O723" s="91"/>
    </row>
    <row r="724" customFormat="false" ht="11.25" hidden="false" customHeight="true" outlineLevel="0" collapsed="false">
      <c r="B724" s="15" t="s">
        <v>295</v>
      </c>
      <c r="C724" s="15"/>
      <c r="D724" s="15"/>
      <c r="E724" s="15"/>
      <c r="F724" s="15"/>
      <c r="G724" s="15"/>
      <c r="H724" s="15"/>
      <c r="I724" s="15"/>
      <c r="J724" s="15"/>
      <c r="K724" s="15"/>
      <c r="L724" s="16" t="s">
        <v>40</v>
      </c>
      <c r="M724" s="16"/>
      <c r="N724" s="16"/>
      <c r="O724" s="16"/>
    </row>
    <row r="725" customFormat="false" ht="3" hidden="false" customHeight="true" outlineLevel="0" collapsed="false"/>
    <row r="726" customFormat="false" ht="27.75" hidden="false" customHeight="true" outlineLevel="0" collapsed="false">
      <c r="B726" s="57" t="s">
        <v>259</v>
      </c>
      <c r="C726" s="57"/>
      <c r="D726" s="57"/>
      <c r="E726" s="57"/>
      <c r="F726" s="69" t="str">
        <f aca="false">IF('Project Register'!$D29="","",'Project Register'!$C29)</f>
        <v/>
      </c>
      <c r="G726" s="69"/>
      <c r="H726" s="70" t="str">
        <f aca="false">IF('Project Register'!$D29="","",'Project Register'!$D29)</f>
        <v/>
      </c>
      <c r="I726" s="70"/>
      <c r="J726" s="70"/>
      <c r="K726" s="70"/>
      <c r="L726" s="70"/>
      <c r="M726" s="70"/>
      <c r="N726" s="70"/>
      <c r="O726" s="70"/>
      <c r="R726" s="71" t="str">
        <f aca="false">IF('Project Register'!$D29="","",'Project Register'!$C29)</f>
        <v/>
      </c>
      <c r="S726" s="72" t="n">
        <f aca="false">COUNTIF($E$750:$E$759,"?*")</f>
        <v>0</v>
      </c>
    </row>
    <row r="727" customFormat="false" ht="24.75" hidden="false" customHeight="true" outlineLevel="0" collapsed="false">
      <c r="B727" s="73" t="str">
        <f aca="false">IF('Project Register'!$D29="","No project on register row 21. Fill that row in on the Project Register and this block writes its own heading.",'Project Register'!$E29)</f>
        <v>No project on register row 21. Fill that row in on the Project Register and this block writes its own heading.</v>
      </c>
      <c r="C727" s="73"/>
      <c r="D727" s="73"/>
      <c r="E727" s="73"/>
      <c r="F727" s="73"/>
      <c r="G727" s="73"/>
      <c r="H727" s="73"/>
      <c r="I727" s="73"/>
      <c r="J727" s="73"/>
      <c r="K727" s="73"/>
      <c r="L727" s="73"/>
      <c r="M727" s="73"/>
      <c r="N727" s="73"/>
      <c r="O727" s="73"/>
    </row>
    <row r="728" customFormat="false" ht="13.5" hidden="false" customHeight="true" outlineLevel="0" collapsed="false">
      <c r="B728" s="74" t="s">
        <v>130</v>
      </c>
      <c r="C728" s="74"/>
      <c r="D728" s="74"/>
      <c r="E728" s="75" t="str">
        <f aca="false">IF('Project Register'!$D29="","",'Project Register'!$F29)</f>
        <v/>
      </c>
      <c r="F728" s="75"/>
      <c r="G728" s="75"/>
      <c r="H728" s="75"/>
      <c r="I728" s="74" t="s">
        <v>131</v>
      </c>
      <c r="J728" s="74"/>
      <c r="K728" s="74"/>
      <c r="L728" s="75" t="str">
        <f aca="false">IF('Project Register'!$D29="","",'Project Register'!$G29)</f>
        <v/>
      </c>
      <c r="M728" s="75"/>
      <c r="N728" s="75"/>
      <c r="O728" s="75"/>
    </row>
    <row r="729" customFormat="false" ht="13.5" hidden="false" customHeight="true" outlineLevel="0" collapsed="false">
      <c r="B729" s="74" t="s">
        <v>132</v>
      </c>
      <c r="C729" s="74"/>
      <c r="D729" s="74"/>
      <c r="E729" s="75" t="str">
        <f aca="false">IF('Project Register'!$D29="","",'Project Register'!$H29)</f>
        <v/>
      </c>
      <c r="F729" s="75"/>
      <c r="G729" s="75"/>
      <c r="H729" s="75"/>
      <c r="I729" s="74" t="s">
        <v>135</v>
      </c>
      <c r="J729" s="74"/>
      <c r="K729" s="74"/>
      <c r="L729" s="75" t="str">
        <f aca="false">IF('Project Register'!$D29="","",'Project Register'!$K29)</f>
        <v/>
      </c>
      <c r="M729" s="75"/>
      <c r="N729" s="75"/>
      <c r="O729" s="75"/>
    </row>
    <row r="730" customFormat="false" ht="13.5" hidden="false" customHeight="true" outlineLevel="0" collapsed="false">
      <c r="B730" s="74" t="s">
        <v>260</v>
      </c>
      <c r="C730" s="74"/>
      <c r="D730" s="74"/>
      <c r="E730" s="75" t="str">
        <f aca="false">IF('Project Register'!$D29="","",'Project Register'!$I29)</f>
        <v/>
      </c>
      <c r="F730" s="75"/>
      <c r="G730" s="75"/>
      <c r="H730" s="75"/>
      <c r="I730" s="74" t="s">
        <v>134</v>
      </c>
      <c r="J730" s="74"/>
      <c r="K730" s="74"/>
      <c r="L730" s="75" t="str">
        <f aca="false">IF('Project Register'!$D29="","",'Project Register'!$J29)</f>
        <v/>
      </c>
      <c r="M730" s="75"/>
      <c r="N730" s="75"/>
      <c r="O730" s="75"/>
    </row>
    <row r="731" customFormat="false" ht="2.25" hidden="false" customHeight="true" outlineLevel="0" collapsed="false"/>
    <row r="732" customFormat="false" ht="15.75" hidden="false" customHeight="true" outlineLevel="0" collapsed="false">
      <c r="B732" s="76" t="s">
        <v>117</v>
      </c>
      <c r="C732" s="76"/>
      <c r="D732" s="76"/>
      <c r="E732" s="76"/>
      <c r="F732" s="76"/>
      <c r="G732" s="76"/>
      <c r="H732" s="76"/>
      <c r="I732" s="76"/>
      <c r="J732" s="76"/>
      <c r="K732" s="76"/>
      <c r="L732" s="76"/>
      <c r="M732" s="76"/>
      <c r="N732" s="76"/>
      <c r="O732" s="76"/>
    </row>
    <row r="733" customFormat="false" ht="17.25" hidden="false" customHeight="true" outlineLevel="0" collapsed="false">
      <c r="B733" s="74" t="s">
        <v>136</v>
      </c>
      <c r="C733" s="74"/>
      <c r="D733" s="74"/>
      <c r="E733" s="74"/>
      <c r="F733" s="77" t="str">
        <f aca="false">IF('Project Register'!$D29="","",'Project Register'!$L29)</f>
        <v/>
      </c>
      <c r="G733" s="77"/>
      <c r="H733" s="77"/>
      <c r="I733" s="74" t="s">
        <v>137</v>
      </c>
      <c r="J733" s="74"/>
      <c r="K733" s="74"/>
      <c r="L733" s="74"/>
      <c r="M733" s="77" t="str">
        <f aca="false">IF('Project Register'!$D29="","",'Project Register'!$M29)</f>
        <v/>
      </c>
      <c r="N733" s="77"/>
      <c r="O733" s="77"/>
    </row>
    <row r="734" customFormat="false" ht="13.5" hidden="false" customHeight="true" outlineLevel="0" collapsed="false">
      <c r="B734" s="74" t="s">
        <v>261</v>
      </c>
      <c r="C734" s="74"/>
      <c r="D734" s="74"/>
      <c r="E734" s="74"/>
      <c r="F734" s="78" t="str">
        <f aca="false">IF('Project Register'!$D29="","",'Project Register'!$N29)</f>
        <v/>
      </c>
      <c r="G734" s="78"/>
      <c r="H734" s="78"/>
      <c r="I734" s="74" t="s">
        <v>262</v>
      </c>
      <c r="J734" s="74"/>
      <c r="K734" s="74"/>
      <c r="L734" s="74"/>
      <c r="M734" s="79" t="str">
        <f aca="false">IF('Project Register'!$D29="","",'Project Register'!$AD29)</f>
        <v/>
      </c>
      <c r="N734" s="79"/>
      <c r="O734" s="79"/>
    </row>
    <row r="735" customFormat="false" ht="13.5" hidden="false" customHeight="true" outlineLevel="0" collapsed="false">
      <c r="B735" s="74" t="s">
        <v>263</v>
      </c>
      <c r="C735" s="74"/>
      <c r="D735" s="74"/>
      <c r="E735" s="74"/>
      <c r="F735" s="78" t="str">
        <f aca="false">IF('Project Register'!$D29="","",'Project Register'!$AC29)</f>
        <v/>
      </c>
      <c r="G735" s="78"/>
      <c r="H735" s="78"/>
      <c r="I735" s="74" t="s">
        <v>264</v>
      </c>
      <c r="J735" s="74"/>
      <c r="K735" s="74"/>
      <c r="L735" s="74"/>
      <c r="M735" s="78" t="str">
        <f aca="false">IF('Project Register'!$D29="","",'Project Register'!$AE29)</f>
        <v/>
      </c>
      <c r="N735" s="78"/>
      <c r="O735" s="78"/>
    </row>
    <row r="736" customFormat="false" ht="13.5" hidden="false" customHeight="true" outlineLevel="0" collapsed="false">
      <c r="B736" s="80" t="s">
        <v>265</v>
      </c>
      <c r="C736" s="80"/>
      <c r="D736" s="81" t="str">
        <f aca="false">Setup!$C$23</f>
        <v>FY2027</v>
      </c>
      <c r="E736" s="81"/>
      <c r="F736" s="81" t="str">
        <f aca="false">Setup!$D$23</f>
        <v>FY2028</v>
      </c>
      <c r="G736" s="81"/>
      <c r="H736" s="81" t="str">
        <f aca="false">Setup!$E$23</f>
        <v>FY2029</v>
      </c>
      <c r="I736" s="81"/>
      <c r="J736" s="81" t="str">
        <f aca="false">Setup!$F$23</f>
        <v>FY2030</v>
      </c>
      <c r="K736" s="81"/>
      <c r="L736" s="81" t="str">
        <f aca="false">Setup!$G$23</f>
        <v>FY2031</v>
      </c>
      <c r="M736" s="81"/>
      <c r="N736" s="81" t="str">
        <f aca="false">Setup!$H$23</f>
        <v>Beyond FY2031</v>
      </c>
      <c r="O736" s="81"/>
    </row>
    <row r="737" customFormat="false" ht="13.5" hidden="false" customHeight="true" outlineLevel="0" collapsed="false">
      <c r="B737" s="82" t="s">
        <v>266</v>
      </c>
      <c r="C737" s="82"/>
      <c r="D737" s="78" t="str">
        <f aca="false">IF('Project Register'!$D29="","",'Project Register'!$O29)</f>
        <v/>
      </c>
      <c r="E737" s="78"/>
      <c r="F737" s="78" t="str">
        <f aca="false">IF('Project Register'!$D29="","",'Project Register'!$P29)</f>
        <v/>
      </c>
      <c r="G737" s="78"/>
      <c r="H737" s="78" t="str">
        <f aca="false">IF('Project Register'!$D29="","",'Project Register'!$Q29)</f>
        <v/>
      </c>
      <c r="I737" s="78"/>
      <c r="J737" s="78" t="str">
        <f aca="false">IF('Project Register'!$D29="","",'Project Register'!$R29)</f>
        <v/>
      </c>
      <c r="K737" s="78"/>
      <c r="L737" s="78" t="str">
        <f aca="false">IF('Project Register'!$D29="","",'Project Register'!$S29)</f>
        <v/>
      </c>
      <c r="M737" s="78"/>
      <c r="N737" s="78" t="str">
        <f aca="false">IF('Project Register'!$D29="","",'Project Register'!$T29)</f>
        <v/>
      </c>
      <c r="O737" s="78"/>
    </row>
    <row r="738" customFormat="false" ht="13.5" hidden="false" customHeight="true" outlineLevel="0" collapsed="false">
      <c r="B738" s="82" t="s">
        <v>267</v>
      </c>
      <c r="C738" s="82"/>
      <c r="D738" s="79" t="str">
        <f aca="false">IF('Project Register'!$D29="","",'Project Register'!$X29)</f>
        <v/>
      </c>
      <c r="E738" s="79"/>
      <c r="F738" s="79" t="str">
        <f aca="false">IF('Project Register'!$D29="","",'Project Register'!$Y29)</f>
        <v/>
      </c>
      <c r="G738" s="79"/>
      <c r="H738" s="79" t="str">
        <f aca="false">IF('Project Register'!$D29="","",'Project Register'!$Z29)</f>
        <v/>
      </c>
      <c r="I738" s="79"/>
      <c r="J738" s="79" t="str">
        <f aca="false">IF('Project Register'!$D29="","",'Project Register'!$AA29)</f>
        <v/>
      </c>
      <c r="K738" s="79"/>
      <c r="L738" s="79" t="str">
        <f aca="false">IF('Project Register'!$D29="","",'Project Register'!$AB29)</f>
        <v/>
      </c>
      <c r="M738" s="79"/>
      <c r="N738" s="79" t="str">
        <f aca="false">IF('Project Register'!$D29="","",'Project Register'!$AC29)</f>
        <v/>
      </c>
      <c r="O738" s="79"/>
    </row>
    <row r="739" customFormat="false" ht="2.25" hidden="false" customHeight="true" outlineLevel="0" collapsed="false"/>
    <row r="740" customFormat="false" ht="15.75" hidden="false" customHeight="true" outlineLevel="0" collapsed="false">
      <c r="B740" s="76" t="s">
        <v>268</v>
      </c>
      <c r="C740" s="76"/>
      <c r="D740" s="76"/>
      <c r="E740" s="76"/>
      <c r="F740" s="76"/>
      <c r="G740" s="76"/>
      <c r="H740" s="76"/>
      <c r="I740" s="76"/>
      <c r="J740" s="76"/>
      <c r="K740" s="76"/>
      <c r="L740" s="76"/>
      <c r="M740" s="76"/>
      <c r="N740" s="76"/>
      <c r="O740" s="76"/>
    </row>
    <row r="741" customFormat="false" ht="13.5" hidden="false" customHeight="true" outlineLevel="0" collapsed="false">
      <c r="B741" s="80" t="s">
        <v>269</v>
      </c>
      <c r="C741" s="80"/>
      <c r="D741" s="80"/>
      <c r="E741" s="80"/>
      <c r="F741" s="80"/>
      <c r="G741" s="80"/>
      <c r="H741" s="29" t="s">
        <v>145</v>
      </c>
      <c r="I741" s="29"/>
      <c r="J741" s="29"/>
      <c r="K741" s="83" t="s">
        <v>270</v>
      </c>
      <c r="L741" s="83"/>
      <c r="M741" s="83"/>
      <c r="N741" s="83"/>
      <c r="O741" s="83"/>
    </row>
    <row r="742" customFormat="false" ht="13.5" hidden="false" customHeight="true" outlineLevel="0" collapsed="false">
      <c r="B742" s="75" t="str">
        <f aca="false">IF('Project Register'!$D29="","",IF('Project Register'!$AF29="","-",'Project Register'!$AF29))</f>
        <v/>
      </c>
      <c r="C742" s="75"/>
      <c r="D742" s="75"/>
      <c r="E742" s="75"/>
      <c r="F742" s="75"/>
      <c r="G742" s="75"/>
      <c r="H742" s="84" t="str">
        <f aca="false">IF('Project Register'!$D29="","",'Project Register'!$AG29)</f>
        <v/>
      </c>
      <c r="I742" s="84"/>
      <c r="J742" s="84"/>
      <c r="K742" s="78" t="str">
        <f aca="false">IF('Project Register'!$D29="","",'Project Register'!$AD29*'Project Register'!$AG29)</f>
        <v/>
      </c>
      <c r="L742" s="78"/>
      <c r="M742" s="78"/>
      <c r="N742" s="78"/>
      <c r="O742" s="78"/>
    </row>
    <row r="743" customFormat="false" ht="13.5" hidden="false" customHeight="true" outlineLevel="0" collapsed="false">
      <c r="B743" s="75" t="str">
        <f aca="false">IF('Project Register'!$D29="","",IF('Project Register'!$AH29="","-",'Project Register'!$AH29))</f>
        <v/>
      </c>
      <c r="C743" s="75"/>
      <c r="D743" s="75"/>
      <c r="E743" s="75"/>
      <c r="F743" s="75"/>
      <c r="G743" s="75"/>
      <c r="H743" s="84" t="str">
        <f aca="false">IF('Project Register'!$D29="","",'Project Register'!$AI29)</f>
        <v/>
      </c>
      <c r="I743" s="84"/>
      <c r="J743" s="84"/>
      <c r="K743" s="78" t="str">
        <f aca="false">IF('Project Register'!$D29="","",'Project Register'!$AD29*'Project Register'!$AI29)</f>
        <v/>
      </c>
      <c r="L743" s="78"/>
      <c r="M743" s="78"/>
      <c r="N743" s="78"/>
      <c r="O743" s="78"/>
    </row>
    <row r="744" customFormat="false" ht="13.5" hidden="false" customHeight="true" outlineLevel="0" collapsed="false">
      <c r="B744" s="85" t="s">
        <v>271</v>
      </c>
      <c r="C744" s="85"/>
      <c r="D744" s="85"/>
      <c r="E744" s="85"/>
      <c r="F744" s="85"/>
      <c r="G744" s="85"/>
      <c r="H744" s="86" t="str">
        <f aca="false">IF('Project Register'!$D29="","",'Project Register'!$AJ29)</f>
        <v/>
      </c>
      <c r="I744" s="86"/>
      <c r="J744" s="86"/>
      <c r="K744" s="79" t="str">
        <f aca="false">IF('Project Register'!$D29="","",'Project Register'!$AL29)</f>
        <v/>
      </c>
      <c r="L744" s="79"/>
      <c r="M744" s="79"/>
      <c r="N744" s="79"/>
      <c r="O744" s="79"/>
    </row>
    <row r="745" customFormat="false" ht="2.25" hidden="false" customHeight="true" outlineLevel="0" collapsed="false"/>
    <row r="746" customFormat="false" ht="15.75" hidden="false" customHeight="true" outlineLevel="0" collapsed="false">
      <c r="B746" s="76" t="s">
        <v>272</v>
      </c>
      <c r="C746" s="76"/>
      <c r="D746" s="76"/>
      <c r="E746" s="76"/>
      <c r="F746" s="76"/>
      <c r="G746" s="76"/>
      <c r="H746" s="76"/>
      <c r="I746" s="76"/>
      <c r="J746" s="76"/>
      <c r="K746" s="76"/>
      <c r="L746" s="76"/>
      <c r="M746" s="76"/>
      <c r="N746" s="76"/>
      <c r="O746" s="76"/>
    </row>
    <row r="747" customFormat="false" ht="17.25" hidden="false" customHeight="true" outlineLevel="0" collapsed="false">
      <c r="B747" s="74" t="s">
        <v>243</v>
      </c>
      <c r="C747" s="74"/>
      <c r="D747" s="87" t="str">
        <f aca="false">IF('Project Register'!$D29="","",Prioritisation!$O29)</f>
        <v/>
      </c>
      <c r="E747" s="87"/>
      <c r="F747" s="74" t="s">
        <v>273</v>
      </c>
      <c r="G747" s="74"/>
      <c r="H747" s="74"/>
      <c r="I747" s="88" t="str">
        <f aca="false">IF('Project Register'!$D29="","",TEXT(Prioritisation!$P29,"0")&amp;" of "&amp;TEXT(COUNTIF('Project Register'!$C$9:$C$38,"?*"),"0"))</f>
        <v/>
      </c>
      <c r="J747" s="88"/>
      <c r="K747" s="82" t="s">
        <v>245</v>
      </c>
      <c r="L747" s="82"/>
      <c r="M747" s="89" t="str">
        <f aca="false">IF('Project Register'!$D29="","",Prioritisation!$Q29)</f>
        <v/>
      </c>
      <c r="N747" s="89"/>
      <c r="O747" s="89"/>
    </row>
    <row r="748" customFormat="false" ht="2.25" hidden="false" customHeight="true" outlineLevel="0" collapsed="false"/>
    <row r="749" customFormat="false" ht="15.75" hidden="false" customHeight="true" outlineLevel="0" collapsed="false">
      <c r="B749" s="76" t="s">
        <v>274</v>
      </c>
      <c r="C749" s="76"/>
      <c r="D749" s="76"/>
      <c r="E749" s="76"/>
      <c r="F749" s="76"/>
      <c r="G749" s="76"/>
      <c r="H749" s="76"/>
      <c r="I749" s="76"/>
      <c r="J749" s="76"/>
      <c r="K749" s="76"/>
      <c r="L749" s="76"/>
      <c r="M749" s="76"/>
      <c r="N749" s="76"/>
      <c r="O749" s="76"/>
    </row>
    <row r="750" customFormat="false" ht="35.25" hidden="false" customHeight="true" outlineLevel="0" collapsed="false">
      <c r="B750" s="90" t="s">
        <v>275</v>
      </c>
      <c r="C750" s="90"/>
      <c r="D750" s="90"/>
      <c r="E750" s="91"/>
      <c r="F750" s="91"/>
      <c r="G750" s="91"/>
      <c r="H750" s="91"/>
      <c r="I750" s="91"/>
      <c r="J750" s="91"/>
      <c r="K750" s="91"/>
      <c r="L750" s="91"/>
      <c r="M750" s="91"/>
      <c r="N750" s="91"/>
      <c r="O750" s="91"/>
    </row>
    <row r="751" customFormat="false" ht="35.25" hidden="false" customHeight="true" outlineLevel="0" collapsed="false">
      <c r="B751" s="90" t="s">
        <v>277</v>
      </c>
      <c r="C751" s="90"/>
      <c r="D751" s="90"/>
      <c r="E751" s="91"/>
      <c r="F751" s="91"/>
      <c r="G751" s="91"/>
      <c r="H751" s="91"/>
      <c r="I751" s="91"/>
      <c r="J751" s="91"/>
      <c r="K751" s="91"/>
      <c r="L751" s="91"/>
      <c r="M751" s="91"/>
      <c r="N751" s="91"/>
      <c r="O751" s="91"/>
    </row>
    <row r="752" customFormat="false" ht="35.25" hidden="false" customHeight="true" outlineLevel="0" collapsed="false">
      <c r="B752" s="90" t="s">
        <v>279</v>
      </c>
      <c r="C752" s="90"/>
      <c r="D752" s="90"/>
      <c r="E752" s="91"/>
      <c r="F752" s="91"/>
      <c r="G752" s="91"/>
      <c r="H752" s="91"/>
      <c r="I752" s="91"/>
      <c r="J752" s="91"/>
      <c r="K752" s="91"/>
      <c r="L752" s="91"/>
      <c r="M752" s="91"/>
      <c r="N752" s="91"/>
      <c r="O752" s="91"/>
    </row>
    <row r="753" customFormat="false" ht="35.25" hidden="false" customHeight="true" outlineLevel="0" collapsed="false">
      <c r="B753" s="90" t="s">
        <v>281</v>
      </c>
      <c r="C753" s="90"/>
      <c r="D753" s="90"/>
      <c r="E753" s="91"/>
      <c r="F753" s="91"/>
      <c r="G753" s="91"/>
      <c r="H753" s="91"/>
      <c r="I753" s="91"/>
      <c r="J753" s="91"/>
      <c r="K753" s="91"/>
      <c r="L753" s="91"/>
      <c r="M753" s="91"/>
      <c r="N753" s="91"/>
      <c r="O753" s="91"/>
    </row>
    <row r="754" customFormat="false" ht="35.25" hidden="false" customHeight="true" outlineLevel="0" collapsed="false">
      <c r="B754" s="90" t="s">
        <v>283</v>
      </c>
      <c r="C754" s="90"/>
      <c r="D754" s="90"/>
      <c r="E754" s="91"/>
      <c r="F754" s="91"/>
      <c r="G754" s="91"/>
      <c r="H754" s="91"/>
      <c r="I754" s="91"/>
      <c r="J754" s="91"/>
      <c r="K754" s="91"/>
      <c r="L754" s="91"/>
      <c r="M754" s="91"/>
      <c r="N754" s="91"/>
      <c r="O754" s="91"/>
    </row>
    <row r="755" customFormat="false" ht="35.25" hidden="false" customHeight="true" outlineLevel="0" collapsed="false">
      <c r="B755" s="90" t="s">
        <v>285</v>
      </c>
      <c r="C755" s="90"/>
      <c r="D755" s="90"/>
      <c r="E755" s="91"/>
      <c r="F755" s="91"/>
      <c r="G755" s="91"/>
      <c r="H755" s="91"/>
      <c r="I755" s="91"/>
      <c r="J755" s="91"/>
      <c r="K755" s="91"/>
      <c r="L755" s="91"/>
      <c r="M755" s="91"/>
      <c r="N755" s="91"/>
      <c r="O755" s="91"/>
    </row>
    <row r="756" customFormat="false" ht="35.25" hidden="false" customHeight="true" outlineLevel="0" collapsed="false">
      <c r="B756" s="90" t="s">
        <v>287</v>
      </c>
      <c r="C756" s="90"/>
      <c r="D756" s="90"/>
      <c r="E756" s="91"/>
      <c r="F756" s="91"/>
      <c r="G756" s="91"/>
      <c r="H756" s="91"/>
      <c r="I756" s="91"/>
      <c r="J756" s="91"/>
      <c r="K756" s="91"/>
      <c r="L756" s="91"/>
      <c r="M756" s="91"/>
      <c r="N756" s="91"/>
      <c r="O756" s="91"/>
    </row>
    <row r="757" customFormat="false" ht="35.25" hidden="false" customHeight="true" outlineLevel="0" collapsed="false">
      <c r="B757" s="90" t="s">
        <v>289</v>
      </c>
      <c r="C757" s="90"/>
      <c r="D757" s="90"/>
      <c r="E757" s="91"/>
      <c r="F757" s="91"/>
      <c r="G757" s="91"/>
      <c r="H757" s="91"/>
      <c r="I757" s="91"/>
      <c r="J757" s="91"/>
      <c r="K757" s="91"/>
      <c r="L757" s="91"/>
      <c r="M757" s="91"/>
      <c r="N757" s="91"/>
      <c r="O757" s="91"/>
    </row>
    <row r="758" customFormat="false" ht="35.25" hidden="false" customHeight="true" outlineLevel="0" collapsed="false">
      <c r="B758" s="90" t="s">
        <v>291</v>
      </c>
      <c r="C758" s="90"/>
      <c r="D758" s="90"/>
      <c r="E758" s="91"/>
      <c r="F758" s="91"/>
      <c r="G758" s="91"/>
      <c r="H758" s="91"/>
      <c r="I758" s="91"/>
      <c r="J758" s="91"/>
      <c r="K758" s="91"/>
      <c r="L758" s="91"/>
      <c r="M758" s="91"/>
      <c r="N758" s="91"/>
      <c r="O758" s="91"/>
    </row>
    <row r="759" customFormat="false" ht="35.25" hidden="false" customHeight="true" outlineLevel="0" collapsed="false">
      <c r="B759" s="90" t="s">
        <v>293</v>
      </c>
      <c r="C759" s="90"/>
      <c r="D759" s="90"/>
      <c r="E759" s="91"/>
      <c r="F759" s="91"/>
      <c r="G759" s="91"/>
      <c r="H759" s="91"/>
      <c r="I759" s="91"/>
      <c r="J759" s="91"/>
      <c r="K759" s="91"/>
      <c r="L759" s="91"/>
      <c r="M759" s="91"/>
      <c r="N759" s="91"/>
      <c r="O759" s="91"/>
    </row>
    <row r="760" customFormat="false" ht="11.25" hidden="false" customHeight="true" outlineLevel="0" collapsed="false">
      <c r="B760" s="15" t="s">
        <v>295</v>
      </c>
      <c r="C760" s="15"/>
      <c r="D760" s="15"/>
      <c r="E760" s="15"/>
      <c r="F760" s="15"/>
      <c r="G760" s="15"/>
      <c r="H760" s="15"/>
      <c r="I760" s="15"/>
      <c r="J760" s="15"/>
      <c r="K760" s="15"/>
      <c r="L760" s="16" t="s">
        <v>40</v>
      </c>
      <c r="M760" s="16"/>
      <c r="N760" s="16"/>
      <c r="O760" s="16"/>
    </row>
    <row r="761" customFormat="false" ht="3" hidden="false" customHeight="true" outlineLevel="0" collapsed="false"/>
    <row r="762" customFormat="false" ht="27.75" hidden="false" customHeight="true" outlineLevel="0" collapsed="false">
      <c r="B762" s="57" t="s">
        <v>259</v>
      </c>
      <c r="C762" s="57"/>
      <c r="D762" s="57"/>
      <c r="E762" s="57"/>
      <c r="F762" s="69" t="str">
        <f aca="false">IF('Project Register'!$D30="","",'Project Register'!$C30)</f>
        <v/>
      </c>
      <c r="G762" s="69"/>
      <c r="H762" s="70" t="str">
        <f aca="false">IF('Project Register'!$D30="","",'Project Register'!$D30)</f>
        <v/>
      </c>
      <c r="I762" s="70"/>
      <c r="J762" s="70"/>
      <c r="K762" s="70"/>
      <c r="L762" s="70"/>
      <c r="M762" s="70"/>
      <c r="N762" s="70"/>
      <c r="O762" s="70"/>
      <c r="R762" s="71" t="str">
        <f aca="false">IF('Project Register'!$D30="","",'Project Register'!$C30)</f>
        <v/>
      </c>
      <c r="S762" s="72" t="n">
        <f aca="false">COUNTIF($E$786:$E$795,"?*")</f>
        <v>0</v>
      </c>
    </row>
    <row r="763" customFormat="false" ht="24.75" hidden="false" customHeight="true" outlineLevel="0" collapsed="false">
      <c r="B763" s="73" t="str">
        <f aca="false">IF('Project Register'!$D30="","No project on register row 22. Fill that row in on the Project Register and this block writes its own heading.",'Project Register'!$E30)</f>
        <v>No project on register row 22. Fill that row in on the Project Register and this block writes its own heading.</v>
      </c>
      <c r="C763" s="73"/>
      <c r="D763" s="73"/>
      <c r="E763" s="73"/>
      <c r="F763" s="73"/>
      <c r="G763" s="73"/>
      <c r="H763" s="73"/>
      <c r="I763" s="73"/>
      <c r="J763" s="73"/>
      <c r="K763" s="73"/>
      <c r="L763" s="73"/>
      <c r="M763" s="73"/>
      <c r="N763" s="73"/>
      <c r="O763" s="73"/>
    </row>
    <row r="764" customFormat="false" ht="13.5" hidden="false" customHeight="true" outlineLevel="0" collapsed="false">
      <c r="B764" s="74" t="s">
        <v>130</v>
      </c>
      <c r="C764" s="74"/>
      <c r="D764" s="74"/>
      <c r="E764" s="75" t="str">
        <f aca="false">IF('Project Register'!$D30="","",'Project Register'!$F30)</f>
        <v/>
      </c>
      <c r="F764" s="75"/>
      <c r="G764" s="75"/>
      <c r="H764" s="75"/>
      <c r="I764" s="74" t="s">
        <v>131</v>
      </c>
      <c r="J764" s="74"/>
      <c r="K764" s="74"/>
      <c r="L764" s="75" t="str">
        <f aca="false">IF('Project Register'!$D30="","",'Project Register'!$G30)</f>
        <v/>
      </c>
      <c r="M764" s="75"/>
      <c r="N764" s="75"/>
      <c r="O764" s="75"/>
    </row>
    <row r="765" customFormat="false" ht="13.5" hidden="false" customHeight="true" outlineLevel="0" collapsed="false">
      <c r="B765" s="74" t="s">
        <v>132</v>
      </c>
      <c r="C765" s="74"/>
      <c r="D765" s="74"/>
      <c r="E765" s="75" t="str">
        <f aca="false">IF('Project Register'!$D30="","",'Project Register'!$H30)</f>
        <v/>
      </c>
      <c r="F765" s="75"/>
      <c r="G765" s="75"/>
      <c r="H765" s="75"/>
      <c r="I765" s="74" t="s">
        <v>135</v>
      </c>
      <c r="J765" s="74"/>
      <c r="K765" s="74"/>
      <c r="L765" s="75" t="str">
        <f aca="false">IF('Project Register'!$D30="","",'Project Register'!$K30)</f>
        <v/>
      </c>
      <c r="M765" s="75"/>
      <c r="N765" s="75"/>
      <c r="O765" s="75"/>
    </row>
    <row r="766" customFormat="false" ht="13.5" hidden="false" customHeight="true" outlineLevel="0" collapsed="false">
      <c r="B766" s="74" t="s">
        <v>260</v>
      </c>
      <c r="C766" s="74"/>
      <c r="D766" s="74"/>
      <c r="E766" s="75" t="str">
        <f aca="false">IF('Project Register'!$D30="","",'Project Register'!$I30)</f>
        <v/>
      </c>
      <c r="F766" s="75"/>
      <c r="G766" s="75"/>
      <c r="H766" s="75"/>
      <c r="I766" s="74" t="s">
        <v>134</v>
      </c>
      <c r="J766" s="74"/>
      <c r="K766" s="74"/>
      <c r="L766" s="75" t="str">
        <f aca="false">IF('Project Register'!$D30="","",'Project Register'!$J30)</f>
        <v/>
      </c>
      <c r="M766" s="75"/>
      <c r="N766" s="75"/>
      <c r="O766" s="75"/>
    </row>
    <row r="767" customFormat="false" ht="2.25" hidden="false" customHeight="true" outlineLevel="0" collapsed="false"/>
    <row r="768" customFormat="false" ht="15.75" hidden="false" customHeight="true" outlineLevel="0" collapsed="false">
      <c r="B768" s="76" t="s">
        <v>117</v>
      </c>
      <c r="C768" s="76"/>
      <c r="D768" s="76"/>
      <c r="E768" s="76"/>
      <c r="F768" s="76"/>
      <c r="G768" s="76"/>
      <c r="H768" s="76"/>
      <c r="I768" s="76"/>
      <c r="J768" s="76"/>
      <c r="K768" s="76"/>
      <c r="L768" s="76"/>
      <c r="M768" s="76"/>
      <c r="N768" s="76"/>
      <c r="O768" s="76"/>
    </row>
    <row r="769" customFormat="false" ht="17.25" hidden="false" customHeight="true" outlineLevel="0" collapsed="false">
      <c r="B769" s="74" t="s">
        <v>136</v>
      </c>
      <c r="C769" s="74"/>
      <c r="D769" s="74"/>
      <c r="E769" s="74"/>
      <c r="F769" s="77" t="str">
        <f aca="false">IF('Project Register'!$D30="","",'Project Register'!$L30)</f>
        <v/>
      </c>
      <c r="G769" s="77"/>
      <c r="H769" s="77"/>
      <c r="I769" s="74" t="s">
        <v>137</v>
      </c>
      <c r="J769" s="74"/>
      <c r="K769" s="74"/>
      <c r="L769" s="74"/>
      <c r="M769" s="77" t="str">
        <f aca="false">IF('Project Register'!$D30="","",'Project Register'!$M30)</f>
        <v/>
      </c>
      <c r="N769" s="77"/>
      <c r="O769" s="77"/>
    </row>
    <row r="770" customFormat="false" ht="13.5" hidden="false" customHeight="true" outlineLevel="0" collapsed="false">
      <c r="B770" s="74" t="s">
        <v>261</v>
      </c>
      <c r="C770" s="74"/>
      <c r="D770" s="74"/>
      <c r="E770" s="74"/>
      <c r="F770" s="78" t="str">
        <f aca="false">IF('Project Register'!$D30="","",'Project Register'!$N30)</f>
        <v/>
      </c>
      <c r="G770" s="78"/>
      <c r="H770" s="78"/>
      <c r="I770" s="74" t="s">
        <v>262</v>
      </c>
      <c r="J770" s="74"/>
      <c r="K770" s="74"/>
      <c r="L770" s="74"/>
      <c r="M770" s="79" t="str">
        <f aca="false">IF('Project Register'!$D30="","",'Project Register'!$AD30)</f>
        <v/>
      </c>
      <c r="N770" s="79"/>
      <c r="O770" s="79"/>
    </row>
    <row r="771" customFormat="false" ht="13.5" hidden="false" customHeight="true" outlineLevel="0" collapsed="false">
      <c r="B771" s="74" t="s">
        <v>263</v>
      </c>
      <c r="C771" s="74"/>
      <c r="D771" s="74"/>
      <c r="E771" s="74"/>
      <c r="F771" s="78" t="str">
        <f aca="false">IF('Project Register'!$D30="","",'Project Register'!$AC30)</f>
        <v/>
      </c>
      <c r="G771" s="78"/>
      <c r="H771" s="78"/>
      <c r="I771" s="74" t="s">
        <v>264</v>
      </c>
      <c r="J771" s="74"/>
      <c r="K771" s="74"/>
      <c r="L771" s="74"/>
      <c r="M771" s="78" t="str">
        <f aca="false">IF('Project Register'!$D30="","",'Project Register'!$AE30)</f>
        <v/>
      </c>
      <c r="N771" s="78"/>
      <c r="O771" s="78"/>
    </row>
    <row r="772" customFormat="false" ht="13.5" hidden="false" customHeight="true" outlineLevel="0" collapsed="false">
      <c r="B772" s="80" t="s">
        <v>265</v>
      </c>
      <c r="C772" s="80"/>
      <c r="D772" s="81" t="str">
        <f aca="false">Setup!$C$23</f>
        <v>FY2027</v>
      </c>
      <c r="E772" s="81"/>
      <c r="F772" s="81" t="str">
        <f aca="false">Setup!$D$23</f>
        <v>FY2028</v>
      </c>
      <c r="G772" s="81"/>
      <c r="H772" s="81" t="str">
        <f aca="false">Setup!$E$23</f>
        <v>FY2029</v>
      </c>
      <c r="I772" s="81"/>
      <c r="J772" s="81" t="str">
        <f aca="false">Setup!$F$23</f>
        <v>FY2030</v>
      </c>
      <c r="K772" s="81"/>
      <c r="L772" s="81" t="str">
        <f aca="false">Setup!$G$23</f>
        <v>FY2031</v>
      </c>
      <c r="M772" s="81"/>
      <c r="N772" s="81" t="str">
        <f aca="false">Setup!$H$23</f>
        <v>Beyond FY2031</v>
      </c>
      <c r="O772" s="81"/>
    </row>
    <row r="773" customFormat="false" ht="13.5" hidden="false" customHeight="true" outlineLevel="0" collapsed="false">
      <c r="B773" s="82" t="s">
        <v>266</v>
      </c>
      <c r="C773" s="82"/>
      <c r="D773" s="78" t="str">
        <f aca="false">IF('Project Register'!$D30="","",'Project Register'!$O30)</f>
        <v/>
      </c>
      <c r="E773" s="78"/>
      <c r="F773" s="78" t="str">
        <f aca="false">IF('Project Register'!$D30="","",'Project Register'!$P30)</f>
        <v/>
      </c>
      <c r="G773" s="78"/>
      <c r="H773" s="78" t="str">
        <f aca="false">IF('Project Register'!$D30="","",'Project Register'!$Q30)</f>
        <v/>
      </c>
      <c r="I773" s="78"/>
      <c r="J773" s="78" t="str">
        <f aca="false">IF('Project Register'!$D30="","",'Project Register'!$R30)</f>
        <v/>
      </c>
      <c r="K773" s="78"/>
      <c r="L773" s="78" t="str">
        <f aca="false">IF('Project Register'!$D30="","",'Project Register'!$S30)</f>
        <v/>
      </c>
      <c r="M773" s="78"/>
      <c r="N773" s="78" t="str">
        <f aca="false">IF('Project Register'!$D30="","",'Project Register'!$T30)</f>
        <v/>
      </c>
      <c r="O773" s="78"/>
    </row>
    <row r="774" customFormat="false" ht="13.5" hidden="false" customHeight="true" outlineLevel="0" collapsed="false">
      <c r="B774" s="82" t="s">
        <v>267</v>
      </c>
      <c r="C774" s="82"/>
      <c r="D774" s="79" t="str">
        <f aca="false">IF('Project Register'!$D30="","",'Project Register'!$X30)</f>
        <v/>
      </c>
      <c r="E774" s="79"/>
      <c r="F774" s="79" t="str">
        <f aca="false">IF('Project Register'!$D30="","",'Project Register'!$Y30)</f>
        <v/>
      </c>
      <c r="G774" s="79"/>
      <c r="H774" s="79" t="str">
        <f aca="false">IF('Project Register'!$D30="","",'Project Register'!$Z30)</f>
        <v/>
      </c>
      <c r="I774" s="79"/>
      <c r="J774" s="79" t="str">
        <f aca="false">IF('Project Register'!$D30="","",'Project Register'!$AA30)</f>
        <v/>
      </c>
      <c r="K774" s="79"/>
      <c r="L774" s="79" t="str">
        <f aca="false">IF('Project Register'!$D30="","",'Project Register'!$AB30)</f>
        <v/>
      </c>
      <c r="M774" s="79"/>
      <c r="N774" s="79" t="str">
        <f aca="false">IF('Project Register'!$D30="","",'Project Register'!$AC30)</f>
        <v/>
      </c>
      <c r="O774" s="79"/>
    </row>
    <row r="775" customFormat="false" ht="2.25" hidden="false" customHeight="true" outlineLevel="0" collapsed="false"/>
    <row r="776" customFormat="false" ht="15.75" hidden="false" customHeight="true" outlineLevel="0" collapsed="false">
      <c r="B776" s="76" t="s">
        <v>268</v>
      </c>
      <c r="C776" s="76"/>
      <c r="D776" s="76"/>
      <c r="E776" s="76"/>
      <c r="F776" s="76"/>
      <c r="G776" s="76"/>
      <c r="H776" s="76"/>
      <c r="I776" s="76"/>
      <c r="J776" s="76"/>
      <c r="K776" s="76"/>
      <c r="L776" s="76"/>
      <c r="M776" s="76"/>
      <c r="N776" s="76"/>
      <c r="O776" s="76"/>
    </row>
    <row r="777" customFormat="false" ht="13.5" hidden="false" customHeight="true" outlineLevel="0" collapsed="false">
      <c r="B777" s="80" t="s">
        <v>269</v>
      </c>
      <c r="C777" s="80"/>
      <c r="D777" s="80"/>
      <c r="E777" s="80"/>
      <c r="F777" s="80"/>
      <c r="G777" s="80"/>
      <c r="H777" s="29" t="s">
        <v>145</v>
      </c>
      <c r="I777" s="29"/>
      <c r="J777" s="29"/>
      <c r="K777" s="83" t="s">
        <v>270</v>
      </c>
      <c r="L777" s="83"/>
      <c r="M777" s="83"/>
      <c r="N777" s="83"/>
      <c r="O777" s="83"/>
    </row>
    <row r="778" customFormat="false" ht="13.5" hidden="false" customHeight="true" outlineLevel="0" collapsed="false">
      <c r="B778" s="75" t="str">
        <f aca="false">IF('Project Register'!$D30="","",IF('Project Register'!$AF30="","-",'Project Register'!$AF30))</f>
        <v/>
      </c>
      <c r="C778" s="75"/>
      <c r="D778" s="75"/>
      <c r="E778" s="75"/>
      <c r="F778" s="75"/>
      <c r="G778" s="75"/>
      <c r="H778" s="84" t="str">
        <f aca="false">IF('Project Register'!$D30="","",'Project Register'!$AG30)</f>
        <v/>
      </c>
      <c r="I778" s="84"/>
      <c r="J778" s="84"/>
      <c r="K778" s="78" t="str">
        <f aca="false">IF('Project Register'!$D30="","",'Project Register'!$AD30*'Project Register'!$AG30)</f>
        <v/>
      </c>
      <c r="L778" s="78"/>
      <c r="M778" s="78"/>
      <c r="N778" s="78"/>
      <c r="O778" s="78"/>
    </row>
    <row r="779" customFormat="false" ht="13.5" hidden="false" customHeight="true" outlineLevel="0" collapsed="false">
      <c r="B779" s="75" t="str">
        <f aca="false">IF('Project Register'!$D30="","",IF('Project Register'!$AH30="","-",'Project Register'!$AH30))</f>
        <v/>
      </c>
      <c r="C779" s="75"/>
      <c r="D779" s="75"/>
      <c r="E779" s="75"/>
      <c r="F779" s="75"/>
      <c r="G779" s="75"/>
      <c r="H779" s="84" t="str">
        <f aca="false">IF('Project Register'!$D30="","",'Project Register'!$AI30)</f>
        <v/>
      </c>
      <c r="I779" s="84"/>
      <c r="J779" s="84"/>
      <c r="K779" s="78" t="str">
        <f aca="false">IF('Project Register'!$D30="","",'Project Register'!$AD30*'Project Register'!$AI30)</f>
        <v/>
      </c>
      <c r="L779" s="78"/>
      <c r="M779" s="78"/>
      <c r="N779" s="78"/>
      <c r="O779" s="78"/>
    </row>
    <row r="780" customFormat="false" ht="13.5" hidden="false" customHeight="true" outlineLevel="0" collapsed="false">
      <c r="B780" s="85" t="s">
        <v>271</v>
      </c>
      <c r="C780" s="85"/>
      <c r="D780" s="85"/>
      <c r="E780" s="85"/>
      <c r="F780" s="85"/>
      <c r="G780" s="85"/>
      <c r="H780" s="86" t="str">
        <f aca="false">IF('Project Register'!$D30="","",'Project Register'!$AJ30)</f>
        <v/>
      </c>
      <c r="I780" s="86"/>
      <c r="J780" s="86"/>
      <c r="K780" s="79" t="str">
        <f aca="false">IF('Project Register'!$D30="","",'Project Register'!$AL30)</f>
        <v/>
      </c>
      <c r="L780" s="79"/>
      <c r="M780" s="79"/>
      <c r="N780" s="79"/>
      <c r="O780" s="79"/>
    </row>
    <row r="781" customFormat="false" ht="2.25" hidden="false" customHeight="true" outlineLevel="0" collapsed="false"/>
    <row r="782" customFormat="false" ht="15.75" hidden="false" customHeight="true" outlineLevel="0" collapsed="false">
      <c r="B782" s="76" t="s">
        <v>272</v>
      </c>
      <c r="C782" s="76"/>
      <c r="D782" s="76"/>
      <c r="E782" s="76"/>
      <c r="F782" s="76"/>
      <c r="G782" s="76"/>
      <c r="H782" s="76"/>
      <c r="I782" s="76"/>
      <c r="J782" s="76"/>
      <c r="K782" s="76"/>
      <c r="L782" s="76"/>
      <c r="M782" s="76"/>
      <c r="N782" s="76"/>
      <c r="O782" s="76"/>
    </row>
    <row r="783" customFormat="false" ht="17.25" hidden="false" customHeight="true" outlineLevel="0" collapsed="false">
      <c r="B783" s="74" t="s">
        <v>243</v>
      </c>
      <c r="C783" s="74"/>
      <c r="D783" s="87" t="str">
        <f aca="false">IF('Project Register'!$D30="","",Prioritisation!$O30)</f>
        <v/>
      </c>
      <c r="E783" s="87"/>
      <c r="F783" s="74" t="s">
        <v>273</v>
      </c>
      <c r="G783" s="74"/>
      <c r="H783" s="74"/>
      <c r="I783" s="88" t="str">
        <f aca="false">IF('Project Register'!$D30="","",TEXT(Prioritisation!$P30,"0")&amp;" of "&amp;TEXT(COUNTIF('Project Register'!$C$9:$C$38,"?*"),"0"))</f>
        <v/>
      </c>
      <c r="J783" s="88"/>
      <c r="K783" s="82" t="s">
        <v>245</v>
      </c>
      <c r="L783" s="82"/>
      <c r="M783" s="89" t="str">
        <f aca="false">IF('Project Register'!$D30="","",Prioritisation!$Q30)</f>
        <v/>
      </c>
      <c r="N783" s="89"/>
      <c r="O783" s="89"/>
    </row>
    <row r="784" customFormat="false" ht="2.25" hidden="false" customHeight="true" outlineLevel="0" collapsed="false"/>
    <row r="785" customFormat="false" ht="15.75" hidden="false" customHeight="true" outlineLevel="0" collapsed="false">
      <c r="B785" s="76" t="s">
        <v>274</v>
      </c>
      <c r="C785" s="76"/>
      <c r="D785" s="76"/>
      <c r="E785" s="76"/>
      <c r="F785" s="76"/>
      <c r="G785" s="76"/>
      <c r="H785" s="76"/>
      <c r="I785" s="76"/>
      <c r="J785" s="76"/>
      <c r="K785" s="76"/>
      <c r="L785" s="76"/>
      <c r="M785" s="76"/>
      <c r="N785" s="76"/>
      <c r="O785" s="76"/>
    </row>
    <row r="786" customFormat="false" ht="35.25" hidden="false" customHeight="true" outlineLevel="0" collapsed="false">
      <c r="B786" s="90" t="s">
        <v>275</v>
      </c>
      <c r="C786" s="90"/>
      <c r="D786" s="90"/>
      <c r="E786" s="91"/>
      <c r="F786" s="91"/>
      <c r="G786" s="91"/>
      <c r="H786" s="91"/>
      <c r="I786" s="91"/>
      <c r="J786" s="91"/>
      <c r="K786" s="91"/>
      <c r="L786" s="91"/>
      <c r="M786" s="91"/>
      <c r="N786" s="91"/>
      <c r="O786" s="91"/>
    </row>
    <row r="787" customFormat="false" ht="35.25" hidden="false" customHeight="true" outlineLevel="0" collapsed="false">
      <c r="B787" s="90" t="s">
        <v>277</v>
      </c>
      <c r="C787" s="90"/>
      <c r="D787" s="90"/>
      <c r="E787" s="91"/>
      <c r="F787" s="91"/>
      <c r="G787" s="91"/>
      <c r="H787" s="91"/>
      <c r="I787" s="91"/>
      <c r="J787" s="91"/>
      <c r="K787" s="91"/>
      <c r="L787" s="91"/>
      <c r="M787" s="91"/>
      <c r="N787" s="91"/>
      <c r="O787" s="91"/>
    </row>
    <row r="788" customFormat="false" ht="35.25" hidden="false" customHeight="true" outlineLevel="0" collapsed="false">
      <c r="B788" s="90" t="s">
        <v>279</v>
      </c>
      <c r="C788" s="90"/>
      <c r="D788" s="90"/>
      <c r="E788" s="91"/>
      <c r="F788" s="91"/>
      <c r="G788" s="91"/>
      <c r="H788" s="91"/>
      <c r="I788" s="91"/>
      <c r="J788" s="91"/>
      <c r="K788" s="91"/>
      <c r="L788" s="91"/>
      <c r="M788" s="91"/>
      <c r="N788" s="91"/>
      <c r="O788" s="91"/>
    </row>
    <row r="789" customFormat="false" ht="35.25" hidden="false" customHeight="true" outlineLevel="0" collapsed="false">
      <c r="B789" s="90" t="s">
        <v>281</v>
      </c>
      <c r="C789" s="90"/>
      <c r="D789" s="90"/>
      <c r="E789" s="91"/>
      <c r="F789" s="91"/>
      <c r="G789" s="91"/>
      <c r="H789" s="91"/>
      <c r="I789" s="91"/>
      <c r="J789" s="91"/>
      <c r="K789" s="91"/>
      <c r="L789" s="91"/>
      <c r="M789" s="91"/>
      <c r="N789" s="91"/>
      <c r="O789" s="91"/>
    </row>
    <row r="790" customFormat="false" ht="35.25" hidden="false" customHeight="true" outlineLevel="0" collapsed="false">
      <c r="B790" s="90" t="s">
        <v>283</v>
      </c>
      <c r="C790" s="90"/>
      <c r="D790" s="90"/>
      <c r="E790" s="91"/>
      <c r="F790" s="91"/>
      <c r="G790" s="91"/>
      <c r="H790" s="91"/>
      <c r="I790" s="91"/>
      <c r="J790" s="91"/>
      <c r="K790" s="91"/>
      <c r="L790" s="91"/>
      <c r="M790" s="91"/>
      <c r="N790" s="91"/>
      <c r="O790" s="91"/>
    </row>
    <row r="791" customFormat="false" ht="35.25" hidden="false" customHeight="true" outlineLevel="0" collapsed="false">
      <c r="B791" s="90" t="s">
        <v>285</v>
      </c>
      <c r="C791" s="90"/>
      <c r="D791" s="90"/>
      <c r="E791" s="91"/>
      <c r="F791" s="91"/>
      <c r="G791" s="91"/>
      <c r="H791" s="91"/>
      <c r="I791" s="91"/>
      <c r="J791" s="91"/>
      <c r="K791" s="91"/>
      <c r="L791" s="91"/>
      <c r="M791" s="91"/>
      <c r="N791" s="91"/>
      <c r="O791" s="91"/>
    </row>
    <row r="792" customFormat="false" ht="35.25" hidden="false" customHeight="true" outlineLevel="0" collapsed="false">
      <c r="B792" s="90" t="s">
        <v>287</v>
      </c>
      <c r="C792" s="90"/>
      <c r="D792" s="90"/>
      <c r="E792" s="91"/>
      <c r="F792" s="91"/>
      <c r="G792" s="91"/>
      <c r="H792" s="91"/>
      <c r="I792" s="91"/>
      <c r="J792" s="91"/>
      <c r="K792" s="91"/>
      <c r="L792" s="91"/>
      <c r="M792" s="91"/>
      <c r="N792" s="91"/>
      <c r="O792" s="91"/>
    </row>
    <row r="793" customFormat="false" ht="35.25" hidden="false" customHeight="true" outlineLevel="0" collapsed="false">
      <c r="B793" s="90" t="s">
        <v>289</v>
      </c>
      <c r="C793" s="90"/>
      <c r="D793" s="90"/>
      <c r="E793" s="91"/>
      <c r="F793" s="91"/>
      <c r="G793" s="91"/>
      <c r="H793" s="91"/>
      <c r="I793" s="91"/>
      <c r="J793" s="91"/>
      <c r="K793" s="91"/>
      <c r="L793" s="91"/>
      <c r="M793" s="91"/>
      <c r="N793" s="91"/>
      <c r="O793" s="91"/>
    </row>
    <row r="794" customFormat="false" ht="35.25" hidden="false" customHeight="true" outlineLevel="0" collapsed="false">
      <c r="B794" s="90" t="s">
        <v>291</v>
      </c>
      <c r="C794" s="90"/>
      <c r="D794" s="90"/>
      <c r="E794" s="91"/>
      <c r="F794" s="91"/>
      <c r="G794" s="91"/>
      <c r="H794" s="91"/>
      <c r="I794" s="91"/>
      <c r="J794" s="91"/>
      <c r="K794" s="91"/>
      <c r="L794" s="91"/>
      <c r="M794" s="91"/>
      <c r="N794" s="91"/>
      <c r="O794" s="91"/>
    </row>
    <row r="795" customFormat="false" ht="35.25" hidden="false" customHeight="true" outlineLevel="0" collapsed="false">
      <c r="B795" s="90" t="s">
        <v>293</v>
      </c>
      <c r="C795" s="90"/>
      <c r="D795" s="90"/>
      <c r="E795" s="91"/>
      <c r="F795" s="91"/>
      <c r="G795" s="91"/>
      <c r="H795" s="91"/>
      <c r="I795" s="91"/>
      <c r="J795" s="91"/>
      <c r="K795" s="91"/>
      <c r="L795" s="91"/>
      <c r="M795" s="91"/>
      <c r="N795" s="91"/>
      <c r="O795" s="91"/>
    </row>
    <row r="796" customFormat="false" ht="11.25" hidden="false" customHeight="true" outlineLevel="0" collapsed="false">
      <c r="B796" s="15" t="s">
        <v>295</v>
      </c>
      <c r="C796" s="15"/>
      <c r="D796" s="15"/>
      <c r="E796" s="15"/>
      <c r="F796" s="15"/>
      <c r="G796" s="15"/>
      <c r="H796" s="15"/>
      <c r="I796" s="15"/>
      <c r="J796" s="15"/>
      <c r="K796" s="15"/>
      <c r="L796" s="16" t="s">
        <v>40</v>
      </c>
      <c r="M796" s="16"/>
      <c r="N796" s="16"/>
      <c r="O796" s="16"/>
    </row>
    <row r="797" customFormat="false" ht="3" hidden="false" customHeight="true" outlineLevel="0" collapsed="false"/>
    <row r="798" customFormat="false" ht="27.75" hidden="false" customHeight="true" outlineLevel="0" collapsed="false">
      <c r="B798" s="57" t="s">
        <v>259</v>
      </c>
      <c r="C798" s="57"/>
      <c r="D798" s="57"/>
      <c r="E798" s="57"/>
      <c r="F798" s="69" t="str">
        <f aca="false">IF('Project Register'!$D31="","",'Project Register'!$C31)</f>
        <v/>
      </c>
      <c r="G798" s="69"/>
      <c r="H798" s="70" t="str">
        <f aca="false">IF('Project Register'!$D31="","",'Project Register'!$D31)</f>
        <v/>
      </c>
      <c r="I798" s="70"/>
      <c r="J798" s="70"/>
      <c r="K798" s="70"/>
      <c r="L798" s="70"/>
      <c r="M798" s="70"/>
      <c r="N798" s="70"/>
      <c r="O798" s="70"/>
      <c r="R798" s="71" t="str">
        <f aca="false">IF('Project Register'!$D31="","",'Project Register'!$C31)</f>
        <v/>
      </c>
      <c r="S798" s="72" t="n">
        <f aca="false">COUNTIF($E$822:$E$831,"?*")</f>
        <v>0</v>
      </c>
    </row>
    <row r="799" customFormat="false" ht="24.75" hidden="false" customHeight="true" outlineLevel="0" collapsed="false">
      <c r="B799" s="73" t="str">
        <f aca="false">IF('Project Register'!$D31="","No project on register row 23. Fill that row in on the Project Register and this block writes its own heading.",'Project Register'!$E31)</f>
        <v>No project on register row 23. Fill that row in on the Project Register and this block writes its own heading.</v>
      </c>
      <c r="C799" s="73"/>
      <c r="D799" s="73"/>
      <c r="E799" s="73"/>
      <c r="F799" s="73"/>
      <c r="G799" s="73"/>
      <c r="H799" s="73"/>
      <c r="I799" s="73"/>
      <c r="J799" s="73"/>
      <c r="K799" s="73"/>
      <c r="L799" s="73"/>
      <c r="M799" s="73"/>
      <c r="N799" s="73"/>
      <c r="O799" s="73"/>
    </row>
    <row r="800" customFormat="false" ht="13.5" hidden="false" customHeight="true" outlineLevel="0" collapsed="false">
      <c r="B800" s="74" t="s">
        <v>130</v>
      </c>
      <c r="C800" s="74"/>
      <c r="D800" s="74"/>
      <c r="E800" s="75" t="str">
        <f aca="false">IF('Project Register'!$D31="","",'Project Register'!$F31)</f>
        <v/>
      </c>
      <c r="F800" s="75"/>
      <c r="G800" s="75"/>
      <c r="H800" s="75"/>
      <c r="I800" s="74" t="s">
        <v>131</v>
      </c>
      <c r="J800" s="74"/>
      <c r="K800" s="74"/>
      <c r="L800" s="75" t="str">
        <f aca="false">IF('Project Register'!$D31="","",'Project Register'!$G31)</f>
        <v/>
      </c>
      <c r="M800" s="75"/>
      <c r="N800" s="75"/>
      <c r="O800" s="75"/>
    </row>
    <row r="801" customFormat="false" ht="13.5" hidden="false" customHeight="true" outlineLevel="0" collapsed="false">
      <c r="B801" s="74" t="s">
        <v>132</v>
      </c>
      <c r="C801" s="74"/>
      <c r="D801" s="74"/>
      <c r="E801" s="75" t="str">
        <f aca="false">IF('Project Register'!$D31="","",'Project Register'!$H31)</f>
        <v/>
      </c>
      <c r="F801" s="75"/>
      <c r="G801" s="75"/>
      <c r="H801" s="75"/>
      <c r="I801" s="74" t="s">
        <v>135</v>
      </c>
      <c r="J801" s="74"/>
      <c r="K801" s="74"/>
      <c r="L801" s="75" t="str">
        <f aca="false">IF('Project Register'!$D31="","",'Project Register'!$K31)</f>
        <v/>
      </c>
      <c r="M801" s="75"/>
      <c r="N801" s="75"/>
      <c r="O801" s="75"/>
    </row>
    <row r="802" customFormat="false" ht="13.5" hidden="false" customHeight="true" outlineLevel="0" collapsed="false">
      <c r="B802" s="74" t="s">
        <v>260</v>
      </c>
      <c r="C802" s="74"/>
      <c r="D802" s="74"/>
      <c r="E802" s="75" t="str">
        <f aca="false">IF('Project Register'!$D31="","",'Project Register'!$I31)</f>
        <v/>
      </c>
      <c r="F802" s="75"/>
      <c r="G802" s="75"/>
      <c r="H802" s="75"/>
      <c r="I802" s="74" t="s">
        <v>134</v>
      </c>
      <c r="J802" s="74"/>
      <c r="K802" s="74"/>
      <c r="L802" s="75" t="str">
        <f aca="false">IF('Project Register'!$D31="","",'Project Register'!$J31)</f>
        <v/>
      </c>
      <c r="M802" s="75"/>
      <c r="N802" s="75"/>
      <c r="O802" s="75"/>
    </row>
    <row r="803" customFormat="false" ht="2.25" hidden="false" customHeight="true" outlineLevel="0" collapsed="false"/>
    <row r="804" customFormat="false" ht="15.75" hidden="false" customHeight="true" outlineLevel="0" collapsed="false">
      <c r="B804" s="76" t="s">
        <v>117</v>
      </c>
      <c r="C804" s="76"/>
      <c r="D804" s="76"/>
      <c r="E804" s="76"/>
      <c r="F804" s="76"/>
      <c r="G804" s="76"/>
      <c r="H804" s="76"/>
      <c r="I804" s="76"/>
      <c r="J804" s="76"/>
      <c r="K804" s="76"/>
      <c r="L804" s="76"/>
      <c r="M804" s="76"/>
      <c r="N804" s="76"/>
      <c r="O804" s="76"/>
    </row>
    <row r="805" customFormat="false" ht="17.25" hidden="false" customHeight="true" outlineLevel="0" collapsed="false">
      <c r="B805" s="74" t="s">
        <v>136</v>
      </c>
      <c r="C805" s="74"/>
      <c r="D805" s="74"/>
      <c r="E805" s="74"/>
      <c r="F805" s="77" t="str">
        <f aca="false">IF('Project Register'!$D31="","",'Project Register'!$L31)</f>
        <v/>
      </c>
      <c r="G805" s="77"/>
      <c r="H805" s="77"/>
      <c r="I805" s="74" t="s">
        <v>137</v>
      </c>
      <c r="J805" s="74"/>
      <c r="K805" s="74"/>
      <c r="L805" s="74"/>
      <c r="M805" s="77" t="str">
        <f aca="false">IF('Project Register'!$D31="","",'Project Register'!$M31)</f>
        <v/>
      </c>
      <c r="N805" s="77"/>
      <c r="O805" s="77"/>
    </row>
    <row r="806" customFormat="false" ht="13.5" hidden="false" customHeight="true" outlineLevel="0" collapsed="false">
      <c r="B806" s="74" t="s">
        <v>261</v>
      </c>
      <c r="C806" s="74"/>
      <c r="D806" s="74"/>
      <c r="E806" s="74"/>
      <c r="F806" s="78" t="str">
        <f aca="false">IF('Project Register'!$D31="","",'Project Register'!$N31)</f>
        <v/>
      </c>
      <c r="G806" s="78"/>
      <c r="H806" s="78"/>
      <c r="I806" s="74" t="s">
        <v>262</v>
      </c>
      <c r="J806" s="74"/>
      <c r="K806" s="74"/>
      <c r="L806" s="74"/>
      <c r="M806" s="79" t="str">
        <f aca="false">IF('Project Register'!$D31="","",'Project Register'!$AD31)</f>
        <v/>
      </c>
      <c r="N806" s="79"/>
      <c r="O806" s="79"/>
    </row>
    <row r="807" customFormat="false" ht="13.5" hidden="false" customHeight="true" outlineLevel="0" collapsed="false">
      <c r="B807" s="74" t="s">
        <v>263</v>
      </c>
      <c r="C807" s="74"/>
      <c r="D807" s="74"/>
      <c r="E807" s="74"/>
      <c r="F807" s="78" t="str">
        <f aca="false">IF('Project Register'!$D31="","",'Project Register'!$AC31)</f>
        <v/>
      </c>
      <c r="G807" s="78"/>
      <c r="H807" s="78"/>
      <c r="I807" s="74" t="s">
        <v>264</v>
      </c>
      <c r="J807" s="74"/>
      <c r="K807" s="74"/>
      <c r="L807" s="74"/>
      <c r="M807" s="78" t="str">
        <f aca="false">IF('Project Register'!$D31="","",'Project Register'!$AE31)</f>
        <v/>
      </c>
      <c r="N807" s="78"/>
      <c r="O807" s="78"/>
    </row>
    <row r="808" customFormat="false" ht="13.5" hidden="false" customHeight="true" outlineLevel="0" collapsed="false">
      <c r="B808" s="80" t="s">
        <v>265</v>
      </c>
      <c r="C808" s="80"/>
      <c r="D808" s="81" t="str">
        <f aca="false">Setup!$C$23</f>
        <v>FY2027</v>
      </c>
      <c r="E808" s="81"/>
      <c r="F808" s="81" t="str">
        <f aca="false">Setup!$D$23</f>
        <v>FY2028</v>
      </c>
      <c r="G808" s="81"/>
      <c r="H808" s="81" t="str">
        <f aca="false">Setup!$E$23</f>
        <v>FY2029</v>
      </c>
      <c r="I808" s="81"/>
      <c r="J808" s="81" t="str">
        <f aca="false">Setup!$F$23</f>
        <v>FY2030</v>
      </c>
      <c r="K808" s="81"/>
      <c r="L808" s="81" t="str">
        <f aca="false">Setup!$G$23</f>
        <v>FY2031</v>
      </c>
      <c r="M808" s="81"/>
      <c r="N808" s="81" t="str">
        <f aca="false">Setup!$H$23</f>
        <v>Beyond FY2031</v>
      </c>
      <c r="O808" s="81"/>
    </row>
    <row r="809" customFormat="false" ht="13.5" hidden="false" customHeight="true" outlineLevel="0" collapsed="false">
      <c r="B809" s="82" t="s">
        <v>266</v>
      </c>
      <c r="C809" s="82"/>
      <c r="D809" s="78" t="str">
        <f aca="false">IF('Project Register'!$D31="","",'Project Register'!$O31)</f>
        <v/>
      </c>
      <c r="E809" s="78"/>
      <c r="F809" s="78" t="str">
        <f aca="false">IF('Project Register'!$D31="","",'Project Register'!$P31)</f>
        <v/>
      </c>
      <c r="G809" s="78"/>
      <c r="H809" s="78" t="str">
        <f aca="false">IF('Project Register'!$D31="","",'Project Register'!$Q31)</f>
        <v/>
      </c>
      <c r="I809" s="78"/>
      <c r="J809" s="78" t="str">
        <f aca="false">IF('Project Register'!$D31="","",'Project Register'!$R31)</f>
        <v/>
      </c>
      <c r="K809" s="78"/>
      <c r="L809" s="78" t="str">
        <f aca="false">IF('Project Register'!$D31="","",'Project Register'!$S31)</f>
        <v/>
      </c>
      <c r="M809" s="78"/>
      <c r="N809" s="78" t="str">
        <f aca="false">IF('Project Register'!$D31="","",'Project Register'!$T31)</f>
        <v/>
      </c>
      <c r="O809" s="78"/>
    </row>
    <row r="810" customFormat="false" ht="13.5" hidden="false" customHeight="true" outlineLevel="0" collapsed="false">
      <c r="B810" s="82" t="s">
        <v>267</v>
      </c>
      <c r="C810" s="82"/>
      <c r="D810" s="79" t="str">
        <f aca="false">IF('Project Register'!$D31="","",'Project Register'!$X31)</f>
        <v/>
      </c>
      <c r="E810" s="79"/>
      <c r="F810" s="79" t="str">
        <f aca="false">IF('Project Register'!$D31="","",'Project Register'!$Y31)</f>
        <v/>
      </c>
      <c r="G810" s="79"/>
      <c r="H810" s="79" t="str">
        <f aca="false">IF('Project Register'!$D31="","",'Project Register'!$Z31)</f>
        <v/>
      </c>
      <c r="I810" s="79"/>
      <c r="J810" s="79" t="str">
        <f aca="false">IF('Project Register'!$D31="","",'Project Register'!$AA31)</f>
        <v/>
      </c>
      <c r="K810" s="79"/>
      <c r="L810" s="79" t="str">
        <f aca="false">IF('Project Register'!$D31="","",'Project Register'!$AB31)</f>
        <v/>
      </c>
      <c r="M810" s="79"/>
      <c r="N810" s="79" t="str">
        <f aca="false">IF('Project Register'!$D31="","",'Project Register'!$AC31)</f>
        <v/>
      </c>
      <c r="O810" s="79"/>
    </row>
    <row r="811" customFormat="false" ht="2.25" hidden="false" customHeight="true" outlineLevel="0" collapsed="false"/>
    <row r="812" customFormat="false" ht="15.75" hidden="false" customHeight="true" outlineLevel="0" collapsed="false">
      <c r="B812" s="76" t="s">
        <v>268</v>
      </c>
      <c r="C812" s="76"/>
      <c r="D812" s="76"/>
      <c r="E812" s="76"/>
      <c r="F812" s="76"/>
      <c r="G812" s="76"/>
      <c r="H812" s="76"/>
      <c r="I812" s="76"/>
      <c r="J812" s="76"/>
      <c r="K812" s="76"/>
      <c r="L812" s="76"/>
      <c r="M812" s="76"/>
      <c r="N812" s="76"/>
      <c r="O812" s="76"/>
    </row>
    <row r="813" customFormat="false" ht="13.5" hidden="false" customHeight="true" outlineLevel="0" collapsed="false">
      <c r="B813" s="80" t="s">
        <v>269</v>
      </c>
      <c r="C813" s="80"/>
      <c r="D813" s="80"/>
      <c r="E813" s="80"/>
      <c r="F813" s="80"/>
      <c r="G813" s="80"/>
      <c r="H813" s="29" t="s">
        <v>145</v>
      </c>
      <c r="I813" s="29"/>
      <c r="J813" s="29"/>
      <c r="K813" s="83" t="s">
        <v>270</v>
      </c>
      <c r="L813" s="83"/>
      <c r="M813" s="83"/>
      <c r="N813" s="83"/>
      <c r="O813" s="83"/>
    </row>
    <row r="814" customFormat="false" ht="13.5" hidden="false" customHeight="true" outlineLevel="0" collapsed="false">
      <c r="B814" s="75" t="str">
        <f aca="false">IF('Project Register'!$D31="","",IF('Project Register'!$AF31="","-",'Project Register'!$AF31))</f>
        <v/>
      </c>
      <c r="C814" s="75"/>
      <c r="D814" s="75"/>
      <c r="E814" s="75"/>
      <c r="F814" s="75"/>
      <c r="G814" s="75"/>
      <c r="H814" s="84" t="str">
        <f aca="false">IF('Project Register'!$D31="","",'Project Register'!$AG31)</f>
        <v/>
      </c>
      <c r="I814" s="84"/>
      <c r="J814" s="84"/>
      <c r="K814" s="78" t="str">
        <f aca="false">IF('Project Register'!$D31="","",'Project Register'!$AD31*'Project Register'!$AG31)</f>
        <v/>
      </c>
      <c r="L814" s="78"/>
      <c r="M814" s="78"/>
      <c r="N814" s="78"/>
      <c r="O814" s="78"/>
    </row>
    <row r="815" customFormat="false" ht="13.5" hidden="false" customHeight="true" outlineLevel="0" collapsed="false">
      <c r="B815" s="75" t="str">
        <f aca="false">IF('Project Register'!$D31="","",IF('Project Register'!$AH31="","-",'Project Register'!$AH31))</f>
        <v/>
      </c>
      <c r="C815" s="75"/>
      <c r="D815" s="75"/>
      <c r="E815" s="75"/>
      <c r="F815" s="75"/>
      <c r="G815" s="75"/>
      <c r="H815" s="84" t="str">
        <f aca="false">IF('Project Register'!$D31="","",'Project Register'!$AI31)</f>
        <v/>
      </c>
      <c r="I815" s="84"/>
      <c r="J815" s="84"/>
      <c r="K815" s="78" t="str">
        <f aca="false">IF('Project Register'!$D31="","",'Project Register'!$AD31*'Project Register'!$AI31)</f>
        <v/>
      </c>
      <c r="L815" s="78"/>
      <c r="M815" s="78"/>
      <c r="N815" s="78"/>
      <c r="O815" s="78"/>
    </row>
    <row r="816" customFormat="false" ht="13.5" hidden="false" customHeight="true" outlineLevel="0" collapsed="false">
      <c r="B816" s="85" t="s">
        <v>271</v>
      </c>
      <c r="C816" s="85"/>
      <c r="D816" s="85"/>
      <c r="E816" s="85"/>
      <c r="F816" s="85"/>
      <c r="G816" s="85"/>
      <c r="H816" s="86" t="str">
        <f aca="false">IF('Project Register'!$D31="","",'Project Register'!$AJ31)</f>
        <v/>
      </c>
      <c r="I816" s="86"/>
      <c r="J816" s="86"/>
      <c r="K816" s="79" t="str">
        <f aca="false">IF('Project Register'!$D31="","",'Project Register'!$AL31)</f>
        <v/>
      </c>
      <c r="L816" s="79"/>
      <c r="M816" s="79"/>
      <c r="N816" s="79"/>
      <c r="O816" s="79"/>
    </row>
    <row r="817" customFormat="false" ht="2.25" hidden="false" customHeight="true" outlineLevel="0" collapsed="false"/>
    <row r="818" customFormat="false" ht="15.75" hidden="false" customHeight="true" outlineLevel="0" collapsed="false">
      <c r="B818" s="76" t="s">
        <v>272</v>
      </c>
      <c r="C818" s="76"/>
      <c r="D818" s="76"/>
      <c r="E818" s="76"/>
      <c r="F818" s="76"/>
      <c r="G818" s="76"/>
      <c r="H818" s="76"/>
      <c r="I818" s="76"/>
      <c r="J818" s="76"/>
      <c r="K818" s="76"/>
      <c r="L818" s="76"/>
      <c r="M818" s="76"/>
      <c r="N818" s="76"/>
      <c r="O818" s="76"/>
    </row>
    <row r="819" customFormat="false" ht="17.25" hidden="false" customHeight="true" outlineLevel="0" collapsed="false">
      <c r="B819" s="74" t="s">
        <v>243</v>
      </c>
      <c r="C819" s="74"/>
      <c r="D819" s="87" t="str">
        <f aca="false">IF('Project Register'!$D31="","",Prioritisation!$O31)</f>
        <v/>
      </c>
      <c r="E819" s="87"/>
      <c r="F819" s="74" t="s">
        <v>273</v>
      </c>
      <c r="G819" s="74"/>
      <c r="H819" s="74"/>
      <c r="I819" s="88" t="str">
        <f aca="false">IF('Project Register'!$D31="","",TEXT(Prioritisation!$P31,"0")&amp;" of "&amp;TEXT(COUNTIF('Project Register'!$C$9:$C$38,"?*"),"0"))</f>
        <v/>
      </c>
      <c r="J819" s="88"/>
      <c r="K819" s="82" t="s">
        <v>245</v>
      </c>
      <c r="L819" s="82"/>
      <c r="M819" s="89" t="str">
        <f aca="false">IF('Project Register'!$D31="","",Prioritisation!$Q31)</f>
        <v/>
      </c>
      <c r="N819" s="89"/>
      <c r="O819" s="89"/>
    </row>
    <row r="820" customFormat="false" ht="2.25" hidden="false" customHeight="true" outlineLevel="0" collapsed="false"/>
    <row r="821" customFormat="false" ht="15.75" hidden="false" customHeight="true" outlineLevel="0" collapsed="false">
      <c r="B821" s="76" t="s">
        <v>274</v>
      </c>
      <c r="C821" s="76"/>
      <c r="D821" s="76"/>
      <c r="E821" s="76"/>
      <c r="F821" s="76"/>
      <c r="G821" s="76"/>
      <c r="H821" s="76"/>
      <c r="I821" s="76"/>
      <c r="J821" s="76"/>
      <c r="K821" s="76"/>
      <c r="L821" s="76"/>
      <c r="M821" s="76"/>
      <c r="N821" s="76"/>
      <c r="O821" s="76"/>
    </row>
    <row r="822" customFormat="false" ht="35.25" hidden="false" customHeight="true" outlineLevel="0" collapsed="false">
      <c r="B822" s="90" t="s">
        <v>275</v>
      </c>
      <c r="C822" s="90"/>
      <c r="D822" s="90"/>
      <c r="E822" s="91"/>
      <c r="F822" s="91"/>
      <c r="G822" s="91"/>
      <c r="H822" s="91"/>
      <c r="I822" s="91"/>
      <c r="J822" s="91"/>
      <c r="K822" s="91"/>
      <c r="L822" s="91"/>
      <c r="M822" s="91"/>
      <c r="N822" s="91"/>
      <c r="O822" s="91"/>
    </row>
    <row r="823" customFormat="false" ht="35.25" hidden="false" customHeight="true" outlineLevel="0" collapsed="false">
      <c r="B823" s="90" t="s">
        <v>277</v>
      </c>
      <c r="C823" s="90"/>
      <c r="D823" s="90"/>
      <c r="E823" s="91"/>
      <c r="F823" s="91"/>
      <c r="G823" s="91"/>
      <c r="H823" s="91"/>
      <c r="I823" s="91"/>
      <c r="J823" s="91"/>
      <c r="K823" s="91"/>
      <c r="L823" s="91"/>
      <c r="M823" s="91"/>
      <c r="N823" s="91"/>
      <c r="O823" s="91"/>
    </row>
    <row r="824" customFormat="false" ht="35.25" hidden="false" customHeight="true" outlineLevel="0" collapsed="false">
      <c r="B824" s="90" t="s">
        <v>279</v>
      </c>
      <c r="C824" s="90"/>
      <c r="D824" s="90"/>
      <c r="E824" s="91"/>
      <c r="F824" s="91"/>
      <c r="G824" s="91"/>
      <c r="H824" s="91"/>
      <c r="I824" s="91"/>
      <c r="J824" s="91"/>
      <c r="K824" s="91"/>
      <c r="L824" s="91"/>
      <c r="M824" s="91"/>
      <c r="N824" s="91"/>
      <c r="O824" s="91"/>
    </row>
    <row r="825" customFormat="false" ht="35.25" hidden="false" customHeight="true" outlineLevel="0" collapsed="false">
      <c r="B825" s="90" t="s">
        <v>281</v>
      </c>
      <c r="C825" s="90"/>
      <c r="D825" s="90"/>
      <c r="E825" s="91"/>
      <c r="F825" s="91"/>
      <c r="G825" s="91"/>
      <c r="H825" s="91"/>
      <c r="I825" s="91"/>
      <c r="J825" s="91"/>
      <c r="K825" s="91"/>
      <c r="L825" s="91"/>
      <c r="M825" s="91"/>
      <c r="N825" s="91"/>
      <c r="O825" s="91"/>
    </row>
    <row r="826" customFormat="false" ht="35.25" hidden="false" customHeight="true" outlineLevel="0" collapsed="false">
      <c r="B826" s="90" t="s">
        <v>283</v>
      </c>
      <c r="C826" s="90"/>
      <c r="D826" s="90"/>
      <c r="E826" s="91"/>
      <c r="F826" s="91"/>
      <c r="G826" s="91"/>
      <c r="H826" s="91"/>
      <c r="I826" s="91"/>
      <c r="J826" s="91"/>
      <c r="K826" s="91"/>
      <c r="L826" s="91"/>
      <c r="M826" s="91"/>
      <c r="N826" s="91"/>
      <c r="O826" s="91"/>
    </row>
    <row r="827" customFormat="false" ht="35.25" hidden="false" customHeight="true" outlineLevel="0" collapsed="false">
      <c r="B827" s="90" t="s">
        <v>285</v>
      </c>
      <c r="C827" s="90"/>
      <c r="D827" s="90"/>
      <c r="E827" s="91"/>
      <c r="F827" s="91"/>
      <c r="G827" s="91"/>
      <c r="H827" s="91"/>
      <c r="I827" s="91"/>
      <c r="J827" s="91"/>
      <c r="K827" s="91"/>
      <c r="L827" s="91"/>
      <c r="M827" s="91"/>
      <c r="N827" s="91"/>
      <c r="O827" s="91"/>
    </row>
    <row r="828" customFormat="false" ht="35.25" hidden="false" customHeight="true" outlineLevel="0" collapsed="false">
      <c r="B828" s="90" t="s">
        <v>287</v>
      </c>
      <c r="C828" s="90"/>
      <c r="D828" s="90"/>
      <c r="E828" s="91"/>
      <c r="F828" s="91"/>
      <c r="G828" s="91"/>
      <c r="H828" s="91"/>
      <c r="I828" s="91"/>
      <c r="J828" s="91"/>
      <c r="K828" s="91"/>
      <c r="L828" s="91"/>
      <c r="M828" s="91"/>
      <c r="N828" s="91"/>
      <c r="O828" s="91"/>
    </row>
    <row r="829" customFormat="false" ht="35.25" hidden="false" customHeight="true" outlineLevel="0" collapsed="false">
      <c r="B829" s="90" t="s">
        <v>289</v>
      </c>
      <c r="C829" s="90"/>
      <c r="D829" s="90"/>
      <c r="E829" s="91"/>
      <c r="F829" s="91"/>
      <c r="G829" s="91"/>
      <c r="H829" s="91"/>
      <c r="I829" s="91"/>
      <c r="J829" s="91"/>
      <c r="K829" s="91"/>
      <c r="L829" s="91"/>
      <c r="M829" s="91"/>
      <c r="N829" s="91"/>
      <c r="O829" s="91"/>
    </row>
    <row r="830" customFormat="false" ht="35.25" hidden="false" customHeight="true" outlineLevel="0" collapsed="false">
      <c r="B830" s="90" t="s">
        <v>291</v>
      </c>
      <c r="C830" s="90"/>
      <c r="D830" s="90"/>
      <c r="E830" s="91"/>
      <c r="F830" s="91"/>
      <c r="G830" s="91"/>
      <c r="H830" s="91"/>
      <c r="I830" s="91"/>
      <c r="J830" s="91"/>
      <c r="K830" s="91"/>
      <c r="L830" s="91"/>
      <c r="M830" s="91"/>
      <c r="N830" s="91"/>
      <c r="O830" s="91"/>
    </row>
    <row r="831" customFormat="false" ht="35.25" hidden="false" customHeight="true" outlineLevel="0" collapsed="false">
      <c r="B831" s="90" t="s">
        <v>293</v>
      </c>
      <c r="C831" s="90"/>
      <c r="D831" s="90"/>
      <c r="E831" s="91"/>
      <c r="F831" s="91"/>
      <c r="G831" s="91"/>
      <c r="H831" s="91"/>
      <c r="I831" s="91"/>
      <c r="J831" s="91"/>
      <c r="K831" s="91"/>
      <c r="L831" s="91"/>
      <c r="M831" s="91"/>
      <c r="N831" s="91"/>
      <c r="O831" s="91"/>
    </row>
    <row r="832" customFormat="false" ht="11.25" hidden="false" customHeight="true" outlineLevel="0" collapsed="false">
      <c r="B832" s="15" t="s">
        <v>295</v>
      </c>
      <c r="C832" s="15"/>
      <c r="D832" s="15"/>
      <c r="E832" s="15"/>
      <c r="F832" s="15"/>
      <c r="G832" s="15"/>
      <c r="H832" s="15"/>
      <c r="I832" s="15"/>
      <c r="J832" s="15"/>
      <c r="K832" s="15"/>
      <c r="L832" s="16" t="s">
        <v>40</v>
      </c>
      <c r="M832" s="16"/>
      <c r="N832" s="16"/>
      <c r="O832" s="16"/>
    </row>
    <row r="833" customFormat="false" ht="3" hidden="false" customHeight="true" outlineLevel="0" collapsed="false"/>
    <row r="834" customFormat="false" ht="27.75" hidden="false" customHeight="true" outlineLevel="0" collapsed="false">
      <c r="B834" s="57" t="s">
        <v>259</v>
      </c>
      <c r="C834" s="57"/>
      <c r="D834" s="57"/>
      <c r="E834" s="57"/>
      <c r="F834" s="69" t="str">
        <f aca="false">IF('Project Register'!$D32="","",'Project Register'!$C32)</f>
        <v/>
      </c>
      <c r="G834" s="69"/>
      <c r="H834" s="70" t="str">
        <f aca="false">IF('Project Register'!$D32="","",'Project Register'!$D32)</f>
        <v/>
      </c>
      <c r="I834" s="70"/>
      <c r="J834" s="70"/>
      <c r="K834" s="70"/>
      <c r="L834" s="70"/>
      <c r="M834" s="70"/>
      <c r="N834" s="70"/>
      <c r="O834" s="70"/>
      <c r="R834" s="71" t="str">
        <f aca="false">IF('Project Register'!$D32="","",'Project Register'!$C32)</f>
        <v/>
      </c>
      <c r="S834" s="72" t="n">
        <f aca="false">COUNTIF($E$858:$E$867,"?*")</f>
        <v>0</v>
      </c>
    </row>
    <row r="835" customFormat="false" ht="24.75" hidden="false" customHeight="true" outlineLevel="0" collapsed="false">
      <c r="B835" s="73" t="str">
        <f aca="false">IF('Project Register'!$D32="","No project on register row 24. Fill that row in on the Project Register and this block writes its own heading.",'Project Register'!$E32)</f>
        <v>No project on register row 24. Fill that row in on the Project Register and this block writes its own heading.</v>
      </c>
      <c r="C835" s="73"/>
      <c r="D835" s="73"/>
      <c r="E835" s="73"/>
      <c r="F835" s="73"/>
      <c r="G835" s="73"/>
      <c r="H835" s="73"/>
      <c r="I835" s="73"/>
      <c r="J835" s="73"/>
      <c r="K835" s="73"/>
      <c r="L835" s="73"/>
      <c r="M835" s="73"/>
      <c r="N835" s="73"/>
      <c r="O835" s="73"/>
    </row>
    <row r="836" customFormat="false" ht="13.5" hidden="false" customHeight="true" outlineLevel="0" collapsed="false">
      <c r="B836" s="74" t="s">
        <v>130</v>
      </c>
      <c r="C836" s="74"/>
      <c r="D836" s="74"/>
      <c r="E836" s="75" t="str">
        <f aca="false">IF('Project Register'!$D32="","",'Project Register'!$F32)</f>
        <v/>
      </c>
      <c r="F836" s="75"/>
      <c r="G836" s="75"/>
      <c r="H836" s="75"/>
      <c r="I836" s="74" t="s">
        <v>131</v>
      </c>
      <c r="J836" s="74"/>
      <c r="K836" s="74"/>
      <c r="L836" s="75" t="str">
        <f aca="false">IF('Project Register'!$D32="","",'Project Register'!$G32)</f>
        <v/>
      </c>
      <c r="M836" s="75"/>
      <c r="N836" s="75"/>
      <c r="O836" s="75"/>
    </row>
    <row r="837" customFormat="false" ht="13.5" hidden="false" customHeight="true" outlineLevel="0" collapsed="false">
      <c r="B837" s="74" t="s">
        <v>132</v>
      </c>
      <c r="C837" s="74"/>
      <c r="D837" s="74"/>
      <c r="E837" s="75" t="str">
        <f aca="false">IF('Project Register'!$D32="","",'Project Register'!$H32)</f>
        <v/>
      </c>
      <c r="F837" s="75"/>
      <c r="G837" s="75"/>
      <c r="H837" s="75"/>
      <c r="I837" s="74" t="s">
        <v>135</v>
      </c>
      <c r="J837" s="74"/>
      <c r="K837" s="74"/>
      <c r="L837" s="75" t="str">
        <f aca="false">IF('Project Register'!$D32="","",'Project Register'!$K32)</f>
        <v/>
      </c>
      <c r="M837" s="75"/>
      <c r="N837" s="75"/>
      <c r="O837" s="75"/>
    </row>
    <row r="838" customFormat="false" ht="13.5" hidden="false" customHeight="true" outlineLevel="0" collapsed="false">
      <c r="B838" s="74" t="s">
        <v>260</v>
      </c>
      <c r="C838" s="74"/>
      <c r="D838" s="74"/>
      <c r="E838" s="75" t="str">
        <f aca="false">IF('Project Register'!$D32="","",'Project Register'!$I32)</f>
        <v/>
      </c>
      <c r="F838" s="75"/>
      <c r="G838" s="75"/>
      <c r="H838" s="75"/>
      <c r="I838" s="74" t="s">
        <v>134</v>
      </c>
      <c r="J838" s="74"/>
      <c r="K838" s="74"/>
      <c r="L838" s="75" t="str">
        <f aca="false">IF('Project Register'!$D32="","",'Project Register'!$J32)</f>
        <v/>
      </c>
      <c r="M838" s="75"/>
      <c r="N838" s="75"/>
      <c r="O838" s="75"/>
    </row>
    <row r="839" customFormat="false" ht="2.25" hidden="false" customHeight="true" outlineLevel="0" collapsed="false"/>
    <row r="840" customFormat="false" ht="15.75" hidden="false" customHeight="true" outlineLevel="0" collapsed="false">
      <c r="B840" s="76" t="s">
        <v>117</v>
      </c>
      <c r="C840" s="76"/>
      <c r="D840" s="76"/>
      <c r="E840" s="76"/>
      <c r="F840" s="76"/>
      <c r="G840" s="76"/>
      <c r="H840" s="76"/>
      <c r="I840" s="76"/>
      <c r="J840" s="76"/>
      <c r="K840" s="76"/>
      <c r="L840" s="76"/>
      <c r="M840" s="76"/>
      <c r="N840" s="76"/>
      <c r="O840" s="76"/>
    </row>
    <row r="841" customFormat="false" ht="17.25" hidden="false" customHeight="true" outlineLevel="0" collapsed="false">
      <c r="B841" s="74" t="s">
        <v>136</v>
      </c>
      <c r="C841" s="74"/>
      <c r="D841" s="74"/>
      <c r="E841" s="74"/>
      <c r="F841" s="77" t="str">
        <f aca="false">IF('Project Register'!$D32="","",'Project Register'!$L32)</f>
        <v/>
      </c>
      <c r="G841" s="77"/>
      <c r="H841" s="77"/>
      <c r="I841" s="74" t="s">
        <v>137</v>
      </c>
      <c r="J841" s="74"/>
      <c r="K841" s="74"/>
      <c r="L841" s="74"/>
      <c r="M841" s="77" t="str">
        <f aca="false">IF('Project Register'!$D32="","",'Project Register'!$M32)</f>
        <v/>
      </c>
      <c r="N841" s="77"/>
      <c r="O841" s="77"/>
    </row>
    <row r="842" customFormat="false" ht="13.5" hidden="false" customHeight="true" outlineLevel="0" collapsed="false">
      <c r="B842" s="74" t="s">
        <v>261</v>
      </c>
      <c r="C842" s="74"/>
      <c r="D842" s="74"/>
      <c r="E842" s="74"/>
      <c r="F842" s="78" t="str">
        <f aca="false">IF('Project Register'!$D32="","",'Project Register'!$N32)</f>
        <v/>
      </c>
      <c r="G842" s="78"/>
      <c r="H842" s="78"/>
      <c r="I842" s="74" t="s">
        <v>262</v>
      </c>
      <c r="J842" s="74"/>
      <c r="K842" s="74"/>
      <c r="L842" s="74"/>
      <c r="M842" s="79" t="str">
        <f aca="false">IF('Project Register'!$D32="","",'Project Register'!$AD32)</f>
        <v/>
      </c>
      <c r="N842" s="79"/>
      <c r="O842" s="79"/>
    </row>
    <row r="843" customFormat="false" ht="13.5" hidden="false" customHeight="true" outlineLevel="0" collapsed="false">
      <c r="B843" s="74" t="s">
        <v>263</v>
      </c>
      <c r="C843" s="74"/>
      <c r="D843" s="74"/>
      <c r="E843" s="74"/>
      <c r="F843" s="78" t="str">
        <f aca="false">IF('Project Register'!$D32="","",'Project Register'!$AC32)</f>
        <v/>
      </c>
      <c r="G843" s="78"/>
      <c r="H843" s="78"/>
      <c r="I843" s="74" t="s">
        <v>264</v>
      </c>
      <c r="J843" s="74"/>
      <c r="K843" s="74"/>
      <c r="L843" s="74"/>
      <c r="M843" s="78" t="str">
        <f aca="false">IF('Project Register'!$D32="","",'Project Register'!$AE32)</f>
        <v/>
      </c>
      <c r="N843" s="78"/>
      <c r="O843" s="78"/>
    </row>
    <row r="844" customFormat="false" ht="13.5" hidden="false" customHeight="true" outlineLevel="0" collapsed="false">
      <c r="B844" s="80" t="s">
        <v>265</v>
      </c>
      <c r="C844" s="80"/>
      <c r="D844" s="81" t="str">
        <f aca="false">Setup!$C$23</f>
        <v>FY2027</v>
      </c>
      <c r="E844" s="81"/>
      <c r="F844" s="81" t="str">
        <f aca="false">Setup!$D$23</f>
        <v>FY2028</v>
      </c>
      <c r="G844" s="81"/>
      <c r="H844" s="81" t="str">
        <f aca="false">Setup!$E$23</f>
        <v>FY2029</v>
      </c>
      <c r="I844" s="81"/>
      <c r="J844" s="81" t="str">
        <f aca="false">Setup!$F$23</f>
        <v>FY2030</v>
      </c>
      <c r="K844" s="81"/>
      <c r="L844" s="81" t="str">
        <f aca="false">Setup!$G$23</f>
        <v>FY2031</v>
      </c>
      <c r="M844" s="81"/>
      <c r="N844" s="81" t="str">
        <f aca="false">Setup!$H$23</f>
        <v>Beyond FY2031</v>
      </c>
      <c r="O844" s="81"/>
    </row>
    <row r="845" customFormat="false" ht="13.5" hidden="false" customHeight="true" outlineLevel="0" collapsed="false">
      <c r="B845" s="82" t="s">
        <v>266</v>
      </c>
      <c r="C845" s="82"/>
      <c r="D845" s="78" t="str">
        <f aca="false">IF('Project Register'!$D32="","",'Project Register'!$O32)</f>
        <v/>
      </c>
      <c r="E845" s="78"/>
      <c r="F845" s="78" t="str">
        <f aca="false">IF('Project Register'!$D32="","",'Project Register'!$P32)</f>
        <v/>
      </c>
      <c r="G845" s="78"/>
      <c r="H845" s="78" t="str">
        <f aca="false">IF('Project Register'!$D32="","",'Project Register'!$Q32)</f>
        <v/>
      </c>
      <c r="I845" s="78"/>
      <c r="J845" s="78" t="str">
        <f aca="false">IF('Project Register'!$D32="","",'Project Register'!$R32)</f>
        <v/>
      </c>
      <c r="K845" s="78"/>
      <c r="L845" s="78" t="str">
        <f aca="false">IF('Project Register'!$D32="","",'Project Register'!$S32)</f>
        <v/>
      </c>
      <c r="M845" s="78"/>
      <c r="N845" s="78" t="str">
        <f aca="false">IF('Project Register'!$D32="","",'Project Register'!$T32)</f>
        <v/>
      </c>
      <c r="O845" s="78"/>
    </row>
    <row r="846" customFormat="false" ht="13.5" hidden="false" customHeight="true" outlineLevel="0" collapsed="false">
      <c r="B846" s="82" t="s">
        <v>267</v>
      </c>
      <c r="C846" s="82"/>
      <c r="D846" s="79" t="str">
        <f aca="false">IF('Project Register'!$D32="","",'Project Register'!$X32)</f>
        <v/>
      </c>
      <c r="E846" s="79"/>
      <c r="F846" s="79" t="str">
        <f aca="false">IF('Project Register'!$D32="","",'Project Register'!$Y32)</f>
        <v/>
      </c>
      <c r="G846" s="79"/>
      <c r="H846" s="79" t="str">
        <f aca="false">IF('Project Register'!$D32="","",'Project Register'!$Z32)</f>
        <v/>
      </c>
      <c r="I846" s="79"/>
      <c r="J846" s="79" t="str">
        <f aca="false">IF('Project Register'!$D32="","",'Project Register'!$AA32)</f>
        <v/>
      </c>
      <c r="K846" s="79"/>
      <c r="L846" s="79" t="str">
        <f aca="false">IF('Project Register'!$D32="","",'Project Register'!$AB32)</f>
        <v/>
      </c>
      <c r="M846" s="79"/>
      <c r="N846" s="79" t="str">
        <f aca="false">IF('Project Register'!$D32="","",'Project Register'!$AC32)</f>
        <v/>
      </c>
      <c r="O846" s="79"/>
    </row>
    <row r="847" customFormat="false" ht="2.25" hidden="false" customHeight="true" outlineLevel="0" collapsed="false"/>
    <row r="848" customFormat="false" ht="15.75" hidden="false" customHeight="true" outlineLevel="0" collapsed="false">
      <c r="B848" s="76" t="s">
        <v>268</v>
      </c>
      <c r="C848" s="76"/>
      <c r="D848" s="76"/>
      <c r="E848" s="76"/>
      <c r="F848" s="76"/>
      <c r="G848" s="76"/>
      <c r="H848" s="76"/>
      <c r="I848" s="76"/>
      <c r="J848" s="76"/>
      <c r="K848" s="76"/>
      <c r="L848" s="76"/>
      <c r="M848" s="76"/>
      <c r="N848" s="76"/>
      <c r="O848" s="76"/>
    </row>
    <row r="849" customFormat="false" ht="13.5" hidden="false" customHeight="true" outlineLevel="0" collapsed="false">
      <c r="B849" s="80" t="s">
        <v>269</v>
      </c>
      <c r="C849" s="80"/>
      <c r="D849" s="80"/>
      <c r="E849" s="80"/>
      <c r="F849" s="80"/>
      <c r="G849" s="80"/>
      <c r="H849" s="29" t="s">
        <v>145</v>
      </c>
      <c r="I849" s="29"/>
      <c r="J849" s="29"/>
      <c r="K849" s="83" t="s">
        <v>270</v>
      </c>
      <c r="L849" s="83"/>
      <c r="M849" s="83"/>
      <c r="N849" s="83"/>
      <c r="O849" s="83"/>
    </row>
    <row r="850" customFormat="false" ht="13.5" hidden="false" customHeight="true" outlineLevel="0" collapsed="false">
      <c r="B850" s="75" t="str">
        <f aca="false">IF('Project Register'!$D32="","",IF('Project Register'!$AF32="","-",'Project Register'!$AF32))</f>
        <v/>
      </c>
      <c r="C850" s="75"/>
      <c r="D850" s="75"/>
      <c r="E850" s="75"/>
      <c r="F850" s="75"/>
      <c r="G850" s="75"/>
      <c r="H850" s="84" t="str">
        <f aca="false">IF('Project Register'!$D32="","",'Project Register'!$AG32)</f>
        <v/>
      </c>
      <c r="I850" s="84"/>
      <c r="J850" s="84"/>
      <c r="K850" s="78" t="str">
        <f aca="false">IF('Project Register'!$D32="","",'Project Register'!$AD32*'Project Register'!$AG32)</f>
        <v/>
      </c>
      <c r="L850" s="78"/>
      <c r="M850" s="78"/>
      <c r="N850" s="78"/>
      <c r="O850" s="78"/>
    </row>
    <row r="851" customFormat="false" ht="13.5" hidden="false" customHeight="true" outlineLevel="0" collapsed="false">
      <c r="B851" s="75" t="str">
        <f aca="false">IF('Project Register'!$D32="","",IF('Project Register'!$AH32="","-",'Project Register'!$AH32))</f>
        <v/>
      </c>
      <c r="C851" s="75"/>
      <c r="D851" s="75"/>
      <c r="E851" s="75"/>
      <c r="F851" s="75"/>
      <c r="G851" s="75"/>
      <c r="H851" s="84" t="str">
        <f aca="false">IF('Project Register'!$D32="","",'Project Register'!$AI32)</f>
        <v/>
      </c>
      <c r="I851" s="84"/>
      <c r="J851" s="84"/>
      <c r="K851" s="78" t="str">
        <f aca="false">IF('Project Register'!$D32="","",'Project Register'!$AD32*'Project Register'!$AI32)</f>
        <v/>
      </c>
      <c r="L851" s="78"/>
      <c r="M851" s="78"/>
      <c r="N851" s="78"/>
      <c r="O851" s="78"/>
    </row>
    <row r="852" customFormat="false" ht="13.5" hidden="false" customHeight="true" outlineLevel="0" collapsed="false">
      <c r="B852" s="85" t="s">
        <v>271</v>
      </c>
      <c r="C852" s="85"/>
      <c r="D852" s="85"/>
      <c r="E852" s="85"/>
      <c r="F852" s="85"/>
      <c r="G852" s="85"/>
      <c r="H852" s="86" t="str">
        <f aca="false">IF('Project Register'!$D32="","",'Project Register'!$AJ32)</f>
        <v/>
      </c>
      <c r="I852" s="86"/>
      <c r="J852" s="86"/>
      <c r="K852" s="79" t="str">
        <f aca="false">IF('Project Register'!$D32="","",'Project Register'!$AL32)</f>
        <v/>
      </c>
      <c r="L852" s="79"/>
      <c r="M852" s="79"/>
      <c r="N852" s="79"/>
      <c r="O852" s="79"/>
    </row>
    <row r="853" customFormat="false" ht="2.25" hidden="false" customHeight="true" outlineLevel="0" collapsed="false"/>
    <row r="854" customFormat="false" ht="15.75" hidden="false" customHeight="true" outlineLevel="0" collapsed="false">
      <c r="B854" s="76" t="s">
        <v>272</v>
      </c>
      <c r="C854" s="76"/>
      <c r="D854" s="76"/>
      <c r="E854" s="76"/>
      <c r="F854" s="76"/>
      <c r="G854" s="76"/>
      <c r="H854" s="76"/>
      <c r="I854" s="76"/>
      <c r="J854" s="76"/>
      <c r="K854" s="76"/>
      <c r="L854" s="76"/>
      <c r="M854" s="76"/>
      <c r="N854" s="76"/>
      <c r="O854" s="76"/>
    </row>
    <row r="855" customFormat="false" ht="17.25" hidden="false" customHeight="true" outlineLevel="0" collapsed="false">
      <c r="B855" s="74" t="s">
        <v>243</v>
      </c>
      <c r="C855" s="74"/>
      <c r="D855" s="87" t="str">
        <f aca="false">IF('Project Register'!$D32="","",Prioritisation!$O32)</f>
        <v/>
      </c>
      <c r="E855" s="87"/>
      <c r="F855" s="74" t="s">
        <v>273</v>
      </c>
      <c r="G855" s="74"/>
      <c r="H855" s="74"/>
      <c r="I855" s="88" t="str">
        <f aca="false">IF('Project Register'!$D32="","",TEXT(Prioritisation!$P32,"0")&amp;" of "&amp;TEXT(COUNTIF('Project Register'!$C$9:$C$38,"?*"),"0"))</f>
        <v/>
      </c>
      <c r="J855" s="88"/>
      <c r="K855" s="82" t="s">
        <v>245</v>
      </c>
      <c r="L855" s="82"/>
      <c r="M855" s="89" t="str">
        <f aca="false">IF('Project Register'!$D32="","",Prioritisation!$Q32)</f>
        <v/>
      </c>
      <c r="N855" s="89"/>
      <c r="O855" s="89"/>
    </row>
    <row r="856" customFormat="false" ht="2.25" hidden="false" customHeight="true" outlineLevel="0" collapsed="false"/>
    <row r="857" customFormat="false" ht="15.75" hidden="false" customHeight="true" outlineLevel="0" collapsed="false">
      <c r="B857" s="76" t="s">
        <v>274</v>
      </c>
      <c r="C857" s="76"/>
      <c r="D857" s="76"/>
      <c r="E857" s="76"/>
      <c r="F857" s="76"/>
      <c r="G857" s="76"/>
      <c r="H857" s="76"/>
      <c r="I857" s="76"/>
      <c r="J857" s="76"/>
      <c r="K857" s="76"/>
      <c r="L857" s="76"/>
      <c r="M857" s="76"/>
      <c r="N857" s="76"/>
      <c r="O857" s="76"/>
    </row>
    <row r="858" customFormat="false" ht="35.25" hidden="false" customHeight="true" outlineLevel="0" collapsed="false">
      <c r="B858" s="90" t="s">
        <v>275</v>
      </c>
      <c r="C858" s="90"/>
      <c r="D858" s="90"/>
      <c r="E858" s="91"/>
      <c r="F858" s="91"/>
      <c r="G858" s="91"/>
      <c r="H858" s="91"/>
      <c r="I858" s="91"/>
      <c r="J858" s="91"/>
      <c r="K858" s="91"/>
      <c r="L858" s="91"/>
      <c r="M858" s="91"/>
      <c r="N858" s="91"/>
      <c r="O858" s="91"/>
    </row>
    <row r="859" customFormat="false" ht="35.25" hidden="false" customHeight="true" outlineLevel="0" collapsed="false">
      <c r="B859" s="90" t="s">
        <v>277</v>
      </c>
      <c r="C859" s="90"/>
      <c r="D859" s="90"/>
      <c r="E859" s="91"/>
      <c r="F859" s="91"/>
      <c r="G859" s="91"/>
      <c r="H859" s="91"/>
      <c r="I859" s="91"/>
      <c r="J859" s="91"/>
      <c r="K859" s="91"/>
      <c r="L859" s="91"/>
      <c r="M859" s="91"/>
      <c r="N859" s="91"/>
      <c r="O859" s="91"/>
    </row>
    <row r="860" customFormat="false" ht="35.25" hidden="false" customHeight="true" outlineLevel="0" collapsed="false">
      <c r="B860" s="90" t="s">
        <v>279</v>
      </c>
      <c r="C860" s="90"/>
      <c r="D860" s="90"/>
      <c r="E860" s="91"/>
      <c r="F860" s="91"/>
      <c r="G860" s="91"/>
      <c r="H860" s="91"/>
      <c r="I860" s="91"/>
      <c r="J860" s="91"/>
      <c r="K860" s="91"/>
      <c r="L860" s="91"/>
      <c r="M860" s="91"/>
      <c r="N860" s="91"/>
      <c r="O860" s="91"/>
    </row>
    <row r="861" customFormat="false" ht="35.25" hidden="false" customHeight="true" outlineLevel="0" collapsed="false">
      <c r="B861" s="90" t="s">
        <v>281</v>
      </c>
      <c r="C861" s="90"/>
      <c r="D861" s="90"/>
      <c r="E861" s="91"/>
      <c r="F861" s="91"/>
      <c r="G861" s="91"/>
      <c r="H861" s="91"/>
      <c r="I861" s="91"/>
      <c r="J861" s="91"/>
      <c r="K861" s="91"/>
      <c r="L861" s="91"/>
      <c r="M861" s="91"/>
      <c r="N861" s="91"/>
      <c r="O861" s="91"/>
    </row>
    <row r="862" customFormat="false" ht="35.25" hidden="false" customHeight="true" outlineLevel="0" collapsed="false">
      <c r="B862" s="90" t="s">
        <v>283</v>
      </c>
      <c r="C862" s="90"/>
      <c r="D862" s="90"/>
      <c r="E862" s="91"/>
      <c r="F862" s="91"/>
      <c r="G862" s="91"/>
      <c r="H862" s="91"/>
      <c r="I862" s="91"/>
      <c r="J862" s="91"/>
      <c r="K862" s="91"/>
      <c r="L862" s="91"/>
      <c r="M862" s="91"/>
      <c r="N862" s="91"/>
      <c r="O862" s="91"/>
    </row>
    <row r="863" customFormat="false" ht="35.25" hidden="false" customHeight="true" outlineLevel="0" collapsed="false">
      <c r="B863" s="90" t="s">
        <v>285</v>
      </c>
      <c r="C863" s="90"/>
      <c r="D863" s="90"/>
      <c r="E863" s="91"/>
      <c r="F863" s="91"/>
      <c r="G863" s="91"/>
      <c r="H863" s="91"/>
      <c r="I863" s="91"/>
      <c r="J863" s="91"/>
      <c r="K863" s="91"/>
      <c r="L863" s="91"/>
      <c r="M863" s="91"/>
      <c r="N863" s="91"/>
      <c r="O863" s="91"/>
    </row>
    <row r="864" customFormat="false" ht="35.25" hidden="false" customHeight="true" outlineLevel="0" collapsed="false">
      <c r="B864" s="90" t="s">
        <v>287</v>
      </c>
      <c r="C864" s="90"/>
      <c r="D864" s="90"/>
      <c r="E864" s="91"/>
      <c r="F864" s="91"/>
      <c r="G864" s="91"/>
      <c r="H864" s="91"/>
      <c r="I864" s="91"/>
      <c r="J864" s="91"/>
      <c r="K864" s="91"/>
      <c r="L864" s="91"/>
      <c r="M864" s="91"/>
      <c r="N864" s="91"/>
      <c r="O864" s="91"/>
    </row>
    <row r="865" customFormat="false" ht="35.25" hidden="false" customHeight="true" outlineLevel="0" collapsed="false">
      <c r="B865" s="90" t="s">
        <v>289</v>
      </c>
      <c r="C865" s="90"/>
      <c r="D865" s="90"/>
      <c r="E865" s="91"/>
      <c r="F865" s="91"/>
      <c r="G865" s="91"/>
      <c r="H865" s="91"/>
      <c r="I865" s="91"/>
      <c r="J865" s="91"/>
      <c r="K865" s="91"/>
      <c r="L865" s="91"/>
      <c r="M865" s="91"/>
      <c r="N865" s="91"/>
      <c r="O865" s="91"/>
    </row>
    <row r="866" customFormat="false" ht="35.25" hidden="false" customHeight="true" outlineLevel="0" collapsed="false">
      <c r="B866" s="90" t="s">
        <v>291</v>
      </c>
      <c r="C866" s="90"/>
      <c r="D866" s="90"/>
      <c r="E866" s="91"/>
      <c r="F866" s="91"/>
      <c r="G866" s="91"/>
      <c r="H866" s="91"/>
      <c r="I866" s="91"/>
      <c r="J866" s="91"/>
      <c r="K866" s="91"/>
      <c r="L866" s="91"/>
      <c r="M866" s="91"/>
      <c r="N866" s="91"/>
      <c r="O866" s="91"/>
    </row>
    <row r="867" customFormat="false" ht="35.25" hidden="false" customHeight="true" outlineLevel="0" collapsed="false">
      <c r="B867" s="90" t="s">
        <v>293</v>
      </c>
      <c r="C867" s="90"/>
      <c r="D867" s="90"/>
      <c r="E867" s="91"/>
      <c r="F867" s="91"/>
      <c r="G867" s="91"/>
      <c r="H867" s="91"/>
      <c r="I867" s="91"/>
      <c r="J867" s="91"/>
      <c r="K867" s="91"/>
      <c r="L867" s="91"/>
      <c r="M867" s="91"/>
      <c r="N867" s="91"/>
      <c r="O867" s="91"/>
    </row>
    <row r="868" customFormat="false" ht="11.25" hidden="false" customHeight="true" outlineLevel="0" collapsed="false">
      <c r="B868" s="15" t="s">
        <v>295</v>
      </c>
      <c r="C868" s="15"/>
      <c r="D868" s="15"/>
      <c r="E868" s="15"/>
      <c r="F868" s="15"/>
      <c r="G868" s="15"/>
      <c r="H868" s="15"/>
      <c r="I868" s="15"/>
      <c r="J868" s="15"/>
      <c r="K868" s="15"/>
      <c r="L868" s="16" t="s">
        <v>40</v>
      </c>
      <c r="M868" s="16"/>
      <c r="N868" s="16"/>
      <c r="O868" s="16"/>
    </row>
    <row r="869" customFormat="false" ht="3" hidden="false" customHeight="true" outlineLevel="0" collapsed="false"/>
    <row r="870" customFormat="false" ht="27.75" hidden="false" customHeight="true" outlineLevel="0" collapsed="false">
      <c r="B870" s="57" t="s">
        <v>259</v>
      </c>
      <c r="C870" s="57"/>
      <c r="D870" s="57"/>
      <c r="E870" s="57"/>
      <c r="F870" s="69" t="str">
        <f aca="false">IF('Project Register'!$D33="","",'Project Register'!$C33)</f>
        <v/>
      </c>
      <c r="G870" s="69"/>
      <c r="H870" s="70" t="str">
        <f aca="false">IF('Project Register'!$D33="","",'Project Register'!$D33)</f>
        <v/>
      </c>
      <c r="I870" s="70"/>
      <c r="J870" s="70"/>
      <c r="K870" s="70"/>
      <c r="L870" s="70"/>
      <c r="M870" s="70"/>
      <c r="N870" s="70"/>
      <c r="O870" s="70"/>
      <c r="R870" s="71" t="str">
        <f aca="false">IF('Project Register'!$D33="","",'Project Register'!$C33)</f>
        <v/>
      </c>
      <c r="S870" s="72" t="n">
        <f aca="false">COUNTIF($E$894:$E$903,"?*")</f>
        <v>0</v>
      </c>
    </row>
    <row r="871" customFormat="false" ht="24.75" hidden="false" customHeight="true" outlineLevel="0" collapsed="false">
      <c r="B871" s="73" t="str">
        <f aca="false">IF('Project Register'!$D33="","No project on register row 25. Fill that row in on the Project Register and this block writes its own heading.",'Project Register'!$E33)</f>
        <v>No project on register row 25. Fill that row in on the Project Register and this block writes its own heading.</v>
      </c>
      <c r="C871" s="73"/>
      <c r="D871" s="73"/>
      <c r="E871" s="73"/>
      <c r="F871" s="73"/>
      <c r="G871" s="73"/>
      <c r="H871" s="73"/>
      <c r="I871" s="73"/>
      <c r="J871" s="73"/>
      <c r="K871" s="73"/>
      <c r="L871" s="73"/>
      <c r="M871" s="73"/>
      <c r="N871" s="73"/>
      <c r="O871" s="73"/>
    </row>
    <row r="872" customFormat="false" ht="13.5" hidden="false" customHeight="true" outlineLevel="0" collapsed="false">
      <c r="B872" s="74" t="s">
        <v>130</v>
      </c>
      <c r="C872" s="74"/>
      <c r="D872" s="74"/>
      <c r="E872" s="75" t="str">
        <f aca="false">IF('Project Register'!$D33="","",'Project Register'!$F33)</f>
        <v/>
      </c>
      <c r="F872" s="75"/>
      <c r="G872" s="75"/>
      <c r="H872" s="75"/>
      <c r="I872" s="74" t="s">
        <v>131</v>
      </c>
      <c r="J872" s="74"/>
      <c r="K872" s="74"/>
      <c r="L872" s="75" t="str">
        <f aca="false">IF('Project Register'!$D33="","",'Project Register'!$G33)</f>
        <v/>
      </c>
      <c r="M872" s="75"/>
      <c r="N872" s="75"/>
      <c r="O872" s="75"/>
    </row>
    <row r="873" customFormat="false" ht="13.5" hidden="false" customHeight="true" outlineLevel="0" collapsed="false">
      <c r="B873" s="74" t="s">
        <v>132</v>
      </c>
      <c r="C873" s="74"/>
      <c r="D873" s="74"/>
      <c r="E873" s="75" t="str">
        <f aca="false">IF('Project Register'!$D33="","",'Project Register'!$H33)</f>
        <v/>
      </c>
      <c r="F873" s="75"/>
      <c r="G873" s="75"/>
      <c r="H873" s="75"/>
      <c r="I873" s="74" t="s">
        <v>135</v>
      </c>
      <c r="J873" s="74"/>
      <c r="K873" s="74"/>
      <c r="L873" s="75" t="str">
        <f aca="false">IF('Project Register'!$D33="","",'Project Register'!$K33)</f>
        <v/>
      </c>
      <c r="M873" s="75"/>
      <c r="N873" s="75"/>
      <c r="O873" s="75"/>
    </row>
    <row r="874" customFormat="false" ht="13.5" hidden="false" customHeight="true" outlineLevel="0" collapsed="false">
      <c r="B874" s="74" t="s">
        <v>260</v>
      </c>
      <c r="C874" s="74"/>
      <c r="D874" s="74"/>
      <c r="E874" s="75" t="str">
        <f aca="false">IF('Project Register'!$D33="","",'Project Register'!$I33)</f>
        <v/>
      </c>
      <c r="F874" s="75"/>
      <c r="G874" s="75"/>
      <c r="H874" s="75"/>
      <c r="I874" s="74" t="s">
        <v>134</v>
      </c>
      <c r="J874" s="74"/>
      <c r="K874" s="74"/>
      <c r="L874" s="75" t="str">
        <f aca="false">IF('Project Register'!$D33="","",'Project Register'!$J33)</f>
        <v/>
      </c>
      <c r="M874" s="75"/>
      <c r="N874" s="75"/>
      <c r="O874" s="75"/>
    </row>
    <row r="875" customFormat="false" ht="2.25" hidden="false" customHeight="true" outlineLevel="0" collapsed="false"/>
    <row r="876" customFormat="false" ht="15.75" hidden="false" customHeight="true" outlineLevel="0" collapsed="false">
      <c r="B876" s="76" t="s">
        <v>117</v>
      </c>
      <c r="C876" s="76"/>
      <c r="D876" s="76"/>
      <c r="E876" s="76"/>
      <c r="F876" s="76"/>
      <c r="G876" s="76"/>
      <c r="H876" s="76"/>
      <c r="I876" s="76"/>
      <c r="J876" s="76"/>
      <c r="K876" s="76"/>
      <c r="L876" s="76"/>
      <c r="M876" s="76"/>
      <c r="N876" s="76"/>
      <c r="O876" s="76"/>
    </row>
    <row r="877" customFormat="false" ht="17.25" hidden="false" customHeight="true" outlineLevel="0" collapsed="false">
      <c r="B877" s="74" t="s">
        <v>136</v>
      </c>
      <c r="C877" s="74"/>
      <c r="D877" s="74"/>
      <c r="E877" s="74"/>
      <c r="F877" s="77" t="str">
        <f aca="false">IF('Project Register'!$D33="","",'Project Register'!$L33)</f>
        <v/>
      </c>
      <c r="G877" s="77"/>
      <c r="H877" s="77"/>
      <c r="I877" s="74" t="s">
        <v>137</v>
      </c>
      <c r="J877" s="74"/>
      <c r="K877" s="74"/>
      <c r="L877" s="74"/>
      <c r="M877" s="77" t="str">
        <f aca="false">IF('Project Register'!$D33="","",'Project Register'!$M33)</f>
        <v/>
      </c>
      <c r="N877" s="77"/>
      <c r="O877" s="77"/>
    </row>
    <row r="878" customFormat="false" ht="13.5" hidden="false" customHeight="true" outlineLevel="0" collapsed="false">
      <c r="B878" s="74" t="s">
        <v>261</v>
      </c>
      <c r="C878" s="74"/>
      <c r="D878" s="74"/>
      <c r="E878" s="74"/>
      <c r="F878" s="78" t="str">
        <f aca="false">IF('Project Register'!$D33="","",'Project Register'!$N33)</f>
        <v/>
      </c>
      <c r="G878" s="78"/>
      <c r="H878" s="78"/>
      <c r="I878" s="74" t="s">
        <v>262</v>
      </c>
      <c r="J878" s="74"/>
      <c r="K878" s="74"/>
      <c r="L878" s="74"/>
      <c r="M878" s="79" t="str">
        <f aca="false">IF('Project Register'!$D33="","",'Project Register'!$AD33)</f>
        <v/>
      </c>
      <c r="N878" s="79"/>
      <c r="O878" s="79"/>
    </row>
    <row r="879" customFormat="false" ht="13.5" hidden="false" customHeight="true" outlineLevel="0" collapsed="false">
      <c r="B879" s="74" t="s">
        <v>263</v>
      </c>
      <c r="C879" s="74"/>
      <c r="D879" s="74"/>
      <c r="E879" s="74"/>
      <c r="F879" s="78" t="str">
        <f aca="false">IF('Project Register'!$D33="","",'Project Register'!$AC33)</f>
        <v/>
      </c>
      <c r="G879" s="78"/>
      <c r="H879" s="78"/>
      <c r="I879" s="74" t="s">
        <v>264</v>
      </c>
      <c r="J879" s="74"/>
      <c r="K879" s="74"/>
      <c r="L879" s="74"/>
      <c r="M879" s="78" t="str">
        <f aca="false">IF('Project Register'!$D33="","",'Project Register'!$AE33)</f>
        <v/>
      </c>
      <c r="N879" s="78"/>
      <c r="O879" s="78"/>
    </row>
    <row r="880" customFormat="false" ht="13.5" hidden="false" customHeight="true" outlineLevel="0" collapsed="false">
      <c r="B880" s="80" t="s">
        <v>265</v>
      </c>
      <c r="C880" s="80"/>
      <c r="D880" s="81" t="str">
        <f aca="false">Setup!$C$23</f>
        <v>FY2027</v>
      </c>
      <c r="E880" s="81"/>
      <c r="F880" s="81" t="str">
        <f aca="false">Setup!$D$23</f>
        <v>FY2028</v>
      </c>
      <c r="G880" s="81"/>
      <c r="H880" s="81" t="str">
        <f aca="false">Setup!$E$23</f>
        <v>FY2029</v>
      </c>
      <c r="I880" s="81"/>
      <c r="J880" s="81" t="str">
        <f aca="false">Setup!$F$23</f>
        <v>FY2030</v>
      </c>
      <c r="K880" s="81"/>
      <c r="L880" s="81" t="str">
        <f aca="false">Setup!$G$23</f>
        <v>FY2031</v>
      </c>
      <c r="M880" s="81"/>
      <c r="N880" s="81" t="str">
        <f aca="false">Setup!$H$23</f>
        <v>Beyond FY2031</v>
      </c>
      <c r="O880" s="81"/>
    </row>
    <row r="881" customFormat="false" ht="13.5" hidden="false" customHeight="true" outlineLevel="0" collapsed="false">
      <c r="B881" s="82" t="s">
        <v>266</v>
      </c>
      <c r="C881" s="82"/>
      <c r="D881" s="78" t="str">
        <f aca="false">IF('Project Register'!$D33="","",'Project Register'!$O33)</f>
        <v/>
      </c>
      <c r="E881" s="78"/>
      <c r="F881" s="78" t="str">
        <f aca="false">IF('Project Register'!$D33="","",'Project Register'!$P33)</f>
        <v/>
      </c>
      <c r="G881" s="78"/>
      <c r="H881" s="78" t="str">
        <f aca="false">IF('Project Register'!$D33="","",'Project Register'!$Q33)</f>
        <v/>
      </c>
      <c r="I881" s="78"/>
      <c r="J881" s="78" t="str">
        <f aca="false">IF('Project Register'!$D33="","",'Project Register'!$R33)</f>
        <v/>
      </c>
      <c r="K881" s="78"/>
      <c r="L881" s="78" t="str">
        <f aca="false">IF('Project Register'!$D33="","",'Project Register'!$S33)</f>
        <v/>
      </c>
      <c r="M881" s="78"/>
      <c r="N881" s="78" t="str">
        <f aca="false">IF('Project Register'!$D33="","",'Project Register'!$T33)</f>
        <v/>
      </c>
      <c r="O881" s="78"/>
    </row>
    <row r="882" customFormat="false" ht="13.5" hidden="false" customHeight="true" outlineLevel="0" collapsed="false">
      <c r="B882" s="82" t="s">
        <v>267</v>
      </c>
      <c r="C882" s="82"/>
      <c r="D882" s="79" t="str">
        <f aca="false">IF('Project Register'!$D33="","",'Project Register'!$X33)</f>
        <v/>
      </c>
      <c r="E882" s="79"/>
      <c r="F882" s="79" t="str">
        <f aca="false">IF('Project Register'!$D33="","",'Project Register'!$Y33)</f>
        <v/>
      </c>
      <c r="G882" s="79"/>
      <c r="H882" s="79" t="str">
        <f aca="false">IF('Project Register'!$D33="","",'Project Register'!$Z33)</f>
        <v/>
      </c>
      <c r="I882" s="79"/>
      <c r="J882" s="79" t="str">
        <f aca="false">IF('Project Register'!$D33="","",'Project Register'!$AA33)</f>
        <v/>
      </c>
      <c r="K882" s="79"/>
      <c r="L882" s="79" t="str">
        <f aca="false">IF('Project Register'!$D33="","",'Project Register'!$AB33)</f>
        <v/>
      </c>
      <c r="M882" s="79"/>
      <c r="N882" s="79" t="str">
        <f aca="false">IF('Project Register'!$D33="","",'Project Register'!$AC33)</f>
        <v/>
      </c>
      <c r="O882" s="79"/>
    </row>
    <row r="883" customFormat="false" ht="2.25" hidden="false" customHeight="true" outlineLevel="0" collapsed="false"/>
    <row r="884" customFormat="false" ht="15.75" hidden="false" customHeight="true" outlineLevel="0" collapsed="false">
      <c r="B884" s="76" t="s">
        <v>268</v>
      </c>
      <c r="C884" s="76"/>
      <c r="D884" s="76"/>
      <c r="E884" s="76"/>
      <c r="F884" s="76"/>
      <c r="G884" s="76"/>
      <c r="H884" s="76"/>
      <c r="I884" s="76"/>
      <c r="J884" s="76"/>
      <c r="K884" s="76"/>
      <c r="L884" s="76"/>
      <c r="M884" s="76"/>
      <c r="N884" s="76"/>
      <c r="O884" s="76"/>
    </row>
    <row r="885" customFormat="false" ht="13.5" hidden="false" customHeight="true" outlineLevel="0" collapsed="false">
      <c r="B885" s="80" t="s">
        <v>269</v>
      </c>
      <c r="C885" s="80"/>
      <c r="D885" s="80"/>
      <c r="E885" s="80"/>
      <c r="F885" s="80"/>
      <c r="G885" s="80"/>
      <c r="H885" s="29" t="s">
        <v>145</v>
      </c>
      <c r="I885" s="29"/>
      <c r="J885" s="29"/>
      <c r="K885" s="83" t="s">
        <v>270</v>
      </c>
      <c r="L885" s="83"/>
      <c r="M885" s="83"/>
      <c r="N885" s="83"/>
      <c r="O885" s="83"/>
    </row>
    <row r="886" customFormat="false" ht="13.5" hidden="false" customHeight="true" outlineLevel="0" collapsed="false">
      <c r="B886" s="75" t="str">
        <f aca="false">IF('Project Register'!$D33="","",IF('Project Register'!$AF33="","-",'Project Register'!$AF33))</f>
        <v/>
      </c>
      <c r="C886" s="75"/>
      <c r="D886" s="75"/>
      <c r="E886" s="75"/>
      <c r="F886" s="75"/>
      <c r="G886" s="75"/>
      <c r="H886" s="84" t="str">
        <f aca="false">IF('Project Register'!$D33="","",'Project Register'!$AG33)</f>
        <v/>
      </c>
      <c r="I886" s="84"/>
      <c r="J886" s="84"/>
      <c r="K886" s="78" t="str">
        <f aca="false">IF('Project Register'!$D33="","",'Project Register'!$AD33*'Project Register'!$AG33)</f>
        <v/>
      </c>
      <c r="L886" s="78"/>
      <c r="M886" s="78"/>
      <c r="N886" s="78"/>
      <c r="O886" s="78"/>
    </row>
    <row r="887" customFormat="false" ht="13.5" hidden="false" customHeight="true" outlineLevel="0" collapsed="false">
      <c r="B887" s="75" t="str">
        <f aca="false">IF('Project Register'!$D33="","",IF('Project Register'!$AH33="","-",'Project Register'!$AH33))</f>
        <v/>
      </c>
      <c r="C887" s="75"/>
      <c r="D887" s="75"/>
      <c r="E887" s="75"/>
      <c r="F887" s="75"/>
      <c r="G887" s="75"/>
      <c r="H887" s="84" t="str">
        <f aca="false">IF('Project Register'!$D33="","",'Project Register'!$AI33)</f>
        <v/>
      </c>
      <c r="I887" s="84"/>
      <c r="J887" s="84"/>
      <c r="K887" s="78" t="str">
        <f aca="false">IF('Project Register'!$D33="","",'Project Register'!$AD33*'Project Register'!$AI33)</f>
        <v/>
      </c>
      <c r="L887" s="78"/>
      <c r="M887" s="78"/>
      <c r="N887" s="78"/>
      <c r="O887" s="78"/>
    </row>
    <row r="888" customFormat="false" ht="13.5" hidden="false" customHeight="true" outlineLevel="0" collapsed="false">
      <c r="B888" s="85" t="s">
        <v>271</v>
      </c>
      <c r="C888" s="85"/>
      <c r="D888" s="85"/>
      <c r="E888" s="85"/>
      <c r="F888" s="85"/>
      <c r="G888" s="85"/>
      <c r="H888" s="86" t="str">
        <f aca="false">IF('Project Register'!$D33="","",'Project Register'!$AJ33)</f>
        <v/>
      </c>
      <c r="I888" s="86"/>
      <c r="J888" s="86"/>
      <c r="K888" s="79" t="str">
        <f aca="false">IF('Project Register'!$D33="","",'Project Register'!$AL33)</f>
        <v/>
      </c>
      <c r="L888" s="79"/>
      <c r="M888" s="79"/>
      <c r="N888" s="79"/>
      <c r="O888" s="79"/>
    </row>
    <row r="889" customFormat="false" ht="2.25" hidden="false" customHeight="true" outlineLevel="0" collapsed="false"/>
    <row r="890" customFormat="false" ht="15.75" hidden="false" customHeight="true" outlineLevel="0" collapsed="false">
      <c r="B890" s="76" t="s">
        <v>272</v>
      </c>
      <c r="C890" s="76"/>
      <c r="D890" s="76"/>
      <c r="E890" s="76"/>
      <c r="F890" s="76"/>
      <c r="G890" s="76"/>
      <c r="H890" s="76"/>
      <c r="I890" s="76"/>
      <c r="J890" s="76"/>
      <c r="K890" s="76"/>
      <c r="L890" s="76"/>
      <c r="M890" s="76"/>
      <c r="N890" s="76"/>
      <c r="O890" s="76"/>
    </row>
    <row r="891" customFormat="false" ht="17.25" hidden="false" customHeight="true" outlineLevel="0" collapsed="false">
      <c r="B891" s="74" t="s">
        <v>243</v>
      </c>
      <c r="C891" s="74"/>
      <c r="D891" s="87" t="str">
        <f aca="false">IF('Project Register'!$D33="","",Prioritisation!$O33)</f>
        <v/>
      </c>
      <c r="E891" s="87"/>
      <c r="F891" s="74" t="s">
        <v>273</v>
      </c>
      <c r="G891" s="74"/>
      <c r="H891" s="74"/>
      <c r="I891" s="88" t="str">
        <f aca="false">IF('Project Register'!$D33="","",TEXT(Prioritisation!$P33,"0")&amp;" of "&amp;TEXT(COUNTIF('Project Register'!$C$9:$C$38,"?*"),"0"))</f>
        <v/>
      </c>
      <c r="J891" s="88"/>
      <c r="K891" s="82" t="s">
        <v>245</v>
      </c>
      <c r="L891" s="82"/>
      <c r="M891" s="89" t="str">
        <f aca="false">IF('Project Register'!$D33="","",Prioritisation!$Q33)</f>
        <v/>
      </c>
      <c r="N891" s="89"/>
      <c r="O891" s="89"/>
    </row>
    <row r="892" customFormat="false" ht="2.25" hidden="false" customHeight="true" outlineLevel="0" collapsed="false"/>
    <row r="893" customFormat="false" ht="15.75" hidden="false" customHeight="true" outlineLevel="0" collapsed="false">
      <c r="B893" s="76" t="s">
        <v>274</v>
      </c>
      <c r="C893" s="76"/>
      <c r="D893" s="76"/>
      <c r="E893" s="76"/>
      <c r="F893" s="76"/>
      <c r="G893" s="76"/>
      <c r="H893" s="76"/>
      <c r="I893" s="76"/>
      <c r="J893" s="76"/>
      <c r="K893" s="76"/>
      <c r="L893" s="76"/>
      <c r="M893" s="76"/>
      <c r="N893" s="76"/>
      <c r="O893" s="76"/>
    </row>
    <row r="894" customFormat="false" ht="35.25" hidden="false" customHeight="true" outlineLevel="0" collapsed="false">
      <c r="B894" s="90" t="s">
        <v>275</v>
      </c>
      <c r="C894" s="90"/>
      <c r="D894" s="90"/>
      <c r="E894" s="91"/>
      <c r="F894" s="91"/>
      <c r="G894" s="91"/>
      <c r="H894" s="91"/>
      <c r="I894" s="91"/>
      <c r="J894" s="91"/>
      <c r="K894" s="91"/>
      <c r="L894" s="91"/>
      <c r="M894" s="91"/>
      <c r="N894" s="91"/>
      <c r="O894" s="91"/>
    </row>
    <row r="895" customFormat="false" ht="35.25" hidden="false" customHeight="true" outlineLevel="0" collapsed="false">
      <c r="B895" s="90" t="s">
        <v>277</v>
      </c>
      <c r="C895" s="90"/>
      <c r="D895" s="90"/>
      <c r="E895" s="91"/>
      <c r="F895" s="91"/>
      <c r="G895" s="91"/>
      <c r="H895" s="91"/>
      <c r="I895" s="91"/>
      <c r="J895" s="91"/>
      <c r="K895" s="91"/>
      <c r="L895" s="91"/>
      <c r="M895" s="91"/>
      <c r="N895" s="91"/>
      <c r="O895" s="91"/>
    </row>
    <row r="896" customFormat="false" ht="35.25" hidden="false" customHeight="true" outlineLevel="0" collapsed="false">
      <c r="B896" s="90" t="s">
        <v>279</v>
      </c>
      <c r="C896" s="90"/>
      <c r="D896" s="90"/>
      <c r="E896" s="91"/>
      <c r="F896" s="91"/>
      <c r="G896" s="91"/>
      <c r="H896" s="91"/>
      <c r="I896" s="91"/>
      <c r="J896" s="91"/>
      <c r="K896" s="91"/>
      <c r="L896" s="91"/>
      <c r="M896" s="91"/>
      <c r="N896" s="91"/>
      <c r="O896" s="91"/>
    </row>
    <row r="897" customFormat="false" ht="35.25" hidden="false" customHeight="true" outlineLevel="0" collapsed="false">
      <c r="B897" s="90" t="s">
        <v>281</v>
      </c>
      <c r="C897" s="90"/>
      <c r="D897" s="90"/>
      <c r="E897" s="91"/>
      <c r="F897" s="91"/>
      <c r="G897" s="91"/>
      <c r="H897" s="91"/>
      <c r="I897" s="91"/>
      <c r="J897" s="91"/>
      <c r="K897" s="91"/>
      <c r="L897" s="91"/>
      <c r="M897" s="91"/>
      <c r="N897" s="91"/>
      <c r="O897" s="91"/>
    </row>
    <row r="898" customFormat="false" ht="35.25" hidden="false" customHeight="true" outlineLevel="0" collapsed="false">
      <c r="B898" s="90" t="s">
        <v>283</v>
      </c>
      <c r="C898" s="90"/>
      <c r="D898" s="90"/>
      <c r="E898" s="91"/>
      <c r="F898" s="91"/>
      <c r="G898" s="91"/>
      <c r="H898" s="91"/>
      <c r="I898" s="91"/>
      <c r="J898" s="91"/>
      <c r="K898" s="91"/>
      <c r="L898" s="91"/>
      <c r="M898" s="91"/>
      <c r="N898" s="91"/>
      <c r="O898" s="91"/>
    </row>
    <row r="899" customFormat="false" ht="35.25" hidden="false" customHeight="true" outlineLevel="0" collapsed="false">
      <c r="B899" s="90" t="s">
        <v>285</v>
      </c>
      <c r="C899" s="90"/>
      <c r="D899" s="90"/>
      <c r="E899" s="91"/>
      <c r="F899" s="91"/>
      <c r="G899" s="91"/>
      <c r="H899" s="91"/>
      <c r="I899" s="91"/>
      <c r="J899" s="91"/>
      <c r="K899" s="91"/>
      <c r="L899" s="91"/>
      <c r="M899" s="91"/>
      <c r="N899" s="91"/>
      <c r="O899" s="91"/>
    </row>
    <row r="900" customFormat="false" ht="35.25" hidden="false" customHeight="true" outlineLevel="0" collapsed="false">
      <c r="B900" s="90" t="s">
        <v>287</v>
      </c>
      <c r="C900" s="90"/>
      <c r="D900" s="90"/>
      <c r="E900" s="91"/>
      <c r="F900" s="91"/>
      <c r="G900" s="91"/>
      <c r="H900" s="91"/>
      <c r="I900" s="91"/>
      <c r="J900" s="91"/>
      <c r="K900" s="91"/>
      <c r="L900" s="91"/>
      <c r="M900" s="91"/>
      <c r="N900" s="91"/>
      <c r="O900" s="91"/>
    </row>
    <row r="901" customFormat="false" ht="35.25" hidden="false" customHeight="true" outlineLevel="0" collapsed="false">
      <c r="B901" s="90" t="s">
        <v>289</v>
      </c>
      <c r="C901" s="90"/>
      <c r="D901" s="90"/>
      <c r="E901" s="91"/>
      <c r="F901" s="91"/>
      <c r="G901" s="91"/>
      <c r="H901" s="91"/>
      <c r="I901" s="91"/>
      <c r="J901" s="91"/>
      <c r="K901" s="91"/>
      <c r="L901" s="91"/>
      <c r="M901" s="91"/>
      <c r="N901" s="91"/>
      <c r="O901" s="91"/>
    </row>
    <row r="902" customFormat="false" ht="35.25" hidden="false" customHeight="true" outlineLevel="0" collapsed="false">
      <c r="B902" s="90" t="s">
        <v>291</v>
      </c>
      <c r="C902" s="90"/>
      <c r="D902" s="90"/>
      <c r="E902" s="91"/>
      <c r="F902" s="91"/>
      <c r="G902" s="91"/>
      <c r="H902" s="91"/>
      <c r="I902" s="91"/>
      <c r="J902" s="91"/>
      <c r="K902" s="91"/>
      <c r="L902" s="91"/>
      <c r="M902" s="91"/>
      <c r="N902" s="91"/>
      <c r="O902" s="91"/>
    </row>
    <row r="903" customFormat="false" ht="35.25" hidden="false" customHeight="true" outlineLevel="0" collapsed="false">
      <c r="B903" s="90" t="s">
        <v>293</v>
      </c>
      <c r="C903" s="90"/>
      <c r="D903" s="90"/>
      <c r="E903" s="91"/>
      <c r="F903" s="91"/>
      <c r="G903" s="91"/>
      <c r="H903" s="91"/>
      <c r="I903" s="91"/>
      <c r="J903" s="91"/>
      <c r="K903" s="91"/>
      <c r="L903" s="91"/>
      <c r="M903" s="91"/>
      <c r="N903" s="91"/>
      <c r="O903" s="91"/>
    </row>
    <row r="904" customFormat="false" ht="11.25" hidden="false" customHeight="true" outlineLevel="0" collapsed="false">
      <c r="B904" s="15" t="s">
        <v>295</v>
      </c>
      <c r="C904" s="15"/>
      <c r="D904" s="15"/>
      <c r="E904" s="15"/>
      <c r="F904" s="15"/>
      <c r="G904" s="15"/>
      <c r="H904" s="15"/>
      <c r="I904" s="15"/>
      <c r="J904" s="15"/>
      <c r="K904" s="15"/>
      <c r="L904" s="16" t="s">
        <v>40</v>
      </c>
      <c r="M904" s="16"/>
      <c r="N904" s="16"/>
      <c r="O904" s="16"/>
    </row>
    <row r="905" customFormat="false" ht="3" hidden="false" customHeight="true" outlineLevel="0" collapsed="false"/>
    <row r="906" customFormat="false" ht="27.75" hidden="false" customHeight="true" outlineLevel="0" collapsed="false">
      <c r="B906" s="57" t="s">
        <v>259</v>
      </c>
      <c r="C906" s="57"/>
      <c r="D906" s="57"/>
      <c r="E906" s="57"/>
      <c r="F906" s="69" t="str">
        <f aca="false">IF('Project Register'!$D34="","",'Project Register'!$C34)</f>
        <v/>
      </c>
      <c r="G906" s="69"/>
      <c r="H906" s="70" t="str">
        <f aca="false">IF('Project Register'!$D34="","",'Project Register'!$D34)</f>
        <v/>
      </c>
      <c r="I906" s="70"/>
      <c r="J906" s="70"/>
      <c r="K906" s="70"/>
      <c r="L906" s="70"/>
      <c r="M906" s="70"/>
      <c r="N906" s="70"/>
      <c r="O906" s="70"/>
      <c r="R906" s="71" t="str">
        <f aca="false">IF('Project Register'!$D34="","",'Project Register'!$C34)</f>
        <v/>
      </c>
      <c r="S906" s="72" t="n">
        <f aca="false">COUNTIF($E$930:$E$939,"?*")</f>
        <v>0</v>
      </c>
    </row>
    <row r="907" customFormat="false" ht="24.75" hidden="false" customHeight="true" outlineLevel="0" collapsed="false">
      <c r="B907" s="73" t="str">
        <f aca="false">IF('Project Register'!$D34="","No project on register row 26. Fill that row in on the Project Register and this block writes its own heading.",'Project Register'!$E34)</f>
        <v>No project on register row 26. Fill that row in on the Project Register and this block writes its own heading.</v>
      </c>
      <c r="C907" s="73"/>
      <c r="D907" s="73"/>
      <c r="E907" s="73"/>
      <c r="F907" s="73"/>
      <c r="G907" s="73"/>
      <c r="H907" s="73"/>
      <c r="I907" s="73"/>
      <c r="J907" s="73"/>
      <c r="K907" s="73"/>
      <c r="L907" s="73"/>
      <c r="M907" s="73"/>
      <c r="N907" s="73"/>
      <c r="O907" s="73"/>
    </row>
    <row r="908" customFormat="false" ht="13.5" hidden="false" customHeight="true" outlineLevel="0" collapsed="false">
      <c r="B908" s="74" t="s">
        <v>130</v>
      </c>
      <c r="C908" s="74"/>
      <c r="D908" s="74"/>
      <c r="E908" s="75" t="str">
        <f aca="false">IF('Project Register'!$D34="","",'Project Register'!$F34)</f>
        <v/>
      </c>
      <c r="F908" s="75"/>
      <c r="G908" s="75"/>
      <c r="H908" s="75"/>
      <c r="I908" s="74" t="s">
        <v>131</v>
      </c>
      <c r="J908" s="74"/>
      <c r="K908" s="74"/>
      <c r="L908" s="75" t="str">
        <f aca="false">IF('Project Register'!$D34="","",'Project Register'!$G34)</f>
        <v/>
      </c>
      <c r="M908" s="75"/>
      <c r="N908" s="75"/>
      <c r="O908" s="75"/>
    </row>
    <row r="909" customFormat="false" ht="13.5" hidden="false" customHeight="true" outlineLevel="0" collapsed="false">
      <c r="B909" s="74" t="s">
        <v>132</v>
      </c>
      <c r="C909" s="74"/>
      <c r="D909" s="74"/>
      <c r="E909" s="75" t="str">
        <f aca="false">IF('Project Register'!$D34="","",'Project Register'!$H34)</f>
        <v/>
      </c>
      <c r="F909" s="75"/>
      <c r="G909" s="75"/>
      <c r="H909" s="75"/>
      <c r="I909" s="74" t="s">
        <v>135</v>
      </c>
      <c r="J909" s="74"/>
      <c r="K909" s="74"/>
      <c r="L909" s="75" t="str">
        <f aca="false">IF('Project Register'!$D34="","",'Project Register'!$K34)</f>
        <v/>
      </c>
      <c r="M909" s="75"/>
      <c r="N909" s="75"/>
      <c r="O909" s="75"/>
    </row>
    <row r="910" customFormat="false" ht="13.5" hidden="false" customHeight="true" outlineLevel="0" collapsed="false">
      <c r="B910" s="74" t="s">
        <v>260</v>
      </c>
      <c r="C910" s="74"/>
      <c r="D910" s="74"/>
      <c r="E910" s="75" t="str">
        <f aca="false">IF('Project Register'!$D34="","",'Project Register'!$I34)</f>
        <v/>
      </c>
      <c r="F910" s="75"/>
      <c r="G910" s="75"/>
      <c r="H910" s="75"/>
      <c r="I910" s="74" t="s">
        <v>134</v>
      </c>
      <c r="J910" s="74"/>
      <c r="K910" s="74"/>
      <c r="L910" s="75" t="str">
        <f aca="false">IF('Project Register'!$D34="","",'Project Register'!$J34)</f>
        <v/>
      </c>
      <c r="M910" s="75"/>
      <c r="N910" s="75"/>
      <c r="O910" s="75"/>
    </row>
    <row r="911" customFormat="false" ht="2.25" hidden="false" customHeight="true" outlineLevel="0" collapsed="false"/>
    <row r="912" customFormat="false" ht="15.75" hidden="false" customHeight="true" outlineLevel="0" collapsed="false">
      <c r="B912" s="76" t="s">
        <v>117</v>
      </c>
      <c r="C912" s="76"/>
      <c r="D912" s="76"/>
      <c r="E912" s="76"/>
      <c r="F912" s="76"/>
      <c r="G912" s="76"/>
      <c r="H912" s="76"/>
      <c r="I912" s="76"/>
      <c r="J912" s="76"/>
      <c r="K912" s="76"/>
      <c r="L912" s="76"/>
      <c r="M912" s="76"/>
      <c r="N912" s="76"/>
      <c r="O912" s="76"/>
    </row>
    <row r="913" customFormat="false" ht="17.25" hidden="false" customHeight="true" outlineLevel="0" collapsed="false">
      <c r="B913" s="74" t="s">
        <v>136</v>
      </c>
      <c r="C913" s="74"/>
      <c r="D913" s="74"/>
      <c r="E913" s="74"/>
      <c r="F913" s="77" t="str">
        <f aca="false">IF('Project Register'!$D34="","",'Project Register'!$L34)</f>
        <v/>
      </c>
      <c r="G913" s="77"/>
      <c r="H913" s="77"/>
      <c r="I913" s="74" t="s">
        <v>137</v>
      </c>
      <c r="J913" s="74"/>
      <c r="K913" s="74"/>
      <c r="L913" s="74"/>
      <c r="M913" s="77" t="str">
        <f aca="false">IF('Project Register'!$D34="","",'Project Register'!$M34)</f>
        <v/>
      </c>
      <c r="N913" s="77"/>
      <c r="O913" s="77"/>
    </row>
    <row r="914" customFormat="false" ht="13.5" hidden="false" customHeight="true" outlineLevel="0" collapsed="false">
      <c r="B914" s="74" t="s">
        <v>261</v>
      </c>
      <c r="C914" s="74"/>
      <c r="D914" s="74"/>
      <c r="E914" s="74"/>
      <c r="F914" s="78" t="str">
        <f aca="false">IF('Project Register'!$D34="","",'Project Register'!$N34)</f>
        <v/>
      </c>
      <c r="G914" s="78"/>
      <c r="H914" s="78"/>
      <c r="I914" s="74" t="s">
        <v>262</v>
      </c>
      <c r="J914" s="74"/>
      <c r="K914" s="74"/>
      <c r="L914" s="74"/>
      <c r="M914" s="79" t="str">
        <f aca="false">IF('Project Register'!$D34="","",'Project Register'!$AD34)</f>
        <v/>
      </c>
      <c r="N914" s="79"/>
      <c r="O914" s="79"/>
    </row>
    <row r="915" customFormat="false" ht="13.5" hidden="false" customHeight="true" outlineLevel="0" collapsed="false">
      <c r="B915" s="74" t="s">
        <v>263</v>
      </c>
      <c r="C915" s="74"/>
      <c r="D915" s="74"/>
      <c r="E915" s="74"/>
      <c r="F915" s="78" t="str">
        <f aca="false">IF('Project Register'!$D34="","",'Project Register'!$AC34)</f>
        <v/>
      </c>
      <c r="G915" s="78"/>
      <c r="H915" s="78"/>
      <c r="I915" s="74" t="s">
        <v>264</v>
      </c>
      <c r="J915" s="74"/>
      <c r="K915" s="74"/>
      <c r="L915" s="74"/>
      <c r="M915" s="78" t="str">
        <f aca="false">IF('Project Register'!$D34="","",'Project Register'!$AE34)</f>
        <v/>
      </c>
      <c r="N915" s="78"/>
      <c r="O915" s="78"/>
    </row>
    <row r="916" customFormat="false" ht="13.5" hidden="false" customHeight="true" outlineLevel="0" collapsed="false">
      <c r="B916" s="80" t="s">
        <v>265</v>
      </c>
      <c r="C916" s="80"/>
      <c r="D916" s="81" t="str">
        <f aca="false">Setup!$C$23</f>
        <v>FY2027</v>
      </c>
      <c r="E916" s="81"/>
      <c r="F916" s="81" t="str">
        <f aca="false">Setup!$D$23</f>
        <v>FY2028</v>
      </c>
      <c r="G916" s="81"/>
      <c r="H916" s="81" t="str">
        <f aca="false">Setup!$E$23</f>
        <v>FY2029</v>
      </c>
      <c r="I916" s="81"/>
      <c r="J916" s="81" t="str">
        <f aca="false">Setup!$F$23</f>
        <v>FY2030</v>
      </c>
      <c r="K916" s="81"/>
      <c r="L916" s="81" t="str">
        <f aca="false">Setup!$G$23</f>
        <v>FY2031</v>
      </c>
      <c r="M916" s="81"/>
      <c r="N916" s="81" t="str">
        <f aca="false">Setup!$H$23</f>
        <v>Beyond FY2031</v>
      </c>
      <c r="O916" s="81"/>
    </row>
    <row r="917" customFormat="false" ht="13.5" hidden="false" customHeight="true" outlineLevel="0" collapsed="false">
      <c r="B917" s="82" t="s">
        <v>266</v>
      </c>
      <c r="C917" s="82"/>
      <c r="D917" s="78" t="str">
        <f aca="false">IF('Project Register'!$D34="","",'Project Register'!$O34)</f>
        <v/>
      </c>
      <c r="E917" s="78"/>
      <c r="F917" s="78" t="str">
        <f aca="false">IF('Project Register'!$D34="","",'Project Register'!$P34)</f>
        <v/>
      </c>
      <c r="G917" s="78"/>
      <c r="H917" s="78" t="str">
        <f aca="false">IF('Project Register'!$D34="","",'Project Register'!$Q34)</f>
        <v/>
      </c>
      <c r="I917" s="78"/>
      <c r="J917" s="78" t="str">
        <f aca="false">IF('Project Register'!$D34="","",'Project Register'!$R34)</f>
        <v/>
      </c>
      <c r="K917" s="78"/>
      <c r="L917" s="78" t="str">
        <f aca="false">IF('Project Register'!$D34="","",'Project Register'!$S34)</f>
        <v/>
      </c>
      <c r="M917" s="78"/>
      <c r="N917" s="78" t="str">
        <f aca="false">IF('Project Register'!$D34="","",'Project Register'!$T34)</f>
        <v/>
      </c>
      <c r="O917" s="78"/>
    </row>
    <row r="918" customFormat="false" ht="13.5" hidden="false" customHeight="true" outlineLevel="0" collapsed="false">
      <c r="B918" s="82" t="s">
        <v>267</v>
      </c>
      <c r="C918" s="82"/>
      <c r="D918" s="79" t="str">
        <f aca="false">IF('Project Register'!$D34="","",'Project Register'!$X34)</f>
        <v/>
      </c>
      <c r="E918" s="79"/>
      <c r="F918" s="79" t="str">
        <f aca="false">IF('Project Register'!$D34="","",'Project Register'!$Y34)</f>
        <v/>
      </c>
      <c r="G918" s="79"/>
      <c r="H918" s="79" t="str">
        <f aca="false">IF('Project Register'!$D34="","",'Project Register'!$Z34)</f>
        <v/>
      </c>
      <c r="I918" s="79"/>
      <c r="J918" s="79" t="str">
        <f aca="false">IF('Project Register'!$D34="","",'Project Register'!$AA34)</f>
        <v/>
      </c>
      <c r="K918" s="79"/>
      <c r="L918" s="79" t="str">
        <f aca="false">IF('Project Register'!$D34="","",'Project Register'!$AB34)</f>
        <v/>
      </c>
      <c r="M918" s="79"/>
      <c r="N918" s="79" t="str">
        <f aca="false">IF('Project Register'!$D34="","",'Project Register'!$AC34)</f>
        <v/>
      </c>
      <c r="O918" s="79"/>
    </row>
    <row r="919" customFormat="false" ht="2.25" hidden="false" customHeight="true" outlineLevel="0" collapsed="false"/>
    <row r="920" customFormat="false" ht="15.75" hidden="false" customHeight="true" outlineLevel="0" collapsed="false">
      <c r="B920" s="76" t="s">
        <v>268</v>
      </c>
      <c r="C920" s="76"/>
      <c r="D920" s="76"/>
      <c r="E920" s="76"/>
      <c r="F920" s="76"/>
      <c r="G920" s="76"/>
      <c r="H920" s="76"/>
      <c r="I920" s="76"/>
      <c r="J920" s="76"/>
      <c r="K920" s="76"/>
      <c r="L920" s="76"/>
      <c r="M920" s="76"/>
      <c r="N920" s="76"/>
      <c r="O920" s="76"/>
    </row>
    <row r="921" customFormat="false" ht="13.5" hidden="false" customHeight="true" outlineLevel="0" collapsed="false">
      <c r="B921" s="80" t="s">
        <v>269</v>
      </c>
      <c r="C921" s="80"/>
      <c r="D921" s="80"/>
      <c r="E921" s="80"/>
      <c r="F921" s="80"/>
      <c r="G921" s="80"/>
      <c r="H921" s="29" t="s">
        <v>145</v>
      </c>
      <c r="I921" s="29"/>
      <c r="J921" s="29"/>
      <c r="K921" s="83" t="s">
        <v>270</v>
      </c>
      <c r="L921" s="83"/>
      <c r="M921" s="83"/>
      <c r="N921" s="83"/>
      <c r="O921" s="83"/>
    </row>
    <row r="922" customFormat="false" ht="13.5" hidden="false" customHeight="true" outlineLevel="0" collapsed="false">
      <c r="B922" s="75" t="str">
        <f aca="false">IF('Project Register'!$D34="","",IF('Project Register'!$AF34="","-",'Project Register'!$AF34))</f>
        <v/>
      </c>
      <c r="C922" s="75"/>
      <c r="D922" s="75"/>
      <c r="E922" s="75"/>
      <c r="F922" s="75"/>
      <c r="G922" s="75"/>
      <c r="H922" s="84" t="str">
        <f aca="false">IF('Project Register'!$D34="","",'Project Register'!$AG34)</f>
        <v/>
      </c>
      <c r="I922" s="84"/>
      <c r="J922" s="84"/>
      <c r="K922" s="78" t="str">
        <f aca="false">IF('Project Register'!$D34="","",'Project Register'!$AD34*'Project Register'!$AG34)</f>
        <v/>
      </c>
      <c r="L922" s="78"/>
      <c r="M922" s="78"/>
      <c r="N922" s="78"/>
      <c r="O922" s="78"/>
    </row>
    <row r="923" customFormat="false" ht="13.5" hidden="false" customHeight="true" outlineLevel="0" collapsed="false">
      <c r="B923" s="75" t="str">
        <f aca="false">IF('Project Register'!$D34="","",IF('Project Register'!$AH34="","-",'Project Register'!$AH34))</f>
        <v/>
      </c>
      <c r="C923" s="75"/>
      <c r="D923" s="75"/>
      <c r="E923" s="75"/>
      <c r="F923" s="75"/>
      <c r="G923" s="75"/>
      <c r="H923" s="84" t="str">
        <f aca="false">IF('Project Register'!$D34="","",'Project Register'!$AI34)</f>
        <v/>
      </c>
      <c r="I923" s="84"/>
      <c r="J923" s="84"/>
      <c r="K923" s="78" t="str">
        <f aca="false">IF('Project Register'!$D34="","",'Project Register'!$AD34*'Project Register'!$AI34)</f>
        <v/>
      </c>
      <c r="L923" s="78"/>
      <c r="M923" s="78"/>
      <c r="N923" s="78"/>
      <c r="O923" s="78"/>
    </row>
    <row r="924" customFormat="false" ht="13.5" hidden="false" customHeight="true" outlineLevel="0" collapsed="false">
      <c r="B924" s="85" t="s">
        <v>271</v>
      </c>
      <c r="C924" s="85"/>
      <c r="D924" s="85"/>
      <c r="E924" s="85"/>
      <c r="F924" s="85"/>
      <c r="G924" s="85"/>
      <c r="H924" s="86" t="str">
        <f aca="false">IF('Project Register'!$D34="","",'Project Register'!$AJ34)</f>
        <v/>
      </c>
      <c r="I924" s="86"/>
      <c r="J924" s="86"/>
      <c r="K924" s="79" t="str">
        <f aca="false">IF('Project Register'!$D34="","",'Project Register'!$AL34)</f>
        <v/>
      </c>
      <c r="L924" s="79"/>
      <c r="M924" s="79"/>
      <c r="N924" s="79"/>
      <c r="O924" s="79"/>
    </row>
    <row r="925" customFormat="false" ht="2.25" hidden="false" customHeight="true" outlineLevel="0" collapsed="false"/>
    <row r="926" customFormat="false" ht="15.75" hidden="false" customHeight="true" outlineLevel="0" collapsed="false">
      <c r="B926" s="76" t="s">
        <v>272</v>
      </c>
      <c r="C926" s="76"/>
      <c r="D926" s="76"/>
      <c r="E926" s="76"/>
      <c r="F926" s="76"/>
      <c r="G926" s="76"/>
      <c r="H926" s="76"/>
      <c r="I926" s="76"/>
      <c r="J926" s="76"/>
      <c r="K926" s="76"/>
      <c r="L926" s="76"/>
      <c r="M926" s="76"/>
      <c r="N926" s="76"/>
      <c r="O926" s="76"/>
    </row>
    <row r="927" customFormat="false" ht="17.25" hidden="false" customHeight="true" outlineLevel="0" collapsed="false">
      <c r="B927" s="74" t="s">
        <v>243</v>
      </c>
      <c r="C927" s="74"/>
      <c r="D927" s="87" t="str">
        <f aca="false">IF('Project Register'!$D34="","",Prioritisation!$O34)</f>
        <v/>
      </c>
      <c r="E927" s="87"/>
      <c r="F927" s="74" t="s">
        <v>273</v>
      </c>
      <c r="G927" s="74"/>
      <c r="H927" s="74"/>
      <c r="I927" s="88" t="str">
        <f aca="false">IF('Project Register'!$D34="","",TEXT(Prioritisation!$P34,"0")&amp;" of "&amp;TEXT(COUNTIF('Project Register'!$C$9:$C$38,"?*"),"0"))</f>
        <v/>
      </c>
      <c r="J927" s="88"/>
      <c r="K927" s="82" t="s">
        <v>245</v>
      </c>
      <c r="L927" s="82"/>
      <c r="M927" s="89" t="str">
        <f aca="false">IF('Project Register'!$D34="","",Prioritisation!$Q34)</f>
        <v/>
      </c>
      <c r="N927" s="89"/>
      <c r="O927" s="89"/>
    </row>
    <row r="928" customFormat="false" ht="2.25" hidden="false" customHeight="true" outlineLevel="0" collapsed="false"/>
    <row r="929" customFormat="false" ht="15.75" hidden="false" customHeight="true" outlineLevel="0" collapsed="false">
      <c r="B929" s="76" t="s">
        <v>274</v>
      </c>
      <c r="C929" s="76"/>
      <c r="D929" s="76"/>
      <c r="E929" s="76"/>
      <c r="F929" s="76"/>
      <c r="G929" s="76"/>
      <c r="H929" s="76"/>
      <c r="I929" s="76"/>
      <c r="J929" s="76"/>
      <c r="K929" s="76"/>
      <c r="L929" s="76"/>
      <c r="M929" s="76"/>
      <c r="N929" s="76"/>
      <c r="O929" s="76"/>
    </row>
    <row r="930" customFormat="false" ht="35.25" hidden="false" customHeight="true" outlineLevel="0" collapsed="false">
      <c r="B930" s="90" t="s">
        <v>275</v>
      </c>
      <c r="C930" s="90"/>
      <c r="D930" s="90"/>
      <c r="E930" s="91"/>
      <c r="F930" s="91"/>
      <c r="G930" s="91"/>
      <c r="H930" s="91"/>
      <c r="I930" s="91"/>
      <c r="J930" s="91"/>
      <c r="K930" s="91"/>
      <c r="L930" s="91"/>
      <c r="M930" s="91"/>
      <c r="N930" s="91"/>
      <c r="O930" s="91"/>
    </row>
    <row r="931" customFormat="false" ht="35.25" hidden="false" customHeight="true" outlineLevel="0" collapsed="false">
      <c r="B931" s="90" t="s">
        <v>277</v>
      </c>
      <c r="C931" s="90"/>
      <c r="D931" s="90"/>
      <c r="E931" s="91"/>
      <c r="F931" s="91"/>
      <c r="G931" s="91"/>
      <c r="H931" s="91"/>
      <c r="I931" s="91"/>
      <c r="J931" s="91"/>
      <c r="K931" s="91"/>
      <c r="L931" s="91"/>
      <c r="M931" s="91"/>
      <c r="N931" s="91"/>
      <c r="O931" s="91"/>
    </row>
    <row r="932" customFormat="false" ht="35.25" hidden="false" customHeight="true" outlineLevel="0" collapsed="false">
      <c r="B932" s="90" t="s">
        <v>279</v>
      </c>
      <c r="C932" s="90"/>
      <c r="D932" s="90"/>
      <c r="E932" s="91"/>
      <c r="F932" s="91"/>
      <c r="G932" s="91"/>
      <c r="H932" s="91"/>
      <c r="I932" s="91"/>
      <c r="J932" s="91"/>
      <c r="K932" s="91"/>
      <c r="L932" s="91"/>
      <c r="M932" s="91"/>
      <c r="N932" s="91"/>
      <c r="O932" s="91"/>
    </row>
    <row r="933" customFormat="false" ht="35.25" hidden="false" customHeight="true" outlineLevel="0" collapsed="false">
      <c r="B933" s="90" t="s">
        <v>281</v>
      </c>
      <c r="C933" s="90"/>
      <c r="D933" s="90"/>
      <c r="E933" s="91"/>
      <c r="F933" s="91"/>
      <c r="G933" s="91"/>
      <c r="H933" s="91"/>
      <c r="I933" s="91"/>
      <c r="J933" s="91"/>
      <c r="K933" s="91"/>
      <c r="L933" s="91"/>
      <c r="M933" s="91"/>
      <c r="N933" s="91"/>
      <c r="O933" s="91"/>
    </row>
    <row r="934" customFormat="false" ht="35.25" hidden="false" customHeight="true" outlineLevel="0" collapsed="false">
      <c r="B934" s="90" t="s">
        <v>283</v>
      </c>
      <c r="C934" s="90"/>
      <c r="D934" s="90"/>
      <c r="E934" s="91"/>
      <c r="F934" s="91"/>
      <c r="G934" s="91"/>
      <c r="H934" s="91"/>
      <c r="I934" s="91"/>
      <c r="J934" s="91"/>
      <c r="K934" s="91"/>
      <c r="L934" s="91"/>
      <c r="M934" s="91"/>
      <c r="N934" s="91"/>
      <c r="O934" s="91"/>
    </row>
    <row r="935" customFormat="false" ht="35.25" hidden="false" customHeight="true" outlineLevel="0" collapsed="false">
      <c r="B935" s="90" t="s">
        <v>285</v>
      </c>
      <c r="C935" s="90"/>
      <c r="D935" s="90"/>
      <c r="E935" s="91"/>
      <c r="F935" s="91"/>
      <c r="G935" s="91"/>
      <c r="H935" s="91"/>
      <c r="I935" s="91"/>
      <c r="J935" s="91"/>
      <c r="K935" s="91"/>
      <c r="L935" s="91"/>
      <c r="M935" s="91"/>
      <c r="N935" s="91"/>
      <c r="O935" s="91"/>
    </row>
    <row r="936" customFormat="false" ht="35.25" hidden="false" customHeight="true" outlineLevel="0" collapsed="false">
      <c r="B936" s="90" t="s">
        <v>287</v>
      </c>
      <c r="C936" s="90"/>
      <c r="D936" s="90"/>
      <c r="E936" s="91"/>
      <c r="F936" s="91"/>
      <c r="G936" s="91"/>
      <c r="H936" s="91"/>
      <c r="I936" s="91"/>
      <c r="J936" s="91"/>
      <c r="K936" s="91"/>
      <c r="L936" s="91"/>
      <c r="M936" s="91"/>
      <c r="N936" s="91"/>
      <c r="O936" s="91"/>
    </row>
    <row r="937" customFormat="false" ht="35.25" hidden="false" customHeight="true" outlineLevel="0" collapsed="false">
      <c r="B937" s="90" t="s">
        <v>289</v>
      </c>
      <c r="C937" s="90"/>
      <c r="D937" s="90"/>
      <c r="E937" s="91"/>
      <c r="F937" s="91"/>
      <c r="G937" s="91"/>
      <c r="H937" s="91"/>
      <c r="I937" s="91"/>
      <c r="J937" s="91"/>
      <c r="K937" s="91"/>
      <c r="L937" s="91"/>
      <c r="M937" s="91"/>
      <c r="N937" s="91"/>
      <c r="O937" s="91"/>
    </row>
    <row r="938" customFormat="false" ht="35.25" hidden="false" customHeight="true" outlineLevel="0" collapsed="false">
      <c r="B938" s="90" t="s">
        <v>291</v>
      </c>
      <c r="C938" s="90"/>
      <c r="D938" s="90"/>
      <c r="E938" s="91"/>
      <c r="F938" s="91"/>
      <c r="G938" s="91"/>
      <c r="H938" s="91"/>
      <c r="I938" s="91"/>
      <c r="J938" s="91"/>
      <c r="K938" s="91"/>
      <c r="L938" s="91"/>
      <c r="M938" s="91"/>
      <c r="N938" s="91"/>
      <c r="O938" s="91"/>
    </row>
    <row r="939" customFormat="false" ht="35.25" hidden="false" customHeight="true" outlineLevel="0" collapsed="false">
      <c r="B939" s="90" t="s">
        <v>293</v>
      </c>
      <c r="C939" s="90"/>
      <c r="D939" s="90"/>
      <c r="E939" s="91"/>
      <c r="F939" s="91"/>
      <c r="G939" s="91"/>
      <c r="H939" s="91"/>
      <c r="I939" s="91"/>
      <c r="J939" s="91"/>
      <c r="K939" s="91"/>
      <c r="L939" s="91"/>
      <c r="M939" s="91"/>
      <c r="N939" s="91"/>
      <c r="O939" s="91"/>
    </row>
    <row r="940" customFormat="false" ht="11.25" hidden="false" customHeight="true" outlineLevel="0" collapsed="false">
      <c r="B940" s="15" t="s">
        <v>295</v>
      </c>
      <c r="C940" s="15"/>
      <c r="D940" s="15"/>
      <c r="E940" s="15"/>
      <c r="F940" s="15"/>
      <c r="G940" s="15"/>
      <c r="H940" s="15"/>
      <c r="I940" s="15"/>
      <c r="J940" s="15"/>
      <c r="K940" s="15"/>
      <c r="L940" s="16" t="s">
        <v>40</v>
      </c>
      <c r="M940" s="16"/>
      <c r="N940" s="16"/>
      <c r="O940" s="16"/>
    </row>
    <row r="941" customFormat="false" ht="3" hidden="false" customHeight="true" outlineLevel="0" collapsed="false"/>
    <row r="942" customFormat="false" ht="27.75" hidden="false" customHeight="true" outlineLevel="0" collapsed="false">
      <c r="B942" s="57" t="s">
        <v>259</v>
      </c>
      <c r="C942" s="57"/>
      <c r="D942" s="57"/>
      <c r="E942" s="57"/>
      <c r="F942" s="69" t="str">
        <f aca="false">IF('Project Register'!$D35="","",'Project Register'!$C35)</f>
        <v/>
      </c>
      <c r="G942" s="69"/>
      <c r="H942" s="70" t="str">
        <f aca="false">IF('Project Register'!$D35="","",'Project Register'!$D35)</f>
        <v/>
      </c>
      <c r="I942" s="70"/>
      <c r="J942" s="70"/>
      <c r="K942" s="70"/>
      <c r="L942" s="70"/>
      <c r="M942" s="70"/>
      <c r="N942" s="70"/>
      <c r="O942" s="70"/>
      <c r="R942" s="71" t="str">
        <f aca="false">IF('Project Register'!$D35="","",'Project Register'!$C35)</f>
        <v/>
      </c>
      <c r="S942" s="72" t="n">
        <f aca="false">COUNTIF($E$966:$E$975,"?*")</f>
        <v>0</v>
      </c>
    </row>
    <row r="943" customFormat="false" ht="24.75" hidden="false" customHeight="true" outlineLevel="0" collapsed="false">
      <c r="B943" s="73" t="str">
        <f aca="false">IF('Project Register'!$D35="","No project on register row 27. Fill that row in on the Project Register and this block writes its own heading.",'Project Register'!$E35)</f>
        <v>No project on register row 27. Fill that row in on the Project Register and this block writes its own heading.</v>
      </c>
      <c r="C943" s="73"/>
      <c r="D943" s="73"/>
      <c r="E943" s="73"/>
      <c r="F943" s="73"/>
      <c r="G943" s="73"/>
      <c r="H943" s="73"/>
      <c r="I943" s="73"/>
      <c r="J943" s="73"/>
      <c r="K943" s="73"/>
      <c r="L943" s="73"/>
      <c r="M943" s="73"/>
      <c r="N943" s="73"/>
      <c r="O943" s="73"/>
    </row>
    <row r="944" customFormat="false" ht="13.5" hidden="false" customHeight="true" outlineLevel="0" collapsed="false">
      <c r="B944" s="74" t="s">
        <v>130</v>
      </c>
      <c r="C944" s="74"/>
      <c r="D944" s="74"/>
      <c r="E944" s="75" t="str">
        <f aca="false">IF('Project Register'!$D35="","",'Project Register'!$F35)</f>
        <v/>
      </c>
      <c r="F944" s="75"/>
      <c r="G944" s="75"/>
      <c r="H944" s="75"/>
      <c r="I944" s="74" t="s">
        <v>131</v>
      </c>
      <c r="J944" s="74"/>
      <c r="K944" s="74"/>
      <c r="L944" s="75" t="str">
        <f aca="false">IF('Project Register'!$D35="","",'Project Register'!$G35)</f>
        <v/>
      </c>
      <c r="M944" s="75"/>
      <c r="N944" s="75"/>
      <c r="O944" s="75"/>
    </row>
    <row r="945" customFormat="false" ht="13.5" hidden="false" customHeight="true" outlineLevel="0" collapsed="false">
      <c r="B945" s="74" t="s">
        <v>132</v>
      </c>
      <c r="C945" s="74"/>
      <c r="D945" s="74"/>
      <c r="E945" s="75" t="str">
        <f aca="false">IF('Project Register'!$D35="","",'Project Register'!$H35)</f>
        <v/>
      </c>
      <c r="F945" s="75"/>
      <c r="G945" s="75"/>
      <c r="H945" s="75"/>
      <c r="I945" s="74" t="s">
        <v>135</v>
      </c>
      <c r="J945" s="74"/>
      <c r="K945" s="74"/>
      <c r="L945" s="75" t="str">
        <f aca="false">IF('Project Register'!$D35="","",'Project Register'!$K35)</f>
        <v/>
      </c>
      <c r="M945" s="75"/>
      <c r="N945" s="75"/>
      <c r="O945" s="75"/>
    </row>
    <row r="946" customFormat="false" ht="13.5" hidden="false" customHeight="true" outlineLevel="0" collapsed="false">
      <c r="B946" s="74" t="s">
        <v>260</v>
      </c>
      <c r="C946" s="74"/>
      <c r="D946" s="74"/>
      <c r="E946" s="75" t="str">
        <f aca="false">IF('Project Register'!$D35="","",'Project Register'!$I35)</f>
        <v/>
      </c>
      <c r="F946" s="75"/>
      <c r="G946" s="75"/>
      <c r="H946" s="75"/>
      <c r="I946" s="74" t="s">
        <v>134</v>
      </c>
      <c r="J946" s="74"/>
      <c r="K946" s="74"/>
      <c r="L946" s="75" t="str">
        <f aca="false">IF('Project Register'!$D35="","",'Project Register'!$J35)</f>
        <v/>
      </c>
      <c r="M946" s="75"/>
      <c r="N946" s="75"/>
      <c r="O946" s="75"/>
    </row>
    <row r="947" customFormat="false" ht="2.25" hidden="false" customHeight="true" outlineLevel="0" collapsed="false"/>
    <row r="948" customFormat="false" ht="15.75" hidden="false" customHeight="true" outlineLevel="0" collapsed="false">
      <c r="B948" s="76" t="s">
        <v>117</v>
      </c>
      <c r="C948" s="76"/>
      <c r="D948" s="76"/>
      <c r="E948" s="76"/>
      <c r="F948" s="76"/>
      <c r="G948" s="76"/>
      <c r="H948" s="76"/>
      <c r="I948" s="76"/>
      <c r="J948" s="76"/>
      <c r="K948" s="76"/>
      <c r="L948" s="76"/>
      <c r="M948" s="76"/>
      <c r="N948" s="76"/>
      <c r="O948" s="76"/>
    </row>
    <row r="949" customFormat="false" ht="17.25" hidden="false" customHeight="true" outlineLevel="0" collapsed="false">
      <c r="B949" s="74" t="s">
        <v>136</v>
      </c>
      <c r="C949" s="74"/>
      <c r="D949" s="74"/>
      <c r="E949" s="74"/>
      <c r="F949" s="77" t="str">
        <f aca="false">IF('Project Register'!$D35="","",'Project Register'!$L35)</f>
        <v/>
      </c>
      <c r="G949" s="77"/>
      <c r="H949" s="77"/>
      <c r="I949" s="74" t="s">
        <v>137</v>
      </c>
      <c r="J949" s="74"/>
      <c r="K949" s="74"/>
      <c r="L949" s="74"/>
      <c r="M949" s="77" t="str">
        <f aca="false">IF('Project Register'!$D35="","",'Project Register'!$M35)</f>
        <v/>
      </c>
      <c r="N949" s="77"/>
      <c r="O949" s="77"/>
    </row>
    <row r="950" customFormat="false" ht="13.5" hidden="false" customHeight="true" outlineLevel="0" collapsed="false">
      <c r="B950" s="74" t="s">
        <v>261</v>
      </c>
      <c r="C950" s="74"/>
      <c r="D950" s="74"/>
      <c r="E950" s="74"/>
      <c r="F950" s="78" t="str">
        <f aca="false">IF('Project Register'!$D35="","",'Project Register'!$N35)</f>
        <v/>
      </c>
      <c r="G950" s="78"/>
      <c r="H950" s="78"/>
      <c r="I950" s="74" t="s">
        <v>262</v>
      </c>
      <c r="J950" s="74"/>
      <c r="K950" s="74"/>
      <c r="L950" s="74"/>
      <c r="M950" s="79" t="str">
        <f aca="false">IF('Project Register'!$D35="","",'Project Register'!$AD35)</f>
        <v/>
      </c>
      <c r="N950" s="79"/>
      <c r="O950" s="79"/>
    </row>
    <row r="951" customFormat="false" ht="13.5" hidden="false" customHeight="true" outlineLevel="0" collapsed="false">
      <c r="B951" s="74" t="s">
        <v>263</v>
      </c>
      <c r="C951" s="74"/>
      <c r="D951" s="74"/>
      <c r="E951" s="74"/>
      <c r="F951" s="78" t="str">
        <f aca="false">IF('Project Register'!$D35="","",'Project Register'!$AC35)</f>
        <v/>
      </c>
      <c r="G951" s="78"/>
      <c r="H951" s="78"/>
      <c r="I951" s="74" t="s">
        <v>264</v>
      </c>
      <c r="J951" s="74"/>
      <c r="K951" s="74"/>
      <c r="L951" s="74"/>
      <c r="M951" s="78" t="str">
        <f aca="false">IF('Project Register'!$D35="","",'Project Register'!$AE35)</f>
        <v/>
      </c>
      <c r="N951" s="78"/>
      <c r="O951" s="78"/>
    </row>
    <row r="952" customFormat="false" ht="13.5" hidden="false" customHeight="true" outlineLevel="0" collapsed="false">
      <c r="B952" s="80" t="s">
        <v>265</v>
      </c>
      <c r="C952" s="80"/>
      <c r="D952" s="81" t="str">
        <f aca="false">Setup!$C$23</f>
        <v>FY2027</v>
      </c>
      <c r="E952" s="81"/>
      <c r="F952" s="81" t="str">
        <f aca="false">Setup!$D$23</f>
        <v>FY2028</v>
      </c>
      <c r="G952" s="81"/>
      <c r="H952" s="81" t="str">
        <f aca="false">Setup!$E$23</f>
        <v>FY2029</v>
      </c>
      <c r="I952" s="81"/>
      <c r="J952" s="81" t="str">
        <f aca="false">Setup!$F$23</f>
        <v>FY2030</v>
      </c>
      <c r="K952" s="81"/>
      <c r="L952" s="81" t="str">
        <f aca="false">Setup!$G$23</f>
        <v>FY2031</v>
      </c>
      <c r="M952" s="81"/>
      <c r="N952" s="81" t="str">
        <f aca="false">Setup!$H$23</f>
        <v>Beyond FY2031</v>
      </c>
      <c r="O952" s="81"/>
    </row>
    <row r="953" customFormat="false" ht="13.5" hidden="false" customHeight="true" outlineLevel="0" collapsed="false">
      <c r="B953" s="82" t="s">
        <v>266</v>
      </c>
      <c r="C953" s="82"/>
      <c r="D953" s="78" t="str">
        <f aca="false">IF('Project Register'!$D35="","",'Project Register'!$O35)</f>
        <v/>
      </c>
      <c r="E953" s="78"/>
      <c r="F953" s="78" t="str">
        <f aca="false">IF('Project Register'!$D35="","",'Project Register'!$P35)</f>
        <v/>
      </c>
      <c r="G953" s="78"/>
      <c r="H953" s="78" t="str">
        <f aca="false">IF('Project Register'!$D35="","",'Project Register'!$Q35)</f>
        <v/>
      </c>
      <c r="I953" s="78"/>
      <c r="J953" s="78" t="str">
        <f aca="false">IF('Project Register'!$D35="","",'Project Register'!$R35)</f>
        <v/>
      </c>
      <c r="K953" s="78"/>
      <c r="L953" s="78" t="str">
        <f aca="false">IF('Project Register'!$D35="","",'Project Register'!$S35)</f>
        <v/>
      </c>
      <c r="M953" s="78"/>
      <c r="N953" s="78" t="str">
        <f aca="false">IF('Project Register'!$D35="","",'Project Register'!$T35)</f>
        <v/>
      </c>
      <c r="O953" s="78"/>
    </row>
    <row r="954" customFormat="false" ht="13.5" hidden="false" customHeight="true" outlineLevel="0" collapsed="false">
      <c r="B954" s="82" t="s">
        <v>267</v>
      </c>
      <c r="C954" s="82"/>
      <c r="D954" s="79" t="str">
        <f aca="false">IF('Project Register'!$D35="","",'Project Register'!$X35)</f>
        <v/>
      </c>
      <c r="E954" s="79"/>
      <c r="F954" s="79" t="str">
        <f aca="false">IF('Project Register'!$D35="","",'Project Register'!$Y35)</f>
        <v/>
      </c>
      <c r="G954" s="79"/>
      <c r="H954" s="79" t="str">
        <f aca="false">IF('Project Register'!$D35="","",'Project Register'!$Z35)</f>
        <v/>
      </c>
      <c r="I954" s="79"/>
      <c r="J954" s="79" t="str">
        <f aca="false">IF('Project Register'!$D35="","",'Project Register'!$AA35)</f>
        <v/>
      </c>
      <c r="K954" s="79"/>
      <c r="L954" s="79" t="str">
        <f aca="false">IF('Project Register'!$D35="","",'Project Register'!$AB35)</f>
        <v/>
      </c>
      <c r="M954" s="79"/>
      <c r="N954" s="79" t="str">
        <f aca="false">IF('Project Register'!$D35="","",'Project Register'!$AC35)</f>
        <v/>
      </c>
      <c r="O954" s="79"/>
    </row>
    <row r="955" customFormat="false" ht="2.25" hidden="false" customHeight="true" outlineLevel="0" collapsed="false"/>
    <row r="956" customFormat="false" ht="15.75" hidden="false" customHeight="true" outlineLevel="0" collapsed="false">
      <c r="B956" s="76" t="s">
        <v>268</v>
      </c>
      <c r="C956" s="76"/>
      <c r="D956" s="76"/>
      <c r="E956" s="76"/>
      <c r="F956" s="76"/>
      <c r="G956" s="76"/>
      <c r="H956" s="76"/>
      <c r="I956" s="76"/>
      <c r="J956" s="76"/>
      <c r="K956" s="76"/>
      <c r="L956" s="76"/>
      <c r="M956" s="76"/>
      <c r="N956" s="76"/>
      <c r="O956" s="76"/>
    </row>
    <row r="957" customFormat="false" ht="13.5" hidden="false" customHeight="true" outlineLevel="0" collapsed="false">
      <c r="B957" s="80" t="s">
        <v>269</v>
      </c>
      <c r="C957" s="80"/>
      <c r="D957" s="80"/>
      <c r="E957" s="80"/>
      <c r="F957" s="80"/>
      <c r="G957" s="80"/>
      <c r="H957" s="29" t="s">
        <v>145</v>
      </c>
      <c r="I957" s="29"/>
      <c r="J957" s="29"/>
      <c r="K957" s="83" t="s">
        <v>270</v>
      </c>
      <c r="L957" s="83"/>
      <c r="M957" s="83"/>
      <c r="N957" s="83"/>
      <c r="O957" s="83"/>
    </row>
    <row r="958" customFormat="false" ht="13.5" hidden="false" customHeight="true" outlineLevel="0" collapsed="false">
      <c r="B958" s="75" t="str">
        <f aca="false">IF('Project Register'!$D35="","",IF('Project Register'!$AF35="","-",'Project Register'!$AF35))</f>
        <v/>
      </c>
      <c r="C958" s="75"/>
      <c r="D958" s="75"/>
      <c r="E958" s="75"/>
      <c r="F958" s="75"/>
      <c r="G958" s="75"/>
      <c r="H958" s="84" t="str">
        <f aca="false">IF('Project Register'!$D35="","",'Project Register'!$AG35)</f>
        <v/>
      </c>
      <c r="I958" s="84"/>
      <c r="J958" s="84"/>
      <c r="K958" s="78" t="str">
        <f aca="false">IF('Project Register'!$D35="","",'Project Register'!$AD35*'Project Register'!$AG35)</f>
        <v/>
      </c>
      <c r="L958" s="78"/>
      <c r="M958" s="78"/>
      <c r="N958" s="78"/>
      <c r="O958" s="78"/>
    </row>
    <row r="959" customFormat="false" ht="13.5" hidden="false" customHeight="true" outlineLevel="0" collapsed="false">
      <c r="B959" s="75" t="str">
        <f aca="false">IF('Project Register'!$D35="","",IF('Project Register'!$AH35="","-",'Project Register'!$AH35))</f>
        <v/>
      </c>
      <c r="C959" s="75"/>
      <c r="D959" s="75"/>
      <c r="E959" s="75"/>
      <c r="F959" s="75"/>
      <c r="G959" s="75"/>
      <c r="H959" s="84" t="str">
        <f aca="false">IF('Project Register'!$D35="","",'Project Register'!$AI35)</f>
        <v/>
      </c>
      <c r="I959" s="84"/>
      <c r="J959" s="84"/>
      <c r="K959" s="78" t="str">
        <f aca="false">IF('Project Register'!$D35="","",'Project Register'!$AD35*'Project Register'!$AI35)</f>
        <v/>
      </c>
      <c r="L959" s="78"/>
      <c r="M959" s="78"/>
      <c r="N959" s="78"/>
      <c r="O959" s="78"/>
    </row>
    <row r="960" customFormat="false" ht="13.5" hidden="false" customHeight="true" outlineLevel="0" collapsed="false">
      <c r="B960" s="85" t="s">
        <v>271</v>
      </c>
      <c r="C960" s="85"/>
      <c r="D960" s="85"/>
      <c r="E960" s="85"/>
      <c r="F960" s="85"/>
      <c r="G960" s="85"/>
      <c r="H960" s="86" t="str">
        <f aca="false">IF('Project Register'!$D35="","",'Project Register'!$AJ35)</f>
        <v/>
      </c>
      <c r="I960" s="86"/>
      <c r="J960" s="86"/>
      <c r="K960" s="79" t="str">
        <f aca="false">IF('Project Register'!$D35="","",'Project Register'!$AL35)</f>
        <v/>
      </c>
      <c r="L960" s="79"/>
      <c r="M960" s="79"/>
      <c r="N960" s="79"/>
      <c r="O960" s="79"/>
    </row>
    <row r="961" customFormat="false" ht="2.25" hidden="false" customHeight="true" outlineLevel="0" collapsed="false"/>
    <row r="962" customFormat="false" ht="15.75" hidden="false" customHeight="true" outlineLevel="0" collapsed="false">
      <c r="B962" s="76" t="s">
        <v>272</v>
      </c>
      <c r="C962" s="76"/>
      <c r="D962" s="76"/>
      <c r="E962" s="76"/>
      <c r="F962" s="76"/>
      <c r="G962" s="76"/>
      <c r="H962" s="76"/>
      <c r="I962" s="76"/>
      <c r="J962" s="76"/>
      <c r="K962" s="76"/>
      <c r="L962" s="76"/>
      <c r="M962" s="76"/>
      <c r="N962" s="76"/>
      <c r="O962" s="76"/>
    </row>
    <row r="963" customFormat="false" ht="17.25" hidden="false" customHeight="true" outlineLevel="0" collapsed="false">
      <c r="B963" s="74" t="s">
        <v>243</v>
      </c>
      <c r="C963" s="74"/>
      <c r="D963" s="87" t="str">
        <f aca="false">IF('Project Register'!$D35="","",Prioritisation!$O35)</f>
        <v/>
      </c>
      <c r="E963" s="87"/>
      <c r="F963" s="74" t="s">
        <v>273</v>
      </c>
      <c r="G963" s="74"/>
      <c r="H963" s="74"/>
      <c r="I963" s="88" t="str">
        <f aca="false">IF('Project Register'!$D35="","",TEXT(Prioritisation!$P35,"0")&amp;" of "&amp;TEXT(COUNTIF('Project Register'!$C$9:$C$38,"?*"),"0"))</f>
        <v/>
      </c>
      <c r="J963" s="88"/>
      <c r="K963" s="82" t="s">
        <v>245</v>
      </c>
      <c r="L963" s="82"/>
      <c r="M963" s="89" t="str">
        <f aca="false">IF('Project Register'!$D35="","",Prioritisation!$Q35)</f>
        <v/>
      </c>
      <c r="N963" s="89"/>
      <c r="O963" s="89"/>
    </row>
    <row r="964" customFormat="false" ht="2.25" hidden="false" customHeight="true" outlineLevel="0" collapsed="false"/>
    <row r="965" customFormat="false" ht="15.75" hidden="false" customHeight="true" outlineLevel="0" collapsed="false">
      <c r="B965" s="76" t="s">
        <v>274</v>
      </c>
      <c r="C965" s="76"/>
      <c r="D965" s="76"/>
      <c r="E965" s="76"/>
      <c r="F965" s="76"/>
      <c r="G965" s="76"/>
      <c r="H965" s="76"/>
      <c r="I965" s="76"/>
      <c r="J965" s="76"/>
      <c r="K965" s="76"/>
      <c r="L965" s="76"/>
      <c r="M965" s="76"/>
      <c r="N965" s="76"/>
      <c r="O965" s="76"/>
    </row>
    <row r="966" customFormat="false" ht="35.25" hidden="false" customHeight="true" outlineLevel="0" collapsed="false">
      <c r="B966" s="90" t="s">
        <v>275</v>
      </c>
      <c r="C966" s="90"/>
      <c r="D966" s="90"/>
      <c r="E966" s="91"/>
      <c r="F966" s="91"/>
      <c r="G966" s="91"/>
      <c r="H966" s="91"/>
      <c r="I966" s="91"/>
      <c r="J966" s="91"/>
      <c r="K966" s="91"/>
      <c r="L966" s="91"/>
      <c r="M966" s="91"/>
      <c r="N966" s="91"/>
      <c r="O966" s="91"/>
    </row>
    <row r="967" customFormat="false" ht="35.25" hidden="false" customHeight="true" outlineLevel="0" collapsed="false">
      <c r="B967" s="90" t="s">
        <v>277</v>
      </c>
      <c r="C967" s="90"/>
      <c r="D967" s="90"/>
      <c r="E967" s="91"/>
      <c r="F967" s="91"/>
      <c r="G967" s="91"/>
      <c r="H967" s="91"/>
      <c r="I967" s="91"/>
      <c r="J967" s="91"/>
      <c r="K967" s="91"/>
      <c r="L967" s="91"/>
      <c r="M967" s="91"/>
      <c r="N967" s="91"/>
      <c r="O967" s="91"/>
    </row>
    <row r="968" customFormat="false" ht="35.25" hidden="false" customHeight="true" outlineLevel="0" collapsed="false">
      <c r="B968" s="90" t="s">
        <v>279</v>
      </c>
      <c r="C968" s="90"/>
      <c r="D968" s="90"/>
      <c r="E968" s="91"/>
      <c r="F968" s="91"/>
      <c r="G968" s="91"/>
      <c r="H968" s="91"/>
      <c r="I968" s="91"/>
      <c r="J968" s="91"/>
      <c r="K968" s="91"/>
      <c r="L968" s="91"/>
      <c r="M968" s="91"/>
      <c r="N968" s="91"/>
      <c r="O968" s="91"/>
    </row>
    <row r="969" customFormat="false" ht="35.25" hidden="false" customHeight="true" outlineLevel="0" collapsed="false">
      <c r="B969" s="90" t="s">
        <v>281</v>
      </c>
      <c r="C969" s="90"/>
      <c r="D969" s="90"/>
      <c r="E969" s="91"/>
      <c r="F969" s="91"/>
      <c r="G969" s="91"/>
      <c r="H969" s="91"/>
      <c r="I969" s="91"/>
      <c r="J969" s="91"/>
      <c r="K969" s="91"/>
      <c r="L969" s="91"/>
      <c r="M969" s="91"/>
      <c r="N969" s="91"/>
      <c r="O969" s="91"/>
    </row>
    <row r="970" customFormat="false" ht="35.25" hidden="false" customHeight="true" outlineLevel="0" collapsed="false">
      <c r="B970" s="90" t="s">
        <v>283</v>
      </c>
      <c r="C970" s="90"/>
      <c r="D970" s="90"/>
      <c r="E970" s="91"/>
      <c r="F970" s="91"/>
      <c r="G970" s="91"/>
      <c r="H970" s="91"/>
      <c r="I970" s="91"/>
      <c r="J970" s="91"/>
      <c r="K970" s="91"/>
      <c r="L970" s="91"/>
      <c r="M970" s="91"/>
      <c r="N970" s="91"/>
      <c r="O970" s="91"/>
    </row>
    <row r="971" customFormat="false" ht="35.25" hidden="false" customHeight="true" outlineLevel="0" collapsed="false">
      <c r="B971" s="90" t="s">
        <v>285</v>
      </c>
      <c r="C971" s="90"/>
      <c r="D971" s="90"/>
      <c r="E971" s="91"/>
      <c r="F971" s="91"/>
      <c r="G971" s="91"/>
      <c r="H971" s="91"/>
      <c r="I971" s="91"/>
      <c r="J971" s="91"/>
      <c r="K971" s="91"/>
      <c r="L971" s="91"/>
      <c r="M971" s="91"/>
      <c r="N971" s="91"/>
      <c r="O971" s="91"/>
    </row>
    <row r="972" customFormat="false" ht="35.25" hidden="false" customHeight="true" outlineLevel="0" collapsed="false">
      <c r="B972" s="90" t="s">
        <v>287</v>
      </c>
      <c r="C972" s="90"/>
      <c r="D972" s="90"/>
      <c r="E972" s="91"/>
      <c r="F972" s="91"/>
      <c r="G972" s="91"/>
      <c r="H972" s="91"/>
      <c r="I972" s="91"/>
      <c r="J972" s="91"/>
      <c r="K972" s="91"/>
      <c r="L972" s="91"/>
      <c r="M972" s="91"/>
      <c r="N972" s="91"/>
      <c r="O972" s="91"/>
    </row>
    <row r="973" customFormat="false" ht="35.25" hidden="false" customHeight="true" outlineLevel="0" collapsed="false">
      <c r="B973" s="90" t="s">
        <v>289</v>
      </c>
      <c r="C973" s="90"/>
      <c r="D973" s="90"/>
      <c r="E973" s="91"/>
      <c r="F973" s="91"/>
      <c r="G973" s="91"/>
      <c r="H973" s="91"/>
      <c r="I973" s="91"/>
      <c r="J973" s="91"/>
      <c r="K973" s="91"/>
      <c r="L973" s="91"/>
      <c r="M973" s="91"/>
      <c r="N973" s="91"/>
      <c r="O973" s="91"/>
    </row>
    <row r="974" customFormat="false" ht="35.25" hidden="false" customHeight="true" outlineLevel="0" collapsed="false">
      <c r="B974" s="90" t="s">
        <v>291</v>
      </c>
      <c r="C974" s="90"/>
      <c r="D974" s="90"/>
      <c r="E974" s="91"/>
      <c r="F974" s="91"/>
      <c r="G974" s="91"/>
      <c r="H974" s="91"/>
      <c r="I974" s="91"/>
      <c r="J974" s="91"/>
      <c r="K974" s="91"/>
      <c r="L974" s="91"/>
      <c r="M974" s="91"/>
      <c r="N974" s="91"/>
      <c r="O974" s="91"/>
    </row>
    <row r="975" customFormat="false" ht="35.25" hidden="false" customHeight="true" outlineLevel="0" collapsed="false">
      <c r="B975" s="90" t="s">
        <v>293</v>
      </c>
      <c r="C975" s="90"/>
      <c r="D975" s="90"/>
      <c r="E975" s="91"/>
      <c r="F975" s="91"/>
      <c r="G975" s="91"/>
      <c r="H975" s="91"/>
      <c r="I975" s="91"/>
      <c r="J975" s="91"/>
      <c r="K975" s="91"/>
      <c r="L975" s="91"/>
      <c r="M975" s="91"/>
      <c r="N975" s="91"/>
      <c r="O975" s="91"/>
    </row>
    <row r="976" customFormat="false" ht="11.25" hidden="false" customHeight="true" outlineLevel="0" collapsed="false">
      <c r="B976" s="15" t="s">
        <v>295</v>
      </c>
      <c r="C976" s="15"/>
      <c r="D976" s="15"/>
      <c r="E976" s="15"/>
      <c r="F976" s="15"/>
      <c r="G976" s="15"/>
      <c r="H976" s="15"/>
      <c r="I976" s="15"/>
      <c r="J976" s="15"/>
      <c r="K976" s="15"/>
      <c r="L976" s="16" t="s">
        <v>40</v>
      </c>
      <c r="M976" s="16"/>
      <c r="N976" s="16"/>
      <c r="O976" s="16"/>
    </row>
    <row r="977" customFormat="false" ht="3" hidden="false" customHeight="true" outlineLevel="0" collapsed="false"/>
    <row r="978" customFormat="false" ht="27.75" hidden="false" customHeight="true" outlineLevel="0" collapsed="false">
      <c r="B978" s="57" t="s">
        <v>259</v>
      </c>
      <c r="C978" s="57"/>
      <c r="D978" s="57"/>
      <c r="E978" s="57"/>
      <c r="F978" s="69" t="str">
        <f aca="false">IF('Project Register'!$D36="","",'Project Register'!$C36)</f>
        <v/>
      </c>
      <c r="G978" s="69"/>
      <c r="H978" s="70" t="str">
        <f aca="false">IF('Project Register'!$D36="","",'Project Register'!$D36)</f>
        <v/>
      </c>
      <c r="I978" s="70"/>
      <c r="J978" s="70"/>
      <c r="K978" s="70"/>
      <c r="L978" s="70"/>
      <c r="M978" s="70"/>
      <c r="N978" s="70"/>
      <c r="O978" s="70"/>
      <c r="R978" s="71" t="str">
        <f aca="false">IF('Project Register'!$D36="","",'Project Register'!$C36)</f>
        <v/>
      </c>
      <c r="S978" s="72" t="n">
        <f aca="false">COUNTIF($E$1002:$E$1011,"?*")</f>
        <v>0</v>
      </c>
    </row>
    <row r="979" customFormat="false" ht="24.75" hidden="false" customHeight="true" outlineLevel="0" collapsed="false">
      <c r="B979" s="73" t="str">
        <f aca="false">IF('Project Register'!$D36="","No project on register row 28. Fill that row in on the Project Register and this block writes its own heading.",'Project Register'!$E36)</f>
        <v>No project on register row 28. Fill that row in on the Project Register and this block writes its own heading.</v>
      </c>
      <c r="C979" s="73"/>
      <c r="D979" s="73"/>
      <c r="E979" s="73"/>
      <c r="F979" s="73"/>
      <c r="G979" s="73"/>
      <c r="H979" s="73"/>
      <c r="I979" s="73"/>
      <c r="J979" s="73"/>
      <c r="K979" s="73"/>
      <c r="L979" s="73"/>
      <c r="M979" s="73"/>
      <c r="N979" s="73"/>
      <c r="O979" s="73"/>
    </row>
    <row r="980" customFormat="false" ht="13.5" hidden="false" customHeight="true" outlineLevel="0" collapsed="false">
      <c r="B980" s="74" t="s">
        <v>130</v>
      </c>
      <c r="C980" s="74"/>
      <c r="D980" s="74"/>
      <c r="E980" s="75" t="str">
        <f aca="false">IF('Project Register'!$D36="","",'Project Register'!$F36)</f>
        <v/>
      </c>
      <c r="F980" s="75"/>
      <c r="G980" s="75"/>
      <c r="H980" s="75"/>
      <c r="I980" s="74" t="s">
        <v>131</v>
      </c>
      <c r="J980" s="74"/>
      <c r="K980" s="74"/>
      <c r="L980" s="75" t="str">
        <f aca="false">IF('Project Register'!$D36="","",'Project Register'!$G36)</f>
        <v/>
      </c>
      <c r="M980" s="75"/>
      <c r="N980" s="75"/>
      <c r="O980" s="75"/>
    </row>
    <row r="981" customFormat="false" ht="13.5" hidden="false" customHeight="true" outlineLevel="0" collapsed="false">
      <c r="B981" s="74" t="s">
        <v>132</v>
      </c>
      <c r="C981" s="74"/>
      <c r="D981" s="74"/>
      <c r="E981" s="75" t="str">
        <f aca="false">IF('Project Register'!$D36="","",'Project Register'!$H36)</f>
        <v/>
      </c>
      <c r="F981" s="75"/>
      <c r="G981" s="75"/>
      <c r="H981" s="75"/>
      <c r="I981" s="74" t="s">
        <v>135</v>
      </c>
      <c r="J981" s="74"/>
      <c r="K981" s="74"/>
      <c r="L981" s="75" t="str">
        <f aca="false">IF('Project Register'!$D36="","",'Project Register'!$K36)</f>
        <v/>
      </c>
      <c r="M981" s="75"/>
      <c r="N981" s="75"/>
      <c r="O981" s="75"/>
    </row>
    <row r="982" customFormat="false" ht="13.5" hidden="false" customHeight="true" outlineLevel="0" collapsed="false">
      <c r="B982" s="74" t="s">
        <v>260</v>
      </c>
      <c r="C982" s="74"/>
      <c r="D982" s="74"/>
      <c r="E982" s="75" t="str">
        <f aca="false">IF('Project Register'!$D36="","",'Project Register'!$I36)</f>
        <v/>
      </c>
      <c r="F982" s="75"/>
      <c r="G982" s="75"/>
      <c r="H982" s="75"/>
      <c r="I982" s="74" t="s">
        <v>134</v>
      </c>
      <c r="J982" s="74"/>
      <c r="K982" s="74"/>
      <c r="L982" s="75" t="str">
        <f aca="false">IF('Project Register'!$D36="","",'Project Register'!$J36)</f>
        <v/>
      </c>
      <c r="M982" s="75"/>
      <c r="N982" s="75"/>
      <c r="O982" s="75"/>
    </row>
    <row r="983" customFormat="false" ht="2.25" hidden="false" customHeight="true" outlineLevel="0" collapsed="false"/>
    <row r="984" customFormat="false" ht="15.75" hidden="false" customHeight="true" outlineLevel="0" collapsed="false">
      <c r="B984" s="76" t="s">
        <v>117</v>
      </c>
      <c r="C984" s="76"/>
      <c r="D984" s="76"/>
      <c r="E984" s="76"/>
      <c r="F984" s="76"/>
      <c r="G984" s="76"/>
      <c r="H984" s="76"/>
      <c r="I984" s="76"/>
      <c r="J984" s="76"/>
      <c r="K984" s="76"/>
      <c r="L984" s="76"/>
      <c r="M984" s="76"/>
      <c r="N984" s="76"/>
      <c r="O984" s="76"/>
    </row>
    <row r="985" customFormat="false" ht="17.25" hidden="false" customHeight="true" outlineLevel="0" collapsed="false">
      <c r="B985" s="74" t="s">
        <v>136</v>
      </c>
      <c r="C985" s="74"/>
      <c r="D985" s="74"/>
      <c r="E985" s="74"/>
      <c r="F985" s="77" t="str">
        <f aca="false">IF('Project Register'!$D36="","",'Project Register'!$L36)</f>
        <v/>
      </c>
      <c r="G985" s="77"/>
      <c r="H985" s="77"/>
      <c r="I985" s="74" t="s">
        <v>137</v>
      </c>
      <c r="J985" s="74"/>
      <c r="K985" s="74"/>
      <c r="L985" s="74"/>
      <c r="M985" s="77" t="str">
        <f aca="false">IF('Project Register'!$D36="","",'Project Register'!$M36)</f>
        <v/>
      </c>
      <c r="N985" s="77"/>
      <c r="O985" s="77"/>
    </row>
    <row r="986" customFormat="false" ht="13.5" hidden="false" customHeight="true" outlineLevel="0" collapsed="false">
      <c r="B986" s="74" t="s">
        <v>261</v>
      </c>
      <c r="C986" s="74"/>
      <c r="D986" s="74"/>
      <c r="E986" s="74"/>
      <c r="F986" s="78" t="str">
        <f aca="false">IF('Project Register'!$D36="","",'Project Register'!$N36)</f>
        <v/>
      </c>
      <c r="G986" s="78"/>
      <c r="H986" s="78"/>
      <c r="I986" s="74" t="s">
        <v>262</v>
      </c>
      <c r="J986" s="74"/>
      <c r="K986" s="74"/>
      <c r="L986" s="74"/>
      <c r="M986" s="79" t="str">
        <f aca="false">IF('Project Register'!$D36="","",'Project Register'!$AD36)</f>
        <v/>
      </c>
      <c r="N986" s="79"/>
      <c r="O986" s="79"/>
    </row>
    <row r="987" customFormat="false" ht="13.5" hidden="false" customHeight="true" outlineLevel="0" collapsed="false">
      <c r="B987" s="74" t="s">
        <v>263</v>
      </c>
      <c r="C987" s="74"/>
      <c r="D987" s="74"/>
      <c r="E987" s="74"/>
      <c r="F987" s="78" t="str">
        <f aca="false">IF('Project Register'!$D36="","",'Project Register'!$AC36)</f>
        <v/>
      </c>
      <c r="G987" s="78"/>
      <c r="H987" s="78"/>
      <c r="I987" s="74" t="s">
        <v>264</v>
      </c>
      <c r="J987" s="74"/>
      <c r="K987" s="74"/>
      <c r="L987" s="74"/>
      <c r="M987" s="78" t="str">
        <f aca="false">IF('Project Register'!$D36="","",'Project Register'!$AE36)</f>
        <v/>
      </c>
      <c r="N987" s="78"/>
      <c r="O987" s="78"/>
    </row>
    <row r="988" customFormat="false" ht="13.5" hidden="false" customHeight="true" outlineLevel="0" collapsed="false">
      <c r="B988" s="80" t="s">
        <v>265</v>
      </c>
      <c r="C988" s="80"/>
      <c r="D988" s="81" t="str">
        <f aca="false">Setup!$C$23</f>
        <v>FY2027</v>
      </c>
      <c r="E988" s="81"/>
      <c r="F988" s="81" t="str">
        <f aca="false">Setup!$D$23</f>
        <v>FY2028</v>
      </c>
      <c r="G988" s="81"/>
      <c r="H988" s="81" t="str">
        <f aca="false">Setup!$E$23</f>
        <v>FY2029</v>
      </c>
      <c r="I988" s="81"/>
      <c r="J988" s="81" t="str">
        <f aca="false">Setup!$F$23</f>
        <v>FY2030</v>
      </c>
      <c r="K988" s="81"/>
      <c r="L988" s="81" t="str">
        <f aca="false">Setup!$G$23</f>
        <v>FY2031</v>
      </c>
      <c r="M988" s="81"/>
      <c r="N988" s="81" t="str">
        <f aca="false">Setup!$H$23</f>
        <v>Beyond FY2031</v>
      </c>
      <c r="O988" s="81"/>
    </row>
    <row r="989" customFormat="false" ht="13.5" hidden="false" customHeight="true" outlineLevel="0" collapsed="false">
      <c r="B989" s="82" t="s">
        <v>266</v>
      </c>
      <c r="C989" s="82"/>
      <c r="D989" s="78" t="str">
        <f aca="false">IF('Project Register'!$D36="","",'Project Register'!$O36)</f>
        <v/>
      </c>
      <c r="E989" s="78"/>
      <c r="F989" s="78" t="str">
        <f aca="false">IF('Project Register'!$D36="","",'Project Register'!$P36)</f>
        <v/>
      </c>
      <c r="G989" s="78"/>
      <c r="H989" s="78" t="str">
        <f aca="false">IF('Project Register'!$D36="","",'Project Register'!$Q36)</f>
        <v/>
      </c>
      <c r="I989" s="78"/>
      <c r="J989" s="78" t="str">
        <f aca="false">IF('Project Register'!$D36="","",'Project Register'!$R36)</f>
        <v/>
      </c>
      <c r="K989" s="78"/>
      <c r="L989" s="78" t="str">
        <f aca="false">IF('Project Register'!$D36="","",'Project Register'!$S36)</f>
        <v/>
      </c>
      <c r="M989" s="78"/>
      <c r="N989" s="78" t="str">
        <f aca="false">IF('Project Register'!$D36="","",'Project Register'!$T36)</f>
        <v/>
      </c>
      <c r="O989" s="78"/>
    </row>
    <row r="990" customFormat="false" ht="13.5" hidden="false" customHeight="true" outlineLevel="0" collapsed="false">
      <c r="B990" s="82" t="s">
        <v>267</v>
      </c>
      <c r="C990" s="82"/>
      <c r="D990" s="79" t="str">
        <f aca="false">IF('Project Register'!$D36="","",'Project Register'!$X36)</f>
        <v/>
      </c>
      <c r="E990" s="79"/>
      <c r="F990" s="79" t="str">
        <f aca="false">IF('Project Register'!$D36="","",'Project Register'!$Y36)</f>
        <v/>
      </c>
      <c r="G990" s="79"/>
      <c r="H990" s="79" t="str">
        <f aca="false">IF('Project Register'!$D36="","",'Project Register'!$Z36)</f>
        <v/>
      </c>
      <c r="I990" s="79"/>
      <c r="J990" s="79" t="str">
        <f aca="false">IF('Project Register'!$D36="","",'Project Register'!$AA36)</f>
        <v/>
      </c>
      <c r="K990" s="79"/>
      <c r="L990" s="79" t="str">
        <f aca="false">IF('Project Register'!$D36="","",'Project Register'!$AB36)</f>
        <v/>
      </c>
      <c r="M990" s="79"/>
      <c r="N990" s="79" t="str">
        <f aca="false">IF('Project Register'!$D36="","",'Project Register'!$AC36)</f>
        <v/>
      </c>
      <c r="O990" s="79"/>
    </row>
    <row r="991" customFormat="false" ht="2.25" hidden="false" customHeight="true" outlineLevel="0" collapsed="false"/>
    <row r="992" customFormat="false" ht="15.75" hidden="false" customHeight="true" outlineLevel="0" collapsed="false">
      <c r="B992" s="76" t="s">
        <v>268</v>
      </c>
      <c r="C992" s="76"/>
      <c r="D992" s="76"/>
      <c r="E992" s="76"/>
      <c r="F992" s="76"/>
      <c r="G992" s="76"/>
      <c r="H992" s="76"/>
      <c r="I992" s="76"/>
      <c r="J992" s="76"/>
      <c r="K992" s="76"/>
      <c r="L992" s="76"/>
      <c r="M992" s="76"/>
      <c r="N992" s="76"/>
      <c r="O992" s="76"/>
    </row>
    <row r="993" customFormat="false" ht="13.5" hidden="false" customHeight="true" outlineLevel="0" collapsed="false">
      <c r="B993" s="80" t="s">
        <v>269</v>
      </c>
      <c r="C993" s="80"/>
      <c r="D993" s="80"/>
      <c r="E993" s="80"/>
      <c r="F993" s="80"/>
      <c r="G993" s="80"/>
      <c r="H993" s="29" t="s">
        <v>145</v>
      </c>
      <c r="I993" s="29"/>
      <c r="J993" s="29"/>
      <c r="K993" s="83" t="s">
        <v>270</v>
      </c>
      <c r="L993" s="83"/>
      <c r="M993" s="83"/>
      <c r="N993" s="83"/>
      <c r="O993" s="83"/>
    </row>
    <row r="994" customFormat="false" ht="13.5" hidden="false" customHeight="true" outlineLevel="0" collapsed="false">
      <c r="B994" s="75" t="str">
        <f aca="false">IF('Project Register'!$D36="","",IF('Project Register'!$AF36="","-",'Project Register'!$AF36))</f>
        <v/>
      </c>
      <c r="C994" s="75"/>
      <c r="D994" s="75"/>
      <c r="E994" s="75"/>
      <c r="F994" s="75"/>
      <c r="G994" s="75"/>
      <c r="H994" s="84" t="str">
        <f aca="false">IF('Project Register'!$D36="","",'Project Register'!$AG36)</f>
        <v/>
      </c>
      <c r="I994" s="84"/>
      <c r="J994" s="84"/>
      <c r="K994" s="78" t="str">
        <f aca="false">IF('Project Register'!$D36="","",'Project Register'!$AD36*'Project Register'!$AG36)</f>
        <v/>
      </c>
      <c r="L994" s="78"/>
      <c r="M994" s="78"/>
      <c r="N994" s="78"/>
      <c r="O994" s="78"/>
    </row>
    <row r="995" customFormat="false" ht="13.5" hidden="false" customHeight="true" outlineLevel="0" collapsed="false">
      <c r="B995" s="75" t="str">
        <f aca="false">IF('Project Register'!$D36="","",IF('Project Register'!$AH36="","-",'Project Register'!$AH36))</f>
        <v/>
      </c>
      <c r="C995" s="75"/>
      <c r="D995" s="75"/>
      <c r="E995" s="75"/>
      <c r="F995" s="75"/>
      <c r="G995" s="75"/>
      <c r="H995" s="84" t="str">
        <f aca="false">IF('Project Register'!$D36="","",'Project Register'!$AI36)</f>
        <v/>
      </c>
      <c r="I995" s="84"/>
      <c r="J995" s="84"/>
      <c r="K995" s="78" t="str">
        <f aca="false">IF('Project Register'!$D36="","",'Project Register'!$AD36*'Project Register'!$AI36)</f>
        <v/>
      </c>
      <c r="L995" s="78"/>
      <c r="M995" s="78"/>
      <c r="N995" s="78"/>
      <c r="O995" s="78"/>
    </row>
    <row r="996" customFormat="false" ht="13.5" hidden="false" customHeight="true" outlineLevel="0" collapsed="false">
      <c r="B996" s="85" t="s">
        <v>271</v>
      </c>
      <c r="C996" s="85"/>
      <c r="D996" s="85"/>
      <c r="E996" s="85"/>
      <c r="F996" s="85"/>
      <c r="G996" s="85"/>
      <c r="H996" s="86" t="str">
        <f aca="false">IF('Project Register'!$D36="","",'Project Register'!$AJ36)</f>
        <v/>
      </c>
      <c r="I996" s="86"/>
      <c r="J996" s="86"/>
      <c r="K996" s="79" t="str">
        <f aca="false">IF('Project Register'!$D36="","",'Project Register'!$AL36)</f>
        <v/>
      </c>
      <c r="L996" s="79"/>
      <c r="M996" s="79"/>
      <c r="N996" s="79"/>
      <c r="O996" s="79"/>
    </row>
    <row r="997" customFormat="false" ht="2.25" hidden="false" customHeight="true" outlineLevel="0" collapsed="false"/>
    <row r="998" customFormat="false" ht="15.75" hidden="false" customHeight="true" outlineLevel="0" collapsed="false">
      <c r="B998" s="76" t="s">
        <v>272</v>
      </c>
      <c r="C998" s="76"/>
      <c r="D998" s="76"/>
      <c r="E998" s="76"/>
      <c r="F998" s="76"/>
      <c r="G998" s="76"/>
      <c r="H998" s="76"/>
      <c r="I998" s="76"/>
      <c r="J998" s="76"/>
      <c r="K998" s="76"/>
      <c r="L998" s="76"/>
      <c r="M998" s="76"/>
      <c r="N998" s="76"/>
      <c r="O998" s="76"/>
    </row>
    <row r="999" customFormat="false" ht="17.25" hidden="false" customHeight="true" outlineLevel="0" collapsed="false">
      <c r="B999" s="74" t="s">
        <v>243</v>
      </c>
      <c r="C999" s="74"/>
      <c r="D999" s="87" t="str">
        <f aca="false">IF('Project Register'!$D36="","",Prioritisation!$O36)</f>
        <v/>
      </c>
      <c r="E999" s="87"/>
      <c r="F999" s="74" t="s">
        <v>273</v>
      </c>
      <c r="G999" s="74"/>
      <c r="H999" s="74"/>
      <c r="I999" s="88" t="str">
        <f aca="false">IF('Project Register'!$D36="","",TEXT(Prioritisation!$P36,"0")&amp;" of "&amp;TEXT(COUNTIF('Project Register'!$C$9:$C$38,"?*"),"0"))</f>
        <v/>
      </c>
      <c r="J999" s="88"/>
      <c r="K999" s="82" t="s">
        <v>245</v>
      </c>
      <c r="L999" s="82"/>
      <c r="M999" s="89" t="str">
        <f aca="false">IF('Project Register'!$D36="","",Prioritisation!$Q36)</f>
        <v/>
      </c>
      <c r="N999" s="89"/>
      <c r="O999" s="89"/>
    </row>
    <row r="1000" customFormat="false" ht="2.25" hidden="false" customHeight="true" outlineLevel="0" collapsed="false"/>
    <row r="1001" customFormat="false" ht="15.75" hidden="false" customHeight="true" outlineLevel="0" collapsed="false">
      <c r="B1001" s="76" t="s">
        <v>274</v>
      </c>
      <c r="C1001" s="76"/>
      <c r="D1001" s="76"/>
      <c r="E1001" s="76"/>
      <c r="F1001" s="76"/>
      <c r="G1001" s="76"/>
      <c r="H1001" s="76"/>
      <c r="I1001" s="76"/>
      <c r="J1001" s="76"/>
      <c r="K1001" s="76"/>
      <c r="L1001" s="76"/>
      <c r="M1001" s="76"/>
      <c r="N1001" s="76"/>
      <c r="O1001" s="76"/>
    </row>
    <row r="1002" customFormat="false" ht="35.25" hidden="false" customHeight="true" outlineLevel="0" collapsed="false">
      <c r="B1002" s="90" t="s">
        <v>275</v>
      </c>
      <c r="C1002" s="90"/>
      <c r="D1002" s="90"/>
      <c r="E1002" s="91"/>
      <c r="F1002" s="91"/>
      <c r="G1002" s="91"/>
      <c r="H1002" s="91"/>
      <c r="I1002" s="91"/>
      <c r="J1002" s="91"/>
      <c r="K1002" s="91"/>
      <c r="L1002" s="91"/>
      <c r="M1002" s="91"/>
      <c r="N1002" s="91"/>
      <c r="O1002" s="91"/>
    </row>
    <row r="1003" customFormat="false" ht="35.25" hidden="false" customHeight="true" outlineLevel="0" collapsed="false">
      <c r="B1003" s="90" t="s">
        <v>277</v>
      </c>
      <c r="C1003" s="90"/>
      <c r="D1003" s="90"/>
      <c r="E1003" s="91"/>
      <c r="F1003" s="91"/>
      <c r="G1003" s="91"/>
      <c r="H1003" s="91"/>
      <c r="I1003" s="91"/>
      <c r="J1003" s="91"/>
      <c r="K1003" s="91"/>
      <c r="L1003" s="91"/>
      <c r="M1003" s="91"/>
      <c r="N1003" s="91"/>
      <c r="O1003" s="91"/>
    </row>
    <row r="1004" customFormat="false" ht="35.25" hidden="false" customHeight="true" outlineLevel="0" collapsed="false">
      <c r="B1004" s="90" t="s">
        <v>279</v>
      </c>
      <c r="C1004" s="90"/>
      <c r="D1004" s="90"/>
      <c r="E1004" s="91"/>
      <c r="F1004" s="91"/>
      <c r="G1004" s="91"/>
      <c r="H1004" s="91"/>
      <c r="I1004" s="91"/>
      <c r="J1004" s="91"/>
      <c r="K1004" s="91"/>
      <c r="L1004" s="91"/>
      <c r="M1004" s="91"/>
      <c r="N1004" s="91"/>
      <c r="O1004" s="91"/>
    </row>
    <row r="1005" customFormat="false" ht="35.25" hidden="false" customHeight="true" outlineLevel="0" collapsed="false">
      <c r="B1005" s="90" t="s">
        <v>281</v>
      </c>
      <c r="C1005" s="90"/>
      <c r="D1005" s="90"/>
      <c r="E1005" s="91"/>
      <c r="F1005" s="91"/>
      <c r="G1005" s="91"/>
      <c r="H1005" s="91"/>
      <c r="I1005" s="91"/>
      <c r="J1005" s="91"/>
      <c r="K1005" s="91"/>
      <c r="L1005" s="91"/>
      <c r="M1005" s="91"/>
      <c r="N1005" s="91"/>
      <c r="O1005" s="91"/>
    </row>
    <row r="1006" customFormat="false" ht="35.25" hidden="false" customHeight="true" outlineLevel="0" collapsed="false">
      <c r="B1006" s="90" t="s">
        <v>283</v>
      </c>
      <c r="C1006" s="90"/>
      <c r="D1006" s="90"/>
      <c r="E1006" s="91"/>
      <c r="F1006" s="91"/>
      <c r="G1006" s="91"/>
      <c r="H1006" s="91"/>
      <c r="I1006" s="91"/>
      <c r="J1006" s="91"/>
      <c r="K1006" s="91"/>
      <c r="L1006" s="91"/>
      <c r="M1006" s="91"/>
      <c r="N1006" s="91"/>
      <c r="O1006" s="91"/>
    </row>
    <row r="1007" customFormat="false" ht="35.25" hidden="false" customHeight="true" outlineLevel="0" collapsed="false">
      <c r="B1007" s="90" t="s">
        <v>285</v>
      </c>
      <c r="C1007" s="90"/>
      <c r="D1007" s="90"/>
      <c r="E1007" s="91"/>
      <c r="F1007" s="91"/>
      <c r="G1007" s="91"/>
      <c r="H1007" s="91"/>
      <c r="I1007" s="91"/>
      <c r="J1007" s="91"/>
      <c r="K1007" s="91"/>
      <c r="L1007" s="91"/>
      <c r="M1007" s="91"/>
      <c r="N1007" s="91"/>
      <c r="O1007" s="91"/>
    </row>
    <row r="1008" customFormat="false" ht="35.25" hidden="false" customHeight="true" outlineLevel="0" collapsed="false">
      <c r="B1008" s="90" t="s">
        <v>287</v>
      </c>
      <c r="C1008" s="90"/>
      <c r="D1008" s="90"/>
      <c r="E1008" s="91"/>
      <c r="F1008" s="91"/>
      <c r="G1008" s="91"/>
      <c r="H1008" s="91"/>
      <c r="I1008" s="91"/>
      <c r="J1008" s="91"/>
      <c r="K1008" s="91"/>
      <c r="L1008" s="91"/>
      <c r="M1008" s="91"/>
      <c r="N1008" s="91"/>
      <c r="O1008" s="91"/>
    </row>
    <row r="1009" customFormat="false" ht="35.25" hidden="false" customHeight="true" outlineLevel="0" collapsed="false">
      <c r="B1009" s="90" t="s">
        <v>289</v>
      </c>
      <c r="C1009" s="90"/>
      <c r="D1009" s="90"/>
      <c r="E1009" s="91"/>
      <c r="F1009" s="91"/>
      <c r="G1009" s="91"/>
      <c r="H1009" s="91"/>
      <c r="I1009" s="91"/>
      <c r="J1009" s="91"/>
      <c r="K1009" s="91"/>
      <c r="L1009" s="91"/>
      <c r="M1009" s="91"/>
      <c r="N1009" s="91"/>
      <c r="O1009" s="91"/>
    </row>
    <row r="1010" customFormat="false" ht="35.25" hidden="false" customHeight="true" outlineLevel="0" collapsed="false">
      <c r="B1010" s="90" t="s">
        <v>291</v>
      </c>
      <c r="C1010" s="90"/>
      <c r="D1010" s="90"/>
      <c r="E1010" s="91"/>
      <c r="F1010" s="91"/>
      <c r="G1010" s="91"/>
      <c r="H1010" s="91"/>
      <c r="I1010" s="91"/>
      <c r="J1010" s="91"/>
      <c r="K1010" s="91"/>
      <c r="L1010" s="91"/>
      <c r="M1010" s="91"/>
      <c r="N1010" s="91"/>
      <c r="O1010" s="91"/>
    </row>
    <row r="1011" customFormat="false" ht="35.25" hidden="false" customHeight="true" outlineLevel="0" collapsed="false">
      <c r="B1011" s="90" t="s">
        <v>293</v>
      </c>
      <c r="C1011" s="90"/>
      <c r="D1011" s="90"/>
      <c r="E1011" s="91"/>
      <c r="F1011" s="91"/>
      <c r="G1011" s="91"/>
      <c r="H1011" s="91"/>
      <c r="I1011" s="91"/>
      <c r="J1011" s="91"/>
      <c r="K1011" s="91"/>
      <c r="L1011" s="91"/>
      <c r="M1011" s="91"/>
      <c r="N1011" s="91"/>
      <c r="O1011" s="91"/>
    </row>
    <row r="1012" customFormat="false" ht="11.25" hidden="false" customHeight="true" outlineLevel="0" collapsed="false">
      <c r="B1012" s="15" t="s">
        <v>295</v>
      </c>
      <c r="C1012" s="15"/>
      <c r="D1012" s="15"/>
      <c r="E1012" s="15"/>
      <c r="F1012" s="15"/>
      <c r="G1012" s="15"/>
      <c r="H1012" s="15"/>
      <c r="I1012" s="15"/>
      <c r="J1012" s="15"/>
      <c r="K1012" s="15"/>
      <c r="L1012" s="16" t="s">
        <v>40</v>
      </c>
      <c r="M1012" s="16"/>
      <c r="N1012" s="16"/>
      <c r="O1012" s="16"/>
    </row>
    <row r="1013" customFormat="false" ht="3" hidden="false" customHeight="true" outlineLevel="0" collapsed="false"/>
    <row r="1014" customFormat="false" ht="27.75" hidden="false" customHeight="true" outlineLevel="0" collapsed="false">
      <c r="B1014" s="57" t="s">
        <v>259</v>
      </c>
      <c r="C1014" s="57"/>
      <c r="D1014" s="57"/>
      <c r="E1014" s="57"/>
      <c r="F1014" s="69" t="str">
        <f aca="false">IF('Project Register'!$D37="","",'Project Register'!$C37)</f>
        <v/>
      </c>
      <c r="G1014" s="69"/>
      <c r="H1014" s="70" t="str">
        <f aca="false">IF('Project Register'!$D37="","",'Project Register'!$D37)</f>
        <v/>
      </c>
      <c r="I1014" s="70"/>
      <c r="J1014" s="70"/>
      <c r="K1014" s="70"/>
      <c r="L1014" s="70"/>
      <c r="M1014" s="70"/>
      <c r="N1014" s="70"/>
      <c r="O1014" s="70"/>
      <c r="R1014" s="71" t="str">
        <f aca="false">IF('Project Register'!$D37="","",'Project Register'!$C37)</f>
        <v/>
      </c>
      <c r="S1014" s="72" t="n">
        <f aca="false">COUNTIF($E$1038:$E$1047,"?*")</f>
        <v>0</v>
      </c>
    </row>
    <row r="1015" customFormat="false" ht="24.75" hidden="false" customHeight="true" outlineLevel="0" collapsed="false">
      <c r="B1015" s="73" t="str">
        <f aca="false">IF('Project Register'!$D37="","No project on register row 29. Fill that row in on the Project Register and this block writes its own heading.",'Project Register'!$E37)</f>
        <v>No project on register row 29. Fill that row in on the Project Register and this block writes its own heading.</v>
      </c>
      <c r="C1015" s="73"/>
      <c r="D1015" s="73"/>
      <c r="E1015" s="73"/>
      <c r="F1015" s="73"/>
      <c r="G1015" s="73"/>
      <c r="H1015" s="73"/>
      <c r="I1015" s="73"/>
      <c r="J1015" s="73"/>
      <c r="K1015" s="73"/>
      <c r="L1015" s="73"/>
      <c r="M1015" s="73"/>
      <c r="N1015" s="73"/>
      <c r="O1015" s="73"/>
    </row>
    <row r="1016" customFormat="false" ht="13.5" hidden="false" customHeight="true" outlineLevel="0" collapsed="false">
      <c r="B1016" s="74" t="s">
        <v>130</v>
      </c>
      <c r="C1016" s="74"/>
      <c r="D1016" s="74"/>
      <c r="E1016" s="75" t="str">
        <f aca="false">IF('Project Register'!$D37="","",'Project Register'!$F37)</f>
        <v/>
      </c>
      <c r="F1016" s="75"/>
      <c r="G1016" s="75"/>
      <c r="H1016" s="75"/>
      <c r="I1016" s="74" t="s">
        <v>131</v>
      </c>
      <c r="J1016" s="74"/>
      <c r="K1016" s="74"/>
      <c r="L1016" s="75" t="str">
        <f aca="false">IF('Project Register'!$D37="","",'Project Register'!$G37)</f>
        <v/>
      </c>
      <c r="M1016" s="75"/>
      <c r="N1016" s="75"/>
      <c r="O1016" s="75"/>
    </row>
    <row r="1017" customFormat="false" ht="13.5" hidden="false" customHeight="true" outlineLevel="0" collapsed="false">
      <c r="B1017" s="74" t="s">
        <v>132</v>
      </c>
      <c r="C1017" s="74"/>
      <c r="D1017" s="74"/>
      <c r="E1017" s="75" t="str">
        <f aca="false">IF('Project Register'!$D37="","",'Project Register'!$H37)</f>
        <v/>
      </c>
      <c r="F1017" s="75"/>
      <c r="G1017" s="75"/>
      <c r="H1017" s="75"/>
      <c r="I1017" s="74" t="s">
        <v>135</v>
      </c>
      <c r="J1017" s="74"/>
      <c r="K1017" s="74"/>
      <c r="L1017" s="75" t="str">
        <f aca="false">IF('Project Register'!$D37="","",'Project Register'!$K37)</f>
        <v/>
      </c>
      <c r="M1017" s="75"/>
      <c r="N1017" s="75"/>
      <c r="O1017" s="75"/>
    </row>
    <row r="1018" customFormat="false" ht="13.5" hidden="false" customHeight="true" outlineLevel="0" collapsed="false">
      <c r="B1018" s="74" t="s">
        <v>260</v>
      </c>
      <c r="C1018" s="74"/>
      <c r="D1018" s="74"/>
      <c r="E1018" s="75" t="str">
        <f aca="false">IF('Project Register'!$D37="","",'Project Register'!$I37)</f>
        <v/>
      </c>
      <c r="F1018" s="75"/>
      <c r="G1018" s="75"/>
      <c r="H1018" s="75"/>
      <c r="I1018" s="74" t="s">
        <v>134</v>
      </c>
      <c r="J1018" s="74"/>
      <c r="K1018" s="74"/>
      <c r="L1018" s="75" t="str">
        <f aca="false">IF('Project Register'!$D37="","",'Project Register'!$J37)</f>
        <v/>
      </c>
      <c r="M1018" s="75"/>
      <c r="N1018" s="75"/>
      <c r="O1018" s="75"/>
    </row>
    <row r="1019" customFormat="false" ht="2.25" hidden="false" customHeight="true" outlineLevel="0" collapsed="false"/>
    <row r="1020" customFormat="false" ht="15.75" hidden="false" customHeight="true" outlineLevel="0" collapsed="false">
      <c r="B1020" s="76" t="s">
        <v>117</v>
      </c>
      <c r="C1020" s="76"/>
      <c r="D1020" s="76"/>
      <c r="E1020" s="76"/>
      <c r="F1020" s="76"/>
      <c r="G1020" s="76"/>
      <c r="H1020" s="76"/>
      <c r="I1020" s="76"/>
      <c r="J1020" s="76"/>
      <c r="K1020" s="76"/>
      <c r="L1020" s="76"/>
      <c r="M1020" s="76"/>
      <c r="N1020" s="76"/>
      <c r="O1020" s="76"/>
    </row>
    <row r="1021" customFormat="false" ht="17.25" hidden="false" customHeight="true" outlineLevel="0" collapsed="false">
      <c r="B1021" s="74" t="s">
        <v>136</v>
      </c>
      <c r="C1021" s="74"/>
      <c r="D1021" s="74"/>
      <c r="E1021" s="74"/>
      <c r="F1021" s="77" t="str">
        <f aca="false">IF('Project Register'!$D37="","",'Project Register'!$L37)</f>
        <v/>
      </c>
      <c r="G1021" s="77"/>
      <c r="H1021" s="77"/>
      <c r="I1021" s="74" t="s">
        <v>137</v>
      </c>
      <c r="J1021" s="74"/>
      <c r="K1021" s="74"/>
      <c r="L1021" s="74"/>
      <c r="M1021" s="77" t="str">
        <f aca="false">IF('Project Register'!$D37="","",'Project Register'!$M37)</f>
        <v/>
      </c>
      <c r="N1021" s="77"/>
      <c r="O1021" s="77"/>
    </row>
    <row r="1022" customFormat="false" ht="13.5" hidden="false" customHeight="true" outlineLevel="0" collapsed="false">
      <c r="B1022" s="74" t="s">
        <v>261</v>
      </c>
      <c r="C1022" s="74"/>
      <c r="D1022" s="74"/>
      <c r="E1022" s="74"/>
      <c r="F1022" s="78" t="str">
        <f aca="false">IF('Project Register'!$D37="","",'Project Register'!$N37)</f>
        <v/>
      </c>
      <c r="G1022" s="78"/>
      <c r="H1022" s="78"/>
      <c r="I1022" s="74" t="s">
        <v>262</v>
      </c>
      <c r="J1022" s="74"/>
      <c r="K1022" s="74"/>
      <c r="L1022" s="74"/>
      <c r="M1022" s="79" t="str">
        <f aca="false">IF('Project Register'!$D37="","",'Project Register'!$AD37)</f>
        <v/>
      </c>
      <c r="N1022" s="79"/>
      <c r="O1022" s="79"/>
    </row>
    <row r="1023" customFormat="false" ht="13.5" hidden="false" customHeight="true" outlineLevel="0" collapsed="false">
      <c r="B1023" s="74" t="s">
        <v>263</v>
      </c>
      <c r="C1023" s="74"/>
      <c r="D1023" s="74"/>
      <c r="E1023" s="74"/>
      <c r="F1023" s="78" t="str">
        <f aca="false">IF('Project Register'!$D37="","",'Project Register'!$AC37)</f>
        <v/>
      </c>
      <c r="G1023" s="78"/>
      <c r="H1023" s="78"/>
      <c r="I1023" s="74" t="s">
        <v>264</v>
      </c>
      <c r="J1023" s="74"/>
      <c r="K1023" s="74"/>
      <c r="L1023" s="74"/>
      <c r="M1023" s="78" t="str">
        <f aca="false">IF('Project Register'!$D37="","",'Project Register'!$AE37)</f>
        <v/>
      </c>
      <c r="N1023" s="78"/>
      <c r="O1023" s="78"/>
    </row>
    <row r="1024" customFormat="false" ht="13.5" hidden="false" customHeight="true" outlineLevel="0" collapsed="false">
      <c r="B1024" s="80" t="s">
        <v>265</v>
      </c>
      <c r="C1024" s="80"/>
      <c r="D1024" s="81" t="str">
        <f aca="false">Setup!$C$23</f>
        <v>FY2027</v>
      </c>
      <c r="E1024" s="81"/>
      <c r="F1024" s="81" t="str">
        <f aca="false">Setup!$D$23</f>
        <v>FY2028</v>
      </c>
      <c r="G1024" s="81"/>
      <c r="H1024" s="81" t="str">
        <f aca="false">Setup!$E$23</f>
        <v>FY2029</v>
      </c>
      <c r="I1024" s="81"/>
      <c r="J1024" s="81" t="str">
        <f aca="false">Setup!$F$23</f>
        <v>FY2030</v>
      </c>
      <c r="K1024" s="81"/>
      <c r="L1024" s="81" t="str">
        <f aca="false">Setup!$G$23</f>
        <v>FY2031</v>
      </c>
      <c r="M1024" s="81"/>
      <c r="N1024" s="81" t="str">
        <f aca="false">Setup!$H$23</f>
        <v>Beyond FY2031</v>
      </c>
      <c r="O1024" s="81"/>
    </row>
    <row r="1025" customFormat="false" ht="13.5" hidden="false" customHeight="true" outlineLevel="0" collapsed="false">
      <c r="B1025" s="82" t="s">
        <v>266</v>
      </c>
      <c r="C1025" s="82"/>
      <c r="D1025" s="78" t="str">
        <f aca="false">IF('Project Register'!$D37="","",'Project Register'!$O37)</f>
        <v/>
      </c>
      <c r="E1025" s="78"/>
      <c r="F1025" s="78" t="str">
        <f aca="false">IF('Project Register'!$D37="","",'Project Register'!$P37)</f>
        <v/>
      </c>
      <c r="G1025" s="78"/>
      <c r="H1025" s="78" t="str">
        <f aca="false">IF('Project Register'!$D37="","",'Project Register'!$Q37)</f>
        <v/>
      </c>
      <c r="I1025" s="78"/>
      <c r="J1025" s="78" t="str">
        <f aca="false">IF('Project Register'!$D37="","",'Project Register'!$R37)</f>
        <v/>
      </c>
      <c r="K1025" s="78"/>
      <c r="L1025" s="78" t="str">
        <f aca="false">IF('Project Register'!$D37="","",'Project Register'!$S37)</f>
        <v/>
      </c>
      <c r="M1025" s="78"/>
      <c r="N1025" s="78" t="str">
        <f aca="false">IF('Project Register'!$D37="","",'Project Register'!$T37)</f>
        <v/>
      </c>
      <c r="O1025" s="78"/>
    </row>
    <row r="1026" customFormat="false" ht="13.5" hidden="false" customHeight="true" outlineLevel="0" collapsed="false">
      <c r="B1026" s="82" t="s">
        <v>267</v>
      </c>
      <c r="C1026" s="82"/>
      <c r="D1026" s="79" t="str">
        <f aca="false">IF('Project Register'!$D37="","",'Project Register'!$X37)</f>
        <v/>
      </c>
      <c r="E1026" s="79"/>
      <c r="F1026" s="79" t="str">
        <f aca="false">IF('Project Register'!$D37="","",'Project Register'!$Y37)</f>
        <v/>
      </c>
      <c r="G1026" s="79"/>
      <c r="H1026" s="79" t="str">
        <f aca="false">IF('Project Register'!$D37="","",'Project Register'!$Z37)</f>
        <v/>
      </c>
      <c r="I1026" s="79"/>
      <c r="J1026" s="79" t="str">
        <f aca="false">IF('Project Register'!$D37="","",'Project Register'!$AA37)</f>
        <v/>
      </c>
      <c r="K1026" s="79"/>
      <c r="L1026" s="79" t="str">
        <f aca="false">IF('Project Register'!$D37="","",'Project Register'!$AB37)</f>
        <v/>
      </c>
      <c r="M1026" s="79"/>
      <c r="N1026" s="79" t="str">
        <f aca="false">IF('Project Register'!$D37="","",'Project Register'!$AC37)</f>
        <v/>
      </c>
      <c r="O1026" s="79"/>
    </row>
    <row r="1027" customFormat="false" ht="2.25" hidden="false" customHeight="true" outlineLevel="0" collapsed="false"/>
    <row r="1028" customFormat="false" ht="15.75" hidden="false" customHeight="true" outlineLevel="0" collapsed="false">
      <c r="B1028" s="76" t="s">
        <v>268</v>
      </c>
      <c r="C1028" s="76"/>
      <c r="D1028" s="76"/>
      <c r="E1028" s="76"/>
      <c r="F1028" s="76"/>
      <c r="G1028" s="76"/>
      <c r="H1028" s="76"/>
      <c r="I1028" s="76"/>
      <c r="J1028" s="76"/>
      <c r="K1028" s="76"/>
      <c r="L1028" s="76"/>
      <c r="M1028" s="76"/>
      <c r="N1028" s="76"/>
      <c r="O1028" s="76"/>
    </row>
    <row r="1029" customFormat="false" ht="13.5" hidden="false" customHeight="true" outlineLevel="0" collapsed="false">
      <c r="B1029" s="80" t="s">
        <v>269</v>
      </c>
      <c r="C1029" s="80"/>
      <c r="D1029" s="80"/>
      <c r="E1029" s="80"/>
      <c r="F1029" s="80"/>
      <c r="G1029" s="80"/>
      <c r="H1029" s="29" t="s">
        <v>145</v>
      </c>
      <c r="I1029" s="29"/>
      <c r="J1029" s="29"/>
      <c r="K1029" s="83" t="s">
        <v>270</v>
      </c>
      <c r="L1029" s="83"/>
      <c r="M1029" s="83"/>
      <c r="N1029" s="83"/>
      <c r="O1029" s="83"/>
    </row>
    <row r="1030" customFormat="false" ht="13.5" hidden="false" customHeight="true" outlineLevel="0" collapsed="false">
      <c r="B1030" s="75" t="str">
        <f aca="false">IF('Project Register'!$D37="","",IF('Project Register'!$AF37="","-",'Project Register'!$AF37))</f>
        <v/>
      </c>
      <c r="C1030" s="75"/>
      <c r="D1030" s="75"/>
      <c r="E1030" s="75"/>
      <c r="F1030" s="75"/>
      <c r="G1030" s="75"/>
      <c r="H1030" s="84" t="str">
        <f aca="false">IF('Project Register'!$D37="","",'Project Register'!$AG37)</f>
        <v/>
      </c>
      <c r="I1030" s="84"/>
      <c r="J1030" s="84"/>
      <c r="K1030" s="78" t="str">
        <f aca="false">IF('Project Register'!$D37="","",'Project Register'!$AD37*'Project Register'!$AG37)</f>
        <v/>
      </c>
      <c r="L1030" s="78"/>
      <c r="M1030" s="78"/>
      <c r="N1030" s="78"/>
      <c r="O1030" s="78"/>
    </row>
    <row r="1031" customFormat="false" ht="13.5" hidden="false" customHeight="true" outlineLevel="0" collapsed="false">
      <c r="B1031" s="75" t="str">
        <f aca="false">IF('Project Register'!$D37="","",IF('Project Register'!$AH37="","-",'Project Register'!$AH37))</f>
        <v/>
      </c>
      <c r="C1031" s="75"/>
      <c r="D1031" s="75"/>
      <c r="E1031" s="75"/>
      <c r="F1031" s="75"/>
      <c r="G1031" s="75"/>
      <c r="H1031" s="84" t="str">
        <f aca="false">IF('Project Register'!$D37="","",'Project Register'!$AI37)</f>
        <v/>
      </c>
      <c r="I1031" s="84"/>
      <c r="J1031" s="84"/>
      <c r="K1031" s="78" t="str">
        <f aca="false">IF('Project Register'!$D37="","",'Project Register'!$AD37*'Project Register'!$AI37)</f>
        <v/>
      </c>
      <c r="L1031" s="78"/>
      <c r="M1031" s="78"/>
      <c r="N1031" s="78"/>
      <c r="O1031" s="78"/>
    </row>
    <row r="1032" customFormat="false" ht="13.5" hidden="false" customHeight="true" outlineLevel="0" collapsed="false">
      <c r="B1032" s="85" t="s">
        <v>271</v>
      </c>
      <c r="C1032" s="85"/>
      <c r="D1032" s="85"/>
      <c r="E1032" s="85"/>
      <c r="F1032" s="85"/>
      <c r="G1032" s="85"/>
      <c r="H1032" s="86" t="str">
        <f aca="false">IF('Project Register'!$D37="","",'Project Register'!$AJ37)</f>
        <v/>
      </c>
      <c r="I1032" s="86"/>
      <c r="J1032" s="86"/>
      <c r="K1032" s="79" t="str">
        <f aca="false">IF('Project Register'!$D37="","",'Project Register'!$AL37)</f>
        <v/>
      </c>
      <c r="L1032" s="79"/>
      <c r="M1032" s="79"/>
      <c r="N1032" s="79"/>
      <c r="O1032" s="79"/>
    </row>
    <row r="1033" customFormat="false" ht="2.25" hidden="false" customHeight="true" outlineLevel="0" collapsed="false"/>
    <row r="1034" customFormat="false" ht="15.75" hidden="false" customHeight="true" outlineLevel="0" collapsed="false">
      <c r="B1034" s="76" t="s">
        <v>272</v>
      </c>
      <c r="C1034" s="76"/>
      <c r="D1034" s="76"/>
      <c r="E1034" s="76"/>
      <c r="F1034" s="76"/>
      <c r="G1034" s="76"/>
      <c r="H1034" s="76"/>
      <c r="I1034" s="76"/>
      <c r="J1034" s="76"/>
      <c r="K1034" s="76"/>
      <c r="L1034" s="76"/>
      <c r="M1034" s="76"/>
      <c r="N1034" s="76"/>
      <c r="O1034" s="76"/>
    </row>
    <row r="1035" customFormat="false" ht="17.25" hidden="false" customHeight="true" outlineLevel="0" collapsed="false">
      <c r="B1035" s="74" t="s">
        <v>243</v>
      </c>
      <c r="C1035" s="74"/>
      <c r="D1035" s="87" t="str">
        <f aca="false">IF('Project Register'!$D37="","",Prioritisation!$O37)</f>
        <v/>
      </c>
      <c r="E1035" s="87"/>
      <c r="F1035" s="74" t="s">
        <v>273</v>
      </c>
      <c r="G1035" s="74"/>
      <c r="H1035" s="74"/>
      <c r="I1035" s="88" t="str">
        <f aca="false">IF('Project Register'!$D37="","",TEXT(Prioritisation!$P37,"0")&amp;" of "&amp;TEXT(COUNTIF('Project Register'!$C$9:$C$38,"?*"),"0"))</f>
        <v/>
      </c>
      <c r="J1035" s="88"/>
      <c r="K1035" s="82" t="s">
        <v>245</v>
      </c>
      <c r="L1035" s="82"/>
      <c r="M1035" s="89" t="str">
        <f aca="false">IF('Project Register'!$D37="","",Prioritisation!$Q37)</f>
        <v/>
      </c>
      <c r="N1035" s="89"/>
      <c r="O1035" s="89"/>
    </row>
    <row r="1036" customFormat="false" ht="2.25" hidden="false" customHeight="true" outlineLevel="0" collapsed="false"/>
    <row r="1037" customFormat="false" ht="15.75" hidden="false" customHeight="true" outlineLevel="0" collapsed="false">
      <c r="B1037" s="76" t="s">
        <v>274</v>
      </c>
      <c r="C1037" s="76"/>
      <c r="D1037" s="76"/>
      <c r="E1037" s="76"/>
      <c r="F1037" s="76"/>
      <c r="G1037" s="76"/>
      <c r="H1037" s="76"/>
      <c r="I1037" s="76"/>
      <c r="J1037" s="76"/>
      <c r="K1037" s="76"/>
      <c r="L1037" s="76"/>
      <c r="M1037" s="76"/>
      <c r="N1037" s="76"/>
      <c r="O1037" s="76"/>
    </row>
    <row r="1038" customFormat="false" ht="35.25" hidden="false" customHeight="true" outlineLevel="0" collapsed="false">
      <c r="B1038" s="90" t="s">
        <v>275</v>
      </c>
      <c r="C1038" s="90"/>
      <c r="D1038" s="90"/>
      <c r="E1038" s="91"/>
      <c r="F1038" s="91"/>
      <c r="G1038" s="91"/>
      <c r="H1038" s="91"/>
      <c r="I1038" s="91"/>
      <c r="J1038" s="91"/>
      <c r="K1038" s="91"/>
      <c r="L1038" s="91"/>
      <c r="M1038" s="91"/>
      <c r="N1038" s="91"/>
      <c r="O1038" s="91"/>
    </row>
    <row r="1039" customFormat="false" ht="35.25" hidden="false" customHeight="true" outlineLevel="0" collapsed="false">
      <c r="B1039" s="90" t="s">
        <v>277</v>
      </c>
      <c r="C1039" s="90"/>
      <c r="D1039" s="90"/>
      <c r="E1039" s="91"/>
      <c r="F1039" s="91"/>
      <c r="G1039" s="91"/>
      <c r="H1039" s="91"/>
      <c r="I1039" s="91"/>
      <c r="J1039" s="91"/>
      <c r="K1039" s="91"/>
      <c r="L1039" s="91"/>
      <c r="M1039" s="91"/>
      <c r="N1039" s="91"/>
      <c r="O1039" s="91"/>
    </row>
    <row r="1040" customFormat="false" ht="35.25" hidden="false" customHeight="true" outlineLevel="0" collapsed="false">
      <c r="B1040" s="90" t="s">
        <v>279</v>
      </c>
      <c r="C1040" s="90"/>
      <c r="D1040" s="90"/>
      <c r="E1040" s="91"/>
      <c r="F1040" s="91"/>
      <c r="G1040" s="91"/>
      <c r="H1040" s="91"/>
      <c r="I1040" s="91"/>
      <c r="J1040" s="91"/>
      <c r="K1040" s="91"/>
      <c r="L1040" s="91"/>
      <c r="M1040" s="91"/>
      <c r="N1040" s="91"/>
      <c r="O1040" s="91"/>
    </row>
    <row r="1041" customFormat="false" ht="35.25" hidden="false" customHeight="true" outlineLevel="0" collapsed="false">
      <c r="B1041" s="90" t="s">
        <v>281</v>
      </c>
      <c r="C1041" s="90"/>
      <c r="D1041" s="90"/>
      <c r="E1041" s="91"/>
      <c r="F1041" s="91"/>
      <c r="G1041" s="91"/>
      <c r="H1041" s="91"/>
      <c r="I1041" s="91"/>
      <c r="J1041" s="91"/>
      <c r="K1041" s="91"/>
      <c r="L1041" s="91"/>
      <c r="M1041" s="91"/>
      <c r="N1041" s="91"/>
      <c r="O1041" s="91"/>
    </row>
    <row r="1042" customFormat="false" ht="35.25" hidden="false" customHeight="true" outlineLevel="0" collapsed="false">
      <c r="B1042" s="90" t="s">
        <v>283</v>
      </c>
      <c r="C1042" s="90"/>
      <c r="D1042" s="90"/>
      <c r="E1042" s="91"/>
      <c r="F1042" s="91"/>
      <c r="G1042" s="91"/>
      <c r="H1042" s="91"/>
      <c r="I1042" s="91"/>
      <c r="J1042" s="91"/>
      <c r="K1042" s="91"/>
      <c r="L1042" s="91"/>
      <c r="M1042" s="91"/>
      <c r="N1042" s="91"/>
      <c r="O1042" s="91"/>
    </row>
    <row r="1043" customFormat="false" ht="35.25" hidden="false" customHeight="true" outlineLevel="0" collapsed="false">
      <c r="B1043" s="90" t="s">
        <v>285</v>
      </c>
      <c r="C1043" s="90"/>
      <c r="D1043" s="90"/>
      <c r="E1043" s="91"/>
      <c r="F1043" s="91"/>
      <c r="G1043" s="91"/>
      <c r="H1043" s="91"/>
      <c r="I1043" s="91"/>
      <c r="J1043" s="91"/>
      <c r="K1043" s="91"/>
      <c r="L1043" s="91"/>
      <c r="M1043" s="91"/>
      <c r="N1043" s="91"/>
      <c r="O1043" s="91"/>
    </row>
    <row r="1044" customFormat="false" ht="35.25" hidden="false" customHeight="true" outlineLevel="0" collapsed="false">
      <c r="B1044" s="90" t="s">
        <v>287</v>
      </c>
      <c r="C1044" s="90"/>
      <c r="D1044" s="90"/>
      <c r="E1044" s="91"/>
      <c r="F1044" s="91"/>
      <c r="G1044" s="91"/>
      <c r="H1044" s="91"/>
      <c r="I1044" s="91"/>
      <c r="J1044" s="91"/>
      <c r="K1044" s="91"/>
      <c r="L1044" s="91"/>
      <c r="M1044" s="91"/>
      <c r="N1044" s="91"/>
      <c r="O1044" s="91"/>
    </row>
    <row r="1045" customFormat="false" ht="35.25" hidden="false" customHeight="true" outlineLevel="0" collapsed="false">
      <c r="B1045" s="90" t="s">
        <v>289</v>
      </c>
      <c r="C1045" s="90"/>
      <c r="D1045" s="90"/>
      <c r="E1045" s="91"/>
      <c r="F1045" s="91"/>
      <c r="G1045" s="91"/>
      <c r="H1045" s="91"/>
      <c r="I1045" s="91"/>
      <c r="J1045" s="91"/>
      <c r="K1045" s="91"/>
      <c r="L1045" s="91"/>
      <c r="M1045" s="91"/>
      <c r="N1045" s="91"/>
      <c r="O1045" s="91"/>
    </row>
    <row r="1046" customFormat="false" ht="35.25" hidden="false" customHeight="true" outlineLevel="0" collapsed="false">
      <c r="B1046" s="90" t="s">
        <v>291</v>
      </c>
      <c r="C1046" s="90"/>
      <c r="D1046" s="90"/>
      <c r="E1046" s="91"/>
      <c r="F1046" s="91"/>
      <c r="G1046" s="91"/>
      <c r="H1046" s="91"/>
      <c r="I1046" s="91"/>
      <c r="J1046" s="91"/>
      <c r="K1046" s="91"/>
      <c r="L1046" s="91"/>
      <c r="M1046" s="91"/>
      <c r="N1046" s="91"/>
      <c r="O1046" s="91"/>
    </row>
    <row r="1047" customFormat="false" ht="35.25" hidden="false" customHeight="true" outlineLevel="0" collapsed="false">
      <c r="B1047" s="90" t="s">
        <v>293</v>
      </c>
      <c r="C1047" s="90"/>
      <c r="D1047" s="90"/>
      <c r="E1047" s="91"/>
      <c r="F1047" s="91"/>
      <c r="G1047" s="91"/>
      <c r="H1047" s="91"/>
      <c r="I1047" s="91"/>
      <c r="J1047" s="91"/>
      <c r="K1047" s="91"/>
      <c r="L1047" s="91"/>
      <c r="M1047" s="91"/>
      <c r="N1047" s="91"/>
      <c r="O1047" s="91"/>
    </row>
    <row r="1048" customFormat="false" ht="11.25" hidden="false" customHeight="true" outlineLevel="0" collapsed="false">
      <c r="B1048" s="15" t="s">
        <v>295</v>
      </c>
      <c r="C1048" s="15"/>
      <c r="D1048" s="15"/>
      <c r="E1048" s="15"/>
      <c r="F1048" s="15"/>
      <c r="G1048" s="15"/>
      <c r="H1048" s="15"/>
      <c r="I1048" s="15"/>
      <c r="J1048" s="15"/>
      <c r="K1048" s="15"/>
      <c r="L1048" s="16" t="s">
        <v>40</v>
      </c>
      <c r="M1048" s="16"/>
      <c r="N1048" s="16"/>
      <c r="O1048" s="16"/>
    </row>
    <row r="1049" customFormat="false" ht="3" hidden="false" customHeight="true" outlineLevel="0" collapsed="false"/>
    <row r="1050" customFormat="false" ht="27.75" hidden="false" customHeight="true" outlineLevel="0" collapsed="false">
      <c r="B1050" s="57" t="s">
        <v>259</v>
      </c>
      <c r="C1050" s="57"/>
      <c r="D1050" s="57"/>
      <c r="E1050" s="57"/>
      <c r="F1050" s="69" t="str">
        <f aca="false">IF('Project Register'!$D38="","",'Project Register'!$C38)</f>
        <v/>
      </c>
      <c r="G1050" s="69"/>
      <c r="H1050" s="70" t="str">
        <f aca="false">IF('Project Register'!$D38="","",'Project Register'!$D38)</f>
        <v/>
      </c>
      <c r="I1050" s="70"/>
      <c r="J1050" s="70"/>
      <c r="K1050" s="70"/>
      <c r="L1050" s="70"/>
      <c r="M1050" s="70"/>
      <c r="N1050" s="70"/>
      <c r="O1050" s="70"/>
      <c r="R1050" s="71" t="str">
        <f aca="false">IF('Project Register'!$D38="","",'Project Register'!$C38)</f>
        <v/>
      </c>
      <c r="S1050" s="72" t="n">
        <f aca="false">COUNTIF($E$1074:$E$1083,"?*")</f>
        <v>0</v>
      </c>
    </row>
    <row r="1051" customFormat="false" ht="24.75" hidden="false" customHeight="true" outlineLevel="0" collapsed="false">
      <c r="B1051" s="73" t="str">
        <f aca="false">IF('Project Register'!$D38="","No project on register row 30. Fill that row in on the Project Register and this block writes its own heading.",'Project Register'!$E38)</f>
        <v>No project on register row 30. Fill that row in on the Project Register and this block writes its own heading.</v>
      </c>
      <c r="C1051" s="73"/>
      <c r="D1051" s="73"/>
      <c r="E1051" s="73"/>
      <c r="F1051" s="73"/>
      <c r="G1051" s="73"/>
      <c r="H1051" s="73"/>
      <c r="I1051" s="73"/>
      <c r="J1051" s="73"/>
      <c r="K1051" s="73"/>
      <c r="L1051" s="73"/>
      <c r="M1051" s="73"/>
      <c r="N1051" s="73"/>
      <c r="O1051" s="73"/>
    </row>
    <row r="1052" customFormat="false" ht="13.5" hidden="false" customHeight="true" outlineLevel="0" collapsed="false">
      <c r="B1052" s="74" t="s">
        <v>130</v>
      </c>
      <c r="C1052" s="74"/>
      <c r="D1052" s="74"/>
      <c r="E1052" s="75" t="str">
        <f aca="false">IF('Project Register'!$D38="","",'Project Register'!$F38)</f>
        <v/>
      </c>
      <c r="F1052" s="75"/>
      <c r="G1052" s="75"/>
      <c r="H1052" s="75"/>
      <c r="I1052" s="74" t="s">
        <v>131</v>
      </c>
      <c r="J1052" s="74"/>
      <c r="K1052" s="74"/>
      <c r="L1052" s="75" t="str">
        <f aca="false">IF('Project Register'!$D38="","",'Project Register'!$G38)</f>
        <v/>
      </c>
      <c r="M1052" s="75"/>
      <c r="N1052" s="75"/>
      <c r="O1052" s="75"/>
    </row>
    <row r="1053" customFormat="false" ht="13.5" hidden="false" customHeight="true" outlineLevel="0" collapsed="false">
      <c r="B1053" s="74" t="s">
        <v>132</v>
      </c>
      <c r="C1053" s="74"/>
      <c r="D1053" s="74"/>
      <c r="E1053" s="75" t="str">
        <f aca="false">IF('Project Register'!$D38="","",'Project Register'!$H38)</f>
        <v/>
      </c>
      <c r="F1053" s="75"/>
      <c r="G1053" s="75"/>
      <c r="H1053" s="75"/>
      <c r="I1053" s="74" t="s">
        <v>135</v>
      </c>
      <c r="J1053" s="74"/>
      <c r="K1053" s="74"/>
      <c r="L1053" s="75" t="str">
        <f aca="false">IF('Project Register'!$D38="","",'Project Register'!$K38)</f>
        <v/>
      </c>
      <c r="M1053" s="75"/>
      <c r="N1053" s="75"/>
      <c r="O1053" s="75"/>
    </row>
    <row r="1054" customFormat="false" ht="13.5" hidden="false" customHeight="true" outlineLevel="0" collapsed="false">
      <c r="B1054" s="74" t="s">
        <v>260</v>
      </c>
      <c r="C1054" s="74"/>
      <c r="D1054" s="74"/>
      <c r="E1054" s="75" t="str">
        <f aca="false">IF('Project Register'!$D38="","",'Project Register'!$I38)</f>
        <v/>
      </c>
      <c r="F1054" s="75"/>
      <c r="G1054" s="75"/>
      <c r="H1054" s="75"/>
      <c r="I1054" s="74" t="s">
        <v>134</v>
      </c>
      <c r="J1054" s="74"/>
      <c r="K1054" s="74"/>
      <c r="L1054" s="75" t="str">
        <f aca="false">IF('Project Register'!$D38="","",'Project Register'!$J38)</f>
        <v/>
      </c>
      <c r="M1054" s="75"/>
      <c r="N1054" s="75"/>
      <c r="O1054" s="75"/>
    </row>
    <row r="1055" customFormat="false" ht="2.25" hidden="false" customHeight="true" outlineLevel="0" collapsed="false"/>
    <row r="1056" customFormat="false" ht="15.75" hidden="false" customHeight="true" outlineLevel="0" collapsed="false">
      <c r="B1056" s="76" t="s">
        <v>117</v>
      </c>
      <c r="C1056" s="76"/>
      <c r="D1056" s="76"/>
      <c r="E1056" s="76"/>
      <c r="F1056" s="76"/>
      <c r="G1056" s="76"/>
      <c r="H1056" s="76"/>
      <c r="I1056" s="76"/>
      <c r="J1056" s="76"/>
      <c r="K1056" s="76"/>
      <c r="L1056" s="76"/>
      <c r="M1056" s="76"/>
      <c r="N1056" s="76"/>
      <c r="O1056" s="76"/>
    </row>
    <row r="1057" customFormat="false" ht="17.25" hidden="false" customHeight="true" outlineLevel="0" collapsed="false">
      <c r="B1057" s="74" t="s">
        <v>136</v>
      </c>
      <c r="C1057" s="74"/>
      <c r="D1057" s="74"/>
      <c r="E1057" s="74"/>
      <c r="F1057" s="77" t="str">
        <f aca="false">IF('Project Register'!$D38="","",'Project Register'!$L38)</f>
        <v/>
      </c>
      <c r="G1057" s="77"/>
      <c r="H1057" s="77"/>
      <c r="I1057" s="74" t="s">
        <v>137</v>
      </c>
      <c r="J1057" s="74"/>
      <c r="K1057" s="74"/>
      <c r="L1057" s="74"/>
      <c r="M1057" s="77" t="str">
        <f aca="false">IF('Project Register'!$D38="","",'Project Register'!$M38)</f>
        <v/>
      </c>
      <c r="N1057" s="77"/>
      <c r="O1057" s="77"/>
    </row>
    <row r="1058" customFormat="false" ht="13.5" hidden="false" customHeight="true" outlineLevel="0" collapsed="false">
      <c r="B1058" s="74" t="s">
        <v>261</v>
      </c>
      <c r="C1058" s="74"/>
      <c r="D1058" s="74"/>
      <c r="E1058" s="74"/>
      <c r="F1058" s="78" t="str">
        <f aca="false">IF('Project Register'!$D38="","",'Project Register'!$N38)</f>
        <v/>
      </c>
      <c r="G1058" s="78"/>
      <c r="H1058" s="78"/>
      <c r="I1058" s="74" t="s">
        <v>262</v>
      </c>
      <c r="J1058" s="74"/>
      <c r="K1058" s="74"/>
      <c r="L1058" s="74"/>
      <c r="M1058" s="79" t="str">
        <f aca="false">IF('Project Register'!$D38="","",'Project Register'!$AD38)</f>
        <v/>
      </c>
      <c r="N1058" s="79"/>
      <c r="O1058" s="79"/>
    </row>
    <row r="1059" customFormat="false" ht="13.5" hidden="false" customHeight="true" outlineLevel="0" collapsed="false">
      <c r="B1059" s="74" t="s">
        <v>263</v>
      </c>
      <c r="C1059" s="74"/>
      <c r="D1059" s="74"/>
      <c r="E1059" s="74"/>
      <c r="F1059" s="78" t="str">
        <f aca="false">IF('Project Register'!$D38="","",'Project Register'!$AC38)</f>
        <v/>
      </c>
      <c r="G1059" s="78"/>
      <c r="H1059" s="78"/>
      <c r="I1059" s="74" t="s">
        <v>264</v>
      </c>
      <c r="J1059" s="74"/>
      <c r="K1059" s="74"/>
      <c r="L1059" s="74"/>
      <c r="M1059" s="78" t="str">
        <f aca="false">IF('Project Register'!$D38="","",'Project Register'!$AE38)</f>
        <v/>
      </c>
      <c r="N1059" s="78"/>
      <c r="O1059" s="78"/>
    </row>
    <row r="1060" customFormat="false" ht="13.5" hidden="false" customHeight="true" outlineLevel="0" collapsed="false">
      <c r="B1060" s="80" t="s">
        <v>265</v>
      </c>
      <c r="C1060" s="80"/>
      <c r="D1060" s="81" t="str">
        <f aca="false">Setup!$C$23</f>
        <v>FY2027</v>
      </c>
      <c r="E1060" s="81"/>
      <c r="F1060" s="81" t="str">
        <f aca="false">Setup!$D$23</f>
        <v>FY2028</v>
      </c>
      <c r="G1060" s="81"/>
      <c r="H1060" s="81" t="str">
        <f aca="false">Setup!$E$23</f>
        <v>FY2029</v>
      </c>
      <c r="I1060" s="81"/>
      <c r="J1060" s="81" t="str">
        <f aca="false">Setup!$F$23</f>
        <v>FY2030</v>
      </c>
      <c r="K1060" s="81"/>
      <c r="L1060" s="81" t="str">
        <f aca="false">Setup!$G$23</f>
        <v>FY2031</v>
      </c>
      <c r="M1060" s="81"/>
      <c r="N1060" s="81" t="str">
        <f aca="false">Setup!$H$23</f>
        <v>Beyond FY2031</v>
      </c>
      <c r="O1060" s="81"/>
    </row>
    <row r="1061" customFormat="false" ht="13.5" hidden="false" customHeight="true" outlineLevel="0" collapsed="false">
      <c r="B1061" s="82" t="s">
        <v>266</v>
      </c>
      <c r="C1061" s="82"/>
      <c r="D1061" s="78" t="str">
        <f aca="false">IF('Project Register'!$D38="","",'Project Register'!$O38)</f>
        <v/>
      </c>
      <c r="E1061" s="78"/>
      <c r="F1061" s="78" t="str">
        <f aca="false">IF('Project Register'!$D38="","",'Project Register'!$P38)</f>
        <v/>
      </c>
      <c r="G1061" s="78"/>
      <c r="H1061" s="78" t="str">
        <f aca="false">IF('Project Register'!$D38="","",'Project Register'!$Q38)</f>
        <v/>
      </c>
      <c r="I1061" s="78"/>
      <c r="J1061" s="78" t="str">
        <f aca="false">IF('Project Register'!$D38="","",'Project Register'!$R38)</f>
        <v/>
      </c>
      <c r="K1061" s="78"/>
      <c r="L1061" s="78" t="str">
        <f aca="false">IF('Project Register'!$D38="","",'Project Register'!$S38)</f>
        <v/>
      </c>
      <c r="M1061" s="78"/>
      <c r="N1061" s="78" t="str">
        <f aca="false">IF('Project Register'!$D38="","",'Project Register'!$T38)</f>
        <v/>
      </c>
      <c r="O1061" s="78"/>
    </row>
    <row r="1062" customFormat="false" ht="13.5" hidden="false" customHeight="true" outlineLevel="0" collapsed="false">
      <c r="B1062" s="82" t="s">
        <v>267</v>
      </c>
      <c r="C1062" s="82"/>
      <c r="D1062" s="79" t="str">
        <f aca="false">IF('Project Register'!$D38="","",'Project Register'!$X38)</f>
        <v/>
      </c>
      <c r="E1062" s="79"/>
      <c r="F1062" s="79" t="str">
        <f aca="false">IF('Project Register'!$D38="","",'Project Register'!$Y38)</f>
        <v/>
      </c>
      <c r="G1062" s="79"/>
      <c r="H1062" s="79" t="str">
        <f aca="false">IF('Project Register'!$D38="","",'Project Register'!$Z38)</f>
        <v/>
      </c>
      <c r="I1062" s="79"/>
      <c r="J1062" s="79" t="str">
        <f aca="false">IF('Project Register'!$D38="","",'Project Register'!$AA38)</f>
        <v/>
      </c>
      <c r="K1062" s="79"/>
      <c r="L1062" s="79" t="str">
        <f aca="false">IF('Project Register'!$D38="","",'Project Register'!$AB38)</f>
        <v/>
      </c>
      <c r="M1062" s="79"/>
      <c r="N1062" s="79" t="str">
        <f aca="false">IF('Project Register'!$D38="","",'Project Register'!$AC38)</f>
        <v/>
      </c>
      <c r="O1062" s="79"/>
    </row>
    <row r="1063" customFormat="false" ht="2.25" hidden="false" customHeight="true" outlineLevel="0" collapsed="false"/>
    <row r="1064" customFormat="false" ht="15.75" hidden="false" customHeight="true" outlineLevel="0" collapsed="false">
      <c r="B1064" s="76" t="s">
        <v>268</v>
      </c>
      <c r="C1064" s="76"/>
      <c r="D1064" s="76"/>
      <c r="E1064" s="76"/>
      <c r="F1064" s="76"/>
      <c r="G1064" s="76"/>
      <c r="H1064" s="76"/>
      <c r="I1064" s="76"/>
      <c r="J1064" s="76"/>
      <c r="K1064" s="76"/>
      <c r="L1064" s="76"/>
      <c r="M1064" s="76"/>
      <c r="N1064" s="76"/>
      <c r="O1064" s="76"/>
    </row>
    <row r="1065" customFormat="false" ht="13.5" hidden="false" customHeight="true" outlineLevel="0" collapsed="false">
      <c r="B1065" s="80" t="s">
        <v>269</v>
      </c>
      <c r="C1065" s="80"/>
      <c r="D1065" s="80"/>
      <c r="E1065" s="80"/>
      <c r="F1065" s="80"/>
      <c r="G1065" s="80"/>
      <c r="H1065" s="29" t="s">
        <v>145</v>
      </c>
      <c r="I1065" s="29"/>
      <c r="J1065" s="29"/>
      <c r="K1065" s="83" t="s">
        <v>270</v>
      </c>
      <c r="L1065" s="83"/>
      <c r="M1065" s="83"/>
      <c r="N1065" s="83"/>
      <c r="O1065" s="83"/>
    </row>
    <row r="1066" customFormat="false" ht="13.5" hidden="false" customHeight="true" outlineLevel="0" collapsed="false">
      <c r="B1066" s="75" t="str">
        <f aca="false">IF('Project Register'!$D38="","",IF('Project Register'!$AF38="","-",'Project Register'!$AF38))</f>
        <v/>
      </c>
      <c r="C1066" s="75"/>
      <c r="D1066" s="75"/>
      <c r="E1066" s="75"/>
      <c r="F1066" s="75"/>
      <c r="G1066" s="75"/>
      <c r="H1066" s="84" t="str">
        <f aca="false">IF('Project Register'!$D38="","",'Project Register'!$AG38)</f>
        <v/>
      </c>
      <c r="I1066" s="84"/>
      <c r="J1066" s="84"/>
      <c r="K1066" s="78" t="str">
        <f aca="false">IF('Project Register'!$D38="","",'Project Register'!$AD38*'Project Register'!$AG38)</f>
        <v/>
      </c>
      <c r="L1066" s="78"/>
      <c r="M1066" s="78"/>
      <c r="N1066" s="78"/>
      <c r="O1066" s="78"/>
    </row>
    <row r="1067" customFormat="false" ht="13.5" hidden="false" customHeight="true" outlineLevel="0" collapsed="false">
      <c r="B1067" s="75" t="str">
        <f aca="false">IF('Project Register'!$D38="","",IF('Project Register'!$AH38="","-",'Project Register'!$AH38))</f>
        <v/>
      </c>
      <c r="C1067" s="75"/>
      <c r="D1067" s="75"/>
      <c r="E1067" s="75"/>
      <c r="F1067" s="75"/>
      <c r="G1067" s="75"/>
      <c r="H1067" s="84" t="str">
        <f aca="false">IF('Project Register'!$D38="","",'Project Register'!$AI38)</f>
        <v/>
      </c>
      <c r="I1067" s="84"/>
      <c r="J1067" s="84"/>
      <c r="K1067" s="78" t="str">
        <f aca="false">IF('Project Register'!$D38="","",'Project Register'!$AD38*'Project Register'!$AI38)</f>
        <v/>
      </c>
      <c r="L1067" s="78"/>
      <c r="M1067" s="78"/>
      <c r="N1067" s="78"/>
      <c r="O1067" s="78"/>
    </row>
    <row r="1068" customFormat="false" ht="13.5" hidden="false" customHeight="true" outlineLevel="0" collapsed="false">
      <c r="B1068" s="85" t="s">
        <v>271</v>
      </c>
      <c r="C1068" s="85"/>
      <c r="D1068" s="85"/>
      <c r="E1068" s="85"/>
      <c r="F1068" s="85"/>
      <c r="G1068" s="85"/>
      <c r="H1068" s="86" t="str">
        <f aca="false">IF('Project Register'!$D38="","",'Project Register'!$AJ38)</f>
        <v/>
      </c>
      <c r="I1068" s="86"/>
      <c r="J1068" s="86"/>
      <c r="K1068" s="79" t="str">
        <f aca="false">IF('Project Register'!$D38="","",'Project Register'!$AL38)</f>
        <v/>
      </c>
      <c r="L1068" s="79"/>
      <c r="M1068" s="79"/>
      <c r="N1068" s="79"/>
      <c r="O1068" s="79"/>
    </row>
    <row r="1069" customFormat="false" ht="2.25" hidden="false" customHeight="true" outlineLevel="0" collapsed="false"/>
    <row r="1070" customFormat="false" ht="15.75" hidden="false" customHeight="true" outlineLevel="0" collapsed="false">
      <c r="B1070" s="76" t="s">
        <v>272</v>
      </c>
      <c r="C1070" s="76"/>
      <c r="D1070" s="76"/>
      <c r="E1070" s="76"/>
      <c r="F1070" s="76"/>
      <c r="G1070" s="76"/>
      <c r="H1070" s="76"/>
      <c r="I1070" s="76"/>
      <c r="J1070" s="76"/>
      <c r="K1070" s="76"/>
      <c r="L1070" s="76"/>
      <c r="M1070" s="76"/>
      <c r="N1070" s="76"/>
      <c r="O1070" s="76"/>
    </row>
    <row r="1071" customFormat="false" ht="17.25" hidden="false" customHeight="true" outlineLevel="0" collapsed="false">
      <c r="B1071" s="74" t="s">
        <v>243</v>
      </c>
      <c r="C1071" s="74"/>
      <c r="D1071" s="87" t="str">
        <f aca="false">IF('Project Register'!$D38="","",Prioritisation!$O38)</f>
        <v/>
      </c>
      <c r="E1071" s="87"/>
      <c r="F1071" s="74" t="s">
        <v>273</v>
      </c>
      <c r="G1071" s="74"/>
      <c r="H1071" s="74"/>
      <c r="I1071" s="88" t="str">
        <f aca="false">IF('Project Register'!$D38="","",TEXT(Prioritisation!$P38,"0")&amp;" of "&amp;TEXT(COUNTIF('Project Register'!$C$9:$C$38,"?*"),"0"))</f>
        <v/>
      </c>
      <c r="J1071" s="88"/>
      <c r="K1071" s="82" t="s">
        <v>245</v>
      </c>
      <c r="L1071" s="82"/>
      <c r="M1071" s="89" t="str">
        <f aca="false">IF('Project Register'!$D38="","",Prioritisation!$Q38)</f>
        <v/>
      </c>
      <c r="N1071" s="89"/>
      <c r="O1071" s="89"/>
    </row>
    <row r="1072" customFormat="false" ht="2.25" hidden="false" customHeight="true" outlineLevel="0" collapsed="false"/>
    <row r="1073" customFormat="false" ht="15.75" hidden="false" customHeight="true" outlineLevel="0" collapsed="false">
      <c r="B1073" s="76" t="s">
        <v>274</v>
      </c>
      <c r="C1073" s="76"/>
      <c r="D1073" s="76"/>
      <c r="E1073" s="76"/>
      <c r="F1073" s="76"/>
      <c r="G1073" s="76"/>
      <c r="H1073" s="76"/>
      <c r="I1073" s="76"/>
      <c r="J1073" s="76"/>
      <c r="K1073" s="76"/>
      <c r="L1073" s="76"/>
      <c r="M1073" s="76"/>
      <c r="N1073" s="76"/>
      <c r="O1073" s="76"/>
    </row>
    <row r="1074" customFormat="false" ht="35.25" hidden="false" customHeight="true" outlineLevel="0" collapsed="false">
      <c r="B1074" s="90" t="s">
        <v>275</v>
      </c>
      <c r="C1074" s="90"/>
      <c r="D1074" s="90"/>
      <c r="E1074" s="91"/>
      <c r="F1074" s="91"/>
      <c r="G1074" s="91"/>
      <c r="H1074" s="91"/>
      <c r="I1074" s="91"/>
      <c r="J1074" s="91"/>
      <c r="K1074" s="91"/>
      <c r="L1074" s="91"/>
      <c r="M1074" s="91"/>
      <c r="N1074" s="91"/>
      <c r="O1074" s="91"/>
    </row>
    <row r="1075" customFormat="false" ht="35.25" hidden="false" customHeight="true" outlineLevel="0" collapsed="false">
      <c r="B1075" s="90" t="s">
        <v>277</v>
      </c>
      <c r="C1075" s="90"/>
      <c r="D1075" s="90"/>
      <c r="E1075" s="91"/>
      <c r="F1075" s="91"/>
      <c r="G1075" s="91"/>
      <c r="H1075" s="91"/>
      <c r="I1075" s="91"/>
      <c r="J1075" s="91"/>
      <c r="K1075" s="91"/>
      <c r="L1075" s="91"/>
      <c r="M1075" s="91"/>
      <c r="N1075" s="91"/>
      <c r="O1075" s="91"/>
    </row>
    <row r="1076" customFormat="false" ht="35.25" hidden="false" customHeight="true" outlineLevel="0" collapsed="false">
      <c r="B1076" s="90" t="s">
        <v>279</v>
      </c>
      <c r="C1076" s="90"/>
      <c r="D1076" s="90"/>
      <c r="E1076" s="91"/>
      <c r="F1076" s="91"/>
      <c r="G1076" s="91"/>
      <c r="H1076" s="91"/>
      <c r="I1076" s="91"/>
      <c r="J1076" s="91"/>
      <c r="K1076" s="91"/>
      <c r="L1076" s="91"/>
      <c r="M1076" s="91"/>
      <c r="N1076" s="91"/>
      <c r="O1076" s="91"/>
    </row>
    <row r="1077" customFormat="false" ht="35.25" hidden="false" customHeight="true" outlineLevel="0" collapsed="false">
      <c r="B1077" s="90" t="s">
        <v>281</v>
      </c>
      <c r="C1077" s="90"/>
      <c r="D1077" s="90"/>
      <c r="E1077" s="91"/>
      <c r="F1077" s="91"/>
      <c r="G1077" s="91"/>
      <c r="H1077" s="91"/>
      <c r="I1077" s="91"/>
      <c r="J1077" s="91"/>
      <c r="K1077" s="91"/>
      <c r="L1077" s="91"/>
      <c r="M1077" s="91"/>
      <c r="N1077" s="91"/>
      <c r="O1077" s="91"/>
    </row>
    <row r="1078" customFormat="false" ht="35.25" hidden="false" customHeight="true" outlineLevel="0" collapsed="false">
      <c r="B1078" s="90" t="s">
        <v>283</v>
      </c>
      <c r="C1078" s="90"/>
      <c r="D1078" s="90"/>
      <c r="E1078" s="91"/>
      <c r="F1078" s="91"/>
      <c r="G1078" s="91"/>
      <c r="H1078" s="91"/>
      <c r="I1078" s="91"/>
      <c r="J1078" s="91"/>
      <c r="K1078" s="91"/>
      <c r="L1078" s="91"/>
      <c r="M1078" s="91"/>
      <c r="N1078" s="91"/>
      <c r="O1078" s="91"/>
    </row>
    <row r="1079" customFormat="false" ht="35.25" hidden="false" customHeight="true" outlineLevel="0" collapsed="false">
      <c r="B1079" s="90" t="s">
        <v>285</v>
      </c>
      <c r="C1079" s="90"/>
      <c r="D1079" s="90"/>
      <c r="E1079" s="91"/>
      <c r="F1079" s="91"/>
      <c r="G1079" s="91"/>
      <c r="H1079" s="91"/>
      <c r="I1079" s="91"/>
      <c r="J1079" s="91"/>
      <c r="K1079" s="91"/>
      <c r="L1079" s="91"/>
      <c r="M1079" s="91"/>
      <c r="N1079" s="91"/>
      <c r="O1079" s="91"/>
    </row>
    <row r="1080" customFormat="false" ht="35.25" hidden="false" customHeight="true" outlineLevel="0" collapsed="false">
      <c r="B1080" s="90" t="s">
        <v>287</v>
      </c>
      <c r="C1080" s="90"/>
      <c r="D1080" s="90"/>
      <c r="E1080" s="91"/>
      <c r="F1080" s="91"/>
      <c r="G1080" s="91"/>
      <c r="H1080" s="91"/>
      <c r="I1080" s="91"/>
      <c r="J1080" s="91"/>
      <c r="K1080" s="91"/>
      <c r="L1080" s="91"/>
      <c r="M1080" s="91"/>
      <c r="N1080" s="91"/>
      <c r="O1080" s="91"/>
    </row>
    <row r="1081" customFormat="false" ht="35.25" hidden="false" customHeight="true" outlineLevel="0" collapsed="false">
      <c r="B1081" s="90" t="s">
        <v>289</v>
      </c>
      <c r="C1081" s="90"/>
      <c r="D1081" s="90"/>
      <c r="E1081" s="91"/>
      <c r="F1081" s="91"/>
      <c r="G1081" s="91"/>
      <c r="H1081" s="91"/>
      <c r="I1081" s="91"/>
      <c r="J1081" s="91"/>
      <c r="K1081" s="91"/>
      <c r="L1081" s="91"/>
      <c r="M1081" s="91"/>
      <c r="N1081" s="91"/>
      <c r="O1081" s="91"/>
    </row>
    <row r="1082" customFormat="false" ht="35.25" hidden="false" customHeight="true" outlineLevel="0" collapsed="false">
      <c r="B1082" s="90" t="s">
        <v>291</v>
      </c>
      <c r="C1082" s="90"/>
      <c r="D1082" s="90"/>
      <c r="E1082" s="91"/>
      <c r="F1082" s="91"/>
      <c r="G1082" s="91"/>
      <c r="H1082" s="91"/>
      <c r="I1082" s="91"/>
      <c r="J1082" s="91"/>
      <c r="K1082" s="91"/>
      <c r="L1082" s="91"/>
      <c r="M1082" s="91"/>
      <c r="N1082" s="91"/>
      <c r="O1082" s="91"/>
    </row>
    <row r="1083" customFormat="false" ht="35.25" hidden="false" customHeight="true" outlineLevel="0" collapsed="false">
      <c r="B1083" s="90" t="s">
        <v>293</v>
      </c>
      <c r="C1083" s="90"/>
      <c r="D1083" s="90"/>
      <c r="E1083" s="91"/>
      <c r="F1083" s="91"/>
      <c r="G1083" s="91"/>
      <c r="H1083" s="91"/>
      <c r="I1083" s="91"/>
      <c r="J1083" s="91"/>
      <c r="K1083" s="91"/>
      <c r="L1083" s="91"/>
      <c r="M1083" s="91"/>
      <c r="N1083" s="91"/>
      <c r="O1083" s="91"/>
    </row>
    <row r="1084" customFormat="false" ht="11.25" hidden="false" customHeight="true" outlineLevel="0" collapsed="false">
      <c r="B1084" s="15" t="s">
        <v>295</v>
      </c>
      <c r="C1084" s="15"/>
      <c r="D1084" s="15"/>
      <c r="E1084" s="15"/>
      <c r="F1084" s="15"/>
      <c r="G1084" s="15"/>
      <c r="H1084" s="15"/>
      <c r="I1084" s="15"/>
      <c r="J1084" s="15"/>
      <c r="K1084" s="15"/>
      <c r="L1084" s="16" t="s">
        <v>40</v>
      </c>
      <c r="M1084" s="16"/>
      <c r="N1084" s="16"/>
      <c r="O1084" s="16"/>
    </row>
    <row r="1085" customFormat="false" ht="3" hidden="false" customHeight="true" outlineLevel="0" collapsed="false"/>
  </sheetData>
  <mergeCells count="2794">
    <mergeCell ref="B1:O1"/>
    <mergeCell ref="B2:O2"/>
    <mergeCell ref="B3:O3"/>
    <mergeCell ref="B4:O4"/>
    <mergeCell ref="B6:E6"/>
    <mergeCell ref="F6:G6"/>
    <mergeCell ref="H6:O6"/>
    <mergeCell ref="B7:O7"/>
    <mergeCell ref="B8:D8"/>
    <mergeCell ref="E8:H8"/>
    <mergeCell ref="I8:K8"/>
    <mergeCell ref="L8:O8"/>
    <mergeCell ref="B9:D9"/>
    <mergeCell ref="E9:H9"/>
    <mergeCell ref="I9:K9"/>
    <mergeCell ref="L9:O9"/>
    <mergeCell ref="B10:D10"/>
    <mergeCell ref="E10:H10"/>
    <mergeCell ref="I10:K10"/>
    <mergeCell ref="L10:O10"/>
    <mergeCell ref="B12:O12"/>
    <mergeCell ref="B13:E13"/>
    <mergeCell ref="F13:H13"/>
    <mergeCell ref="I13:L13"/>
    <mergeCell ref="M13:O13"/>
    <mergeCell ref="B14:E14"/>
    <mergeCell ref="F14:H14"/>
    <mergeCell ref="I14:L14"/>
    <mergeCell ref="M14:O14"/>
    <mergeCell ref="B15:E15"/>
    <mergeCell ref="F15:H15"/>
    <mergeCell ref="I15:L15"/>
    <mergeCell ref="M15:O15"/>
    <mergeCell ref="B16:C16"/>
    <mergeCell ref="D16:E16"/>
    <mergeCell ref="F16:G16"/>
    <mergeCell ref="H16:I16"/>
    <mergeCell ref="J16:K16"/>
    <mergeCell ref="L16:M16"/>
    <mergeCell ref="N16:O16"/>
    <mergeCell ref="B17:C17"/>
    <mergeCell ref="D17:E17"/>
    <mergeCell ref="F17:G17"/>
    <mergeCell ref="H17:I17"/>
    <mergeCell ref="J17:K17"/>
    <mergeCell ref="L17:M17"/>
    <mergeCell ref="N17:O17"/>
    <mergeCell ref="B18:C18"/>
    <mergeCell ref="D18:E18"/>
    <mergeCell ref="F18:G18"/>
    <mergeCell ref="H18:I18"/>
    <mergeCell ref="J18:K18"/>
    <mergeCell ref="L18:M18"/>
    <mergeCell ref="N18:O18"/>
    <mergeCell ref="B20:O20"/>
    <mergeCell ref="B21:G21"/>
    <mergeCell ref="H21:J21"/>
    <mergeCell ref="K21:O21"/>
    <mergeCell ref="B22:G22"/>
    <mergeCell ref="H22:J22"/>
    <mergeCell ref="K22:O22"/>
    <mergeCell ref="B23:G23"/>
    <mergeCell ref="H23:J23"/>
    <mergeCell ref="K23:O23"/>
    <mergeCell ref="B24:G24"/>
    <mergeCell ref="H24:J24"/>
    <mergeCell ref="K24:O24"/>
    <mergeCell ref="B26:O26"/>
    <mergeCell ref="B27:C27"/>
    <mergeCell ref="D27:E27"/>
    <mergeCell ref="F27:H27"/>
    <mergeCell ref="I27:J27"/>
    <mergeCell ref="K27:L27"/>
    <mergeCell ref="M27:O27"/>
    <mergeCell ref="B29:O29"/>
    <mergeCell ref="B30:D30"/>
    <mergeCell ref="E30:O30"/>
    <mergeCell ref="B31:D31"/>
    <mergeCell ref="E31:O31"/>
    <mergeCell ref="B32:D32"/>
    <mergeCell ref="E32:O32"/>
    <mergeCell ref="B33:D33"/>
    <mergeCell ref="E33:O33"/>
    <mergeCell ref="B34:D34"/>
    <mergeCell ref="E34:O34"/>
    <mergeCell ref="B35:D35"/>
    <mergeCell ref="E35:O35"/>
    <mergeCell ref="B36:D36"/>
    <mergeCell ref="E36:O36"/>
    <mergeCell ref="B37:D37"/>
    <mergeCell ref="E37:O37"/>
    <mergeCell ref="B38:D38"/>
    <mergeCell ref="E38:O38"/>
    <mergeCell ref="B39:D39"/>
    <mergeCell ref="E39:O39"/>
    <mergeCell ref="B40:K40"/>
    <mergeCell ref="L40:O40"/>
    <mergeCell ref="B42:E42"/>
    <mergeCell ref="F42:G42"/>
    <mergeCell ref="H42:O42"/>
    <mergeCell ref="B43:O43"/>
    <mergeCell ref="B44:D44"/>
    <mergeCell ref="E44:H44"/>
    <mergeCell ref="I44:K44"/>
    <mergeCell ref="L44:O44"/>
    <mergeCell ref="B45:D45"/>
    <mergeCell ref="E45:H45"/>
    <mergeCell ref="I45:K45"/>
    <mergeCell ref="L45:O45"/>
    <mergeCell ref="B46:D46"/>
    <mergeCell ref="E46:H46"/>
    <mergeCell ref="I46:K46"/>
    <mergeCell ref="L46:O46"/>
    <mergeCell ref="B48:O48"/>
    <mergeCell ref="B49:E49"/>
    <mergeCell ref="F49:H49"/>
    <mergeCell ref="I49:L49"/>
    <mergeCell ref="M49:O49"/>
    <mergeCell ref="B50:E50"/>
    <mergeCell ref="F50:H50"/>
    <mergeCell ref="I50:L50"/>
    <mergeCell ref="M50:O50"/>
    <mergeCell ref="B51:E51"/>
    <mergeCell ref="F51:H51"/>
    <mergeCell ref="I51:L51"/>
    <mergeCell ref="M51:O51"/>
    <mergeCell ref="B52:C52"/>
    <mergeCell ref="D52:E52"/>
    <mergeCell ref="F52:G52"/>
    <mergeCell ref="H52:I52"/>
    <mergeCell ref="J52:K52"/>
    <mergeCell ref="L52:M52"/>
    <mergeCell ref="N52:O52"/>
    <mergeCell ref="B53:C53"/>
    <mergeCell ref="D53:E53"/>
    <mergeCell ref="F53:G53"/>
    <mergeCell ref="H53:I53"/>
    <mergeCell ref="J53:K53"/>
    <mergeCell ref="L53:M53"/>
    <mergeCell ref="N53:O53"/>
    <mergeCell ref="B54:C54"/>
    <mergeCell ref="D54:E54"/>
    <mergeCell ref="F54:G54"/>
    <mergeCell ref="H54:I54"/>
    <mergeCell ref="J54:K54"/>
    <mergeCell ref="L54:M54"/>
    <mergeCell ref="N54:O54"/>
    <mergeCell ref="B56:O56"/>
    <mergeCell ref="B57:G57"/>
    <mergeCell ref="H57:J57"/>
    <mergeCell ref="K57:O57"/>
    <mergeCell ref="B58:G58"/>
    <mergeCell ref="H58:J58"/>
    <mergeCell ref="K58:O58"/>
    <mergeCell ref="B59:G59"/>
    <mergeCell ref="H59:J59"/>
    <mergeCell ref="K59:O59"/>
    <mergeCell ref="B60:G60"/>
    <mergeCell ref="H60:J60"/>
    <mergeCell ref="K60:O60"/>
    <mergeCell ref="B62:O62"/>
    <mergeCell ref="B63:C63"/>
    <mergeCell ref="D63:E63"/>
    <mergeCell ref="F63:H63"/>
    <mergeCell ref="I63:J63"/>
    <mergeCell ref="K63:L63"/>
    <mergeCell ref="M63:O63"/>
    <mergeCell ref="B65:O65"/>
    <mergeCell ref="B66:D66"/>
    <mergeCell ref="E66:O66"/>
    <mergeCell ref="B67:D67"/>
    <mergeCell ref="E67:O67"/>
    <mergeCell ref="B68:D68"/>
    <mergeCell ref="E68:O68"/>
    <mergeCell ref="B69:D69"/>
    <mergeCell ref="E69:O69"/>
    <mergeCell ref="B70:D70"/>
    <mergeCell ref="E70:O70"/>
    <mergeCell ref="B71:D71"/>
    <mergeCell ref="E71:O71"/>
    <mergeCell ref="B72:D72"/>
    <mergeCell ref="E72:O72"/>
    <mergeCell ref="B73:D73"/>
    <mergeCell ref="E73:O73"/>
    <mergeCell ref="B74:D74"/>
    <mergeCell ref="E74:O74"/>
    <mergeCell ref="B75:D75"/>
    <mergeCell ref="E75:O75"/>
    <mergeCell ref="B76:K76"/>
    <mergeCell ref="L76:O76"/>
    <mergeCell ref="B78:E78"/>
    <mergeCell ref="F78:G78"/>
    <mergeCell ref="H78:O78"/>
    <mergeCell ref="B79:O79"/>
    <mergeCell ref="B80:D80"/>
    <mergeCell ref="E80:H80"/>
    <mergeCell ref="I80:K80"/>
    <mergeCell ref="L80:O80"/>
    <mergeCell ref="B81:D81"/>
    <mergeCell ref="E81:H81"/>
    <mergeCell ref="I81:K81"/>
    <mergeCell ref="L81:O81"/>
    <mergeCell ref="B82:D82"/>
    <mergeCell ref="E82:H82"/>
    <mergeCell ref="I82:K82"/>
    <mergeCell ref="L82:O82"/>
    <mergeCell ref="B84:O84"/>
    <mergeCell ref="B85:E85"/>
    <mergeCell ref="F85:H85"/>
    <mergeCell ref="I85:L85"/>
    <mergeCell ref="M85:O85"/>
    <mergeCell ref="B86:E86"/>
    <mergeCell ref="F86:H86"/>
    <mergeCell ref="I86:L86"/>
    <mergeCell ref="M86:O86"/>
    <mergeCell ref="B87:E87"/>
    <mergeCell ref="F87:H87"/>
    <mergeCell ref="I87:L87"/>
    <mergeCell ref="M87:O87"/>
    <mergeCell ref="B88:C88"/>
    <mergeCell ref="D88:E88"/>
    <mergeCell ref="F88:G88"/>
    <mergeCell ref="H88:I88"/>
    <mergeCell ref="J88:K88"/>
    <mergeCell ref="L88:M88"/>
    <mergeCell ref="N88:O88"/>
    <mergeCell ref="B89:C89"/>
    <mergeCell ref="D89:E89"/>
    <mergeCell ref="F89:G89"/>
    <mergeCell ref="H89:I89"/>
    <mergeCell ref="J89:K89"/>
    <mergeCell ref="L89:M89"/>
    <mergeCell ref="N89:O89"/>
    <mergeCell ref="B90:C90"/>
    <mergeCell ref="D90:E90"/>
    <mergeCell ref="F90:G90"/>
    <mergeCell ref="H90:I90"/>
    <mergeCell ref="J90:K90"/>
    <mergeCell ref="L90:M90"/>
    <mergeCell ref="N90:O90"/>
    <mergeCell ref="B92:O92"/>
    <mergeCell ref="B93:G93"/>
    <mergeCell ref="H93:J93"/>
    <mergeCell ref="K93:O93"/>
    <mergeCell ref="B94:G94"/>
    <mergeCell ref="H94:J94"/>
    <mergeCell ref="K94:O94"/>
    <mergeCell ref="B95:G95"/>
    <mergeCell ref="H95:J95"/>
    <mergeCell ref="K95:O95"/>
    <mergeCell ref="B96:G96"/>
    <mergeCell ref="H96:J96"/>
    <mergeCell ref="K96:O96"/>
    <mergeCell ref="B98:O98"/>
    <mergeCell ref="B99:C99"/>
    <mergeCell ref="D99:E99"/>
    <mergeCell ref="F99:H99"/>
    <mergeCell ref="I99:J99"/>
    <mergeCell ref="K99:L99"/>
    <mergeCell ref="M99:O99"/>
    <mergeCell ref="B101:O101"/>
    <mergeCell ref="B102:D102"/>
    <mergeCell ref="E102:O102"/>
    <mergeCell ref="B103:D103"/>
    <mergeCell ref="E103:O103"/>
    <mergeCell ref="B104:D104"/>
    <mergeCell ref="E104:O104"/>
    <mergeCell ref="B105:D105"/>
    <mergeCell ref="E105:O105"/>
    <mergeCell ref="B106:D106"/>
    <mergeCell ref="E106:O106"/>
    <mergeCell ref="B107:D107"/>
    <mergeCell ref="E107:O107"/>
    <mergeCell ref="B108:D108"/>
    <mergeCell ref="E108:O108"/>
    <mergeCell ref="B109:D109"/>
    <mergeCell ref="E109:O109"/>
    <mergeCell ref="B110:D110"/>
    <mergeCell ref="E110:O110"/>
    <mergeCell ref="B111:D111"/>
    <mergeCell ref="E111:O111"/>
    <mergeCell ref="B112:K112"/>
    <mergeCell ref="L112:O112"/>
    <mergeCell ref="B114:E114"/>
    <mergeCell ref="F114:G114"/>
    <mergeCell ref="H114:O114"/>
    <mergeCell ref="B115:O115"/>
    <mergeCell ref="B116:D116"/>
    <mergeCell ref="E116:H116"/>
    <mergeCell ref="I116:K116"/>
    <mergeCell ref="L116:O116"/>
    <mergeCell ref="B117:D117"/>
    <mergeCell ref="E117:H117"/>
    <mergeCell ref="I117:K117"/>
    <mergeCell ref="L117:O117"/>
    <mergeCell ref="B118:D118"/>
    <mergeCell ref="E118:H118"/>
    <mergeCell ref="I118:K118"/>
    <mergeCell ref="L118:O118"/>
    <mergeCell ref="B120:O120"/>
    <mergeCell ref="B121:E121"/>
    <mergeCell ref="F121:H121"/>
    <mergeCell ref="I121:L121"/>
    <mergeCell ref="M121:O121"/>
    <mergeCell ref="B122:E122"/>
    <mergeCell ref="F122:H122"/>
    <mergeCell ref="I122:L122"/>
    <mergeCell ref="M122:O122"/>
    <mergeCell ref="B123:E123"/>
    <mergeCell ref="F123:H123"/>
    <mergeCell ref="I123:L123"/>
    <mergeCell ref="M123:O123"/>
    <mergeCell ref="B124:C124"/>
    <mergeCell ref="D124:E124"/>
    <mergeCell ref="F124:G124"/>
    <mergeCell ref="H124:I124"/>
    <mergeCell ref="J124:K124"/>
    <mergeCell ref="L124:M124"/>
    <mergeCell ref="N124:O124"/>
    <mergeCell ref="B125:C125"/>
    <mergeCell ref="D125:E125"/>
    <mergeCell ref="F125:G125"/>
    <mergeCell ref="H125:I125"/>
    <mergeCell ref="J125:K125"/>
    <mergeCell ref="L125:M125"/>
    <mergeCell ref="N125:O125"/>
    <mergeCell ref="B126:C126"/>
    <mergeCell ref="D126:E126"/>
    <mergeCell ref="F126:G126"/>
    <mergeCell ref="H126:I126"/>
    <mergeCell ref="J126:K126"/>
    <mergeCell ref="L126:M126"/>
    <mergeCell ref="N126:O126"/>
    <mergeCell ref="B128:O128"/>
    <mergeCell ref="B129:G129"/>
    <mergeCell ref="H129:J129"/>
    <mergeCell ref="K129:O129"/>
    <mergeCell ref="B130:G130"/>
    <mergeCell ref="H130:J130"/>
    <mergeCell ref="K130:O130"/>
    <mergeCell ref="B131:G131"/>
    <mergeCell ref="H131:J131"/>
    <mergeCell ref="K131:O131"/>
    <mergeCell ref="B132:G132"/>
    <mergeCell ref="H132:J132"/>
    <mergeCell ref="K132:O132"/>
    <mergeCell ref="B134:O134"/>
    <mergeCell ref="B135:C135"/>
    <mergeCell ref="D135:E135"/>
    <mergeCell ref="F135:H135"/>
    <mergeCell ref="I135:J135"/>
    <mergeCell ref="K135:L135"/>
    <mergeCell ref="M135:O135"/>
    <mergeCell ref="B137:O137"/>
    <mergeCell ref="B138:D138"/>
    <mergeCell ref="E138:O138"/>
    <mergeCell ref="B139:D139"/>
    <mergeCell ref="E139:O139"/>
    <mergeCell ref="B140:D140"/>
    <mergeCell ref="E140:O140"/>
    <mergeCell ref="B141:D141"/>
    <mergeCell ref="E141:O141"/>
    <mergeCell ref="B142:D142"/>
    <mergeCell ref="E142:O142"/>
    <mergeCell ref="B143:D143"/>
    <mergeCell ref="E143:O143"/>
    <mergeCell ref="B144:D144"/>
    <mergeCell ref="E144:O144"/>
    <mergeCell ref="B145:D145"/>
    <mergeCell ref="E145:O145"/>
    <mergeCell ref="B146:D146"/>
    <mergeCell ref="E146:O146"/>
    <mergeCell ref="B147:D147"/>
    <mergeCell ref="E147:O147"/>
    <mergeCell ref="B148:K148"/>
    <mergeCell ref="L148:O148"/>
    <mergeCell ref="B150:E150"/>
    <mergeCell ref="F150:G150"/>
    <mergeCell ref="H150:O150"/>
    <mergeCell ref="B151:O151"/>
    <mergeCell ref="B152:D152"/>
    <mergeCell ref="E152:H152"/>
    <mergeCell ref="I152:K152"/>
    <mergeCell ref="L152:O152"/>
    <mergeCell ref="B153:D153"/>
    <mergeCell ref="E153:H153"/>
    <mergeCell ref="I153:K153"/>
    <mergeCell ref="L153:O153"/>
    <mergeCell ref="B154:D154"/>
    <mergeCell ref="E154:H154"/>
    <mergeCell ref="I154:K154"/>
    <mergeCell ref="L154:O154"/>
    <mergeCell ref="B156:O156"/>
    <mergeCell ref="B157:E157"/>
    <mergeCell ref="F157:H157"/>
    <mergeCell ref="I157:L157"/>
    <mergeCell ref="M157:O157"/>
    <mergeCell ref="B158:E158"/>
    <mergeCell ref="F158:H158"/>
    <mergeCell ref="I158:L158"/>
    <mergeCell ref="M158:O158"/>
    <mergeCell ref="B159:E159"/>
    <mergeCell ref="F159:H159"/>
    <mergeCell ref="I159:L159"/>
    <mergeCell ref="M159:O159"/>
    <mergeCell ref="B160:C160"/>
    <mergeCell ref="D160:E160"/>
    <mergeCell ref="F160:G160"/>
    <mergeCell ref="H160:I160"/>
    <mergeCell ref="J160:K160"/>
    <mergeCell ref="L160:M160"/>
    <mergeCell ref="N160:O160"/>
    <mergeCell ref="B161:C161"/>
    <mergeCell ref="D161:E161"/>
    <mergeCell ref="F161:G161"/>
    <mergeCell ref="H161:I161"/>
    <mergeCell ref="J161:K161"/>
    <mergeCell ref="L161:M161"/>
    <mergeCell ref="N161:O161"/>
    <mergeCell ref="B162:C162"/>
    <mergeCell ref="D162:E162"/>
    <mergeCell ref="F162:G162"/>
    <mergeCell ref="H162:I162"/>
    <mergeCell ref="J162:K162"/>
    <mergeCell ref="L162:M162"/>
    <mergeCell ref="N162:O162"/>
    <mergeCell ref="B164:O164"/>
    <mergeCell ref="B165:G165"/>
    <mergeCell ref="H165:J165"/>
    <mergeCell ref="K165:O165"/>
    <mergeCell ref="B166:G166"/>
    <mergeCell ref="H166:J166"/>
    <mergeCell ref="K166:O166"/>
    <mergeCell ref="B167:G167"/>
    <mergeCell ref="H167:J167"/>
    <mergeCell ref="K167:O167"/>
    <mergeCell ref="B168:G168"/>
    <mergeCell ref="H168:J168"/>
    <mergeCell ref="K168:O168"/>
    <mergeCell ref="B170:O170"/>
    <mergeCell ref="B171:C171"/>
    <mergeCell ref="D171:E171"/>
    <mergeCell ref="F171:H171"/>
    <mergeCell ref="I171:J171"/>
    <mergeCell ref="K171:L171"/>
    <mergeCell ref="M171:O171"/>
    <mergeCell ref="B173:O173"/>
    <mergeCell ref="B174:D174"/>
    <mergeCell ref="E174:O174"/>
    <mergeCell ref="B175:D175"/>
    <mergeCell ref="E175:O175"/>
    <mergeCell ref="B176:D176"/>
    <mergeCell ref="E176:O176"/>
    <mergeCell ref="B177:D177"/>
    <mergeCell ref="E177:O177"/>
    <mergeCell ref="B178:D178"/>
    <mergeCell ref="E178:O178"/>
    <mergeCell ref="B179:D179"/>
    <mergeCell ref="E179:O179"/>
    <mergeCell ref="B180:D180"/>
    <mergeCell ref="E180:O180"/>
    <mergeCell ref="B181:D181"/>
    <mergeCell ref="E181:O181"/>
    <mergeCell ref="B182:D182"/>
    <mergeCell ref="E182:O182"/>
    <mergeCell ref="B183:D183"/>
    <mergeCell ref="E183:O183"/>
    <mergeCell ref="B184:K184"/>
    <mergeCell ref="L184:O184"/>
    <mergeCell ref="B186:E186"/>
    <mergeCell ref="F186:G186"/>
    <mergeCell ref="H186:O186"/>
    <mergeCell ref="B187:O187"/>
    <mergeCell ref="B188:D188"/>
    <mergeCell ref="E188:H188"/>
    <mergeCell ref="I188:K188"/>
    <mergeCell ref="L188:O188"/>
    <mergeCell ref="B189:D189"/>
    <mergeCell ref="E189:H189"/>
    <mergeCell ref="I189:K189"/>
    <mergeCell ref="L189:O189"/>
    <mergeCell ref="B190:D190"/>
    <mergeCell ref="E190:H190"/>
    <mergeCell ref="I190:K190"/>
    <mergeCell ref="L190:O190"/>
    <mergeCell ref="B192:O192"/>
    <mergeCell ref="B193:E193"/>
    <mergeCell ref="F193:H193"/>
    <mergeCell ref="I193:L193"/>
    <mergeCell ref="M193:O193"/>
    <mergeCell ref="B194:E194"/>
    <mergeCell ref="F194:H194"/>
    <mergeCell ref="I194:L194"/>
    <mergeCell ref="M194:O194"/>
    <mergeCell ref="B195:E195"/>
    <mergeCell ref="F195:H195"/>
    <mergeCell ref="I195:L195"/>
    <mergeCell ref="M195:O195"/>
    <mergeCell ref="B196:C196"/>
    <mergeCell ref="D196:E196"/>
    <mergeCell ref="F196:G196"/>
    <mergeCell ref="H196:I196"/>
    <mergeCell ref="J196:K196"/>
    <mergeCell ref="L196:M196"/>
    <mergeCell ref="N196:O196"/>
    <mergeCell ref="B197:C197"/>
    <mergeCell ref="D197:E197"/>
    <mergeCell ref="F197:G197"/>
    <mergeCell ref="H197:I197"/>
    <mergeCell ref="J197:K197"/>
    <mergeCell ref="L197:M197"/>
    <mergeCell ref="N197:O197"/>
    <mergeCell ref="B198:C198"/>
    <mergeCell ref="D198:E198"/>
    <mergeCell ref="F198:G198"/>
    <mergeCell ref="H198:I198"/>
    <mergeCell ref="J198:K198"/>
    <mergeCell ref="L198:M198"/>
    <mergeCell ref="N198:O198"/>
    <mergeCell ref="B200:O200"/>
    <mergeCell ref="B201:G201"/>
    <mergeCell ref="H201:J201"/>
    <mergeCell ref="K201:O201"/>
    <mergeCell ref="B202:G202"/>
    <mergeCell ref="H202:J202"/>
    <mergeCell ref="K202:O202"/>
    <mergeCell ref="B203:G203"/>
    <mergeCell ref="H203:J203"/>
    <mergeCell ref="K203:O203"/>
    <mergeCell ref="B204:G204"/>
    <mergeCell ref="H204:J204"/>
    <mergeCell ref="K204:O204"/>
    <mergeCell ref="B206:O206"/>
    <mergeCell ref="B207:C207"/>
    <mergeCell ref="D207:E207"/>
    <mergeCell ref="F207:H207"/>
    <mergeCell ref="I207:J207"/>
    <mergeCell ref="K207:L207"/>
    <mergeCell ref="M207:O207"/>
    <mergeCell ref="B209:O209"/>
    <mergeCell ref="B210:D210"/>
    <mergeCell ref="E210:O210"/>
    <mergeCell ref="B211:D211"/>
    <mergeCell ref="E211:O211"/>
    <mergeCell ref="B212:D212"/>
    <mergeCell ref="E212:O212"/>
    <mergeCell ref="B213:D213"/>
    <mergeCell ref="E213:O213"/>
    <mergeCell ref="B214:D214"/>
    <mergeCell ref="E214:O214"/>
    <mergeCell ref="B215:D215"/>
    <mergeCell ref="E215:O215"/>
    <mergeCell ref="B216:D216"/>
    <mergeCell ref="E216:O216"/>
    <mergeCell ref="B217:D217"/>
    <mergeCell ref="E217:O217"/>
    <mergeCell ref="B218:D218"/>
    <mergeCell ref="E218:O218"/>
    <mergeCell ref="B219:D219"/>
    <mergeCell ref="E219:O219"/>
    <mergeCell ref="B220:K220"/>
    <mergeCell ref="L220:O220"/>
    <mergeCell ref="B222:E222"/>
    <mergeCell ref="F222:G222"/>
    <mergeCell ref="H222:O222"/>
    <mergeCell ref="B223:O223"/>
    <mergeCell ref="B224:D224"/>
    <mergeCell ref="E224:H224"/>
    <mergeCell ref="I224:K224"/>
    <mergeCell ref="L224:O224"/>
    <mergeCell ref="B225:D225"/>
    <mergeCell ref="E225:H225"/>
    <mergeCell ref="I225:K225"/>
    <mergeCell ref="L225:O225"/>
    <mergeCell ref="B226:D226"/>
    <mergeCell ref="E226:H226"/>
    <mergeCell ref="I226:K226"/>
    <mergeCell ref="L226:O226"/>
    <mergeCell ref="B228:O228"/>
    <mergeCell ref="B229:E229"/>
    <mergeCell ref="F229:H229"/>
    <mergeCell ref="I229:L229"/>
    <mergeCell ref="M229:O229"/>
    <mergeCell ref="B230:E230"/>
    <mergeCell ref="F230:H230"/>
    <mergeCell ref="I230:L230"/>
    <mergeCell ref="M230:O230"/>
    <mergeCell ref="B231:E231"/>
    <mergeCell ref="F231:H231"/>
    <mergeCell ref="I231:L231"/>
    <mergeCell ref="M231:O231"/>
    <mergeCell ref="B232:C232"/>
    <mergeCell ref="D232:E232"/>
    <mergeCell ref="F232:G232"/>
    <mergeCell ref="H232:I232"/>
    <mergeCell ref="J232:K232"/>
    <mergeCell ref="L232:M232"/>
    <mergeCell ref="N232:O232"/>
    <mergeCell ref="B233:C233"/>
    <mergeCell ref="D233:E233"/>
    <mergeCell ref="F233:G233"/>
    <mergeCell ref="H233:I233"/>
    <mergeCell ref="J233:K233"/>
    <mergeCell ref="L233:M233"/>
    <mergeCell ref="N233:O233"/>
    <mergeCell ref="B234:C234"/>
    <mergeCell ref="D234:E234"/>
    <mergeCell ref="F234:G234"/>
    <mergeCell ref="H234:I234"/>
    <mergeCell ref="J234:K234"/>
    <mergeCell ref="L234:M234"/>
    <mergeCell ref="N234:O234"/>
    <mergeCell ref="B236:O236"/>
    <mergeCell ref="B237:G237"/>
    <mergeCell ref="H237:J237"/>
    <mergeCell ref="K237:O237"/>
    <mergeCell ref="B238:G238"/>
    <mergeCell ref="H238:J238"/>
    <mergeCell ref="K238:O238"/>
    <mergeCell ref="B239:G239"/>
    <mergeCell ref="H239:J239"/>
    <mergeCell ref="K239:O239"/>
    <mergeCell ref="B240:G240"/>
    <mergeCell ref="H240:J240"/>
    <mergeCell ref="K240:O240"/>
    <mergeCell ref="B242:O242"/>
    <mergeCell ref="B243:C243"/>
    <mergeCell ref="D243:E243"/>
    <mergeCell ref="F243:H243"/>
    <mergeCell ref="I243:J243"/>
    <mergeCell ref="K243:L243"/>
    <mergeCell ref="M243:O243"/>
    <mergeCell ref="B245:O245"/>
    <mergeCell ref="B246:D246"/>
    <mergeCell ref="E246:O246"/>
    <mergeCell ref="B247:D247"/>
    <mergeCell ref="E247:O247"/>
    <mergeCell ref="B248:D248"/>
    <mergeCell ref="E248:O248"/>
    <mergeCell ref="B249:D249"/>
    <mergeCell ref="E249:O249"/>
    <mergeCell ref="B250:D250"/>
    <mergeCell ref="E250:O250"/>
    <mergeCell ref="B251:D251"/>
    <mergeCell ref="E251:O251"/>
    <mergeCell ref="B252:D252"/>
    <mergeCell ref="E252:O252"/>
    <mergeCell ref="B253:D253"/>
    <mergeCell ref="E253:O253"/>
    <mergeCell ref="B254:D254"/>
    <mergeCell ref="E254:O254"/>
    <mergeCell ref="B255:D255"/>
    <mergeCell ref="E255:O255"/>
    <mergeCell ref="B256:K256"/>
    <mergeCell ref="L256:O256"/>
    <mergeCell ref="B258:E258"/>
    <mergeCell ref="F258:G258"/>
    <mergeCell ref="H258:O258"/>
    <mergeCell ref="B259:O259"/>
    <mergeCell ref="B260:D260"/>
    <mergeCell ref="E260:H260"/>
    <mergeCell ref="I260:K260"/>
    <mergeCell ref="L260:O260"/>
    <mergeCell ref="B261:D261"/>
    <mergeCell ref="E261:H261"/>
    <mergeCell ref="I261:K261"/>
    <mergeCell ref="L261:O261"/>
    <mergeCell ref="B262:D262"/>
    <mergeCell ref="E262:H262"/>
    <mergeCell ref="I262:K262"/>
    <mergeCell ref="L262:O262"/>
    <mergeCell ref="B264:O264"/>
    <mergeCell ref="B265:E265"/>
    <mergeCell ref="F265:H265"/>
    <mergeCell ref="I265:L265"/>
    <mergeCell ref="M265:O265"/>
    <mergeCell ref="B266:E266"/>
    <mergeCell ref="F266:H266"/>
    <mergeCell ref="I266:L266"/>
    <mergeCell ref="M266:O266"/>
    <mergeCell ref="B267:E267"/>
    <mergeCell ref="F267:H267"/>
    <mergeCell ref="I267:L267"/>
    <mergeCell ref="M267:O267"/>
    <mergeCell ref="B268:C268"/>
    <mergeCell ref="D268:E268"/>
    <mergeCell ref="F268:G268"/>
    <mergeCell ref="H268:I268"/>
    <mergeCell ref="J268:K268"/>
    <mergeCell ref="L268:M268"/>
    <mergeCell ref="N268:O268"/>
    <mergeCell ref="B269:C269"/>
    <mergeCell ref="D269:E269"/>
    <mergeCell ref="F269:G269"/>
    <mergeCell ref="H269:I269"/>
    <mergeCell ref="J269:K269"/>
    <mergeCell ref="L269:M269"/>
    <mergeCell ref="N269:O269"/>
    <mergeCell ref="B270:C270"/>
    <mergeCell ref="D270:E270"/>
    <mergeCell ref="F270:G270"/>
    <mergeCell ref="H270:I270"/>
    <mergeCell ref="J270:K270"/>
    <mergeCell ref="L270:M270"/>
    <mergeCell ref="N270:O270"/>
    <mergeCell ref="B272:O272"/>
    <mergeCell ref="B273:G273"/>
    <mergeCell ref="H273:J273"/>
    <mergeCell ref="K273:O273"/>
    <mergeCell ref="B274:G274"/>
    <mergeCell ref="H274:J274"/>
    <mergeCell ref="K274:O274"/>
    <mergeCell ref="B275:G275"/>
    <mergeCell ref="H275:J275"/>
    <mergeCell ref="K275:O275"/>
    <mergeCell ref="B276:G276"/>
    <mergeCell ref="H276:J276"/>
    <mergeCell ref="K276:O276"/>
    <mergeCell ref="B278:O278"/>
    <mergeCell ref="B279:C279"/>
    <mergeCell ref="D279:E279"/>
    <mergeCell ref="F279:H279"/>
    <mergeCell ref="I279:J279"/>
    <mergeCell ref="K279:L279"/>
    <mergeCell ref="M279:O279"/>
    <mergeCell ref="B281:O281"/>
    <mergeCell ref="B282:D282"/>
    <mergeCell ref="E282:O282"/>
    <mergeCell ref="B283:D283"/>
    <mergeCell ref="E283:O283"/>
    <mergeCell ref="B284:D284"/>
    <mergeCell ref="E284:O284"/>
    <mergeCell ref="B285:D285"/>
    <mergeCell ref="E285:O285"/>
    <mergeCell ref="B286:D286"/>
    <mergeCell ref="E286:O286"/>
    <mergeCell ref="B287:D287"/>
    <mergeCell ref="E287:O287"/>
    <mergeCell ref="B288:D288"/>
    <mergeCell ref="E288:O288"/>
    <mergeCell ref="B289:D289"/>
    <mergeCell ref="E289:O289"/>
    <mergeCell ref="B290:D290"/>
    <mergeCell ref="E290:O290"/>
    <mergeCell ref="B291:D291"/>
    <mergeCell ref="E291:O291"/>
    <mergeCell ref="B292:K292"/>
    <mergeCell ref="L292:O292"/>
    <mergeCell ref="B294:E294"/>
    <mergeCell ref="F294:G294"/>
    <mergeCell ref="H294:O294"/>
    <mergeCell ref="B295:O295"/>
    <mergeCell ref="B296:D296"/>
    <mergeCell ref="E296:H296"/>
    <mergeCell ref="I296:K296"/>
    <mergeCell ref="L296:O296"/>
    <mergeCell ref="B297:D297"/>
    <mergeCell ref="E297:H297"/>
    <mergeCell ref="I297:K297"/>
    <mergeCell ref="L297:O297"/>
    <mergeCell ref="B298:D298"/>
    <mergeCell ref="E298:H298"/>
    <mergeCell ref="I298:K298"/>
    <mergeCell ref="L298:O298"/>
    <mergeCell ref="B300:O300"/>
    <mergeCell ref="B301:E301"/>
    <mergeCell ref="F301:H301"/>
    <mergeCell ref="I301:L301"/>
    <mergeCell ref="M301:O301"/>
    <mergeCell ref="B302:E302"/>
    <mergeCell ref="F302:H302"/>
    <mergeCell ref="I302:L302"/>
    <mergeCell ref="M302:O302"/>
    <mergeCell ref="B303:E303"/>
    <mergeCell ref="F303:H303"/>
    <mergeCell ref="I303:L303"/>
    <mergeCell ref="M303:O303"/>
    <mergeCell ref="B304:C304"/>
    <mergeCell ref="D304:E304"/>
    <mergeCell ref="F304:G304"/>
    <mergeCell ref="H304:I304"/>
    <mergeCell ref="J304:K304"/>
    <mergeCell ref="L304:M304"/>
    <mergeCell ref="N304:O304"/>
    <mergeCell ref="B305:C305"/>
    <mergeCell ref="D305:E305"/>
    <mergeCell ref="F305:G305"/>
    <mergeCell ref="H305:I305"/>
    <mergeCell ref="J305:K305"/>
    <mergeCell ref="L305:M305"/>
    <mergeCell ref="N305:O305"/>
    <mergeCell ref="B306:C306"/>
    <mergeCell ref="D306:E306"/>
    <mergeCell ref="F306:G306"/>
    <mergeCell ref="H306:I306"/>
    <mergeCell ref="J306:K306"/>
    <mergeCell ref="L306:M306"/>
    <mergeCell ref="N306:O306"/>
    <mergeCell ref="B308:O308"/>
    <mergeCell ref="B309:G309"/>
    <mergeCell ref="H309:J309"/>
    <mergeCell ref="K309:O309"/>
    <mergeCell ref="B310:G310"/>
    <mergeCell ref="H310:J310"/>
    <mergeCell ref="K310:O310"/>
    <mergeCell ref="B311:G311"/>
    <mergeCell ref="H311:J311"/>
    <mergeCell ref="K311:O311"/>
    <mergeCell ref="B312:G312"/>
    <mergeCell ref="H312:J312"/>
    <mergeCell ref="K312:O312"/>
    <mergeCell ref="B314:O314"/>
    <mergeCell ref="B315:C315"/>
    <mergeCell ref="D315:E315"/>
    <mergeCell ref="F315:H315"/>
    <mergeCell ref="I315:J315"/>
    <mergeCell ref="K315:L315"/>
    <mergeCell ref="M315:O315"/>
    <mergeCell ref="B317:O317"/>
    <mergeCell ref="B318:D318"/>
    <mergeCell ref="E318:O318"/>
    <mergeCell ref="B319:D319"/>
    <mergeCell ref="E319:O319"/>
    <mergeCell ref="B320:D320"/>
    <mergeCell ref="E320:O320"/>
    <mergeCell ref="B321:D321"/>
    <mergeCell ref="E321:O321"/>
    <mergeCell ref="B322:D322"/>
    <mergeCell ref="E322:O322"/>
    <mergeCell ref="B323:D323"/>
    <mergeCell ref="E323:O323"/>
    <mergeCell ref="B324:D324"/>
    <mergeCell ref="E324:O324"/>
    <mergeCell ref="B325:D325"/>
    <mergeCell ref="E325:O325"/>
    <mergeCell ref="B326:D326"/>
    <mergeCell ref="E326:O326"/>
    <mergeCell ref="B327:D327"/>
    <mergeCell ref="E327:O327"/>
    <mergeCell ref="B328:K328"/>
    <mergeCell ref="L328:O328"/>
    <mergeCell ref="B330:E330"/>
    <mergeCell ref="F330:G330"/>
    <mergeCell ref="H330:O330"/>
    <mergeCell ref="B331:O331"/>
    <mergeCell ref="B332:D332"/>
    <mergeCell ref="E332:H332"/>
    <mergeCell ref="I332:K332"/>
    <mergeCell ref="L332:O332"/>
    <mergeCell ref="B333:D333"/>
    <mergeCell ref="E333:H333"/>
    <mergeCell ref="I333:K333"/>
    <mergeCell ref="L333:O333"/>
    <mergeCell ref="B334:D334"/>
    <mergeCell ref="E334:H334"/>
    <mergeCell ref="I334:K334"/>
    <mergeCell ref="L334:O334"/>
    <mergeCell ref="B336:O336"/>
    <mergeCell ref="B337:E337"/>
    <mergeCell ref="F337:H337"/>
    <mergeCell ref="I337:L337"/>
    <mergeCell ref="M337:O337"/>
    <mergeCell ref="B338:E338"/>
    <mergeCell ref="F338:H338"/>
    <mergeCell ref="I338:L338"/>
    <mergeCell ref="M338:O338"/>
    <mergeCell ref="B339:E339"/>
    <mergeCell ref="F339:H339"/>
    <mergeCell ref="I339:L339"/>
    <mergeCell ref="M339:O339"/>
    <mergeCell ref="B340:C340"/>
    <mergeCell ref="D340:E340"/>
    <mergeCell ref="F340:G340"/>
    <mergeCell ref="H340:I340"/>
    <mergeCell ref="J340:K340"/>
    <mergeCell ref="L340:M340"/>
    <mergeCell ref="N340:O340"/>
    <mergeCell ref="B341:C341"/>
    <mergeCell ref="D341:E341"/>
    <mergeCell ref="F341:G341"/>
    <mergeCell ref="H341:I341"/>
    <mergeCell ref="J341:K341"/>
    <mergeCell ref="L341:M341"/>
    <mergeCell ref="N341:O341"/>
    <mergeCell ref="B342:C342"/>
    <mergeCell ref="D342:E342"/>
    <mergeCell ref="F342:G342"/>
    <mergeCell ref="H342:I342"/>
    <mergeCell ref="J342:K342"/>
    <mergeCell ref="L342:M342"/>
    <mergeCell ref="N342:O342"/>
    <mergeCell ref="B344:O344"/>
    <mergeCell ref="B345:G345"/>
    <mergeCell ref="H345:J345"/>
    <mergeCell ref="K345:O345"/>
    <mergeCell ref="B346:G346"/>
    <mergeCell ref="H346:J346"/>
    <mergeCell ref="K346:O346"/>
    <mergeCell ref="B347:G347"/>
    <mergeCell ref="H347:J347"/>
    <mergeCell ref="K347:O347"/>
    <mergeCell ref="B348:G348"/>
    <mergeCell ref="H348:J348"/>
    <mergeCell ref="K348:O348"/>
    <mergeCell ref="B350:O350"/>
    <mergeCell ref="B351:C351"/>
    <mergeCell ref="D351:E351"/>
    <mergeCell ref="F351:H351"/>
    <mergeCell ref="I351:J351"/>
    <mergeCell ref="K351:L351"/>
    <mergeCell ref="M351:O351"/>
    <mergeCell ref="B353:O353"/>
    <mergeCell ref="B354:D354"/>
    <mergeCell ref="E354:O354"/>
    <mergeCell ref="B355:D355"/>
    <mergeCell ref="E355:O355"/>
    <mergeCell ref="B356:D356"/>
    <mergeCell ref="E356:O356"/>
    <mergeCell ref="B357:D357"/>
    <mergeCell ref="E357:O357"/>
    <mergeCell ref="B358:D358"/>
    <mergeCell ref="E358:O358"/>
    <mergeCell ref="B359:D359"/>
    <mergeCell ref="E359:O359"/>
    <mergeCell ref="B360:D360"/>
    <mergeCell ref="E360:O360"/>
    <mergeCell ref="B361:D361"/>
    <mergeCell ref="E361:O361"/>
    <mergeCell ref="B362:D362"/>
    <mergeCell ref="E362:O362"/>
    <mergeCell ref="B363:D363"/>
    <mergeCell ref="E363:O363"/>
    <mergeCell ref="B364:K364"/>
    <mergeCell ref="L364:O364"/>
    <mergeCell ref="B366:E366"/>
    <mergeCell ref="F366:G366"/>
    <mergeCell ref="H366:O366"/>
    <mergeCell ref="B367:O367"/>
    <mergeCell ref="B368:D368"/>
    <mergeCell ref="E368:H368"/>
    <mergeCell ref="I368:K368"/>
    <mergeCell ref="L368:O368"/>
    <mergeCell ref="B369:D369"/>
    <mergeCell ref="E369:H369"/>
    <mergeCell ref="I369:K369"/>
    <mergeCell ref="L369:O369"/>
    <mergeCell ref="B370:D370"/>
    <mergeCell ref="E370:H370"/>
    <mergeCell ref="I370:K370"/>
    <mergeCell ref="L370:O370"/>
    <mergeCell ref="B372:O372"/>
    <mergeCell ref="B373:E373"/>
    <mergeCell ref="F373:H373"/>
    <mergeCell ref="I373:L373"/>
    <mergeCell ref="M373:O373"/>
    <mergeCell ref="B374:E374"/>
    <mergeCell ref="F374:H374"/>
    <mergeCell ref="I374:L374"/>
    <mergeCell ref="M374:O374"/>
    <mergeCell ref="B375:E375"/>
    <mergeCell ref="F375:H375"/>
    <mergeCell ref="I375:L375"/>
    <mergeCell ref="M375:O375"/>
    <mergeCell ref="B376:C376"/>
    <mergeCell ref="D376:E376"/>
    <mergeCell ref="F376:G376"/>
    <mergeCell ref="H376:I376"/>
    <mergeCell ref="J376:K376"/>
    <mergeCell ref="L376:M376"/>
    <mergeCell ref="N376:O376"/>
    <mergeCell ref="B377:C377"/>
    <mergeCell ref="D377:E377"/>
    <mergeCell ref="F377:G377"/>
    <mergeCell ref="H377:I377"/>
    <mergeCell ref="J377:K377"/>
    <mergeCell ref="L377:M377"/>
    <mergeCell ref="N377:O377"/>
    <mergeCell ref="B378:C378"/>
    <mergeCell ref="D378:E378"/>
    <mergeCell ref="F378:G378"/>
    <mergeCell ref="H378:I378"/>
    <mergeCell ref="J378:K378"/>
    <mergeCell ref="L378:M378"/>
    <mergeCell ref="N378:O378"/>
    <mergeCell ref="B380:O380"/>
    <mergeCell ref="B381:G381"/>
    <mergeCell ref="H381:J381"/>
    <mergeCell ref="K381:O381"/>
    <mergeCell ref="B382:G382"/>
    <mergeCell ref="H382:J382"/>
    <mergeCell ref="K382:O382"/>
    <mergeCell ref="B383:G383"/>
    <mergeCell ref="H383:J383"/>
    <mergeCell ref="K383:O383"/>
    <mergeCell ref="B384:G384"/>
    <mergeCell ref="H384:J384"/>
    <mergeCell ref="K384:O384"/>
    <mergeCell ref="B386:O386"/>
    <mergeCell ref="B387:C387"/>
    <mergeCell ref="D387:E387"/>
    <mergeCell ref="F387:H387"/>
    <mergeCell ref="I387:J387"/>
    <mergeCell ref="K387:L387"/>
    <mergeCell ref="M387:O387"/>
    <mergeCell ref="B389:O389"/>
    <mergeCell ref="B390:D390"/>
    <mergeCell ref="E390:O390"/>
    <mergeCell ref="B391:D391"/>
    <mergeCell ref="E391:O391"/>
    <mergeCell ref="B392:D392"/>
    <mergeCell ref="E392:O392"/>
    <mergeCell ref="B393:D393"/>
    <mergeCell ref="E393:O393"/>
    <mergeCell ref="B394:D394"/>
    <mergeCell ref="E394:O394"/>
    <mergeCell ref="B395:D395"/>
    <mergeCell ref="E395:O395"/>
    <mergeCell ref="B396:D396"/>
    <mergeCell ref="E396:O396"/>
    <mergeCell ref="B397:D397"/>
    <mergeCell ref="E397:O397"/>
    <mergeCell ref="B398:D398"/>
    <mergeCell ref="E398:O398"/>
    <mergeCell ref="B399:D399"/>
    <mergeCell ref="E399:O399"/>
    <mergeCell ref="B400:K400"/>
    <mergeCell ref="L400:O400"/>
    <mergeCell ref="B402:E402"/>
    <mergeCell ref="F402:G402"/>
    <mergeCell ref="H402:O402"/>
    <mergeCell ref="B403:O403"/>
    <mergeCell ref="B404:D404"/>
    <mergeCell ref="E404:H404"/>
    <mergeCell ref="I404:K404"/>
    <mergeCell ref="L404:O404"/>
    <mergeCell ref="B405:D405"/>
    <mergeCell ref="E405:H405"/>
    <mergeCell ref="I405:K405"/>
    <mergeCell ref="L405:O405"/>
    <mergeCell ref="B406:D406"/>
    <mergeCell ref="E406:H406"/>
    <mergeCell ref="I406:K406"/>
    <mergeCell ref="L406:O406"/>
    <mergeCell ref="B408:O408"/>
    <mergeCell ref="B409:E409"/>
    <mergeCell ref="F409:H409"/>
    <mergeCell ref="I409:L409"/>
    <mergeCell ref="M409:O409"/>
    <mergeCell ref="B410:E410"/>
    <mergeCell ref="F410:H410"/>
    <mergeCell ref="I410:L410"/>
    <mergeCell ref="M410:O410"/>
    <mergeCell ref="B411:E411"/>
    <mergeCell ref="F411:H411"/>
    <mergeCell ref="I411:L411"/>
    <mergeCell ref="M411:O411"/>
    <mergeCell ref="B412:C412"/>
    <mergeCell ref="D412:E412"/>
    <mergeCell ref="F412:G412"/>
    <mergeCell ref="H412:I412"/>
    <mergeCell ref="J412:K412"/>
    <mergeCell ref="L412:M412"/>
    <mergeCell ref="N412:O412"/>
    <mergeCell ref="B413:C413"/>
    <mergeCell ref="D413:E413"/>
    <mergeCell ref="F413:G413"/>
    <mergeCell ref="H413:I413"/>
    <mergeCell ref="J413:K413"/>
    <mergeCell ref="L413:M413"/>
    <mergeCell ref="N413:O413"/>
    <mergeCell ref="B414:C414"/>
    <mergeCell ref="D414:E414"/>
    <mergeCell ref="F414:G414"/>
    <mergeCell ref="H414:I414"/>
    <mergeCell ref="J414:K414"/>
    <mergeCell ref="L414:M414"/>
    <mergeCell ref="N414:O414"/>
    <mergeCell ref="B416:O416"/>
    <mergeCell ref="B417:G417"/>
    <mergeCell ref="H417:J417"/>
    <mergeCell ref="K417:O417"/>
    <mergeCell ref="B418:G418"/>
    <mergeCell ref="H418:J418"/>
    <mergeCell ref="K418:O418"/>
    <mergeCell ref="B419:G419"/>
    <mergeCell ref="H419:J419"/>
    <mergeCell ref="K419:O419"/>
    <mergeCell ref="B420:G420"/>
    <mergeCell ref="H420:J420"/>
    <mergeCell ref="K420:O420"/>
    <mergeCell ref="B422:O422"/>
    <mergeCell ref="B423:C423"/>
    <mergeCell ref="D423:E423"/>
    <mergeCell ref="F423:H423"/>
    <mergeCell ref="I423:J423"/>
    <mergeCell ref="K423:L423"/>
    <mergeCell ref="M423:O423"/>
    <mergeCell ref="B425:O425"/>
    <mergeCell ref="B426:D426"/>
    <mergeCell ref="E426:O426"/>
    <mergeCell ref="B427:D427"/>
    <mergeCell ref="E427:O427"/>
    <mergeCell ref="B428:D428"/>
    <mergeCell ref="E428:O428"/>
    <mergeCell ref="B429:D429"/>
    <mergeCell ref="E429:O429"/>
    <mergeCell ref="B430:D430"/>
    <mergeCell ref="E430:O430"/>
    <mergeCell ref="B431:D431"/>
    <mergeCell ref="E431:O431"/>
    <mergeCell ref="B432:D432"/>
    <mergeCell ref="E432:O432"/>
    <mergeCell ref="B433:D433"/>
    <mergeCell ref="E433:O433"/>
    <mergeCell ref="B434:D434"/>
    <mergeCell ref="E434:O434"/>
    <mergeCell ref="B435:D435"/>
    <mergeCell ref="E435:O435"/>
    <mergeCell ref="B436:K436"/>
    <mergeCell ref="L436:O436"/>
    <mergeCell ref="B438:E438"/>
    <mergeCell ref="F438:G438"/>
    <mergeCell ref="H438:O438"/>
    <mergeCell ref="B439:O439"/>
    <mergeCell ref="B440:D440"/>
    <mergeCell ref="E440:H440"/>
    <mergeCell ref="I440:K440"/>
    <mergeCell ref="L440:O440"/>
    <mergeCell ref="B441:D441"/>
    <mergeCell ref="E441:H441"/>
    <mergeCell ref="I441:K441"/>
    <mergeCell ref="L441:O441"/>
    <mergeCell ref="B442:D442"/>
    <mergeCell ref="E442:H442"/>
    <mergeCell ref="I442:K442"/>
    <mergeCell ref="L442:O442"/>
    <mergeCell ref="B444:O444"/>
    <mergeCell ref="B445:E445"/>
    <mergeCell ref="F445:H445"/>
    <mergeCell ref="I445:L445"/>
    <mergeCell ref="M445:O445"/>
    <mergeCell ref="B446:E446"/>
    <mergeCell ref="F446:H446"/>
    <mergeCell ref="I446:L446"/>
    <mergeCell ref="M446:O446"/>
    <mergeCell ref="B447:E447"/>
    <mergeCell ref="F447:H447"/>
    <mergeCell ref="I447:L447"/>
    <mergeCell ref="M447:O447"/>
    <mergeCell ref="B448:C448"/>
    <mergeCell ref="D448:E448"/>
    <mergeCell ref="F448:G448"/>
    <mergeCell ref="H448:I448"/>
    <mergeCell ref="J448:K448"/>
    <mergeCell ref="L448:M448"/>
    <mergeCell ref="N448:O448"/>
    <mergeCell ref="B449:C449"/>
    <mergeCell ref="D449:E449"/>
    <mergeCell ref="F449:G449"/>
    <mergeCell ref="H449:I449"/>
    <mergeCell ref="J449:K449"/>
    <mergeCell ref="L449:M449"/>
    <mergeCell ref="N449:O449"/>
    <mergeCell ref="B450:C450"/>
    <mergeCell ref="D450:E450"/>
    <mergeCell ref="F450:G450"/>
    <mergeCell ref="H450:I450"/>
    <mergeCell ref="J450:K450"/>
    <mergeCell ref="L450:M450"/>
    <mergeCell ref="N450:O450"/>
    <mergeCell ref="B452:O452"/>
    <mergeCell ref="B453:G453"/>
    <mergeCell ref="H453:J453"/>
    <mergeCell ref="K453:O453"/>
    <mergeCell ref="B454:G454"/>
    <mergeCell ref="H454:J454"/>
    <mergeCell ref="K454:O454"/>
    <mergeCell ref="B455:G455"/>
    <mergeCell ref="H455:J455"/>
    <mergeCell ref="K455:O455"/>
    <mergeCell ref="B456:G456"/>
    <mergeCell ref="H456:J456"/>
    <mergeCell ref="K456:O456"/>
    <mergeCell ref="B458:O458"/>
    <mergeCell ref="B459:C459"/>
    <mergeCell ref="D459:E459"/>
    <mergeCell ref="F459:H459"/>
    <mergeCell ref="I459:J459"/>
    <mergeCell ref="K459:L459"/>
    <mergeCell ref="M459:O459"/>
    <mergeCell ref="B461:O461"/>
    <mergeCell ref="B462:D462"/>
    <mergeCell ref="E462:O462"/>
    <mergeCell ref="B463:D463"/>
    <mergeCell ref="E463:O463"/>
    <mergeCell ref="B464:D464"/>
    <mergeCell ref="E464:O464"/>
    <mergeCell ref="B465:D465"/>
    <mergeCell ref="E465:O465"/>
    <mergeCell ref="B466:D466"/>
    <mergeCell ref="E466:O466"/>
    <mergeCell ref="B467:D467"/>
    <mergeCell ref="E467:O467"/>
    <mergeCell ref="B468:D468"/>
    <mergeCell ref="E468:O468"/>
    <mergeCell ref="B469:D469"/>
    <mergeCell ref="E469:O469"/>
    <mergeCell ref="B470:D470"/>
    <mergeCell ref="E470:O470"/>
    <mergeCell ref="B471:D471"/>
    <mergeCell ref="E471:O471"/>
    <mergeCell ref="B472:K472"/>
    <mergeCell ref="L472:O472"/>
    <mergeCell ref="B474:E474"/>
    <mergeCell ref="F474:G474"/>
    <mergeCell ref="H474:O474"/>
    <mergeCell ref="B475:O475"/>
    <mergeCell ref="B476:D476"/>
    <mergeCell ref="E476:H476"/>
    <mergeCell ref="I476:K476"/>
    <mergeCell ref="L476:O476"/>
    <mergeCell ref="B477:D477"/>
    <mergeCell ref="E477:H477"/>
    <mergeCell ref="I477:K477"/>
    <mergeCell ref="L477:O477"/>
    <mergeCell ref="B478:D478"/>
    <mergeCell ref="E478:H478"/>
    <mergeCell ref="I478:K478"/>
    <mergeCell ref="L478:O478"/>
    <mergeCell ref="B480:O480"/>
    <mergeCell ref="B481:E481"/>
    <mergeCell ref="F481:H481"/>
    <mergeCell ref="I481:L481"/>
    <mergeCell ref="M481:O481"/>
    <mergeCell ref="B482:E482"/>
    <mergeCell ref="F482:H482"/>
    <mergeCell ref="I482:L482"/>
    <mergeCell ref="M482:O482"/>
    <mergeCell ref="B483:E483"/>
    <mergeCell ref="F483:H483"/>
    <mergeCell ref="I483:L483"/>
    <mergeCell ref="M483:O483"/>
    <mergeCell ref="B484:C484"/>
    <mergeCell ref="D484:E484"/>
    <mergeCell ref="F484:G484"/>
    <mergeCell ref="H484:I484"/>
    <mergeCell ref="J484:K484"/>
    <mergeCell ref="L484:M484"/>
    <mergeCell ref="N484:O484"/>
    <mergeCell ref="B485:C485"/>
    <mergeCell ref="D485:E485"/>
    <mergeCell ref="F485:G485"/>
    <mergeCell ref="H485:I485"/>
    <mergeCell ref="J485:K485"/>
    <mergeCell ref="L485:M485"/>
    <mergeCell ref="N485:O485"/>
    <mergeCell ref="B486:C486"/>
    <mergeCell ref="D486:E486"/>
    <mergeCell ref="F486:G486"/>
    <mergeCell ref="H486:I486"/>
    <mergeCell ref="J486:K486"/>
    <mergeCell ref="L486:M486"/>
    <mergeCell ref="N486:O486"/>
    <mergeCell ref="B488:O488"/>
    <mergeCell ref="B489:G489"/>
    <mergeCell ref="H489:J489"/>
    <mergeCell ref="K489:O489"/>
    <mergeCell ref="B490:G490"/>
    <mergeCell ref="H490:J490"/>
    <mergeCell ref="K490:O490"/>
    <mergeCell ref="B491:G491"/>
    <mergeCell ref="H491:J491"/>
    <mergeCell ref="K491:O491"/>
    <mergeCell ref="B492:G492"/>
    <mergeCell ref="H492:J492"/>
    <mergeCell ref="K492:O492"/>
    <mergeCell ref="B494:O494"/>
    <mergeCell ref="B495:C495"/>
    <mergeCell ref="D495:E495"/>
    <mergeCell ref="F495:H495"/>
    <mergeCell ref="I495:J495"/>
    <mergeCell ref="K495:L495"/>
    <mergeCell ref="M495:O495"/>
    <mergeCell ref="B497:O497"/>
    <mergeCell ref="B498:D498"/>
    <mergeCell ref="E498:O498"/>
    <mergeCell ref="B499:D499"/>
    <mergeCell ref="E499:O499"/>
    <mergeCell ref="B500:D500"/>
    <mergeCell ref="E500:O500"/>
    <mergeCell ref="B501:D501"/>
    <mergeCell ref="E501:O501"/>
    <mergeCell ref="B502:D502"/>
    <mergeCell ref="E502:O502"/>
    <mergeCell ref="B503:D503"/>
    <mergeCell ref="E503:O503"/>
    <mergeCell ref="B504:D504"/>
    <mergeCell ref="E504:O504"/>
    <mergeCell ref="B505:D505"/>
    <mergeCell ref="E505:O505"/>
    <mergeCell ref="B506:D506"/>
    <mergeCell ref="E506:O506"/>
    <mergeCell ref="B507:D507"/>
    <mergeCell ref="E507:O507"/>
    <mergeCell ref="B508:K508"/>
    <mergeCell ref="L508:O508"/>
    <mergeCell ref="B510:E510"/>
    <mergeCell ref="F510:G510"/>
    <mergeCell ref="H510:O510"/>
    <mergeCell ref="B511:O511"/>
    <mergeCell ref="B512:D512"/>
    <mergeCell ref="E512:H512"/>
    <mergeCell ref="I512:K512"/>
    <mergeCell ref="L512:O512"/>
    <mergeCell ref="B513:D513"/>
    <mergeCell ref="E513:H513"/>
    <mergeCell ref="I513:K513"/>
    <mergeCell ref="L513:O513"/>
    <mergeCell ref="B514:D514"/>
    <mergeCell ref="E514:H514"/>
    <mergeCell ref="I514:K514"/>
    <mergeCell ref="L514:O514"/>
    <mergeCell ref="B516:O516"/>
    <mergeCell ref="B517:E517"/>
    <mergeCell ref="F517:H517"/>
    <mergeCell ref="I517:L517"/>
    <mergeCell ref="M517:O517"/>
    <mergeCell ref="B518:E518"/>
    <mergeCell ref="F518:H518"/>
    <mergeCell ref="I518:L518"/>
    <mergeCell ref="M518:O518"/>
    <mergeCell ref="B519:E519"/>
    <mergeCell ref="F519:H519"/>
    <mergeCell ref="I519:L519"/>
    <mergeCell ref="M519:O519"/>
    <mergeCell ref="B520:C520"/>
    <mergeCell ref="D520:E520"/>
    <mergeCell ref="F520:G520"/>
    <mergeCell ref="H520:I520"/>
    <mergeCell ref="J520:K520"/>
    <mergeCell ref="L520:M520"/>
    <mergeCell ref="N520:O520"/>
    <mergeCell ref="B521:C521"/>
    <mergeCell ref="D521:E521"/>
    <mergeCell ref="F521:G521"/>
    <mergeCell ref="H521:I521"/>
    <mergeCell ref="J521:K521"/>
    <mergeCell ref="L521:M521"/>
    <mergeCell ref="N521:O521"/>
    <mergeCell ref="B522:C522"/>
    <mergeCell ref="D522:E522"/>
    <mergeCell ref="F522:G522"/>
    <mergeCell ref="H522:I522"/>
    <mergeCell ref="J522:K522"/>
    <mergeCell ref="L522:M522"/>
    <mergeCell ref="N522:O522"/>
    <mergeCell ref="B524:O524"/>
    <mergeCell ref="B525:G525"/>
    <mergeCell ref="H525:J525"/>
    <mergeCell ref="K525:O525"/>
    <mergeCell ref="B526:G526"/>
    <mergeCell ref="H526:J526"/>
    <mergeCell ref="K526:O526"/>
    <mergeCell ref="B527:G527"/>
    <mergeCell ref="H527:J527"/>
    <mergeCell ref="K527:O527"/>
    <mergeCell ref="B528:G528"/>
    <mergeCell ref="H528:J528"/>
    <mergeCell ref="K528:O528"/>
    <mergeCell ref="B530:O530"/>
    <mergeCell ref="B531:C531"/>
    <mergeCell ref="D531:E531"/>
    <mergeCell ref="F531:H531"/>
    <mergeCell ref="I531:J531"/>
    <mergeCell ref="K531:L531"/>
    <mergeCell ref="M531:O531"/>
    <mergeCell ref="B533:O533"/>
    <mergeCell ref="B534:D534"/>
    <mergeCell ref="E534:O534"/>
    <mergeCell ref="B535:D535"/>
    <mergeCell ref="E535:O535"/>
    <mergeCell ref="B536:D536"/>
    <mergeCell ref="E536:O536"/>
    <mergeCell ref="B537:D537"/>
    <mergeCell ref="E537:O537"/>
    <mergeCell ref="B538:D538"/>
    <mergeCell ref="E538:O538"/>
    <mergeCell ref="B539:D539"/>
    <mergeCell ref="E539:O539"/>
    <mergeCell ref="B540:D540"/>
    <mergeCell ref="E540:O540"/>
    <mergeCell ref="B541:D541"/>
    <mergeCell ref="E541:O541"/>
    <mergeCell ref="B542:D542"/>
    <mergeCell ref="E542:O542"/>
    <mergeCell ref="B543:D543"/>
    <mergeCell ref="E543:O543"/>
    <mergeCell ref="B544:K544"/>
    <mergeCell ref="L544:O544"/>
    <mergeCell ref="B546:E546"/>
    <mergeCell ref="F546:G546"/>
    <mergeCell ref="H546:O546"/>
    <mergeCell ref="B547:O547"/>
    <mergeCell ref="B548:D548"/>
    <mergeCell ref="E548:H548"/>
    <mergeCell ref="I548:K548"/>
    <mergeCell ref="L548:O548"/>
    <mergeCell ref="B549:D549"/>
    <mergeCell ref="E549:H549"/>
    <mergeCell ref="I549:K549"/>
    <mergeCell ref="L549:O549"/>
    <mergeCell ref="B550:D550"/>
    <mergeCell ref="E550:H550"/>
    <mergeCell ref="I550:K550"/>
    <mergeCell ref="L550:O550"/>
    <mergeCell ref="B552:O552"/>
    <mergeCell ref="B553:E553"/>
    <mergeCell ref="F553:H553"/>
    <mergeCell ref="I553:L553"/>
    <mergeCell ref="M553:O553"/>
    <mergeCell ref="B554:E554"/>
    <mergeCell ref="F554:H554"/>
    <mergeCell ref="I554:L554"/>
    <mergeCell ref="M554:O554"/>
    <mergeCell ref="B555:E555"/>
    <mergeCell ref="F555:H555"/>
    <mergeCell ref="I555:L555"/>
    <mergeCell ref="M555:O555"/>
    <mergeCell ref="B556:C556"/>
    <mergeCell ref="D556:E556"/>
    <mergeCell ref="F556:G556"/>
    <mergeCell ref="H556:I556"/>
    <mergeCell ref="J556:K556"/>
    <mergeCell ref="L556:M556"/>
    <mergeCell ref="N556:O556"/>
    <mergeCell ref="B557:C557"/>
    <mergeCell ref="D557:E557"/>
    <mergeCell ref="F557:G557"/>
    <mergeCell ref="H557:I557"/>
    <mergeCell ref="J557:K557"/>
    <mergeCell ref="L557:M557"/>
    <mergeCell ref="N557:O557"/>
    <mergeCell ref="B558:C558"/>
    <mergeCell ref="D558:E558"/>
    <mergeCell ref="F558:G558"/>
    <mergeCell ref="H558:I558"/>
    <mergeCell ref="J558:K558"/>
    <mergeCell ref="L558:M558"/>
    <mergeCell ref="N558:O558"/>
    <mergeCell ref="B560:O560"/>
    <mergeCell ref="B561:G561"/>
    <mergeCell ref="H561:J561"/>
    <mergeCell ref="K561:O561"/>
    <mergeCell ref="B562:G562"/>
    <mergeCell ref="H562:J562"/>
    <mergeCell ref="K562:O562"/>
    <mergeCell ref="B563:G563"/>
    <mergeCell ref="H563:J563"/>
    <mergeCell ref="K563:O563"/>
    <mergeCell ref="B564:G564"/>
    <mergeCell ref="H564:J564"/>
    <mergeCell ref="K564:O564"/>
    <mergeCell ref="B566:O566"/>
    <mergeCell ref="B567:C567"/>
    <mergeCell ref="D567:E567"/>
    <mergeCell ref="F567:H567"/>
    <mergeCell ref="I567:J567"/>
    <mergeCell ref="K567:L567"/>
    <mergeCell ref="M567:O567"/>
    <mergeCell ref="B569:O569"/>
    <mergeCell ref="B570:D570"/>
    <mergeCell ref="E570:O570"/>
    <mergeCell ref="B571:D571"/>
    <mergeCell ref="E571:O571"/>
    <mergeCell ref="B572:D572"/>
    <mergeCell ref="E572:O572"/>
    <mergeCell ref="B573:D573"/>
    <mergeCell ref="E573:O573"/>
    <mergeCell ref="B574:D574"/>
    <mergeCell ref="E574:O574"/>
    <mergeCell ref="B575:D575"/>
    <mergeCell ref="E575:O575"/>
    <mergeCell ref="B576:D576"/>
    <mergeCell ref="E576:O576"/>
    <mergeCell ref="B577:D577"/>
    <mergeCell ref="E577:O577"/>
    <mergeCell ref="B578:D578"/>
    <mergeCell ref="E578:O578"/>
    <mergeCell ref="B579:D579"/>
    <mergeCell ref="E579:O579"/>
    <mergeCell ref="B580:K580"/>
    <mergeCell ref="L580:O580"/>
    <mergeCell ref="B582:E582"/>
    <mergeCell ref="F582:G582"/>
    <mergeCell ref="H582:O582"/>
    <mergeCell ref="B583:O583"/>
    <mergeCell ref="B584:D584"/>
    <mergeCell ref="E584:H584"/>
    <mergeCell ref="I584:K584"/>
    <mergeCell ref="L584:O584"/>
    <mergeCell ref="B585:D585"/>
    <mergeCell ref="E585:H585"/>
    <mergeCell ref="I585:K585"/>
    <mergeCell ref="L585:O585"/>
    <mergeCell ref="B586:D586"/>
    <mergeCell ref="E586:H586"/>
    <mergeCell ref="I586:K586"/>
    <mergeCell ref="L586:O586"/>
    <mergeCell ref="B588:O588"/>
    <mergeCell ref="B589:E589"/>
    <mergeCell ref="F589:H589"/>
    <mergeCell ref="I589:L589"/>
    <mergeCell ref="M589:O589"/>
    <mergeCell ref="B590:E590"/>
    <mergeCell ref="F590:H590"/>
    <mergeCell ref="I590:L590"/>
    <mergeCell ref="M590:O590"/>
    <mergeCell ref="B591:E591"/>
    <mergeCell ref="F591:H591"/>
    <mergeCell ref="I591:L591"/>
    <mergeCell ref="M591:O591"/>
    <mergeCell ref="B592:C592"/>
    <mergeCell ref="D592:E592"/>
    <mergeCell ref="F592:G592"/>
    <mergeCell ref="H592:I592"/>
    <mergeCell ref="J592:K592"/>
    <mergeCell ref="L592:M592"/>
    <mergeCell ref="N592:O592"/>
    <mergeCell ref="B593:C593"/>
    <mergeCell ref="D593:E593"/>
    <mergeCell ref="F593:G593"/>
    <mergeCell ref="H593:I593"/>
    <mergeCell ref="J593:K593"/>
    <mergeCell ref="L593:M593"/>
    <mergeCell ref="N593:O593"/>
    <mergeCell ref="B594:C594"/>
    <mergeCell ref="D594:E594"/>
    <mergeCell ref="F594:G594"/>
    <mergeCell ref="H594:I594"/>
    <mergeCell ref="J594:K594"/>
    <mergeCell ref="L594:M594"/>
    <mergeCell ref="N594:O594"/>
    <mergeCell ref="B596:O596"/>
    <mergeCell ref="B597:G597"/>
    <mergeCell ref="H597:J597"/>
    <mergeCell ref="K597:O597"/>
    <mergeCell ref="B598:G598"/>
    <mergeCell ref="H598:J598"/>
    <mergeCell ref="K598:O598"/>
    <mergeCell ref="B599:G599"/>
    <mergeCell ref="H599:J599"/>
    <mergeCell ref="K599:O599"/>
    <mergeCell ref="B600:G600"/>
    <mergeCell ref="H600:J600"/>
    <mergeCell ref="K600:O600"/>
    <mergeCell ref="B602:O602"/>
    <mergeCell ref="B603:C603"/>
    <mergeCell ref="D603:E603"/>
    <mergeCell ref="F603:H603"/>
    <mergeCell ref="I603:J603"/>
    <mergeCell ref="K603:L603"/>
    <mergeCell ref="M603:O603"/>
    <mergeCell ref="B605:O605"/>
    <mergeCell ref="B606:D606"/>
    <mergeCell ref="E606:O606"/>
    <mergeCell ref="B607:D607"/>
    <mergeCell ref="E607:O607"/>
    <mergeCell ref="B608:D608"/>
    <mergeCell ref="E608:O608"/>
    <mergeCell ref="B609:D609"/>
    <mergeCell ref="E609:O609"/>
    <mergeCell ref="B610:D610"/>
    <mergeCell ref="E610:O610"/>
    <mergeCell ref="B611:D611"/>
    <mergeCell ref="E611:O611"/>
    <mergeCell ref="B612:D612"/>
    <mergeCell ref="E612:O612"/>
    <mergeCell ref="B613:D613"/>
    <mergeCell ref="E613:O613"/>
    <mergeCell ref="B614:D614"/>
    <mergeCell ref="E614:O614"/>
    <mergeCell ref="B615:D615"/>
    <mergeCell ref="E615:O615"/>
    <mergeCell ref="B616:K616"/>
    <mergeCell ref="L616:O616"/>
    <mergeCell ref="B618:E618"/>
    <mergeCell ref="F618:G618"/>
    <mergeCell ref="H618:O618"/>
    <mergeCell ref="B619:O619"/>
    <mergeCell ref="B620:D620"/>
    <mergeCell ref="E620:H620"/>
    <mergeCell ref="I620:K620"/>
    <mergeCell ref="L620:O620"/>
    <mergeCell ref="B621:D621"/>
    <mergeCell ref="E621:H621"/>
    <mergeCell ref="I621:K621"/>
    <mergeCell ref="L621:O621"/>
    <mergeCell ref="B622:D622"/>
    <mergeCell ref="E622:H622"/>
    <mergeCell ref="I622:K622"/>
    <mergeCell ref="L622:O622"/>
    <mergeCell ref="B624:O624"/>
    <mergeCell ref="B625:E625"/>
    <mergeCell ref="F625:H625"/>
    <mergeCell ref="I625:L625"/>
    <mergeCell ref="M625:O625"/>
    <mergeCell ref="B626:E626"/>
    <mergeCell ref="F626:H626"/>
    <mergeCell ref="I626:L626"/>
    <mergeCell ref="M626:O626"/>
    <mergeCell ref="B627:E627"/>
    <mergeCell ref="F627:H627"/>
    <mergeCell ref="I627:L627"/>
    <mergeCell ref="M627:O627"/>
    <mergeCell ref="B628:C628"/>
    <mergeCell ref="D628:E628"/>
    <mergeCell ref="F628:G628"/>
    <mergeCell ref="H628:I628"/>
    <mergeCell ref="J628:K628"/>
    <mergeCell ref="L628:M628"/>
    <mergeCell ref="N628:O628"/>
    <mergeCell ref="B629:C629"/>
    <mergeCell ref="D629:E629"/>
    <mergeCell ref="F629:G629"/>
    <mergeCell ref="H629:I629"/>
    <mergeCell ref="J629:K629"/>
    <mergeCell ref="L629:M629"/>
    <mergeCell ref="N629:O629"/>
    <mergeCell ref="B630:C630"/>
    <mergeCell ref="D630:E630"/>
    <mergeCell ref="F630:G630"/>
    <mergeCell ref="H630:I630"/>
    <mergeCell ref="J630:K630"/>
    <mergeCell ref="L630:M630"/>
    <mergeCell ref="N630:O630"/>
    <mergeCell ref="B632:O632"/>
    <mergeCell ref="B633:G633"/>
    <mergeCell ref="H633:J633"/>
    <mergeCell ref="K633:O633"/>
    <mergeCell ref="B634:G634"/>
    <mergeCell ref="H634:J634"/>
    <mergeCell ref="K634:O634"/>
    <mergeCell ref="B635:G635"/>
    <mergeCell ref="H635:J635"/>
    <mergeCell ref="K635:O635"/>
    <mergeCell ref="B636:G636"/>
    <mergeCell ref="H636:J636"/>
    <mergeCell ref="K636:O636"/>
    <mergeCell ref="B638:O638"/>
    <mergeCell ref="B639:C639"/>
    <mergeCell ref="D639:E639"/>
    <mergeCell ref="F639:H639"/>
    <mergeCell ref="I639:J639"/>
    <mergeCell ref="K639:L639"/>
    <mergeCell ref="M639:O639"/>
    <mergeCell ref="B641:O641"/>
    <mergeCell ref="B642:D642"/>
    <mergeCell ref="E642:O642"/>
    <mergeCell ref="B643:D643"/>
    <mergeCell ref="E643:O643"/>
    <mergeCell ref="B644:D644"/>
    <mergeCell ref="E644:O644"/>
    <mergeCell ref="B645:D645"/>
    <mergeCell ref="E645:O645"/>
    <mergeCell ref="B646:D646"/>
    <mergeCell ref="E646:O646"/>
    <mergeCell ref="B647:D647"/>
    <mergeCell ref="E647:O647"/>
    <mergeCell ref="B648:D648"/>
    <mergeCell ref="E648:O648"/>
    <mergeCell ref="B649:D649"/>
    <mergeCell ref="E649:O649"/>
    <mergeCell ref="B650:D650"/>
    <mergeCell ref="E650:O650"/>
    <mergeCell ref="B651:D651"/>
    <mergeCell ref="E651:O651"/>
    <mergeCell ref="B652:K652"/>
    <mergeCell ref="L652:O652"/>
    <mergeCell ref="B654:E654"/>
    <mergeCell ref="F654:G654"/>
    <mergeCell ref="H654:O654"/>
    <mergeCell ref="B655:O655"/>
    <mergeCell ref="B656:D656"/>
    <mergeCell ref="E656:H656"/>
    <mergeCell ref="I656:K656"/>
    <mergeCell ref="L656:O656"/>
    <mergeCell ref="B657:D657"/>
    <mergeCell ref="E657:H657"/>
    <mergeCell ref="I657:K657"/>
    <mergeCell ref="L657:O657"/>
    <mergeCell ref="B658:D658"/>
    <mergeCell ref="E658:H658"/>
    <mergeCell ref="I658:K658"/>
    <mergeCell ref="L658:O658"/>
    <mergeCell ref="B660:O660"/>
    <mergeCell ref="B661:E661"/>
    <mergeCell ref="F661:H661"/>
    <mergeCell ref="I661:L661"/>
    <mergeCell ref="M661:O661"/>
    <mergeCell ref="B662:E662"/>
    <mergeCell ref="F662:H662"/>
    <mergeCell ref="I662:L662"/>
    <mergeCell ref="M662:O662"/>
    <mergeCell ref="B663:E663"/>
    <mergeCell ref="F663:H663"/>
    <mergeCell ref="I663:L663"/>
    <mergeCell ref="M663:O663"/>
    <mergeCell ref="B664:C664"/>
    <mergeCell ref="D664:E664"/>
    <mergeCell ref="F664:G664"/>
    <mergeCell ref="H664:I664"/>
    <mergeCell ref="J664:K664"/>
    <mergeCell ref="L664:M664"/>
    <mergeCell ref="N664:O664"/>
    <mergeCell ref="B665:C665"/>
    <mergeCell ref="D665:E665"/>
    <mergeCell ref="F665:G665"/>
    <mergeCell ref="H665:I665"/>
    <mergeCell ref="J665:K665"/>
    <mergeCell ref="L665:M665"/>
    <mergeCell ref="N665:O665"/>
    <mergeCell ref="B666:C666"/>
    <mergeCell ref="D666:E666"/>
    <mergeCell ref="F666:G666"/>
    <mergeCell ref="H666:I666"/>
    <mergeCell ref="J666:K666"/>
    <mergeCell ref="L666:M666"/>
    <mergeCell ref="N666:O666"/>
    <mergeCell ref="B668:O668"/>
    <mergeCell ref="B669:G669"/>
    <mergeCell ref="H669:J669"/>
    <mergeCell ref="K669:O669"/>
    <mergeCell ref="B670:G670"/>
    <mergeCell ref="H670:J670"/>
    <mergeCell ref="K670:O670"/>
    <mergeCell ref="B671:G671"/>
    <mergeCell ref="H671:J671"/>
    <mergeCell ref="K671:O671"/>
    <mergeCell ref="B672:G672"/>
    <mergeCell ref="H672:J672"/>
    <mergeCell ref="K672:O672"/>
    <mergeCell ref="B674:O674"/>
    <mergeCell ref="B675:C675"/>
    <mergeCell ref="D675:E675"/>
    <mergeCell ref="F675:H675"/>
    <mergeCell ref="I675:J675"/>
    <mergeCell ref="K675:L675"/>
    <mergeCell ref="M675:O675"/>
    <mergeCell ref="B677:O677"/>
    <mergeCell ref="B678:D678"/>
    <mergeCell ref="E678:O678"/>
    <mergeCell ref="B679:D679"/>
    <mergeCell ref="E679:O679"/>
    <mergeCell ref="B680:D680"/>
    <mergeCell ref="E680:O680"/>
    <mergeCell ref="B681:D681"/>
    <mergeCell ref="E681:O681"/>
    <mergeCell ref="B682:D682"/>
    <mergeCell ref="E682:O682"/>
    <mergeCell ref="B683:D683"/>
    <mergeCell ref="E683:O683"/>
    <mergeCell ref="B684:D684"/>
    <mergeCell ref="E684:O684"/>
    <mergeCell ref="B685:D685"/>
    <mergeCell ref="E685:O685"/>
    <mergeCell ref="B686:D686"/>
    <mergeCell ref="E686:O686"/>
    <mergeCell ref="B687:D687"/>
    <mergeCell ref="E687:O687"/>
    <mergeCell ref="B688:K688"/>
    <mergeCell ref="L688:O688"/>
    <mergeCell ref="B690:E690"/>
    <mergeCell ref="F690:G690"/>
    <mergeCell ref="H690:O690"/>
    <mergeCell ref="B691:O691"/>
    <mergeCell ref="B692:D692"/>
    <mergeCell ref="E692:H692"/>
    <mergeCell ref="I692:K692"/>
    <mergeCell ref="L692:O692"/>
    <mergeCell ref="B693:D693"/>
    <mergeCell ref="E693:H693"/>
    <mergeCell ref="I693:K693"/>
    <mergeCell ref="L693:O693"/>
    <mergeCell ref="B694:D694"/>
    <mergeCell ref="E694:H694"/>
    <mergeCell ref="I694:K694"/>
    <mergeCell ref="L694:O694"/>
    <mergeCell ref="B696:O696"/>
    <mergeCell ref="B697:E697"/>
    <mergeCell ref="F697:H697"/>
    <mergeCell ref="I697:L697"/>
    <mergeCell ref="M697:O697"/>
    <mergeCell ref="B698:E698"/>
    <mergeCell ref="F698:H698"/>
    <mergeCell ref="I698:L698"/>
    <mergeCell ref="M698:O698"/>
    <mergeCell ref="B699:E699"/>
    <mergeCell ref="F699:H699"/>
    <mergeCell ref="I699:L699"/>
    <mergeCell ref="M699:O699"/>
    <mergeCell ref="B700:C700"/>
    <mergeCell ref="D700:E700"/>
    <mergeCell ref="F700:G700"/>
    <mergeCell ref="H700:I700"/>
    <mergeCell ref="J700:K700"/>
    <mergeCell ref="L700:M700"/>
    <mergeCell ref="N700:O700"/>
    <mergeCell ref="B701:C701"/>
    <mergeCell ref="D701:E701"/>
    <mergeCell ref="F701:G701"/>
    <mergeCell ref="H701:I701"/>
    <mergeCell ref="J701:K701"/>
    <mergeCell ref="L701:M701"/>
    <mergeCell ref="N701:O701"/>
    <mergeCell ref="B702:C702"/>
    <mergeCell ref="D702:E702"/>
    <mergeCell ref="F702:G702"/>
    <mergeCell ref="H702:I702"/>
    <mergeCell ref="J702:K702"/>
    <mergeCell ref="L702:M702"/>
    <mergeCell ref="N702:O702"/>
    <mergeCell ref="B704:O704"/>
    <mergeCell ref="B705:G705"/>
    <mergeCell ref="H705:J705"/>
    <mergeCell ref="K705:O705"/>
    <mergeCell ref="B706:G706"/>
    <mergeCell ref="H706:J706"/>
    <mergeCell ref="K706:O706"/>
    <mergeCell ref="B707:G707"/>
    <mergeCell ref="H707:J707"/>
    <mergeCell ref="K707:O707"/>
    <mergeCell ref="B708:G708"/>
    <mergeCell ref="H708:J708"/>
    <mergeCell ref="K708:O708"/>
    <mergeCell ref="B710:O710"/>
    <mergeCell ref="B711:C711"/>
    <mergeCell ref="D711:E711"/>
    <mergeCell ref="F711:H711"/>
    <mergeCell ref="I711:J711"/>
    <mergeCell ref="K711:L711"/>
    <mergeCell ref="M711:O711"/>
    <mergeCell ref="B713:O713"/>
    <mergeCell ref="B714:D714"/>
    <mergeCell ref="E714:O714"/>
    <mergeCell ref="B715:D715"/>
    <mergeCell ref="E715:O715"/>
    <mergeCell ref="B716:D716"/>
    <mergeCell ref="E716:O716"/>
    <mergeCell ref="B717:D717"/>
    <mergeCell ref="E717:O717"/>
    <mergeCell ref="B718:D718"/>
    <mergeCell ref="E718:O718"/>
    <mergeCell ref="B719:D719"/>
    <mergeCell ref="E719:O719"/>
    <mergeCell ref="B720:D720"/>
    <mergeCell ref="E720:O720"/>
    <mergeCell ref="B721:D721"/>
    <mergeCell ref="E721:O721"/>
    <mergeCell ref="B722:D722"/>
    <mergeCell ref="E722:O722"/>
    <mergeCell ref="B723:D723"/>
    <mergeCell ref="E723:O723"/>
    <mergeCell ref="B724:K724"/>
    <mergeCell ref="L724:O724"/>
    <mergeCell ref="B726:E726"/>
    <mergeCell ref="F726:G726"/>
    <mergeCell ref="H726:O726"/>
    <mergeCell ref="B727:O727"/>
    <mergeCell ref="B728:D728"/>
    <mergeCell ref="E728:H728"/>
    <mergeCell ref="I728:K728"/>
    <mergeCell ref="L728:O728"/>
    <mergeCell ref="B729:D729"/>
    <mergeCell ref="E729:H729"/>
    <mergeCell ref="I729:K729"/>
    <mergeCell ref="L729:O729"/>
    <mergeCell ref="B730:D730"/>
    <mergeCell ref="E730:H730"/>
    <mergeCell ref="I730:K730"/>
    <mergeCell ref="L730:O730"/>
    <mergeCell ref="B732:O732"/>
    <mergeCell ref="B733:E733"/>
    <mergeCell ref="F733:H733"/>
    <mergeCell ref="I733:L733"/>
    <mergeCell ref="M733:O733"/>
    <mergeCell ref="B734:E734"/>
    <mergeCell ref="F734:H734"/>
    <mergeCell ref="I734:L734"/>
    <mergeCell ref="M734:O734"/>
    <mergeCell ref="B735:E735"/>
    <mergeCell ref="F735:H735"/>
    <mergeCell ref="I735:L735"/>
    <mergeCell ref="M735:O735"/>
    <mergeCell ref="B736:C736"/>
    <mergeCell ref="D736:E736"/>
    <mergeCell ref="F736:G736"/>
    <mergeCell ref="H736:I736"/>
    <mergeCell ref="J736:K736"/>
    <mergeCell ref="L736:M736"/>
    <mergeCell ref="N736:O736"/>
    <mergeCell ref="B737:C737"/>
    <mergeCell ref="D737:E737"/>
    <mergeCell ref="F737:G737"/>
    <mergeCell ref="H737:I737"/>
    <mergeCell ref="J737:K737"/>
    <mergeCell ref="L737:M737"/>
    <mergeCell ref="N737:O737"/>
    <mergeCell ref="B738:C738"/>
    <mergeCell ref="D738:E738"/>
    <mergeCell ref="F738:G738"/>
    <mergeCell ref="H738:I738"/>
    <mergeCell ref="J738:K738"/>
    <mergeCell ref="L738:M738"/>
    <mergeCell ref="N738:O738"/>
    <mergeCell ref="B740:O740"/>
    <mergeCell ref="B741:G741"/>
    <mergeCell ref="H741:J741"/>
    <mergeCell ref="K741:O741"/>
    <mergeCell ref="B742:G742"/>
    <mergeCell ref="H742:J742"/>
    <mergeCell ref="K742:O742"/>
    <mergeCell ref="B743:G743"/>
    <mergeCell ref="H743:J743"/>
    <mergeCell ref="K743:O743"/>
    <mergeCell ref="B744:G744"/>
    <mergeCell ref="H744:J744"/>
    <mergeCell ref="K744:O744"/>
    <mergeCell ref="B746:O746"/>
    <mergeCell ref="B747:C747"/>
    <mergeCell ref="D747:E747"/>
    <mergeCell ref="F747:H747"/>
    <mergeCell ref="I747:J747"/>
    <mergeCell ref="K747:L747"/>
    <mergeCell ref="M747:O747"/>
    <mergeCell ref="B749:O749"/>
    <mergeCell ref="B750:D750"/>
    <mergeCell ref="E750:O750"/>
    <mergeCell ref="B751:D751"/>
    <mergeCell ref="E751:O751"/>
    <mergeCell ref="B752:D752"/>
    <mergeCell ref="E752:O752"/>
    <mergeCell ref="B753:D753"/>
    <mergeCell ref="E753:O753"/>
    <mergeCell ref="B754:D754"/>
    <mergeCell ref="E754:O754"/>
    <mergeCell ref="B755:D755"/>
    <mergeCell ref="E755:O755"/>
    <mergeCell ref="B756:D756"/>
    <mergeCell ref="E756:O756"/>
    <mergeCell ref="B757:D757"/>
    <mergeCell ref="E757:O757"/>
    <mergeCell ref="B758:D758"/>
    <mergeCell ref="E758:O758"/>
    <mergeCell ref="B759:D759"/>
    <mergeCell ref="E759:O759"/>
    <mergeCell ref="B760:K760"/>
    <mergeCell ref="L760:O760"/>
    <mergeCell ref="B762:E762"/>
    <mergeCell ref="F762:G762"/>
    <mergeCell ref="H762:O762"/>
    <mergeCell ref="B763:O763"/>
    <mergeCell ref="B764:D764"/>
    <mergeCell ref="E764:H764"/>
    <mergeCell ref="I764:K764"/>
    <mergeCell ref="L764:O764"/>
    <mergeCell ref="B765:D765"/>
    <mergeCell ref="E765:H765"/>
    <mergeCell ref="I765:K765"/>
    <mergeCell ref="L765:O765"/>
    <mergeCell ref="B766:D766"/>
    <mergeCell ref="E766:H766"/>
    <mergeCell ref="I766:K766"/>
    <mergeCell ref="L766:O766"/>
    <mergeCell ref="B768:O768"/>
    <mergeCell ref="B769:E769"/>
    <mergeCell ref="F769:H769"/>
    <mergeCell ref="I769:L769"/>
    <mergeCell ref="M769:O769"/>
    <mergeCell ref="B770:E770"/>
    <mergeCell ref="F770:H770"/>
    <mergeCell ref="I770:L770"/>
    <mergeCell ref="M770:O770"/>
    <mergeCell ref="B771:E771"/>
    <mergeCell ref="F771:H771"/>
    <mergeCell ref="I771:L771"/>
    <mergeCell ref="M771:O771"/>
    <mergeCell ref="B772:C772"/>
    <mergeCell ref="D772:E772"/>
    <mergeCell ref="F772:G772"/>
    <mergeCell ref="H772:I772"/>
    <mergeCell ref="J772:K772"/>
    <mergeCell ref="L772:M772"/>
    <mergeCell ref="N772:O772"/>
    <mergeCell ref="B773:C773"/>
    <mergeCell ref="D773:E773"/>
    <mergeCell ref="F773:G773"/>
    <mergeCell ref="H773:I773"/>
    <mergeCell ref="J773:K773"/>
    <mergeCell ref="L773:M773"/>
    <mergeCell ref="N773:O773"/>
    <mergeCell ref="B774:C774"/>
    <mergeCell ref="D774:E774"/>
    <mergeCell ref="F774:G774"/>
    <mergeCell ref="H774:I774"/>
    <mergeCell ref="J774:K774"/>
    <mergeCell ref="L774:M774"/>
    <mergeCell ref="N774:O774"/>
    <mergeCell ref="B776:O776"/>
    <mergeCell ref="B777:G777"/>
    <mergeCell ref="H777:J777"/>
    <mergeCell ref="K777:O777"/>
    <mergeCell ref="B778:G778"/>
    <mergeCell ref="H778:J778"/>
    <mergeCell ref="K778:O778"/>
    <mergeCell ref="B779:G779"/>
    <mergeCell ref="H779:J779"/>
    <mergeCell ref="K779:O779"/>
    <mergeCell ref="B780:G780"/>
    <mergeCell ref="H780:J780"/>
    <mergeCell ref="K780:O780"/>
    <mergeCell ref="B782:O782"/>
    <mergeCell ref="B783:C783"/>
    <mergeCell ref="D783:E783"/>
    <mergeCell ref="F783:H783"/>
    <mergeCell ref="I783:J783"/>
    <mergeCell ref="K783:L783"/>
    <mergeCell ref="M783:O783"/>
    <mergeCell ref="B785:O785"/>
    <mergeCell ref="B786:D786"/>
    <mergeCell ref="E786:O786"/>
    <mergeCell ref="B787:D787"/>
    <mergeCell ref="E787:O787"/>
    <mergeCell ref="B788:D788"/>
    <mergeCell ref="E788:O788"/>
    <mergeCell ref="B789:D789"/>
    <mergeCell ref="E789:O789"/>
    <mergeCell ref="B790:D790"/>
    <mergeCell ref="E790:O790"/>
    <mergeCell ref="B791:D791"/>
    <mergeCell ref="E791:O791"/>
    <mergeCell ref="B792:D792"/>
    <mergeCell ref="E792:O792"/>
    <mergeCell ref="B793:D793"/>
    <mergeCell ref="E793:O793"/>
    <mergeCell ref="B794:D794"/>
    <mergeCell ref="E794:O794"/>
    <mergeCell ref="B795:D795"/>
    <mergeCell ref="E795:O795"/>
    <mergeCell ref="B796:K796"/>
    <mergeCell ref="L796:O796"/>
    <mergeCell ref="B798:E798"/>
    <mergeCell ref="F798:G798"/>
    <mergeCell ref="H798:O798"/>
    <mergeCell ref="B799:O799"/>
    <mergeCell ref="B800:D800"/>
    <mergeCell ref="E800:H800"/>
    <mergeCell ref="I800:K800"/>
    <mergeCell ref="L800:O800"/>
    <mergeCell ref="B801:D801"/>
    <mergeCell ref="E801:H801"/>
    <mergeCell ref="I801:K801"/>
    <mergeCell ref="L801:O801"/>
    <mergeCell ref="B802:D802"/>
    <mergeCell ref="E802:H802"/>
    <mergeCell ref="I802:K802"/>
    <mergeCell ref="L802:O802"/>
    <mergeCell ref="B804:O804"/>
    <mergeCell ref="B805:E805"/>
    <mergeCell ref="F805:H805"/>
    <mergeCell ref="I805:L805"/>
    <mergeCell ref="M805:O805"/>
    <mergeCell ref="B806:E806"/>
    <mergeCell ref="F806:H806"/>
    <mergeCell ref="I806:L806"/>
    <mergeCell ref="M806:O806"/>
    <mergeCell ref="B807:E807"/>
    <mergeCell ref="F807:H807"/>
    <mergeCell ref="I807:L807"/>
    <mergeCell ref="M807:O807"/>
    <mergeCell ref="B808:C808"/>
    <mergeCell ref="D808:E808"/>
    <mergeCell ref="F808:G808"/>
    <mergeCell ref="H808:I808"/>
    <mergeCell ref="J808:K808"/>
    <mergeCell ref="L808:M808"/>
    <mergeCell ref="N808:O808"/>
    <mergeCell ref="B809:C809"/>
    <mergeCell ref="D809:E809"/>
    <mergeCell ref="F809:G809"/>
    <mergeCell ref="H809:I809"/>
    <mergeCell ref="J809:K809"/>
    <mergeCell ref="L809:M809"/>
    <mergeCell ref="N809:O809"/>
    <mergeCell ref="B810:C810"/>
    <mergeCell ref="D810:E810"/>
    <mergeCell ref="F810:G810"/>
    <mergeCell ref="H810:I810"/>
    <mergeCell ref="J810:K810"/>
    <mergeCell ref="L810:M810"/>
    <mergeCell ref="N810:O810"/>
    <mergeCell ref="B812:O812"/>
    <mergeCell ref="B813:G813"/>
    <mergeCell ref="H813:J813"/>
    <mergeCell ref="K813:O813"/>
    <mergeCell ref="B814:G814"/>
    <mergeCell ref="H814:J814"/>
    <mergeCell ref="K814:O814"/>
    <mergeCell ref="B815:G815"/>
    <mergeCell ref="H815:J815"/>
    <mergeCell ref="K815:O815"/>
    <mergeCell ref="B816:G816"/>
    <mergeCell ref="H816:J816"/>
    <mergeCell ref="K816:O816"/>
    <mergeCell ref="B818:O818"/>
    <mergeCell ref="B819:C819"/>
    <mergeCell ref="D819:E819"/>
    <mergeCell ref="F819:H819"/>
    <mergeCell ref="I819:J819"/>
    <mergeCell ref="K819:L819"/>
    <mergeCell ref="M819:O819"/>
    <mergeCell ref="B821:O821"/>
    <mergeCell ref="B822:D822"/>
    <mergeCell ref="E822:O822"/>
    <mergeCell ref="B823:D823"/>
    <mergeCell ref="E823:O823"/>
    <mergeCell ref="B824:D824"/>
    <mergeCell ref="E824:O824"/>
    <mergeCell ref="B825:D825"/>
    <mergeCell ref="E825:O825"/>
    <mergeCell ref="B826:D826"/>
    <mergeCell ref="E826:O826"/>
    <mergeCell ref="B827:D827"/>
    <mergeCell ref="E827:O827"/>
    <mergeCell ref="B828:D828"/>
    <mergeCell ref="E828:O828"/>
    <mergeCell ref="B829:D829"/>
    <mergeCell ref="E829:O829"/>
    <mergeCell ref="B830:D830"/>
    <mergeCell ref="E830:O830"/>
    <mergeCell ref="B831:D831"/>
    <mergeCell ref="E831:O831"/>
    <mergeCell ref="B832:K832"/>
    <mergeCell ref="L832:O832"/>
    <mergeCell ref="B834:E834"/>
    <mergeCell ref="F834:G834"/>
    <mergeCell ref="H834:O834"/>
    <mergeCell ref="B835:O835"/>
    <mergeCell ref="B836:D836"/>
    <mergeCell ref="E836:H836"/>
    <mergeCell ref="I836:K836"/>
    <mergeCell ref="L836:O836"/>
    <mergeCell ref="B837:D837"/>
    <mergeCell ref="E837:H837"/>
    <mergeCell ref="I837:K837"/>
    <mergeCell ref="L837:O837"/>
    <mergeCell ref="B838:D838"/>
    <mergeCell ref="E838:H838"/>
    <mergeCell ref="I838:K838"/>
    <mergeCell ref="L838:O838"/>
    <mergeCell ref="B840:O840"/>
    <mergeCell ref="B841:E841"/>
    <mergeCell ref="F841:H841"/>
    <mergeCell ref="I841:L841"/>
    <mergeCell ref="M841:O841"/>
    <mergeCell ref="B842:E842"/>
    <mergeCell ref="F842:H842"/>
    <mergeCell ref="I842:L842"/>
    <mergeCell ref="M842:O842"/>
    <mergeCell ref="B843:E843"/>
    <mergeCell ref="F843:H843"/>
    <mergeCell ref="I843:L843"/>
    <mergeCell ref="M843:O843"/>
    <mergeCell ref="B844:C844"/>
    <mergeCell ref="D844:E844"/>
    <mergeCell ref="F844:G844"/>
    <mergeCell ref="H844:I844"/>
    <mergeCell ref="J844:K844"/>
    <mergeCell ref="L844:M844"/>
    <mergeCell ref="N844:O844"/>
    <mergeCell ref="B845:C845"/>
    <mergeCell ref="D845:E845"/>
    <mergeCell ref="F845:G845"/>
    <mergeCell ref="H845:I845"/>
    <mergeCell ref="J845:K845"/>
    <mergeCell ref="L845:M845"/>
    <mergeCell ref="N845:O845"/>
    <mergeCell ref="B846:C846"/>
    <mergeCell ref="D846:E846"/>
    <mergeCell ref="F846:G846"/>
    <mergeCell ref="H846:I846"/>
    <mergeCell ref="J846:K846"/>
    <mergeCell ref="L846:M846"/>
    <mergeCell ref="N846:O846"/>
    <mergeCell ref="B848:O848"/>
    <mergeCell ref="B849:G849"/>
    <mergeCell ref="H849:J849"/>
    <mergeCell ref="K849:O849"/>
    <mergeCell ref="B850:G850"/>
    <mergeCell ref="H850:J850"/>
    <mergeCell ref="K850:O850"/>
    <mergeCell ref="B851:G851"/>
    <mergeCell ref="H851:J851"/>
    <mergeCell ref="K851:O851"/>
    <mergeCell ref="B852:G852"/>
    <mergeCell ref="H852:J852"/>
    <mergeCell ref="K852:O852"/>
    <mergeCell ref="B854:O854"/>
    <mergeCell ref="B855:C855"/>
    <mergeCell ref="D855:E855"/>
    <mergeCell ref="F855:H855"/>
    <mergeCell ref="I855:J855"/>
    <mergeCell ref="K855:L855"/>
    <mergeCell ref="M855:O855"/>
    <mergeCell ref="B857:O857"/>
    <mergeCell ref="B858:D858"/>
    <mergeCell ref="E858:O858"/>
    <mergeCell ref="B859:D859"/>
    <mergeCell ref="E859:O859"/>
    <mergeCell ref="B860:D860"/>
    <mergeCell ref="E860:O860"/>
    <mergeCell ref="B861:D861"/>
    <mergeCell ref="E861:O861"/>
    <mergeCell ref="B862:D862"/>
    <mergeCell ref="E862:O862"/>
    <mergeCell ref="B863:D863"/>
    <mergeCell ref="E863:O863"/>
    <mergeCell ref="B864:D864"/>
    <mergeCell ref="E864:O864"/>
    <mergeCell ref="B865:D865"/>
    <mergeCell ref="E865:O865"/>
    <mergeCell ref="B866:D866"/>
    <mergeCell ref="E866:O866"/>
    <mergeCell ref="B867:D867"/>
    <mergeCell ref="E867:O867"/>
    <mergeCell ref="B868:K868"/>
    <mergeCell ref="L868:O868"/>
    <mergeCell ref="B870:E870"/>
    <mergeCell ref="F870:G870"/>
    <mergeCell ref="H870:O870"/>
    <mergeCell ref="B871:O871"/>
    <mergeCell ref="B872:D872"/>
    <mergeCell ref="E872:H872"/>
    <mergeCell ref="I872:K872"/>
    <mergeCell ref="L872:O872"/>
    <mergeCell ref="B873:D873"/>
    <mergeCell ref="E873:H873"/>
    <mergeCell ref="I873:K873"/>
    <mergeCell ref="L873:O873"/>
    <mergeCell ref="B874:D874"/>
    <mergeCell ref="E874:H874"/>
    <mergeCell ref="I874:K874"/>
    <mergeCell ref="L874:O874"/>
    <mergeCell ref="B876:O876"/>
    <mergeCell ref="B877:E877"/>
    <mergeCell ref="F877:H877"/>
    <mergeCell ref="I877:L877"/>
    <mergeCell ref="M877:O877"/>
    <mergeCell ref="B878:E878"/>
    <mergeCell ref="F878:H878"/>
    <mergeCell ref="I878:L878"/>
    <mergeCell ref="M878:O878"/>
    <mergeCell ref="B879:E879"/>
    <mergeCell ref="F879:H879"/>
    <mergeCell ref="I879:L879"/>
    <mergeCell ref="M879:O879"/>
    <mergeCell ref="B880:C880"/>
    <mergeCell ref="D880:E880"/>
    <mergeCell ref="F880:G880"/>
    <mergeCell ref="H880:I880"/>
    <mergeCell ref="J880:K880"/>
    <mergeCell ref="L880:M880"/>
    <mergeCell ref="N880:O880"/>
    <mergeCell ref="B881:C881"/>
    <mergeCell ref="D881:E881"/>
    <mergeCell ref="F881:G881"/>
    <mergeCell ref="H881:I881"/>
    <mergeCell ref="J881:K881"/>
    <mergeCell ref="L881:M881"/>
    <mergeCell ref="N881:O881"/>
    <mergeCell ref="B882:C882"/>
    <mergeCell ref="D882:E882"/>
    <mergeCell ref="F882:G882"/>
    <mergeCell ref="H882:I882"/>
    <mergeCell ref="J882:K882"/>
    <mergeCell ref="L882:M882"/>
    <mergeCell ref="N882:O882"/>
    <mergeCell ref="B884:O884"/>
    <mergeCell ref="B885:G885"/>
    <mergeCell ref="H885:J885"/>
    <mergeCell ref="K885:O885"/>
    <mergeCell ref="B886:G886"/>
    <mergeCell ref="H886:J886"/>
    <mergeCell ref="K886:O886"/>
    <mergeCell ref="B887:G887"/>
    <mergeCell ref="H887:J887"/>
    <mergeCell ref="K887:O887"/>
    <mergeCell ref="B888:G888"/>
    <mergeCell ref="H888:J888"/>
    <mergeCell ref="K888:O888"/>
    <mergeCell ref="B890:O890"/>
    <mergeCell ref="B891:C891"/>
    <mergeCell ref="D891:E891"/>
    <mergeCell ref="F891:H891"/>
    <mergeCell ref="I891:J891"/>
    <mergeCell ref="K891:L891"/>
    <mergeCell ref="M891:O891"/>
    <mergeCell ref="B893:O893"/>
    <mergeCell ref="B894:D894"/>
    <mergeCell ref="E894:O894"/>
    <mergeCell ref="B895:D895"/>
    <mergeCell ref="E895:O895"/>
    <mergeCell ref="B896:D896"/>
    <mergeCell ref="E896:O896"/>
    <mergeCell ref="B897:D897"/>
    <mergeCell ref="E897:O897"/>
    <mergeCell ref="B898:D898"/>
    <mergeCell ref="E898:O898"/>
    <mergeCell ref="B899:D899"/>
    <mergeCell ref="E899:O899"/>
    <mergeCell ref="B900:D900"/>
    <mergeCell ref="E900:O900"/>
    <mergeCell ref="B901:D901"/>
    <mergeCell ref="E901:O901"/>
    <mergeCell ref="B902:D902"/>
    <mergeCell ref="E902:O902"/>
    <mergeCell ref="B903:D903"/>
    <mergeCell ref="E903:O903"/>
    <mergeCell ref="B904:K904"/>
    <mergeCell ref="L904:O904"/>
    <mergeCell ref="B906:E906"/>
    <mergeCell ref="F906:G906"/>
    <mergeCell ref="H906:O906"/>
    <mergeCell ref="B907:O907"/>
    <mergeCell ref="B908:D908"/>
    <mergeCell ref="E908:H908"/>
    <mergeCell ref="I908:K908"/>
    <mergeCell ref="L908:O908"/>
    <mergeCell ref="B909:D909"/>
    <mergeCell ref="E909:H909"/>
    <mergeCell ref="I909:K909"/>
    <mergeCell ref="L909:O909"/>
    <mergeCell ref="B910:D910"/>
    <mergeCell ref="E910:H910"/>
    <mergeCell ref="I910:K910"/>
    <mergeCell ref="L910:O910"/>
    <mergeCell ref="B912:O912"/>
    <mergeCell ref="B913:E913"/>
    <mergeCell ref="F913:H913"/>
    <mergeCell ref="I913:L913"/>
    <mergeCell ref="M913:O913"/>
    <mergeCell ref="B914:E914"/>
    <mergeCell ref="F914:H914"/>
    <mergeCell ref="I914:L914"/>
    <mergeCell ref="M914:O914"/>
    <mergeCell ref="B915:E915"/>
    <mergeCell ref="F915:H915"/>
    <mergeCell ref="I915:L915"/>
    <mergeCell ref="M915:O915"/>
    <mergeCell ref="B916:C916"/>
    <mergeCell ref="D916:E916"/>
    <mergeCell ref="F916:G916"/>
    <mergeCell ref="H916:I916"/>
    <mergeCell ref="J916:K916"/>
    <mergeCell ref="L916:M916"/>
    <mergeCell ref="N916:O916"/>
    <mergeCell ref="B917:C917"/>
    <mergeCell ref="D917:E917"/>
    <mergeCell ref="F917:G917"/>
    <mergeCell ref="H917:I917"/>
    <mergeCell ref="J917:K917"/>
    <mergeCell ref="L917:M917"/>
    <mergeCell ref="N917:O917"/>
    <mergeCell ref="B918:C918"/>
    <mergeCell ref="D918:E918"/>
    <mergeCell ref="F918:G918"/>
    <mergeCell ref="H918:I918"/>
    <mergeCell ref="J918:K918"/>
    <mergeCell ref="L918:M918"/>
    <mergeCell ref="N918:O918"/>
    <mergeCell ref="B920:O920"/>
    <mergeCell ref="B921:G921"/>
    <mergeCell ref="H921:J921"/>
    <mergeCell ref="K921:O921"/>
    <mergeCell ref="B922:G922"/>
    <mergeCell ref="H922:J922"/>
    <mergeCell ref="K922:O922"/>
    <mergeCell ref="B923:G923"/>
    <mergeCell ref="H923:J923"/>
    <mergeCell ref="K923:O923"/>
    <mergeCell ref="B924:G924"/>
    <mergeCell ref="H924:J924"/>
    <mergeCell ref="K924:O924"/>
    <mergeCell ref="B926:O926"/>
    <mergeCell ref="B927:C927"/>
    <mergeCell ref="D927:E927"/>
    <mergeCell ref="F927:H927"/>
    <mergeCell ref="I927:J927"/>
    <mergeCell ref="K927:L927"/>
    <mergeCell ref="M927:O927"/>
    <mergeCell ref="B929:O929"/>
    <mergeCell ref="B930:D930"/>
    <mergeCell ref="E930:O930"/>
    <mergeCell ref="B931:D931"/>
    <mergeCell ref="E931:O931"/>
    <mergeCell ref="B932:D932"/>
    <mergeCell ref="E932:O932"/>
    <mergeCell ref="B933:D933"/>
    <mergeCell ref="E933:O933"/>
    <mergeCell ref="B934:D934"/>
    <mergeCell ref="E934:O934"/>
    <mergeCell ref="B935:D935"/>
    <mergeCell ref="E935:O935"/>
    <mergeCell ref="B936:D936"/>
    <mergeCell ref="E936:O936"/>
    <mergeCell ref="B937:D937"/>
    <mergeCell ref="E937:O937"/>
    <mergeCell ref="B938:D938"/>
    <mergeCell ref="E938:O938"/>
    <mergeCell ref="B939:D939"/>
    <mergeCell ref="E939:O939"/>
    <mergeCell ref="B940:K940"/>
    <mergeCell ref="L940:O940"/>
    <mergeCell ref="B942:E942"/>
    <mergeCell ref="F942:G942"/>
    <mergeCell ref="H942:O942"/>
    <mergeCell ref="B943:O943"/>
    <mergeCell ref="B944:D944"/>
    <mergeCell ref="E944:H944"/>
    <mergeCell ref="I944:K944"/>
    <mergeCell ref="L944:O944"/>
    <mergeCell ref="B945:D945"/>
    <mergeCell ref="E945:H945"/>
    <mergeCell ref="I945:K945"/>
    <mergeCell ref="L945:O945"/>
    <mergeCell ref="B946:D946"/>
    <mergeCell ref="E946:H946"/>
    <mergeCell ref="I946:K946"/>
    <mergeCell ref="L946:O946"/>
    <mergeCell ref="B948:O948"/>
    <mergeCell ref="B949:E949"/>
    <mergeCell ref="F949:H949"/>
    <mergeCell ref="I949:L949"/>
    <mergeCell ref="M949:O949"/>
    <mergeCell ref="B950:E950"/>
    <mergeCell ref="F950:H950"/>
    <mergeCell ref="I950:L950"/>
    <mergeCell ref="M950:O950"/>
    <mergeCell ref="B951:E951"/>
    <mergeCell ref="F951:H951"/>
    <mergeCell ref="I951:L951"/>
    <mergeCell ref="M951:O951"/>
    <mergeCell ref="B952:C952"/>
    <mergeCell ref="D952:E952"/>
    <mergeCell ref="F952:G952"/>
    <mergeCell ref="H952:I952"/>
    <mergeCell ref="J952:K952"/>
    <mergeCell ref="L952:M952"/>
    <mergeCell ref="N952:O952"/>
    <mergeCell ref="B953:C953"/>
    <mergeCell ref="D953:E953"/>
    <mergeCell ref="F953:G953"/>
    <mergeCell ref="H953:I953"/>
    <mergeCell ref="J953:K953"/>
    <mergeCell ref="L953:M953"/>
    <mergeCell ref="N953:O953"/>
    <mergeCell ref="B954:C954"/>
    <mergeCell ref="D954:E954"/>
    <mergeCell ref="F954:G954"/>
    <mergeCell ref="H954:I954"/>
    <mergeCell ref="J954:K954"/>
    <mergeCell ref="L954:M954"/>
    <mergeCell ref="N954:O954"/>
    <mergeCell ref="B956:O956"/>
    <mergeCell ref="B957:G957"/>
    <mergeCell ref="H957:J957"/>
    <mergeCell ref="K957:O957"/>
    <mergeCell ref="B958:G958"/>
    <mergeCell ref="H958:J958"/>
    <mergeCell ref="K958:O958"/>
    <mergeCell ref="B959:G959"/>
    <mergeCell ref="H959:J959"/>
    <mergeCell ref="K959:O959"/>
    <mergeCell ref="B960:G960"/>
    <mergeCell ref="H960:J960"/>
    <mergeCell ref="K960:O960"/>
    <mergeCell ref="B962:O962"/>
    <mergeCell ref="B963:C963"/>
    <mergeCell ref="D963:E963"/>
    <mergeCell ref="F963:H963"/>
    <mergeCell ref="I963:J963"/>
    <mergeCell ref="K963:L963"/>
    <mergeCell ref="M963:O963"/>
    <mergeCell ref="B965:O965"/>
    <mergeCell ref="B966:D966"/>
    <mergeCell ref="E966:O966"/>
    <mergeCell ref="B967:D967"/>
    <mergeCell ref="E967:O967"/>
    <mergeCell ref="B968:D968"/>
    <mergeCell ref="E968:O968"/>
    <mergeCell ref="B969:D969"/>
    <mergeCell ref="E969:O969"/>
    <mergeCell ref="B970:D970"/>
    <mergeCell ref="E970:O970"/>
    <mergeCell ref="B971:D971"/>
    <mergeCell ref="E971:O971"/>
    <mergeCell ref="B972:D972"/>
    <mergeCell ref="E972:O972"/>
    <mergeCell ref="B973:D973"/>
    <mergeCell ref="E973:O973"/>
    <mergeCell ref="B974:D974"/>
    <mergeCell ref="E974:O974"/>
    <mergeCell ref="B975:D975"/>
    <mergeCell ref="E975:O975"/>
    <mergeCell ref="B976:K976"/>
    <mergeCell ref="L976:O976"/>
    <mergeCell ref="B978:E978"/>
    <mergeCell ref="F978:G978"/>
    <mergeCell ref="H978:O978"/>
    <mergeCell ref="B979:O979"/>
    <mergeCell ref="B980:D980"/>
    <mergeCell ref="E980:H980"/>
    <mergeCell ref="I980:K980"/>
    <mergeCell ref="L980:O980"/>
    <mergeCell ref="B981:D981"/>
    <mergeCell ref="E981:H981"/>
    <mergeCell ref="I981:K981"/>
    <mergeCell ref="L981:O981"/>
    <mergeCell ref="B982:D982"/>
    <mergeCell ref="E982:H982"/>
    <mergeCell ref="I982:K982"/>
    <mergeCell ref="L982:O982"/>
    <mergeCell ref="B984:O984"/>
    <mergeCell ref="B985:E985"/>
    <mergeCell ref="F985:H985"/>
    <mergeCell ref="I985:L985"/>
    <mergeCell ref="M985:O985"/>
    <mergeCell ref="B986:E986"/>
    <mergeCell ref="F986:H986"/>
    <mergeCell ref="I986:L986"/>
    <mergeCell ref="M986:O986"/>
    <mergeCell ref="B987:E987"/>
    <mergeCell ref="F987:H987"/>
    <mergeCell ref="I987:L987"/>
    <mergeCell ref="M987:O987"/>
    <mergeCell ref="B988:C988"/>
    <mergeCell ref="D988:E988"/>
    <mergeCell ref="F988:G988"/>
    <mergeCell ref="H988:I988"/>
    <mergeCell ref="J988:K988"/>
    <mergeCell ref="L988:M988"/>
    <mergeCell ref="N988:O988"/>
    <mergeCell ref="B989:C989"/>
    <mergeCell ref="D989:E989"/>
    <mergeCell ref="F989:G989"/>
    <mergeCell ref="H989:I989"/>
    <mergeCell ref="J989:K989"/>
    <mergeCell ref="L989:M989"/>
    <mergeCell ref="N989:O989"/>
    <mergeCell ref="B990:C990"/>
    <mergeCell ref="D990:E990"/>
    <mergeCell ref="F990:G990"/>
    <mergeCell ref="H990:I990"/>
    <mergeCell ref="J990:K990"/>
    <mergeCell ref="L990:M990"/>
    <mergeCell ref="N990:O990"/>
    <mergeCell ref="B992:O992"/>
    <mergeCell ref="B993:G993"/>
    <mergeCell ref="H993:J993"/>
    <mergeCell ref="K993:O993"/>
    <mergeCell ref="B994:G994"/>
    <mergeCell ref="H994:J994"/>
    <mergeCell ref="K994:O994"/>
    <mergeCell ref="B995:G995"/>
    <mergeCell ref="H995:J995"/>
    <mergeCell ref="K995:O995"/>
    <mergeCell ref="B996:G996"/>
    <mergeCell ref="H996:J996"/>
    <mergeCell ref="K996:O996"/>
    <mergeCell ref="B998:O998"/>
    <mergeCell ref="B999:C999"/>
    <mergeCell ref="D999:E999"/>
    <mergeCell ref="F999:H999"/>
    <mergeCell ref="I999:J999"/>
    <mergeCell ref="K999:L999"/>
    <mergeCell ref="M999:O999"/>
    <mergeCell ref="B1001:O1001"/>
    <mergeCell ref="B1002:D1002"/>
    <mergeCell ref="E1002:O1002"/>
    <mergeCell ref="B1003:D1003"/>
    <mergeCell ref="E1003:O1003"/>
    <mergeCell ref="B1004:D1004"/>
    <mergeCell ref="E1004:O1004"/>
    <mergeCell ref="B1005:D1005"/>
    <mergeCell ref="E1005:O1005"/>
    <mergeCell ref="B1006:D1006"/>
    <mergeCell ref="E1006:O1006"/>
    <mergeCell ref="B1007:D1007"/>
    <mergeCell ref="E1007:O1007"/>
    <mergeCell ref="B1008:D1008"/>
    <mergeCell ref="E1008:O1008"/>
    <mergeCell ref="B1009:D1009"/>
    <mergeCell ref="E1009:O1009"/>
    <mergeCell ref="B1010:D1010"/>
    <mergeCell ref="E1010:O1010"/>
    <mergeCell ref="B1011:D1011"/>
    <mergeCell ref="E1011:O1011"/>
    <mergeCell ref="B1012:K1012"/>
    <mergeCell ref="L1012:O1012"/>
    <mergeCell ref="B1014:E1014"/>
    <mergeCell ref="F1014:G1014"/>
    <mergeCell ref="H1014:O1014"/>
    <mergeCell ref="B1015:O1015"/>
    <mergeCell ref="B1016:D1016"/>
    <mergeCell ref="E1016:H1016"/>
    <mergeCell ref="I1016:K1016"/>
    <mergeCell ref="L1016:O1016"/>
    <mergeCell ref="B1017:D1017"/>
    <mergeCell ref="E1017:H1017"/>
    <mergeCell ref="I1017:K1017"/>
    <mergeCell ref="L1017:O1017"/>
    <mergeCell ref="B1018:D1018"/>
    <mergeCell ref="E1018:H1018"/>
    <mergeCell ref="I1018:K1018"/>
    <mergeCell ref="L1018:O1018"/>
    <mergeCell ref="B1020:O1020"/>
    <mergeCell ref="B1021:E1021"/>
    <mergeCell ref="F1021:H1021"/>
    <mergeCell ref="I1021:L1021"/>
    <mergeCell ref="M1021:O1021"/>
    <mergeCell ref="B1022:E1022"/>
    <mergeCell ref="F1022:H1022"/>
    <mergeCell ref="I1022:L1022"/>
    <mergeCell ref="M1022:O1022"/>
    <mergeCell ref="B1023:E1023"/>
    <mergeCell ref="F1023:H1023"/>
    <mergeCell ref="I1023:L1023"/>
    <mergeCell ref="M1023:O1023"/>
    <mergeCell ref="B1024:C1024"/>
    <mergeCell ref="D1024:E1024"/>
    <mergeCell ref="F1024:G1024"/>
    <mergeCell ref="H1024:I1024"/>
    <mergeCell ref="J1024:K1024"/>
    <mergeCell ref="L1024:M1024"/>
    <mergeCell ref="N1024:O1024"/>
    <mergeCell ref="B1025:C1025"/>
    <mergeCell ref="D1025:E1025"/>
    <mergeCell ref="F1025:G1025"/>
    <mergeCell ref="H1025:I1025"/>
    <mergeCell ref="J1025:K1025"/>
    <mergeCell ref="L1025:M1025"/>
    <mergeCell ref="N1025:O1025"/>
    <mergeCell ref="B1026:C1026"/>
    <mergeCell ref="D1026:E1026"/>
    <mergeCell ref="F1026:G1026"/>
    <mergeCell ref="H1026:I1026"/>
    <mergeCell ref="J1026:K1026"/>
    <mergeCell ref="L1026:M1026"/>
    <mergeCell ref="N1026:O1026"/>
    <mergeCell ref="B1028:O1028"/>
    <mergeCell ref="B1029:G1029"/>
    <mergeCell ref="H1029:J1029"/>
    <mergeCell ref="K1029:O1029"/>
    <mergeCell ref="B1030:G1030"/>
    <mergeCell ref="H1030:J1030"/>
    <mergeCell ref="K1030:O1030"/>
    <mergeCell ref="B1031:G1031"/>
    <mergeCell ref="H1031:J1031"/>
    <mergeCell ref="K1031:O1031"/>
    <mergeCell ref="B1032:G1032"/>
    <mergeCell ref="H1032:J1032"/>
    <mergeCell ref="K1032:O1032"/>
    <mergeCell ref="B1034:O1034"/>
    <mergeCell ref="B1035:C1035"/>
    <mergeCell ref="D1035:E1035"/>
    <mergeCell ref="F1035:H1035"/>
    <mergeCell ref="I1035:J1035"/>
    <mergeCell ref="K1035:L1035"/>
    <mergeCell ref="M1035:O1035"/>
    <mergeCell ref="B1037:O1037"/>
    <mergeCell ref="B1038:D1038"/>
    <mergeCell ref="E1038:O1038"/>
    <mergeCell ref="B1039:D1039"/>
    <mergeCell ref="E1039:O1039"/>
    <mergeCell ref="B1040:D1040"/>
    <mergeCell ref="E1040:O1040"/>
    <mergeCell ref="B1041:D1041"/>
    <mergeCell ref="E1041:O1041"/>
    <mergeCell ref="B1042:D1042"/>
    <mergeCell ref="E1042:O1042"/>
    <mergeCell ref="B1043:D1043"/>
    <mergeCell ref="E1043:O1043"/>
    <mergeCell ref="B1044:D1044"/>
    <mergeCell ref="E1044:O1044"/>
    <mergeCell ref="B1045:D1045"/>
    <mergeCell ref="E1045:O1045"/>
    <mergeCell ref="B1046:D1046"/>
    <mergeCell ref="E1046:O1046"/>
    <mergeCell ref="B1047:D1047"/>
    <mergeCell ref="E1047:O1047"/>
    <mergeCell ref="B1048:K1048"/>
    <mergeCell ref="L1048:O1048"/>
    <mergeCell ref="B1050:E1050"/>
    <mergeCell ref="F1050:G1050"/>
    <mergeCell ref="H1050:O1050"/>
    <mergeCell ref="B1051:O1051"/>
    <mergeCell ref="B1052:D1052"/>
    <mergeCell ref="E1052:H1052"/>
    <mergeCell ref="I1052:K1052"/>
    <mergeCell ref="L1052:O1052"/>
    <mergeCell ref="B1053:D1053"/>
    <mergeCell ref="E1053:H1053"/>
    <mergeCell ref="I1053:K1053"/>
    <mergeCell ref="L1053:O1053"/>
    <mergeCell ref="B1054:D1054"/>
    <mergeCell ref="E1054:H1054"/>
    <mergeCell ref="I1054:K1054"/>
    <mergeCell ref="L1054:O1054"/>
    <mergeCell ref="B1056:O1056"/>
    <mergeCell ref="B1057:E1057"/>
    <mergeCell ref="F1057:H1057"/>
    <mergeCell ref="I1057:L1057"/>
    <mergeCell ref="M1057:O1057"/>
    <mergeCell ref="B1058:E1058"/>
    <mergeCell ref="F1058:H1058"/>
    <mergeCell ref="I1058:L1058"/>
    <mergeCell ref="M1058:O1058"/>
    <mergeCell ref="B1059:E1059"/>
    <mergeCell ref="F1059:H1059"/>
    <mergeCell ref="I1059:L1059"/>
    <mergeCell ref="M1059:O1059"/>
    <mergeCell ref="B1060:C1060"/>
    <mergeCell ref="D1060:E1060"/>
    <mergeCell ref="F1060:G1060"/>
    <mergeCell ref="H1060:I1060"/>
    <mergeCell ref="J1060:K1060"/>
    <mergeCell ref="L1060:M1060"/>
    <mergeCell ref="N1060:O1060"/>
    <mergeCell ref="B1061:C1061"/>
    <mergeCell ref="D1061:E1061"/>
    <mergeCell ref="F1061:G1061"/>
    <mergeCell ref="H1061:I1061"/>
    <mergeCell ref="J1061:K1061"/>
    <mergeCell ref="L1061:M1061"/>
    <mergeCell ref="N1061:O1061"/>
    <mergeCell ref="B1062:C1062"/>
    <mergeCell ref="D1062:E1062"/>
    <mergeCell ref="F1062:G1062"/>
    <mergeCell ref="H1062:I1062"/>
    <mergeCell ref="J1062:K1062"/>
    <mergeCell ref="L1062:M1062"/>
    <mergeCell ref="N1062:O1062"/>
    <mergeCell ref="B1064:O1064"/>
    <mergeCell ref="B1065:G1065"/>
    <mergeCell ref="H1065:J1065"/>
    <mergeCell ref="K1065:O1065"/>
    <mergeCell ref="B1066:G1066"/>
    <mergeCell ref="H1066:J1066"/>
    <mergeCell ref="K1066:O1066"/>
    <mergeCell ref="B1067:G1067"/>
    <mergeCell ref="H1067:J1067"/>
    <mergeCell ref="K1067:O1067"/>
    <mergeCell ref="B1068:G1068"/>
    <mergeCell ref="H1068:J1068"/>
    <mergeCell ref="K1068:O1068"/>
    <mergeCell ref="B1070:O1070"/>
    <mergeCell ref="B1071:C1071"/>
    <mergeCell ref="D1071:E1071"/>
    <mergeCell ref="F1071:H1071"/>
    <mergeCell ref="I1071:J1071"/>
    <mergeCell ref="K1071:L1071"/>
    <mergeCell ref="M1071:O1071"/>
    <mergeCell ref="B1073:O1073"/>
    <mergeCell ref="B1074:D1074"/>
    <mergeCell ref="E1074:O1074"/>
    <mergeCell ref="B1075:D1075"/>
    <mergeCell ref="E1075:O1075"/>
    <mergeCell ref="B1076:D1076"/>
    <mergeCell ref="E1076:O1076"/>
    <mergeCell ref="B1077:D1077"/>
    <mergeCell ref="E1077:O1077"/>
    <mergeCell ref="B1078:D1078"/>
    <mergeCell ref="E1078:O1078"/>
    <mergeCell ref="B1079:D1079"/>
    <mergeCell ref="E1079:O1079"/>
    <mergeCell ref="B1080:D1080"/>
    <mergeCell ref="E1080:O1080"/>
    <mergeCell ref="B1081:D1081"/>
    <mergeCell ref="E1081:O1081"/>
    <mergeCell ref="B1082:D1082"/>
    <mergeCell ref="E1082:O1082"/>
    <mergeCell ref="B1083:D1083"/>
    <mergeCell ref="E1083:O1083"/>
    <mergeCell ref="B1084:K1084"/>
    <mergeCell ref="L1084:O1084"/>
  </mergeCells>
  <conditionalFormatting sqref="B3:O3">
    <cfRule type="expression" priority="2" aboveAverage="0" equalAverage="0" bottom="0" percent="0" rank="0" text="" dxfId="0">
      <formula>LEN($B$3)&gt;0</formula>
    </cfRule>
  </conditionalFormatting>
  <conditionalFormatting sqref="E30:E39">
    <cfRule type="expression" priority="3" aboveAverage="0" equalAverage="0" bottom="0" percent="0" rank="0" text="" dxfId="34">
      <formula>AND($R$6&lt;&gt;"",E30="")</formula>
    </cfRule>
  </conditionalFormatting>
  <conditionalFormatting sqref="E66:E75">
    <cfRule type="expression" priority="4" aboveAverage="0" equalAverage="0" bottom="0" percent="0" rank="0" text="" dxfId="34">
      <formula>AND($R$42&lt;&gt;"",E66="")</formula>
    </cfRule>
  </conditionalFormatting>
  <conditionalFormatting sqref="E102:E111">
    <cfRule type="expression" priority="5" aboveAverage="0" equalAverage="0" bottom="0" percent="0" rank="0" text="" dxfId="34">
      <formula>AND($R$78&lt;&gt;"",E102="")</formula>
    </cfRule>
  </conditionalFormatting>
  <conditionalFormatting sqref="E138:E147">
    <cfRule type="expression" priority="6" aboveAverage="0" equalAverage="0" bottom="0" percent="0" rank="0" text="" dxfId="34">
      <formula>AND($R$114&lt;&gt;"",E138="")</formula>
    </cfRule>
  </conditionalFormatting>
  <conditionalFormatting sqref="E174:E183">
    <cfRule type="expression" priority="7" aboveAverage="0" equalAverage="0" bottom="0" percent="0" rank="0" text="" dxfId="34">
      <formula>AND($R$150&lt;&gt;"",E174="")</formula>
    </cfRule>
  </conditionalFormatting>
  <conditionalFormatting sqref="E210:E219">
    <cfRule type="expression" priority="8" aboveAverage="0" equalAverage="0" bottom="0" percent="0" rank="0" text="" dxfId="34">
      <formula>AND($R$186&lt;&gt;"",E210="")</formula>
    </cfRule>
  </conditionalFormatting>
  <conditionalFormatting sqref="E246:E255">
    <cfRule type="expression" priority="9" aboveAverage="0" equalAverage="0" bottom="0" percent="0" rank="0" text="" dxfId="34">
      <formula>AND($R$222&lt;&gt;"",E246="")</formula>
    </cfRule>
  </conditionalFormatting>
  <conditionalFormatting sqref="E282:E291">
    <cfRule type="expression" priority="10" aboveAverage="0" equalAverage="0" bottom="0" percent="0" rank="0" text="" dxfId="34">
      <formula>AND($R$258&lt;&gt;"",E282="")</formula>
    </cfRule>
  </conditionalFormatting>
  <conditionalFormatting sqref="E318:E327">
    <cfRule type="expression" priority="11" aboveAverage="0" equalAverage="0" bottom="0" percent="0" rank="0" text="" dxfId="34">
      <formula>AND($R$294&lt;&gt;"",E318="")</formula>
    </cfRule>
  </conditionalFormatting>
  <conditionalFormatting sqref="E354:E363">
    <cfRule type="expression" priority="12" aboveAverage="0" equalAverage="0" bottom="0" percent="0" rank="0" text="" dxfId="34">
      <formula>AND($R$330&lt;&gt;"",E354="")</formula>
    </cfRule>
  </conditionalFormatting>
  <conditionalFormatting sqref="E390:E399">
    <cfRule type="expression" priority="13" aboveAverage="0" equalAverage="0" bottom="0" percent="0" rank="0" text="" dxfId="34">
      <formula>AND($R$366&lt;&gt;"",E390="")</formula>
    </cfRule>
  </conditionalFormatting>
  <conditionalFormatting sqref="E426:E435">
    <cfRule type="expression" priority="14" aboveAverage="0" equalAverage="0" bottom="0" percent="0" rank="0" text="" dxfId="34">
      <formula>AND($R$402&lt;&gt;"",E426="")</formula>
    </cfRule>
  </conditionalFormatting>
  <conditionalFormatting sqref="E462:E471">
    <cfRule type="expression" priority="15" aboveAverage="0" equalAverage="0" bottom="0" percent="0" rank="0" text="" dxfId="34">
      <formula>AND($R$438&lt;&gt;"",E462="")</formula>
    </cfRule>
  </conditionalFormatting>
  <conditionalFormatting sqref="E498:E507">
    <cfRule type="expression" priority="16" aboveAverage="0" equalAverage="0" bottom="0" percent="0" rank="0" text="" dxfId="34">
      <formula>AND($R$474&lt;&gt;"",E498="")</formula>
    </cfRule>
  </conditionalFormatting>
  <conditionalFormatting sqref="E534:E543">
    <cfRule type="expression" priority="17" aboveAverage="0" equalAverage="0" bottom="0" percent="0" rank="0" text="" dxfId="34">
      <formula>AND($R$510&lt;&gt;"",E534="")</formula>
    </cfRule>
  </conditionalFormatting>
  <conditionalFormatting sqref="E570:E579">
    <cfRule type="expression" priority="18" aboveAverage="0" equalAverage="0" bottom="0" percent="0" rank="0" text="" dxfId="34">
      <formula>AND($R$546&lt;&gt;"",E570="")</formula>
    </cfRule>
  </conditionalFormatting>
  <conditionalFormatting sqref="E606:E615">
    <cfRule type="expression" priority="19" aboveAverage="0" equalAverage="0" bottom="0" percent="0" rank="0" text="" dxfId="34">
      <formula>AND($R$582&lt;&gt;"",E606="")</formula>
    </cfRule>
  </conditionalFormatting>
  <conditionalFormatting sqref="E642:E651">
    <cfRule type="expression" priority="20" aboveAverage="0" equalAverage="0" bottom="0" percent="0" rank="0" text="" dxfId="34">
      <formula>AND($R$618&lt;&gt;"",E642="")</formula>
    </cfRule>
  </conditionalFormatting>
  <conditionalFormatting sqref="E678:E687">
    <cfRule type="expression" priority="21" aboveAverage="0" equalAverage="0" bottom="0" percent="0" rank="0" text="" dxfId="34">
      <formula>AND($R$654&lt;&gt;"",E678="")</formula>
    </cfRule>
  </conditionalFormatting>
  <conditionalFormatting sqref="E714:E723">
    <cfRule type="expression" priority="22" aboveAverage="0" equalAverage="0" bottom="0" percent="0" rank="0" text="" dxfId="34">
      <formula>AND($R$690&lt;&gt;"",E714="")</formula>
    </cfRule>
  </conditionalFormatting>
  <conditionalFormatting sqref="E750:E759">
    <cfRule type="expression" priority="23" aboveAverage="0" equalAverage="0" bottom="0" percent="0" rank="0" text="" dxfId="34">
      <formula>AND($R$726&lt;&gt;"",E750="")</formula>
    </cfRule>
  </conditionalFormatting>
  <conditionalFormatting sqref="E786:E795">
    <cfRule type="expression" priority="24" aboveAverage="0" equalAverage="0" bottom="0" percent="0" rank="0" text="" dxfId="34">
      <formula>AND($R$762&lt;&gt;"",E786="")</formula>
    </cfRule>
  </conditionalFormatting>
  <conditionalFormatting sqref="E822:E831">
    <cfRule type="expression" priority="25" aboveAverage="0" equalAverage="0" bottom="0" percent="0" rank="0" text="" dxfId="34">
      <formula>AND($R$798&lt;&gt;"",E822="")</formula>
    </cfRule>
  </conditionalFormatting>
  <conditionalFormatting sqref="E858:E867">
    <cfRule type="expression" priority="26" aboveAverage="0" equalAverage="0" bottom="0" percent="0" rank="0" text="" dxfId="34">
      <formula>AND($R$834&lt;&gt;"",E858="")</formula>
    </cfRule>
  </conditionalFormatting>
  <conditionalFormatting sqref="E894:E903">
    <cfRule type="expression" priority="27" aboveAverage="0" equalAverage="0" bottom="0" percent="0" rank="0" text="" dxfId="34">
      <formula>AND($R$870&lt;&gt;"",E894="")</formula>
    </cfRule>
  </conditionalFormatting>
  <conditionalFormatting sqref="E930:E939">
    <cfRule type="expression" priority="28" aboveAverage="0" equalAverage="0" bottom="0" percent="0" rank="0" text="" dxfId="34">
      <formula>AND($R$906&lt;&gt;"",E930="")</formula>
    </cfRule>
  </conditionalFormatting>
  <conditionalFormatting sqref="E966:E975">
    <cfRule type="expression" priority="29" aboveAverage="0" equalAverage="0" bottom="0" percent="0" rank="0" text="" dxfId="34">
      <formula>AND($R$942&lt;&gt;"",E966="")</formula>
    </cfRule>
  </conditionalFormatting>
  <conditionalFormatting sqref="E1002:E1011">
    <cfRule type="expression" priority="30" aboveAverage="0" equalAverage="0" bottom="0" percent="0" rank="0" text="" dxfId="34">
      <formula>AND($R$978&lt;&gt;"",E1002="")</formula>
    </cfRule>
  </conditionalFormatting>
  <conditionalFormatting sqref="E1038:E1047">
    <cfRule type="expression" priority="31" aboveAverage="0" equalAverage="0" bottom="0" percent="0" rank="0" text="" dxfId="34">
      <formula>AND($R$1014&lt;&gt;"",E1038="")</formula>
    </cfRule>
  </conditionalFormatting>
  <conditionalFormatting sqref="E1074:E1083">
    <cfRule type="expression" priority="32" aboveAverage="0" equalAverage="0" bottom="0" percent="0" rank="0" text="" dxfId="34">
      <formula>AND($R$1050&lt;&gt;"",E1074="")</formula>
    </cfRule>
  </conditionalFormatting>
  <conditionalFormatting sqref="M27:O27 M63:O63 M99:O99 M135:O135 M171:O171 M207:O207 M243:O243 M279:O279 M315:O315 M351:O351 M387:O387 M423:O423 M459:O459 M495:O495 M531:O531 M567:O567 M603:O603 M639:O639 M675:O675 M711:O711 M747:O747 M783:O783 M819:O819 M855:O855 M891:O891 M927:O927 M963:O963 M999:O999 M1035:O1035 M1071:O1071">
    <cfRule type="cellIs" priority="33" operator="equal" aboveAverage="0" equalAverage="0" bottom="0" percent="0" rank="0" text="" dxfId="21">
      <formula>"Critical"</formula>
    </cfRule>
    <cfRule type="cellIs" priority="34" operator="equal" aboveAverage="0" equalAverage="0" bottom="0" percent="0" rank="0" text="" dxfId="32">
      <formula>"High"</formula>
    </cfRule>
    <cfRule type="cellIs" priority="35" operator="equal" aboveAverage="0" equalAverage="0" bottom="0" percent="0" rank="0" text="" dxfId="25">
      <formula>"Medium"</formula>
    </cfRule>
    <cfRule type="cellIs" priority="36" operator="equal" aboveAverage="0" equalAverage="0" bottom="0" percent="0" rank="0" text="" dxfId="33">
      <formula>"Low"</formula>
    </cfRule>
  </conditionalFormatting>
  <conditionalFormatting sqref="L10:O10 L46:O46 L82:O82 L118:O118 L154:O154 L190:O190 L226:O226 L262:O262 L298:O298 L334:O334 L370:O370 L406:O406 L442:O442 L478:O478 L514:O514 L550:O550 L586:O586 L622:O622 L658:O658 L694:O694 L730:O730 L766:O766 L802:O802 L838:O838 L874:O874 L910:O910 L946:O946 L982:O982 L1018:O1018 L1054:O1054">
    <cfRule type="cellIs" priority="37" operator="equal" aboveAverage="0" equalAverage="0" bottom="0" percent="0" rank="0" text="" dxfId="18">
      <formula>"Proposed"</formula>
    </cfRule>
    <cfRule type="cellIs" priority="38" operator="equal" aboveAverage="0" equalAverage="0" bottom="0" percent="0" rank="0" text="" dxfId="2">
      <formula>"Approved"</formula>
    </cfRule>
    <cfRule type="cellIs" priority="39" operator="equal" aboveAverage="0" equalAverage="0" bottom="0" percent="0" rank="0" text="" dxfId="19">
      <formula>"In delivery"</formula>
    </cfRule>
    <cfRule type="cellIs" priority="40" operator="equal" aboveAverage="0" equalAverage="0" bottom="0" percent="0" rank="0" text="" dxfId="20">
      <formula>"Deferred"</formula>
    </cfRule>
    <cfRule type="cellIs" priority="41" operator="equal" aboveAverage="0" equalAverage="0" bottom="0" percent="0" rank="0" text="" dxfId="1">
      <formula>"Not funded"</formula>
    </cfRule>
  </conditionalFormatting>
  <conditionalFormatting sqref="H24:J24 H60:J60 H96:J96 H132:J132 H168:J168 H204:J204 H240:J240 H276:J276 H312:J312 H348:J348 H384:J384 H420:J420 H456:J456 H492:J492 H528:J528 H564:J564 H600:J600 H636:J636 H672:J672 H708:J708 H744:J744 H780:J780 H816:J816 H852:J852 H888:J888 H924:J924 H960:J960 H996:J996 H1032:J1032 H1068:J1068">
    <cfRule type="cellIs" priority="42" operator="greaterThan" aboveAverage="0" equalAverage="0" bottom="0" percent="0" rank="0" text="" dxfId="1">
      <formula>0.0001</formula>
    </cfRule>
  </conditionalFormatting>
  <conditionalFormatting sqref="K24:O24 K60:O60 K96:O96 K132:O132 K168:O168 K204:O204 K240:O240 K276:O276 K312:O312 K348:O348 K384:O384 K420:O420 K456:O456 K492:O492 K528:O528 K564:O564 K600:O600 K636:O636 K672:O672 K708:O708 K744:O744 K780:O780 K816:O816 K852:O852 K888:O888 K924:O924 K960:O960 K996:O996 K1032:O1032 K1068:O1068">
    <cfRule type="cellIs" priority="43" operator="greaterThan" aboveAverage="0" equalAverage="0" bottom="0" percent="0" rank="0" text="" dxfId="1">
      <formula>0.5</formula>
    </cfRule>
  </conditionalFormatting>
  <hyperlinks>
    <hyperlink ref="L40" r:id="rId1" display="Built with Mastt  |  mastt.com"/>
    <hyperlink ref="L76" r:id="rId2" display="Built with Mastt  |  mastt.com"/>
    <hyperlink ref="L112" r:id="rId3" display="Built with Mastt  |  mastt.com"/>
    <hyperlink ref="L148" r:id="rId4" display="Built with Mastt  |  mastt.com"/>
    <hyperlink ref="L184" r:id="rId5" display="Built with Mastt  |  mastt.com"/>
    <hyperlink ref="L220" r:id="rId6" display="Built with Mastt  |  mastt.com"/>
    <hyperlink ref="L256" r:id="rId7" display="Built with Mastt  |  mastt.com"/>
    <hyperlink ref="L292" r:id="rId8" display="Built with Mastt  |  mastt.com"/>
    <hyperlink ref="L328" r:id="rId9" display="Built with Mastt  |  mastt.com"/>
    <hyperlink ref="L364" r:id="rId10" display="Built with Mastt  |  mastt.com"/>
    <hyperlink ref="L400" r:id="rId11" display="Built with Mastt  |  mastt.com"/>
    <hyperlink ref="L436" r:id="rId12" display="Built with Mastt  |  mastt.com"/>
    <hyperlink ref="L472" r:id="rId13" display="Built with Mastt  |  mastt.com"/>
    <hyperlink ref="L508" r:id="rId14" display="Built with Mastt  |  mastt.com"/>
    <hyperlink ref="L544" r:id="rId15" display="Built with Mastt  |  mastt.com"/>
    <hyperlink ref="L580" r:id="rId16" display="Built with Mastt  |  mastt.com"/>
    <hyperlink ref="L616" r:id="rId17" display="Built with Mastt  |  mastt.com"/>
    <hyperlink ref="L652" r:id="rId18" display="Built with Mastt  |  mastt.com"/>
    <hyperlink ref="L688" r:id="rId19" display="Built with Mastt  |  mastt.com"/>
    <hyperlink ref="L724" r:id="rId20" display="Built with Mastt  |  mastt.com"/>
    <hyperlink ref="L760" r:id="rId21" display="Built with Mastt  |  mastt.com"/>
    <hyperlink ref="L796" r:id="rId22" display="Built with Mastt  |  mastt.com"/>
    <hyperlink ref="L832" r:id="rId23" display="Built with Mastt  |  mastt.com"/>
    <hyperlink ref="L868" r:id="rId24" display="Built with Mastt  |  mastt.com"/>
    <hyperlink ref="L904" r:id="rId25" display="Built with Mastt  |  mastt.com"/>
    <hyperlink ref="L940" r:id="rId26" display="Built with Mastt  |  mastt.com"/>
    <hyperlink ref="L976" r:id="rId27" display="Built with Mastt  |  mastt.com"/>
    <hyperlink ref="L1012" r:id="rId28" display="Built with Mastt  |  mastt.com"/>
    <hyperlink ref="L1048" r:id="rId29" display="Built with Mastt  |  mastt.com"/>
    <hyperlink ref="L1084" r:id="rId30" display="Built with Mastt  |  mastt.com"/>
  </hyperlinks>
  <printOptions headings="false" gridLines="false" gridLinesSet="true" horizontalCentered="true" verticalCentered="false"/>
  <pageMargins left="0.3" right="0.3" top="0.3" bottom="0.3"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29" manualBreakCount="29">
    <brk id="41" man="true" max="16383" min="0"/>
    <brk id="77" man="true" max="16383" min="0"/>
    <brk id="113" man="true" max="16383" min="0"/>
    <brk id="149" man="true" max="16383" min="0"/>
    <brk id="185" man="true" max="16383" min="0"/>
    <brk id="221" man="true" max="16383" min="0"/>
    <brk id="257" man="true" max="16383" min="0"/>
    <brk id="293" man="true" max="16383" min="0"/>
    <brk id="329" man="true" max="16383" min="0"/>
    <brk id="365" man="true" max="16383" min="0"/>
    <brk id="401" man="true" max="16383" min="0"/>
    <brk id="437" man="true" max="16383" min="0"/>
    <brk id="473" man="true" max="16383" min="0"/>
    <brk id="509" man="true" max="16383" min="0"/>
    <brk id="545" man="true" max="16383" min="0"/>
    <brk id="581" man="true" max="16383" min="0"/>
    <brk id="617" man="true" max="16383" min="0"/>
    <brk id="653" man="true" max="16383" min="0"/>
    <brk id="689" man="true" max="16383" min="0"/>
    <brk id="725" man="true" max="16383" min="0"/>
    <brk id="761" man="true" max="16383" min="0"/>
    <brk id="797" man="true" max="16383" min="0"/>
    <brk id="833" man="true" max="16383" min="0"/>
    <brk id="869" man="true" max="16383" min="0"/>
    <brk id="905" man="true" max="16383" min="0"/>
    <brk id="941" man="true" max="16383" min="0"/>
    <brk id="977" man="true" max="16383" min="0"/>
    <brk id="1013" man="true" max="16383" min="0"/>
    <brk id="1049" man="true" max="16383" min="0"/>
  </rowBreaks>
  <drawing r:id="rId3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J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48"/>
    <col collapsed="false" customWidth="true" hidden="false" outlineLevel="0" max="8" min="3" style="0" width="17"/>
    <col collapsed="false" customWidth="true" hidden="false" outlineLevel="0" max="9" min="9" style="0" width="18"/>
    <col collapsed="false" customWidth="true" hidden="false" outlineLevel="0" max="10" min="10" style="0" width="11"/>
    <col collapsed="false" customWidth="true" hidden="false" outlineLevel="0" max="11" min="11" style="0" width="2.5"/>
  </cols>
  <sheetData>
    <row r="1" customFormat="false" ht="33.75" hidden="false" customHeight="true" outlineLevel="0" collapsed="false">
      <c r="B1" s="17" t="s">
        <v>436</v>
      </c>
      <c r="C1" s="17"/>
      <c r="D1" s="17"/>
      <c r="E1" s="17"/>
      <c r="F1" s="17"/>
      <c r="G1" s="17"/>
      <c r="H1" s="17"/>
      <c r="I1" s="17"/>
      <c r="J1" s="17"/>
    </row>
    <row r="2" customFormat="false" ht="4.5" hidden="false" customHeight="true" outlineLevel="0" collapsed="false">
      <c r="B2" s="4"/>
      <c r="C2" s="4"/>
      <c r="D2" s="4"/>
      <c r="E2" s="4"/>
      <c r="F2" s="4"/>
      <c r="G2" s="4"/>
      <c r="H2" s="4"/>
      <c r="I2" s="4"/>
      <c r="J2" s="4"/>
    </row>
    <row r="3" customFormat="false" ht="18" hidden="false" customHeight="true" outlineLevel="0" collapsed="false">
      <c r="B3" s="18" t="str">
        <f aca="false">IF(COUNTIF('Project Register'!$B$9:$B$38,"EX")=0,"","EXAMPLE DATA - the 15 rows marked EX on the Project Register are worked examples. Delete or overwrite them, and this banner clears.")</f>
        <v>EXAMPLE DATA - the 15 rows marked EX on the Project Register are worked examples. Delete or overwrite them, and this banner clears.</v>
      </c>
      <c r="C3" s="18"/>
      <c r="D3" s="18"/>
      <c r="E3" s="18"/>
      <c r="F3" s="18"/>
      <c r="G3" s="18"/>
      <c r="H3" s="18"/>
      <c r="I3" s="18"/>
      <c r="J3" s="18"/>
    </row>
    <row r="4" customFormat="false" ht="30" hidden="false" customHeight="true" outlineLevel="0" collapsed="false">
      <c r="B4" s="19" t="s">
        <v>437</v>
      </c>
      <c r="C4" s="19"/>
      <c r="D4" s="19"/>
      <c r="E4" s="19"/>
      <c r="F4" s="19"/>
      <c r="G4" s="19"/>
      <c r="H4" s="19"/>
      <c r="I4" s="19"/>
      <c r="J4" s="19"/>
    </row>
    <row r="6" customFormat="false" ht="21.75" hidden="false" customHeight="true" outlineLevel="0" collapsed="false">
      <c r="B6" s="6" t="s">
        <v>438</v>
      </c>
      <c r="C6" s="6"/>
      <c r="D6" s="6"/>
      <c r="E6" s="6"/>
      <c r="F6" s="6"/>
      <c r="G6" s="6"/>
      <c r="H6" s="6"/>
      <c r="I6" s="6"/>
      <c r="J6" s="6"/>
    </row>
    <row r="7" customFormat="false" ht="19.5" hidden="false" customHeight="true" outlineLevel="0" collapsed="false">
      <c r="B7" s="80" t="s">
        <v>439</v>
      </c>
      <c r="C7" s="29" t="str">
        <f aca="false">Setup!$C$23</f>
        <v>FY2027</v>
      </c>
      <c r="D7" s="29" t="str">
        <f aca="false">Setup!$D$23</f>
        <v>FY2028</v>
      </c>
      <c r="E7" s="29" t="str">
        <f aca="false">Setup!$E$23</f>
        <v>FY2029</v>
      </c>
      <c r="F7" s="29" t="str">
        <f aca="false">Setup!$F$23</f>
        <v>FY2030</v>
      </c>
      <c r="G7" s="29" t="str">
        <f aca="false">Setup!$G$23</f>
        <v>FY2031</v>
      </c>
      <c r="H7" s="29" t="str">
        <f aca="false">Setup!$H$23</f>
        <v>Beyond FY2031</v>
      </c>
      <c r="I7" s="9" t="s">
        <v>70</v>
      </c>
      <c r="J7" s="29"/>
    </row>
    <row r="8" customFormat="false" ht="18" hidden="false" customHeight="true" outlineLevel="0" collapsed="false">
      <c r="B8" s="20" t="s">
        <v>440</v>
      </c>
      <c r="C8" s="50" t="n">
        <f aca="false">'Project Register'!O$39</f>
        <v>22850000</v>
      </c>
      <c r="D8" s="50" t="n">
        <f aca="false">'Project Register'!P$39</f>
        <v>46750000</v>
      </c>
      <c r="E8" s="50" t="n">
        <f aca="false">'Project Register'!Q$39</f>
        <v>55700000</v>
      </c>
      <c r="F8" s="50" t="n">
        <f aca="false">'Project Register'!R$39</f>
        <v>48600000</v>
      </c>
      <c r="G8" s="50" t="n">
        <f aca="false">'Project Register'!S$39</f>
        <v>30200000</v>
      </c>
      <c r="H8" s="50" t="n">
        <f aca="false">'Project Register'!T$39</f>
        <v>9500000</v>
      </c>
      <c r="I8" s="92" t="n">
        <f aca="false">SUM(C8:H8)</f>
        <v>213600000</v>
      </c>
    </row>
    <row r="9" customFormat="false" ht="18" hidden="false" customHeight="true" outlineLevel="0" collapsed="false">
      <c r="B9" s="28" t="s">
        <v>441</v>
      </c>
      <c r="C9" s="92" t="n">
        <f aca="false">'Project Register'!X$39</f>
        <v>22850000</v>
      </c>
      <c r="D9" s="92" t="n">
        <f aca="false">'Project Register'!Y$39</f>
        <v>48386250</v>
      </c>
      <c r="E9" s="92" t="n">
        <f aca="false">'Project Register'!Z$39</f>
        <v>59667232.5</v>
      </c>
      <c r="F9" s="92" t="n">
        <f aca="false">'Project Register'!AA$39</f>
        <v>53883688.725</v>
      </c>
      <c r="G9" s="92" t="n">
        <f aca="false">'Project Register'!AB$39</f>
        <v>34655194.618875</v>
      </c>
      <c r="H9" s="92" t="n">
        <f aca="false">'Project Register'!AC$39</f>
        <v>11283019.9036453</v>
      </c>
      <c r="I9" s="92" t="n">
        <f aca="false">SUM(C9:H9)</f>
        <v>230725385.74752</v>
      </c>
    </row>
    <row r="10" customFormat="false" ht="18" hidden="false" customHeight="true" outlineLevel="0" collapsed="false">
      <c r="B10" s="20" t="s">
        <v>442</v>
      </c>
      <c r="C10" s="50" t="n">
        <f aca="false">C9-C8</f>
        <v>0</v>
      </c>
      <c r="D10" s="50" t="n">
        <f aca="false">D9-D8</f>
        <v>1636249.99999999</v>
      </c>
      <c r="E10" s="50" t="n">
        <f aca="false">E9-E8</f>
        <v>3967232.49999999</v>
      </c>
      <c r="F10" s="50" t="n">
        <f aca="false">F9-F8</f>
        <v>5283688.72499999</v>
      </c>
      <c r="G10" s="50" t="n">
        <f aca="false">G9-G8</f>
        <v>4455194.61887499</v>
      </c>
      <c r="H10" s="50" t="n">
        <f aca="false">H9-H8</f>
        <v>1783019.90364531</v>
      </c>
      <c r="I10" s="92" t="n">
        <f aca="false">SUM(C10:H10)</f>
        <v>17125385.7475203</v>
      </c>
    </row>
    <row r="11" customFormat="false" ht="13.5" hidden="false" customHeight="true" outlineLevel="0" collapsed="false">
      <c r="B11" s="15" t="s">
        <v>443</v>
      </c>
      <c r="C11" s="15"/>
      <c r="D11" s="15"/>
      <c r="E11" s="15"/>
      <c r="F11" s="15"/>
      <c r="G11" s="15"/>
      <c r="H11" s="15"/>
      <c r="I11" s="15"/>
      <c r="J11" s="15"/>
    </row>
    <row r="13" customFormat="false" ht="21.75" hidden="false" customHeight="true" outlineLevel="0" collapsed="false">
      <c r="B13" s="6" t="s">
        <v>444</v>
      </c>
      <c r="C13" s="6"/>
      <c r="D13" s="6"/>
      <c r="E13" s="6"/>
      <c r="F13" s="6"/>
      <c r="G13" s="6"/>
      <c r="H13" s="6"/>
      <c r="I13" s="6"/>
      <c r="J13" s="6"/>
    </row>
    <row r="14" customFormat="false" ht="19.5" hidden="false" customHeight="true" outlineLevel="0" collapsed="false">
      <c r="B14" s="80" t="s">
        <v>269</v>
      </c>
      <c r="C14" s="29" t="str">
        <f aca="false">Setup!$C$23</f>
        <v>FY2027</v>
      </c>
      <c r="D14" s="29" t="str">
        <f aca="false">Setup!$D$23</f>
        <v>FY2028</v>
      </c>
      <c r="E14" s="29" t="str">
        <f aca="false">Setup!$E$23</f>
        <v>FY2029</v>
      </c>
      <c r="F14" s="29" t="str">
        <f aca="false">Setup!$F$23</f>
        <v>FY2030</v>
      </c>
      <c r="G14" s="29" t="str">
        <f aca="false">Setup!$G$23</f>
        <v>FY2031</v>
      </c>
      <c r="H14" s="29" t="str">
        <f aca="false">Setup!$H$23</f>
        <v>Beyond FY2031</v>
      </c>
      <c r="I14" s="9" t="s">
        <v>70</v>
      </c>
      <c r="J14" s="29" t="s">
        <v>445</v>
      </c>
    </row>
    <row r="15" customFormat="false" ht="18" hidden="false" customHeight="true" outlineLevel="0" collapsed="false">
      <c r="B15" s="20" t="s">
        <v>159</v>
      </c>
      <c r="C15" s="50" t="n">
        <f aca="false">SUMPRODUCT(('Project Register'!$AF$9:$AF$38=$B15)*'Project Register'!$AG$9:$AG$38,'Project Register'!$X$9:$X$38)+SUMPRODUCT(('Project Register'!$AH$9:$AH$38=$B15)*'Project Register'!$AI$9:$AI$38,'Project Register'!$X$9:$X$38)</f>
        <v>10750000</v>
      </c>
      <c r="D15" s="50" t="n">
        <f aca="false">SUMPRODUCT(('Project Register'!$AF$9:$AF$38=$B15)*'Project Register'!$AG$9:$AG$38,'Project Register'!$Y$9:$Y$38)+SUMPRODUCT(('Project Register'!$AH$9:$AH$38=$B15)*'Project Register'!$AI$9:$AI$38,'Project Register'!$Y$9:$Y$38)</f>
        <v>16249500</v>
      </c>
      <c r="E15" s="50" t="n">
        <f aca="false">SUMPRODUCT(('Project Register'!$AF$9:$AF$38=$B15)*'Project Register'!$AG$9:$AG$38,'Project Register'!$Z$9:$Z$38)+SUMPRODUCT(('Project Register'!$AH$9:$AH$38=$B15)*'Project Register'!$AI$9:$AI$38,'Project Register'!$Z$9:$Z$38)</f>
        <v>13604557.5</v>
      </c>
      <c r="F15" s="50" t="n">
        <f aca="false">SUMPRODUCT(('Project Register'!$AF$9:$AF$38=$B15)*'Project Register'!$AG$9:$AG$38,'Project Register'!$AA$9:$AA$38)+SUMPRODUCT(('Project Register'!$AH$9:$AH$38=$B15)*'Project Register'!$AI$9:$AI$38,'Project Register'!$AA$9:$AA$38)</f>
        <v>5432717.5875</v>
      </c>
      <c r="G15" s="50" t="n">
        <f aca="false">SUMPRODUCT(('Project Register'!$AF$9:$AF$38=$B15)*'Project Register'!$AG$9:$AG$38,'Project Register'!$AB$9:$AB$38)+SUMPRODUCT(('Project Register'!$AH$9:$AH$38=$B15)*'Project Register'!$AI$9:$AI$38,'Project Register'!$AB$9:$AB$38)</f>
        <v>4360587.402375</v>
      </c>
      <c r="H15" s="50" t="n">
        <f aca="false">SUMPRODUCT(('Project Register'!$AF$9:$AF$38=$B15)*'Project Register'!$AG$9:$AG$38,'Project Register'!$AC$9:$AC$38)+SUMPRODUCT(('Project Register'!$AH$9:$AH$38=$B15)*'Project Register'!$AI$9:$AI$38,'Project Register'!$AC$9:$AC$38)</f>
        <v>712611.783388125</v>
      </c>
      <c r="I15" s="50" t="n">
        <f aca="false">SUM(C15:H15)</f>
        <v>51109974.2732631</v>
      </c>
      <c r="J15" s="52" t="n">
        <f aca="false">IFERROR($I15/$I$23,0)</f>
        <v>0.221518642639489</v>
      </c>
    </row>
    <row r="16" customFormat="false" ht="18" hidden="false" customHeight="true" outlineLevel="0" collapsed="false">
      <c r="B16" s="20" t="s">
        <v>183</v>
      </c>
      <c r="C16" s="50" t="n">
        <f aca="false">SUMPRODUCT(('Project Register'!$AF$9:$AF$38=$B16)*'Project Register'!$AG$9:$AG$38,'Project Register'!$X$9:$X$38)+SUMPRODUCT(('Project Register'!$AH$9:$AH$38=$B16)*'Project Register'!$AI$9:$AI$38,'Project Register'!$X$9:$X$38)</f>
        <v>3500000</v>
      </c>
      <c r="D16" s="50" t="n">
        <f aca="false">SUMPRODUCT(('Project Register'!$AF$9:$AF$38=$B16)*'Project Register'!$AG$9:$AG$38,'Project Register'!$Y$9:$Y$38)+SUMPRODUCT(('Project Register'!$AH$9:$AH$38=$B16)*'Project Register'!$AI$9:$AI$38,'Project Register'!$Y$9:$Y$38)</f>
        <v>4864500</v>
      </c>
      <c r="E16" s="50" t="n">
        <f aca="false">SUMPRODUCT(('Project Register'!$AF$9:$AF$38=$B16)*'Project Register'!$AG$9:$AG$38,'Project Register'!$Z$9:$Z$38)+SUMPRODUCT(('Project Register'!$AH$9:$AH$38=$B16)*'Project Register'!$AI$9:$AI$38,'Project Register'!$Z$9:$Z$38)</f>
        <v>5034757.5</v>
      </c>
      <c r="F16" s="50" t="n">
        <f aca="false">SUMPRODUCT(('Project Register'!$AF$9:$AF$38=$B16)*'Project Register'!$AG$9:$AG$38,'Project Register'!$AA$9:$AA$38)+SUMPRODUCT(('Project Register'!$AH$9:$AH$38=$B16)*'Project Register'!$AI$9:$AI$38,'Project Register'!$AA$9:$AA$38)</f>
        <v>3769640.775</v>
      </c>
      <c r="G16" s="50" t="n">
        <f aca="false">SUMPRODUCT(('Project Register'!$AF$9:$AF$38=$B16)*'Project Register'!$AG$9:$AG$38,'Project Register'!$AB$9:$AB$38)+SUMPRODUCT(('Project Register'!$AH$9:$AH$38=$B16)*'Project Register'!$AI$9:$AI$38,'Project Register'!$AB$9:$AB$38)</f>
        <v>3901578.202125</v>
      </c>
      <c r="H16" s="50" t="n">
        <f aca="false">SUMPRODUCT(('Project Register'!$AF$9:$AF$38=$B16)*'Project Register'!$AG$9:$AG$38,'Project Register'!$AC$9:$AC$38)+SUMPRODUCT(('Project Register'!$AH$9:$AH$38=$B16)*'Project Register'!$AI$9:$AI$38,'Project Register'!$AC$9:$AC$38)</f>
        <v>1068917.67508219</v>
      </c>
      <c r="I16" s="50" t="n">
        <f aca="false">SUM(C16:H16)</f>
        <v>22139394.1522072</v>
      </c>
      <c r="J16" s="52" t="n">
        <f aca="false">IFERROR($I16/$I$23,0)</f>
        <v>0.0959556057539071</v>
      </c>
    </row>
    <row r="17" customFormat="false" ht="18" hidden="false" customHeight="true" outlineLevel="0" collapsed="false">
      <c r="B17" s="20" t="s">
        <v>158</v>
      </c>
      <c r="C17" s="50" t="n">
        <f aca="false">SUMPRODUCT(('Project Register'!$AF$9:$AF$38=$B17)*'Project Register'!$AG$9:$AG$38,'Project Register'!$X$9:$X$38)+SUMPRODUCT(('Project Register'!$AH$9:$AH$38=$B17)*'Project Register'!$AI$9:$AI$38,'Project Register'!$X$9:$X$38)</f>
        <v>1450000</v>
      </c>
      <c r="D17" s="50" t="n">
        <f aca="false">SUMPRODUCT(('Project Register'!$AF$9:$AF$38=$B17)*'Project Register'!$AG$9:$AG$38,'Project Register'!$Y$9:$Y$38)+SUMPRODUCT(('Project Register'!$AH$9:$AH$38=$B17)*'Project Register'!$AI$9:$AI$38,'Project Register'!$Y$9:$Y$38)</f>
        <v>6015937.5</v>
      </c>
      <c r="E17" s="50" t="n">
        <f aca="false">SUMPRODUCT(('Project Register'!$AF$9:$AF$38=$B17)*'Project Register'!$AG$9:$AG$38,'Project Register'!$Z$9:$Z$38)+SUMPRODUCT(('Project Register'!$AH$9:$AH$38=$B17)*'Project Register'!$AI$9:$AI$38,'Project Register'!$Z$9:$Z$38)</f>
        <v>9748147.5</v>
      </c>
      <c r="F17" s="50" t="n">
        <f aca="false">SUMPRODUCT(('Project Register'!$AF$9:$AF$38=$B17)*'Project Register'!$AG$9:$AG$38,'Project Register'!$AA$9:$AA$38)+SUMPRODUCT(('Project Register'!$AH$9:$AH$38=$B17)*'Project Register'!$AI$9:$AI$38,'Project Register'!$AA$9:$AA$38)</f>
        <v>10366512.13125</v>
      </c>
      <c r="G17" s="50" t="n">
        <f aca="false">SUMPRODUCT(('Project Register'!$AF$9:$AF$38=$B17)*'Project Register'!$AG$9:$AG$38,'Project Register'!$AB$9:$AB$38)+SUMPRODUCT(('Project Register'!$AH$9:$AH$38=$B17)*'Project Register'!$AI$9:$AI$38,'Project Register'!$AB$9:$AB$38)</f>
        <v>7516275.65409375</v>
      </c>
      <c r="H17" s="50" t="n">
        <f aca="false">SUMPRODUCT(('Project Register'!$AF$9:$AF$38=$B17)*'Project Register'!$AG$9:$AG$38,'Project Register'!$AC$9:$AC$38)+SUMPRODUCT(('Project Register'!$AH$9:$AH$38=$B17)*'Project Register'!$AI$9:$AI$38,'Project Register'!$AC$9:$AC$38)</f>
        <v>3384905.97109359</v>
      </c>
      <c r="I17" s="50" t="n">
        <f aca="false">SUM(C17:H17)</f>
        <v>38481778.7564373</v>
      </c>
      <c r="J17" s="52" t="n">
        <f aca="false">IFERROR($I17/$I$23,0)</f>
        <v>0.166786063144987</v>
      </c>
    </row>
    <row r="18" customFormat="false" ht="18" hidden="false" customHeight="true" outlineLevel="0" collapsed="false">
      <c r="B18" s="20" t="s">
        <v>167</v>
      </c>
      <c r="C18" s="50" t="n">
        <f aca="false">SUMPRODUCT(('Project Register'!$AF$9:$AF$38=$B18)*'Project Register'!$AG$9:$AG$38,'Project Register'!$X$9:$X$38)+SUMPRODUCT(('Project Register'!$AH$9:$AH$38=$B18)*'Project Register'!$AI$9:$AI$38,'Project Register'!$X$9:$X$38)</f>
        <v>3775000</v>
      </c>
      <c r="D18" s="50" t="n">
        <f aca="false">SUMPRODUCT(('Project Register'!$AF$9:$AF$38=$B18)*'Project Register'!$AG$9:$AG$38,'Project Register'!$Y$9:$Y$38)+SUMPRODUCT(('Project Register'!$AH$9:$AH$38=$B18)*'Project Register'!$AI$9:$AI$38,'Project Register'!$Y$9:$Y$38)</f>
        <v>12057750</v>
      </c>
      <c r="E18" s="50" t="n">
        <f aca="false">SUMPRODUCT(('Project Register'!$AF$9:$AF$38=$B18)*'Project Register'!$AG$9:$AG$38,'Project Register'!$Z$9:$Z$38)+SUMPRODUCT(('Project Register'!$AH$9:$AH$38=$B18)*'Project Register'!$AI$9:$AI$38,'Project Register'!$Z$9:$Z$38)</f>
        <v>17568090</v>
      </c>
      <c r="F18" s="50" t="n">
        <f aca="false">SUMPRODUCT(('Project Register'!$AF$9:$AF$38=$B18)*'Project Register'!$AG$9:$AG$38,'Project Register'!$AA$9:$AA$38)+SUMPRODUCT(('Project Register'!$AH$9:$AH$38=$B18)*'Project Register'!$AI$9:$AI$38,'Project Register'!$AA$9:$AA$38)</f>
        <v>17018819.38125</v>
      </c>
      <c r="G18" s="50" t="n">
        <f aca="false">SUMPRODUCT(('Project Register'!$AF$9:$AF$38=$B18)*'Project Register'!$AG$9:$AG$38,'Project Register'!$AB$9:$AB$38)+SUMPRODUCT(('Project Register'!$AH$9:$AH$38=$B18)*'Project Register'!$AI$9:$AI$38,'Project Register'!$AB$9:$AB$38)</f>
        <v>6598257.25359375</v>
      </c>
      <c r="H18" s="50" t="n">
        <f aca="false">SUMPRODUCT(('Project Register'!$AF$9:$AF$38=$B18)*'Project Register'!$AG$9:$AG$38,'Project Register'!$AC$9:$AC$38)+SUMPRODUCT(('Project Register'!$AH$9:$AH$38=$B18)*'Project Register'!$AI$9:$AI$38,'Project Register'!$AC$9:$AC$38)</f>
        <v>890764.729235156</v>
      </c>
      <c r="I18" s="50" t="n">
        <f aca="false">SUM(C18:H18)</f>
        <v>57908681.3640789</v>
      </c>
      <c r="J18" s="52" t="n">
        <f aca="false">IFERROR($I18/$I$23,0)</f>
        <v>0.25098530522102</v>
      </c>
    </row>
    <row r="19" customFormat="false" ht="18" hidden="false" customHeight="true" outlineLevel="0" collapsed="false">
      <c r="B19" s="20" t="s">
        <v>191</v>
      </c>
      <c r="C19" s="50" t="n">
        <f aca="false">SUMPRODUCT(('Project Register'!$AF$9:$AF$38=$B19)*'Project Register'!$AG$9:$AG$38,'Project Register'!$X$9:$X$38)+SUMPRODUCT(('Project Register'!$AH$9:$AH$38=$B19)*'Project Register'!$AI$9:$AI$38,'Project Register'!$X$9:$X$38)</f>
        <v>1800000</v>
      </c>
      <c r="D19" s="50" t="n">
        <f aca="false">SUMPRODUCT(('Project Register'!$AF$9:$AF$38=$B19)*'Project Register'!$AG$9:$AG$38,'Project Register'!$Y$9:$Y$38)+SUMPRODUCT(('Project Register'!$AH$9:$AH$38=$B19)*'Project Register'!$AI$9:$AI$38,'Project Register'!$Y$9:$Y$38)</f>
        <v>4075312.5</v>
      </c>
      <c r="E19" s="50" t="n">
        <f aca="false">SUMPRODUCT(('Project Register'!$AF$9:$AF$38=$B19)*'Project Register'!$AG$9:$AG$38,'Project Register'!$Z$9:$Z$38)+SUMPRODUCT(('Project Register'!$AH$9:$AH$38=$B19)*'Project Register'!$AI$9:$AI$38,'Project Register'!$Z$9:$Z$38)</f>
        <v>3535042.5</v>
      </c>
      <c r="F19" s="50" t="n">
        <f aca="false">SUMPRODUCT(('Project Register'!$AF$9:$AF$38=$B19)*'Project Register'!$AG$9:$AG$38,'Project Register'!$AA$9:$AA$38)+SUMPRODUCT(('Project Register'!$AH$9:$AH$38=$B19)*'Project Register'!$AI$9:$AI$38,'Project Register'!$AA$9:$AA$38)</f>
        <v>3658768.9875</v>
      </c>
      <c r="G19" s="50" t="n">
        <f aca="false">SUMPRODUCT(('Project Register'!$AF$9:$AF$38=$B19)*'Project Register'!$AG$9:$AG$38,'Project Register'!$AB$9:$AB$38)+SUMPRODUCT(('Project Register'!$AH$9:$AH$38=$B19)*'Project Register'!$AI$9:$AI$38,'Project Register'!$AB$9:$AB$38)</f>
        <v>0</v>
      </c>
      <c r="H19" s="50" t="n">
        <f aca="false">SUMPRODUCT(('Project Register'!$AF$9:$AF$38=$B19)*'Project Register'!$AG$9:$AG$38,'Project Register'!$AC$9:$AC$38)+SUMPRODUCT(('Project Register'!$AH$9:$AH$38=$B19)*'Project Register'!$AI$9:$AI$38,'Project Register'!$AC$9:$AC$38)</f>
        <v>0</v>
      </c>
      <c r="I19" s="50" t="n">
        <f aca="false">SUM(C19:H19)</f>
        <v>13069123.9875</v>
      </c>
      <c r="J19" s="52" t="n">
        <f aca="false">IFERROR($I19/$I$23,0)</f>
        <v>0.0566436326248095</v>
      </c>
    </row>
    <row r="20" customFormat="false" ht="18" hidden="false" customHeight="true" outlineLevel="0" collapsed="false">
      <c r="B20" s="20" t="s">
        <v>225</v>
      </c>
      <c r="C20" s="50" t="n">
        <f aca="false">SUMPRODUCT(('Project Register'!$AF$9:$AF$38=$B20)*'Project Register'!$AG$9:$AG$38,'Project Register'!$X$9:$X$38)+SUMPRODUCT(('Project Register'!$AH$9:$AH$38=$B20)*'Project Register'!$AI$9:$AI$38,'Project Register'!$X$9:$X$38)</f>
        <v>0</v>
      </c>
      <c r="D20" s="50" t="n">
        <f aca="false">SUMPRODUCT(('Project Register'!$AF$9:$AF$38=$B20)*'Project Register'!$AG$9:$AG$38,'Project Register'!$Y$9:$Y$38)+SUMPRODUCT(('Project Register'!$AH$9:$AH$38=$B20)*'Project Register'!$AI$9:$AI$38,'Project Register'!$Y$9:$Y$38)</f>
        <v>0</v>
      </c>
      <c r="E20" s="50" t="n">
        <f aca="false">SUMPRODUCT(('Project Register'!$AF$9:$AF$38=$B20)*'Project Register'!$AG$9:$AG$38,'Project Register'!$Z$9:$Z$38)+SUMPRODUCT(('Project Register'!$AH$9:$AH$38=$B20)*'Project Register'!$AI$9:$AI$38,'Project Register'!$Z$9:$Z$38)</f>
        <v>856980</v>
      </c>
      <c r="F20" s="50" t="n">
        <f aca="false">SUMPRODUCT(('Project Register'!$AF$9:$AF$38=$B20)*'Project Register'!$AG$9:$AG$38,'Project Register'!$AA$9:$AA$38)+SUMPRODUCT(('Project Register'!$AH$9:$AH$38=$B20)*'Project Register'!$AI$9:$AI$38,'Project Register'!$AA$9:$AA$38)</f>
        <v>2217435.75</v>
      </c>
      <c r="G20" s="50" t="n">
        <f aca="false">SUMPRODUCT(('Project Register'!$AF$9:$AF$38=$B20)*'Project Register'!$AG$9:$AG$38,'Project Register'!$AB$9:$AB$38)+SUMPRODUCT(('Project Register'!$AH$9:$AH$38=$B20)*'Project Register'!$AI$9:$AI$38,'Project Register'!$AB$9:$AB$38)</f>
        <v>2754055.2015</v>
      </c>
      <c r="H20" s="50" t="n">
        <f aca="false">SUMPRODUCT(('Project Register'!$AF$9:$AF$38=$B20)*'Project Register'!$AG$9:$AG$38,'Project Register'!$AC$9:$AC$38)+SUMPRODUCT(('Project Register'!$AH$9:$AH$38=$B20)*'Project Register'!$AI$9:$AI$38,'Project Register'!$AC$9:$AC$38)</f>
        <v>2375372.61129375</v>
      </c>
      <c r="I20" s="50" t="n">
        <f aca="false">SUM(C20:H20)</f>
        <v>8203843.56279375</v>
      </c>
      <c r="J20" s="52" t="n">
        <f aca="false">IFERROR($I20/$I$23,0)</f>
        <v>0.0355567443790997</v>
      </c>
    </row>
    <row r="21" customFormat="false" ht="18" hidden="false" customHeight="true" outlineLevel="0" collapsed="false">
      <c r="B21" s="20" t="s">
        <v>215</v>
      </c>
      <c r="C21" s="50" t="n">
        <f aca="false">SUMPRODUCT(('Project Register'!$AF$9:$AF$38=$B21)*'Project Register'!$AG$9:$AG$38,'Project Register'!$X$9:$X$38)+SUMPRODUCT(('Project Register'!$AH$9:$AH$38=$B21)*'Project Register'!$AI$9:$AI$38,'Project Register'!$X$9:$X$38)</f>
        <v>1200000</v>
      </c>
      <c r="D21" s="50" t="n">
        <f aca="false">SUMPRODUCT(('Project Register'!$AF$9:$AF$38=$B21)*'Project Register'!$AG$9:$AG$38,'Project Register'!$Y$9:$Y$38)+SUMPRODUCT(('Project Register'!$AH$9:$AH$38=$B21)*'Project Register'!$AI$9:$AI$38,'Project Register'!$Y$9:$Y$38)</f>
        <v>2484000</v>
      </c>
      <c r="E21" s="50" t="n">
        <f aca="false">SUMPRODUCT(('Project Register'!$AF$9:$AF$38=$B21)*'Project Register'!$AG$9:$AG$38,'Project Register'!$Z$9:$Z$38)+SUMPRODUCT(('Project Register'!$AH$9:$AH$38=$B21)*'Project Register'!$AI$9:$AI$38,'Project Register'!$Z$9:$Z$38)</f>
        <v>1606837.5</v>
      </c>
      <c r="F21" s="50" t="n">
        <f aca="false">SUMPRODUCT(('Project Register'!$AF$9:$AF$38=$B21)*'Project Register'!$AG$9:$AG$38,'Project Register'!$AA$9:$AA$38)+SUMPRODUCT(('Project Register'!$AH$9:$AH$38=$B21)*'Project Register'!$AI$9:$AI$38,'Project Register'!$AA$9:$AA$38)</f>
        <v>0</v>
      </c>
      <c r="G21" s="50" t="n">
        <f aca="false">SUMPRODUCT(('Project Register'!$AF$9:$AF$38=$B21)*'Project Register'!$AG$9:$AG$38,'Project Register'!$AB$9:$AB$38)+SUMPRODUCT(('Project Register'!$AH$9:$AH$38=$B21)*'Project Register'!$AI$9:$AI$38,'Project Register'!$AB$9:$AB$38)</f>
        <v>0</v>
      </c>
      <c r="H21" s="50" t="n">
        <f aca="false">SUMPRODUCT(('Project Register'!$AF$9:$AF$38=$B21)*'Project Register'!$AG$9:$AG$38,'Project Register'!$AC$9:$AC$38)+SUMPRODUCT(('Project Register'!$AH$9:$AH$38=$B21)*'Project Register'!$AI$9:$AI$38,'Project Register'!$AC$9:$AC$38)</f>
        <v>0</v>
      </c>
      <c r="I21" s="50" t="n">
        <f aca="false">SUM(C21:H21)</f>
        <v>5290837.5</v>
      </c>
      <c r="J21" s="52" t="n">
        <f aca="false">IFERROR($I21/$I$23,0)</f>
        <v>0.022931319338175</v>
      </c>
    </row>
    <row r="22" customFormat="false" ht="18" hidden="false" customHeight="true" outlineLevel="0" collapsed="false">
      <c r="B22" s="93" t="s">
        <v>446</v>
      </c>
      <c r="C22" s="94" t="n">
        <f aca="false">SUMPRODUCT('Project Register'!$AJ$9:$AJ$38,'Project Register'!$X$9:$X$38)</f>
        <v>375000</v>
      </c>
      <c r="D22" s="94" t="n">
        <f aca="false">SUMPRODUCT('Project Register'!$AJ$9:$AJ$38,'Project Register'!$Y$9:$Y$38)</f>
        <v>2639250</v>
      </c>
      <c r="E22" s="94" t="n">
        <f aca="false">SUMPRODUCT('Project Register'!$AJ$9:$AJ$38,'Project Register'!$Z$9:$Z$38)</f>
        <v>7712820</v>
      </c>
      <c r="F22" s="94" t="n">
        <f aca="false">SUMPRODUCT('Project Register'!$AJ$9:$AJ$38,'Project Register'!$AA$9:$AA$38)</f>
        <v>11419794.1125</v>
      </c>
      <c r="G22" s="94" t="n">
        <f aca="false">SUMPRODUCT('Project Register'!$AJ$9:$AJ$38,'Project Register'!$AB$9:$AB$38)</f>
        <v>9524440.9051875</v>
      </c>
      <c r="H22" s="94" t="n">
        <f aca="false">SUMPRODUCT('Project Register'!$AJ$9:$AJ$38,'Project Register'!$AC$9:$AC$38)</f>
        <v>2850447.1335525</v>
      </c>
      <c r="I22" s="94" t="n">
        <f aca="false">SUM(C22:H22)</f>
        <v>34521752.15124</v>
      </c>
      <c r="J22" s="95" t="n">
        <f aca="false">IFERROR($I22/$I$23,0)</f>
        <v>0.149622686898514</v>
      </c>
    </row>
    <row r="23" customFormat="false" ht="19.5" hidden="false" customHeight="true" outlineLevel="0" collapsed="false">
      <c r="B23" s="34" t="s">
        <v>447</v>
      </c>
      <c r="C23" s="96" t="n">
        <f aca="false">SUM(C15:C22)</f>
        <v>22850000</v>
      </c>
      <c r="D23" s="96" t="n">
        <f aca="false">SUM(D15:D22)</f>
        <v>48386250</v>
      </c>
      <c r="E23" s="96" t="n">
        <f aca="false">SUM(E15:E22)</f>
        <v>59667232.5</v>
      </c>
      <c r="F23" s="96" t="n">
        <f aca="false">SUM(F15:F22)</f>
        <v>53883688.725</v>
      </c>
      <c r="G23" s="96" t="n">
        <f aca="false">SUM(G15:G22)</f>
        <v>34655194.618875</v>
      </c>
      <c r="H23" s="96" t="n">
        <f aca="false">SUM(H15:H22)</f>
        <v>11283019.9036453</v>
      </c>
      <c r="I23" s="96" t="n">
        <f aca="false">SUM(C23:H23)</f>
        <v>230725385.74752</v>
      </c>
      <c r="J23" s="35" t="n">
        <f aca="false">IFERROR($I23/$I$23,0)</f>
        <v>1</v>
      </c>
    </row>
    <row r="24" customFormat="false" ht="13.5" hidden="false" customHeight="true" outlineLevel="0" collapsed="false">
      <c r="B24" s="15" t="s">
        <v>448</v>
      </c>
      <c r="C24" s="15"/>
      <c r="D24" s="15"/>
      <c r="E24" s="15"/>
      <c r="F24" s="15"/>
      <c r="G24" s="15"/>
      <c r="H24" s="15"/>
      <c r="I24" s="15"/>
      <c r="J24" s="15"/>
    </row>
    <row r="26" customFormat="false" ht="21.75" hidden="false" customHeight="true" outlineLevel="0" collapsed="false">
      <c r="B26" s="6" t="s">
        <v>449</v>
      </c>
      <c r="C26" s="6"/>
      <c r="D26" s="6"/>
      <c r="E26" s="6"/>
      <c r="F26" s="6"/>
      <c r="G26" s="6"/>
      <c r="H26" s="6"/>
      <c r="I26" s="6"/>
      <c r="J26" s="6"/>
    </row>
    <row r="27" customFormat="false" ht="19.5" hidden="false" customHeight="true" outlineLevel="0" collapsed="false">
      <c r="B27" s="80" t="s">
        <v>450</v>
      </c>
      <c r="C27" s="29" t="str">
        <f aca="false">Setup!$C$23</f>
        <v>FY2027</v>
      </c>
      <c r="D27" s="29" t="str">
        <f aca="false">Setup!$D$23</f>
        <v>FY2028</v>
      </c>
      <c r="E27" s="29" t="str">
        <f aca="false">Setup!$E$23</f>
        <v>FY2029</v>
      </c>
      <c r="F27" s="29" t="str">
        <f aca="false">Setup!$F$23</f>
        <v>FY2030</v>
      </c>
      <c r="G27" s="29" t="str">
        <f aca="false">Setup!$G$23</f>
        <v>FY2031</v>
      </c>
      <c r="H27" s="29" t="str">
        <f aca="false">Setup!$H$23</f>
        <v>Beyond FY2031</v>
      </c>
      <c r="I27" s="9" t="s">
        <v>47</v>
      </c>
      <c r="J27" s="29"/>
    </row>
    <row r="28" customFormat="false" ht="18" hidden="false" customHeight="true" outlineLevel="0" collapsed="false">
      <c r="B28" s="20" t="s">
        <v>451</v>
      </c>
      <c r="C28" s="50" t="n">
        <f aca="false">Setup!$C$30</f>
        <v>30000000</v>
      </c>
      <c r="D28" s="50" t="n">
        <f aca="false">Setup!$D$30</f>
        <v>46000000</v>
      </c>
      <c r="E28" s="50" t="n">
        <f aca="false">Setup!$E$30</f>
        <v>50000000</v>
      </c>
      <c r="F28" s="50" t="n">
        <f aca="false">Setup!$F$30</f>
        <v>48000000</v>
      </c>
      <c r="G28" s="50" t="n">
        <f aca="false">Setup!$G$30</f>
        <v>40000000</v>
      </c>
      <c r="H28" s="50" t="n">
        <f aca="false">Setup!$H$30</f>
        <v>45000000</v>
      </c>
      <c r="I28" s="50" t="n">
        <f aca="false">SUM(C28:G28)</f>
        <v>214000000</v>
      </c>
    </row>
    <row r="29" customFormat="false" ht="18" hidden="false" customHeight="true" outlineLevel="0" collapsed="false">
      <c r="B29" s="20" t="s">
        <v>452</v>
      </c>
      <c r="C29" s="50" t="n">
        <f aca="false">C9</f>
        <v>22850000</v>
      </c>
      <c r="D29" s="50" t="n">
        <f aca="false">D9</f>
        <v>48386250</v>
      </c>
      <c r="E29" s="50" t="n">
        <f aca="false">E9</f>
        <v>59667232.5</v>
      </c>
      <c r="F29" s="50" t="n">
        <f aca="false">F9</f>
        <v>53883688.725</v>
      </c>
      <c r="G29" s="50" t="n">
        <f aca="false">G9</f>
        <v>34655194.618875</v>
      </c>
      <c r="H29" s="50" t="n">
        <f aca="false">H9</f>
        <v>11283019.9036453</v>
      </c>
      <c r="I29" s="50" t="n">
        <f aca="false">SUM(C29:G29)</f>
        <v>219442365.843875</v>
      </c>
    </row>
    <row r="30" customFormat="false" ht="18" hidden="false" customHeight="true" outlineLevel="0" collapsed="false">
      <c r="B30" s="28" t="s">
        <v>453</v>
      </c>
      <c r="C30" s="92" t="n">
        <f aca="false">C28-C29</f>
        <v>7150000</v>
      </c>
      <c r="D30" s="92" t="n">
        <f aca="false">D28-D29</f>
        <v>-2386249.99999999</v>
      </c>
      <c r="E30" s="92" t="n">
        <f aca="false">E28-E29</f>
        <v>-9667232.49999999</v>
      </c>
      <c r="F30" s="92" t="n">
        <f aca="false">F28-F29</f>
        <v>-5883688.72499999</v>
      </c>
      <c r="G30" s="92" t="n">
        <f aca="false">G28-G29</f>
        <v>5344805.38112501</v>
      </c>
      <c r="H30" s="92" t="n">
        <f aca="false">H28-H29</f>
        <v>33716980.0963547</v>
      </c>
      <c r="I30" s="92" t="n">
        <f aca="false">SUM(C30:G30)</f>
        <v>-5442365.84387496</v>
      </c>
    </row>
    <row r="31" customFormat="false" ht="18" hidden="false" customHeight="true" outlineLevel="0" collapsed="false">
      <c r="B31" s="20" t="s">
        <v>454</v>
      </c>
      <c r="C31" s="50" t="n">
        <f aca="false">C28</f>
        <v>30000000</v>
      </c>
      <c r="D31" s="50" t="n">
        <f aca="false">C31+D28</f>
        <v>76000000</v>
      </c>
      <c r="E31" s="50" t="n">
        <f aca="false">D31+E28</f>
        <v>126000000</v>
      </c>
      <c r="F31" s="50" t="n">
        <f aca="false">E31+F28</f>
        <v>174000000</v>
      </c>
      <c r="G31" s="50" t="n">
        <f aca="false">F31+G28</f>
        <v>214000000</v>
      </c>
      <c r="H31" s="50" t="n">
        <f aca="false">G31+H28</f>
        <v>259000000</v>
      </c>
      <c r="I31" s="50" t="n">
        <f aca="false">G31</f>
        <v>214000000</v>
      </c>
    </row>
    <row r="32" customFormat="false" ht="18" hidden="false" customHeight="true" outlineLevel="0" collapsed="false">
      <c r="B32" s="20" t="s">
        <v>455</v>
      </c>
      <c r="C32" s="50" t="n">
        <f aca="false">C29</f>
        <v>22850000</v>
      </c>
      <c r="D32" s="50" t="n">
        <f aca="false">C32+D29</f>
        <v>71236250</v>
      </c>
      <c r="E32" s="50" t="n">
        <f aca="false">D32+E29</f>
        <v>130903482.5</v>
      </c>
      <c r="F32" s="50" t="n">
        <f aca="false">E32+F29</f>
        <v>184787171.225</v>
      </c>
      <c r="G32" s="50" t="n">
        <f aca="false">F32+G29</f>
        <v>219442365.843875</v>
      </c>
      <c r="H32" s="50" t="n">
        <f aca="false">G32+H29</f>
        <v>230725385.74752</v>
      </c>
      <c r="I32" s="50" t="n">
        <f aca="false">G32</f>
        <v>219442365.843875</v>
      </c>
    </row>
    <row r="33" customFormat="false" ht="18" hidden="false" customHeight="true" outlineLevel="0" collapsed="false">
      <c r="B33" s="28" t="s">
        <v>456</v>
      </c>
      <c r="C33" s="92" t="n">
        <f aca="false">C31-C32</f>
        <v>7150000</v>
      </c>
      <c r="D33" s="92" t="n">
        <f aca="false">D31-D32</f>
        <v>4763750</v>
      </c>
      <c r="E33" s="92" t="n">
        <f aca="false">E31-E32</f>
        <v>-4903482.5</v>
      </c>
      <c r="F33" s="92" t="n">
        <f aca="false">F31-F32</f>
        <v>-10787171.225</v>
      </c>
      <c r="G33" s="92" t="n">
        <f aca="false">G31-G32</f>
        <v>-5442365.84387499</v>
      </c>
      <c r="H33" s="92" t="n">
        <f aca="false">H31-H32</f>
        <v>28274614.2524797</v>
      </c>
      <c r="I33" s="92" t="n">
        <f aca="false">G33</f>
        <v>-5442365.84387499</v>
      </c>
    </row>
    <row r="34" customFormat="false" ht="18" hidden="false" customHeight="true" outlineLevel="0" collapsed="false">
      <c r="B34" s="20" t="s">
        <v>457</v>
      </c>
      <c r="C34" s="50" t="n">
        <f aca="false">C22</f>
        <v>375000</v>
      </c>
      <c r="D34" s="50" t="n">
        <f aca="false">D22</f>
        <v>2639250</v>
      </c>
      <c r="E34" s="50" t="n">
        <f aca="false">E22</f>
        <v>7712820</v>
      </c>
      <c r="F34" s="50" t="n">
        <f aca="false">F22</f>
        <v>11419794.1125</v>
      </c>
      <c r="G34" s="50" t="n">
        <f aca="false">G22</f>
        <v>9524440.9051875</v>
      </c>
      <c r="H34" s="50" t="n">
        <f aca="false">H22</f>
        <v>2850447.1335525</v>
      </c>
      <c r="I34" s="50" t="n">
        <f aca="false">SUM(C34:G34)</f>
        <v>31671305.0176875</v>
      </c>
    </row>
    <row r="35" customFormat="false" ht="18" hidden="false" customHeight="true" outlineLevel="0" collapsed="false">
      <c r="B35" s="20" t="s">
        <v>458</v>
      </c>
      <c r="C35" s="50" t="n">
        <f aca="false">C29-C22</f>
        <v>22475000</v>
      </c>
      <c r="D35" s="50" t="n">
        <f aca="false">D29-D22</f>
        <v>45747000</v>
      </c>
      <c r="E35" s="50" t="n">
        <f aca="false">E29-E22</f>
        <v>51954412.5</v>
      </c>
      <c r="F35" s="50" t="n">
        <f aca="false">F29-F22</f>
        <v>42463894.6125</v>
      </c>
      <c r="G35" s="50" t="n">
        <f aca="false">G29-G22</f>
        <v>25130753.7136875</v>
      </c>
      <c r="H35" s="50" t="n">
        <f aca="false">H29-H22</f>
        <v>8432572.77009281</v>
      </c>
      <c r="I35" s="50" t="n">
        <f aca="false">SUM(C35:G35)</f>
        <v>187771060.826188</v>
      </c>
    </row>
    <row r="36" customFormat="false" ht="18" hidden="false" customHeight="true" outlineLevel="0" collapsed="false">
      <c r="B36" s="28" t="s">
        <v>459</v>
      </c>
      <c r="C36" s="92" t="n">
        <f aca="false">C28-C35</f>
        <v>7525000</v>
      </c>
      <c r="D36" s="92" t="n">
        <f aca="false">D28-D35</f>
        <v>253000.000000007</v>
      </c>
      <c r="E36" s="92" t="n">
        <f aca="false">E28-E35</f>
        <v>-1954412.49999999</v>
      </c>
      <c r="F36" s="92" t="n">
        <f aca="false">F28-F35</f>
        <v>5536105.38750001</v>
      </c>
      <c r="G36" s="92" t="n">
        <f aca="false">G28-G35</f>
        <v>14869246.2863125</v>
      </c>
      <c r="H36" s="92" t="n">
        <f aca="false">H28-H35</f>
        <v>36567427.2299072</v>
      </c>
      <c r="I36" s="92" t="n">
        <f aca="false">SUM(C36:G36)</f>
        <v>26228939.1738125</v>
      </c>
    </row>
    <row r="37" customFormat="false" ht="25.5" hidden="false" customHeight="true" outlineLevel="0" collapsed="false">
      <c r="B37" s="15" t="s">
        <v>460</v>
      </c>
      <c r="C37" s="15"/>
      <c r="D37" s="15"/>
      <c r="E37" s="15"/>
      <c r="F37" s="15"/>
      <c r="G37" s="15"/>
      <c r="H37" s="15"/>
      <c r="I37" s="15"/>
      <c r="J37" s="15"/>
    </row>
    <row r="39" customFormat="false" ht="19.5" hidden="false" customHeight="true" outlineLevel="0" collapsed="false">
      <c r="B39" s="57" t="s">
        <v>461</v>
      </c>
      <c r="C39" s="57"/>
      <c r="D39" s="57"/>
      <c r="E39" s="57"/>
      <c r="F39" s="57"/>
      <c r="G39" s="57"/>
      <c r="H39" s="57"/>
      <c r="I39" s="57"/>
      <c r="J39" s="57"/>
    </row>
    <row r="40" customFormat="false" ht="18" hidden="false" customHeight="true" outlineLevel="0" collapsed="false">
      <c r="B40" s="37" t="s">
        <v>462</v>
      </c>
      <c r="C40" s="38" t="str">
        <f aca="false">IF(ABS($I$23-$I$9)&lt;1,"RECONCILED - the funding sources add back to the escalated plan requirement of "&amp;TEXT($I$9,"$#,##0"),"EXCEPTION - the funding split is out by "&amp;TEXT($I$23-$I$9,"$#,##0")&amp;". Check for a share entered without a source.")</f>
        <v>RECONCILED - the funding sources add back to the escalated plan requirement of $230,725,386</v>
      </c>
      <c r="D40" s="38"/>
      <c r="E40" s="38"/>
      <c r="F40" s="38"/>
      <c r="G40" s="38"/>
      <c r="H40" s="38"/>
      <c r="I40" s="38"/>
      <c r="J40" s="38"/>
    </row>
    <row r="41" customFormat="false" ht="18" hidden="false" customHeight="true" outlineLevel="0" collapsed="false">
      <c r="B41" s="37" t="s">
        <v>463</v>
      </c>
      <c r="C41" s="38" t="str">
        <f aca="false">IF(SUMPRODUCT(--(ABS(C23:H23-C9:H9)&gt;1))=0,"RECONCILED - the funding split ties to the requirement in every year","EXCEPTION - one or more years do not tie between the funding split and the requirement")</f>
        <v>RECONCILED - the funding split ties to the requirement in every year</v>
      </c>
      <c r="D41" s="38"/>
      <c r="E41" s="38"/>
      <c r="F41" s="38"/>
      <c r="G41" s="38"/>
      <c r="H41" s="38"/>
      <c r="I41" s="38"/>
      <c r="J41" s="38"/>
    </row>
    <row r="42" customFormat="false" ht="18" hidden="false" customHeight="true" outlineLevel="0" collapsed="false">
      <c r="B42" s="37" t="s">
        <v>464</v>
      </c>
      <c r="C42" s="38" t="str">
        <f aca="false">IF(ABS($I$9-SUMPRODUCT(C8:H8,Setup!$C$24:$H$24))&lt;1,"RECONCILED - the escalated requirement equals the nominal requirement times the Setup factors","EXCEPTION - the escalated requirement does not rebuild from the nominal row")</f>
        <v>RECONCILED - the escalated requirement equals the nominal requirement times the Setup factors</v>
      </c>
      <c r="D42" s="38"/>
      <c r="E42" s="38"/>
      <c r="F42" s="38"/>
      <c r="G42" s="38"/>
      <c r="H42" s="38"/>
      <c r="I42" s="38"/>
      <c r="J42" s="38"/>
    </row>
    <row r="43" customFormat="false" ht="18" hidden="false" customHeight="true" outlineLevel="0" collapsed="false">
      <c r="B43" s="37" t="s">
        <v>465</v>
      </c>
      <c r="C43" s="38" t="str">
        <f aca="false">IF(COUNTIF('Project Register'!$W$9:$W$38,"CHECK")=0,"RECONCILED - every project on the register phases to its remaining cost","EXCEPTION - the register has phasing variances. Nothing on this sheet can be trusted until they clear.")</f>
        <v>RECONCILED - every project on the register phases to its remaining cost</v>
      </c>
      <c r="D43" s="38"/>
      <c r="E43" s="38"/>
      <c r="F43" s="38"/>
      <c r="G43" s="38"/>
      <c r="H43" s="38"/>
      <c r="I43" s="38"/>
      <c r="J43" s="38"/>
    </row>
    <row r="44" customFormat="false" ht="18" hidden="false" customHeight="true" outlineLevel="0" collapsed="false">
      <c r="B44" s="37" t="s">
        <v>466</v>
      </c>
      <c r="C44" s="38" t="str">
        <f aca="false">IF(ABS($I$34-'Project Register'!$AL$39)&lt;1,"RECONCILED - the unfunded gap of "&amp;TEXT($I$34,"$#,##0")&amp;" equals the unfunded column on the register","EXCEPTION - the unfunded gap does not agree with the register")</f>
        <v>RECONCILED - the unfunded gap of $31,671,305 equals the unfunded column on the register</v>
      </c>
      <c r="D44" s="38"/>
      <c r="E44" s="38"/>
      <c r="F44" s="38"/>
      <c r="G44" s="38"/>
      <c r="H44" s="38"/>
      <c r="I44" s="38"/>
      <c r="J44" s="38"/>
    </row>
    <row r="45" customFormat="false" ht="18" hidden="false" customHeight="true" outlineLevel="0" collapsed="false">
      <c r="B45" s="37" t="s">
        <v>467</v>
      </c>
      <c r="C45" s="38" t="str">
        <f aca="false">IF($I$28&gt;0,"RECONCILED - a funding envelope is set for the plan period","EXCEPTION - no funding envelope is entered on Setup, so the affordability position is meaningless")</f>
        <v>RECONCILED - a funding envelope is set for the plan period</v>
      </c>
      <c r="D45" s="38"/>
      <c r="E45" s="38"/>
      <c r="F45" s="38"/>
      <c r="G45" s="38"/>
      <c r="H45" s="38"/>
      <c r="I45" s="38"/>
      <c r="J45" s="38"/>
    </row>
    <row r="46" customFormat="false" ht="15" hidden="false" customHeight="false" outlineLevel="0" collapsed="false">
      <c r="B46" s="16" t="s">
        <v>40</v>
      </c>
      <c r="C46" s="16"/>
      <c r="D46" s="16"/>
      <c r="E46" s="16"/>
      <c r="F46" s="16"/>
      <c r="G46" s="16"/>
      <c r="H46" s="16"/>
      <c r="I46" s="16"/>
      <c r="J46" s="16"/>
    </row>
  </sheetData>
  <mergeCells count="18">
    <mergeCell ref="B1:J1"/>
    <mergeCell ref="B2:J2"/>
    <mergeCell ref="B3:J3"/>
    <mergeCell ref="B4:J4"/>
    <mergeCell ref="B6:J6"/>
    <mergeCell ref="B11:J11"/>
    <mergeCell ref="B13:J13"/>
    <mergeCell ref="B24:J24"/>
    <mergeCell ref="B26:J26"/>
    <mergeCell ref="B37:J37"/>
    <mergeCell ref="B39:J39"/>
    <mergeCell ref="C40:J40"/>
    <mergeCell ref="C41:J41"/>
    <mergeCell ref="C42:J42"/>
    <mergeCell ref="C43:J43"/>
    <mergeCell ref="C44:J44"/>
    <mergeCell ref="C45:J45"/>
    <mergeCell ref="B46:J46"/>
  </mergeCells>
  <conditionalFormatting sqref="B3:J3">
    <cfRule type="expression" priority="2" aboveAverage="0" equalAverage="0" bottom="0" percent="0" rank="0" text="" dxfId="0">
      <formula>LEN($B$3)&gt;0</formula>
    </cfRule>
  </conditionalFormatting>
  <conditionalFormatting sqref="C30:I30">
    <cfRule type="cellIs" priority="3" operator="lessThan" aboveAverage="0" equalAverage="0" bottom="0" percent="0" rank="0" text="" dxfId="22">
      <formula>0</formula>
    </cfRule>
    <cfRule type="cellIs" priority="4" operator="greaterThanOrEqual" aboveAverage="0" equalAverage="0" bottom="0" percent="0" rank="0" text="" dxfId="35">
      <formula>0</formula>
    </cfRule>
  </conditionalFormatting>
  <conditionalFormatting sqref="C33:I33">
    <cfRule type="cellIs" priority="5" operator="lessThan" aboveAverage="0" equalAverage="0" bottom="0" percent="0" rank="0" text="" dxfId="22">
      <formula>0</formula>
    </cfRule>
    <cfRule type="cellIs" priority="6" operator="greaterThanOrEqual" aboveAverage="0" equalAverage="0" bottom="0" percent="0" rank="0" text="" dxfId="35">
      <formula>0</formula>
    </cfRule>
  </conditionalFormatting>
  <conditionalFormatting sqref="C36:I36">
    <cfRule type="cellIs" priority="7" operator="lessThan" aboveAverage="0" equalAverage="0" bottom="0" percent="0" rank="0" text="" dxfId="22">
      <formula>0</formula>
    </cfRule>
    <cfRule type="cellIs" priority="8" operator="greaterThanOrEqual" aboveAverage="0" equalAverage="0" bottom="0" percent="0" rank="0" text="" dxfId="35">
      <formula>0</formula>
    </cfRule>
  </conditionalFormatting>
  <conditionalFormatting sqref="C40:J40">
    <cfRule type="expression" priority="9" aboveAverage="0" equalAverage="0" bottom="0" percent="0" rank="0" text="" dxfId="1">
      <formula>ISNUMBER(SEARCH("EXCEPTION",$C$40))</formula>
    </cfRule>
    <cfRule type="expression" priority="10" aboveAverage="0" equalAverage="0" bottom="0" percent="0" rank="0" text="" dxfId="2">
      <formula>ISNUMBER(SEARCH("RECONCILED",$C$40))</formula>
    </cfRule>
  </conditionalFormatting>
  <conditionalFormatting sqref="C41:J41">
    <cfRule type="expression" priority="11" aboveAverage="0" equalAverage="0" bottom="0" percent="0" rank="0" text="" dxfId="1">
      <formula>ISNUMBER(SEARCH("EXCEPTION",$C$41))</formula>
    </cfRule>
    <cfRule type="expression" priority="12" aboveAverage="0" equalAverage="0" bottom="0" percent="0" rank="0" text="" dxfId="2">
      <formula>ISNUMBER(SEARCH("RECONCILED",$C$41))</formula>
    </cfRule>
  </conditionalFormatting>
  <conditionalFormatting sqref="C42:J42">
    <cfRule type="expression" priority="13" aboveAverage="0" equalAverage="0" bottom="0" percent="0" rank="0" text="" dxfId="1">
      <formula>ISNUMBER(SEARCH("EXCEPTION",$C$42))</formula>
    </cfRule>
    <cfRule type="expression" priority="14" aboveAverage="0" equalAverage="0" bottom="0" percent="0" rank="0" text="" dxfId="2">
      <formula>ISNUMBER(SEARCH("RECONCILED",$C$42))</formula>
    </cfRule>
  </conditionalFormatting>
  <conditionalFormatting sqref="C43:J43">
    <cfRule type="expression" priority="15" aboveAverage="0" equalAverage="0" bottom="0" percent="0" rank="0" text="" dxfId="1">
      <formula>ISNUMBER(SEARCH("EXCEPTION",$C$43))</formula>
    </cfRule>
    <cfRule type="expression" priority="16" aboveAverage="0" equalAverage="0" bottom="0" percent="0" rank="0" text="" dxfId="2">
      <formula>ISNUMBER(SEARCH("RECONCILED",$C$43))</formula>
    </cfRule>
  </conditionalFormatting>
  <conditionalFormatting sqref="C44:J44">
    <cfRule type="expression" priority="17" aboveAverage="0" equalAverage="0" bottom="0" percent="0" rank="0" text="" dxfId="1">
      <formula>ISNUMBER(SEARCH("EXCEPTION",$C$44))</formula>
    </cfRule>
    <cfRule type="expression" priority="18" aboveAverage="0" equalAverage="0" bottom="0" percent="0" rank="0" text="" dxfId="2">
      <formula>ISNUMBER(SEARCH("RECONCILED",$C$44))</formula>
    </cfRule>
  </conditionalFormatting>
  <conditionalFormatting sqref="C45:J45">
    <cfRule type="expression" priority="19" aboveAverage="0" equalAverage="0" bottom="0" percent="0" rank="0" text="" dxfId="1">
      <formula>ISNUMBER(SEARCH("EXCEPTION",$C$45))</formula>
    </cfRule>
    <cfRule type="expression" priority="20" aboveAverage="0" equalAverage="0" bottom="0" percent="0" rank="0" text="" dxfId="2">
      <formula>ISNUMBER(SEARCH("RECONCILED",$C$45))</formula>
    </cfRule>
  </conditionalFormatting>
  <conditionalFormatting sqref="C22:I22">
    <cfRule type="cellIs" priority="21" operator="greaterThan" aboveAverage="0" equalAverage="0" bottom="0" percent="0" rank="0" text="" dxfId="22">
      <formula>0</formula>
    </cfRule>
  </conditionalFormatting>
  <hyperlinks>
    <hyperlink ref="B46" r:id="rId1" display="Built with Mastt  |  mastt.com"/>
  </hyperlink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25" man="true" max="16383" min="0"/>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O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3" min="2" style="0" width="13.3"/>
    <col collapsed="false" customWidth="true" hidden="false" outlineLevel="0" max="5" min="4" style="0" width="16"/>
    <col collapsed="false" customWidth="true" hidden="false" outlineLevel="0" max="6" min="6" style="0" width="11.5"/>
    <col collapsed="false" customWidth="true" hidden="false" outlineLevel="0" max="9" min="7" style="0" width="12"/>
    <col collapsed="false" customWidth="true" hidden="false" outlineLevel="0" max="10" min="10" style="0" width="13.3"/>
    <col collapsed="false" customWidth="true" hidden="false" outlineLevel="0" max="12" min="11" style="0" width="16"/>
    <col collapsed="false" customWidth="true" hidden="false" outlineLevel="0" max="14" min="13" style="0" width="13.3"/>
    <col collapsed="false" customWidth="true" hidden="false" outlineLevel="0" max="15" min="15" style="0" width="11.5"/>
    <col collapsed="false" customWidth="true" hidden="false" outlineLevel="0" max="16" min="16" style="0" width="2.2"/>
  </cols>
  <sheetData>
    <row r="1" customFormat="false" ht="33.75" hidden="false" customHeight="true" outlineLevel="0" collapsed="false">
      <c r="B1" s="17" t="s">
        <v>468</v>
      </c>
      <c r="C1" s="17"/>
      <c r="D1" s="17"/>
      <c r="E1" s="17"/>
      <c r="F1" s="17"/>
      <c r="G1" s="17"/>
      <c r="H1" s="17"/>
      <c r="I1" s="17"/>
      <c r="J1" s="17"/>
      <c r="K1" s="17"/>
      <c r="L1" s="17"/>
      <c r="M1" s="17"/>
      <c r="N1" s="17"/>
      <c r="O1" s="17"/>
    </row>
    <row r="2" customFormat="false" ht="4.5" hidden="false" customHeight="true" outlineLevel="0" collapsed="false">
      <c r="B2" s="4"/>
      <c r="C2" s="4"/>
      <c r="D2" s="4"/>
      <c r="E2" s="4"/>
      <c r="F2" s="4"/>
      <c r="G2" s="4"/>
      <c r="H2" s="4"/>
      <c r="I2" s="4"/>
      <c r="J2" s="4"/>
      <c r="K2" s="4"/>
      <c r="L2" s="4"/>
      <c r="M2" s="4"/>
      <c r="N2" s="4"/>
      <c r="O2" s="4"/>
    </row>
    <row r="3" customFormat="false" ht="18" hidden="false" customHeight="true" outlineLevel="0" collapsed="false">
      <c r="B3" s="18" t="str">
        <f aca="false">IF(COUNTIF('Project Register'!$B$9:$B$38,"EX")=0,"","EXAMPLE DATA - the 15 rows marked EX on the Project Register are worked examples. Delete or overwrite them, and this banner clears.")</f>
        <v>EXAMPLE DATA - the 15 rows marked EX on the Project Register are worked examples. Delete or overwrite them, and this banner clears.</v>
      </c>
      <c r="C3" s="18"/>
      <c r="D3" s="18"/>
      <c r="E3" s="18"/>
      <c r="F3" s="18"/>
      <c r="G3" s="18"/>
      <c r="H3" s="18"/>
      <c r="I3" s="18"/>
      <c r="J3" s="18"/>
      <c r="K3" s="18"/>
      <c r="L3" s="18"/>
      <c r="M3" s="18"/>
      <c r="N3" s="18"/>
      <c r="O3" s="18"/>
    </row>
    <row r="4" customFormat="false" ht="30" hidden="false" customHeight="true" outlineLevel="0" collapsed="false">
      <c r="B4" s="19" t="s">
        <v>469</v>
      </c>
      <c r="C4" s="19"/>
      <c r="D4" s="19"/>
      <c r="E4" s="19"/>
      <c r="F4" s="19"/>
      <c r="G4" s="19"/>
      <c r="H4" s="19"/>
      <c r="I4" s="19"/>
      <c r="J4" s="19"/>
      <c r="K4" s="19"/>
      <c r="L4" s="19"/>
      <c r="M4" s="19"/>
      <c r="N4" s="19"/>
      <c r="O4" s="19"/>
    </row>
    <row r="6" customFormat="false" ht="21.75" hidden="false" customHeight="true" outlineLevel="0" collapsed="false">
      <c r="B6" s="6" t="s">
        <v>470</v>
      </c>
      <c r="C6" s="6"/>
      <c r="D6" s="6"/>
      <c r="E6" s="6"/>
      <c r="F6" s="6"/>
      <c r="G6" s="6"/>
      <c r="H6" s="6"/>
      <c r="I6" s="6"/>
      <c r="J6" s="6"/>
      <c r="K6" s="6"/>
      <c r="L6" s="6"/>
      <c r="M6" s="6"/>
      <c r="N6" s="6"/>
      <c r="O6" s="6"/>
    </row>
    <row r="7" customFormat="false" ht="25.5" hidden="false" customHeight="true" outlineLevel="0" collapsed="false">
      <c r="B7" s="97" t="s">
        <v>471</v>
      </c>
      <c r="C7" s="97"/>
      <c r="D7" s="97" t="s">
        <v>472</v>
      </c>
      <c r="E7" s="97"/>
      <c r="F7" s="97" t="s">
        <v>473</v>
      </c>
      <c r="G7" s="97"/>
      <c r="H7" s="97" t="s">
        <v>474</v>
      </c>
      <c r="I7" s="97"/>
      <c r="J7" s="97" t="s">
        <v>475</v>
      </c>
      <c r="K7" s="97"/>
      <c r="L7" s="97" t="s">
        <v>476</v>
      </c>
      <c r="M7" s="97"/>
      <c r="N7" s="97" t="s">
        <v>477</v>
      </c>
      <c r="O7" s="97"/>
    </row>
    <row r="8" customFormat="false" ht="25.5" hidden="false" customHeight="true" outlineLevel="0" collapsed="false">
      <c r="B8" s="98" t="n">
        <f aca="false">COUNTIF('Project Register'!$C$9:$C$38,"?*")</f>
        <v>15</v>
      </c>
      <c r="C8" s="98"/>
      <c r="D8" s="99" t="n">
        <f aca="false">SUM('Project Register'!$O$39:$S$39)</f>
        <v>204100000</v>
      </c>
      <c r="E8" s="99"/>
      <c r="F8" s="99" t="n">
        <f aca="false">'Project Register'!$AD$39</f>
        <v>219442365.843875</v>
      </c>
      <c r="G8" s="99"/>
      <c r="H8" s="99" t="n">
        <f aca="false">'Project Register'!$AC$39</f>
        <v>11283019.9036453</v>
      </c>
      <c r="I8" s="99"/>
      <c r="J8" s="99" t="n">
        <f aca="false">Setup!$I$31</f>
        <v>214000000</v>
      </c>
      <c r="K8" s="99"/>
      <c r="L8" s="99" t="n">
        <f aca="false">Setup!$I$31-'Project Register'!$AD$39</f>
        <v>-5442365.84387496</v>
      </c>
      <c r="M8" s="99"/>
      <c r="N8" s="99" t="n">
        <f aca="false">'Project Register'!$AL$39</f>
        <v>31671305.0176875</v>
      </c>
      <c r="O8" s="99"/>
    </row>
    <row r="9" customFormat="false" ht="21.75" hidden="false" customHeight="true" outlineLevel="0" collapsed="false">
      <c r="B9" s="100" t="s">
        <v>478</v>
      </c>
      <c r="C9" s="100"/>
      <c r="D9" s="100" t="s">
        <v>479</v>
      </c>
      <c r="E9" s="100"/>
      <c r="F9" s="100" t="s">
        <v>480</v>
      </c>
      <c r="G9" s="100"/>
      <c r="H9" s="100" t="s">
        <v>481</v>
      </c>
      <c r="I9" s="100"/>
      <c r="J9" s="100" t="s">
        <v>482</v>
      </c>
      <c r="K9" s="100"/>
      <c r="L9" s="100" t="s">
        <v>483</v>
      </c>
      <c r="M9" s="100"/>
      <c r="N9" s="100" t="s">
        <v>484</v>
      </c>
      <c r="O9" s="100"/>
    </row>
    <row r="11" customFormat="false" ht="18" hidden="false" customHeight="true" outlineLevel="0" collapsed="false">
      <c r="B11" s="45" t="s">
        <v>485</v>
      </c>
      <c r="C11" s="45"/>
      <c r="D11" s="45"/>
      <c r="E11" s="45"/>
      <c r="F11" s="45"/>
      <c r="G11" s="45"/>
      <c r="H11" s="45"/>
      <c r="I11" s="45" t="s">
        <v>486</v>
      </c>
      <c r="J11" s="45"/>
      <c r="K11" s="45"/>
      <c r="L11" s="45"/>
      <c r="M11" s="45"/>
      <c r="N11" s="45"/>
      <c r="O11" s="45"/>
    </row>
    <row r="12" customFormat="false" ht="18" hidden="false" customHeight="true" outlineLevel="0" collapsed="false">
      <c r="B12" s="9" t="s">
        <v>487</v>
      </c>
      <c r="C12" s="9"/>
      <c r="D12" s="9" t="s">
        <v>266</v>
      </c>
      <c r="E12" s="9" t="s">
        <v>267</v>
      </c>
      <c r="F12" s="9" t="s">
        <v>445</v>
      </c>
      <c r="G12" s="9" t="s">
        <v>488</v>
      </c>
      <c r="H12" s="9"/>
      <c r="I12" s="9" t="s">
        <v>130</v>
      </c>
      <c r="J12" s="9"/>
      <c r="K12" s="9" t="s">
        <v>267</v>
      </c>
      <c r="L12" s="9" t="s">
        <v>445</v>
      </c>
      <c r="M12" s="9" t="s">
        <v>145</v>
      </c>
      <c r="N12" s="9"/>
      <c r="O12" s="9"/>
    </row>
    <row r="13" customFormat="false" ht="16.5" hidden="false" customHeight="true" outlineLevel="0" collapsed="false">
      <c r="B13" s="22" t="str">
        <f aca="false">Setup!$C$23</f>
        <v>FY2027</v>
      </c>
      <c r="C13" s="22"/>
      <c r="D13" s="50" t="n">
        <f aca="false">'Project Register'!O$39</f>
        <v>22850000</v>
      </c>
      <c r="E13" s="50" t="n">
        <f aca="false">'Project Register'!X$39</f>
        <v>22850000</v>
      </c>
      <c r="F13" s="52" t="n">
        <f aca="false">IFERROR($E13/$E$18,0)</f>
        <v>0.104127568585625</v>
      </c>
      <c r="G13" s="101" t="str">
        <f aca="false">IFERROR(REPT("█",ROUND($E13/MAX($E$13:$E$17)*20,0)),"")</f>
        <v>████████</v>
      </c>
      <c r="H13" s="101"/>
      <c r="I13" s="22" t="s">
        <v>170</v>
      </c>
      <c r="J13" s="22"/>
      <c r="K13" s="50" t="n">
        <f aca="false">SUMIFS('Project Register'!$AD$9:$AD$38,'Project Register'!$F$9:$F$38,$I13)</f>
        <v>70952804.5325</v>
      </c>
      <c r="L13" s="52" t="n">
        <f aca="false">IFERROR($K13/$K$22,0)</f>
        <v>0.323332298481417</v>
      </c>
      <c r="M13" s="101" t="str">
        <f aca="false">IFERROR(REPT("█",ROUND($K13/MAX($K$13:$K$21)*26,0)),"")</f>
        <v>██████████████████████████</v>
      </c>
      <c r="N13" s="101"/>
      <c r="O13" s="101"/>
    </row>
    <row r="14" customFormat="false" ht="16.5" hidden="false" customHeight="true" outlineLevel="0" collapsed="false">
      <c r="B14" s="22" t="str">
        <f aca="false">Setup!$D$23</f>
        <v>FY2028</v>
      </c>
      <c r="C14" s="22"/>
      <c r="D14" s="50" t="n">
        <f aca="false">'Project Register'!P$39</f>
        <v>46750000</v>
      </c>
      <c r="E14" s="50" t="n">
        <f aca="false">'Project Register'!Y$39</f>
        <v>48386250</v>
      </c>
      <c r="F14" s="52" t="n">
        <f aca="false">IFERROR($E14/$E$18,0)</f>
        <v>0.220496392362198</v>
      </c>
      <c r="G14" s="101" t="str">
        <f aca="false">IFERROR(REPT("█",ROUND($E14/MAX($E$13:$E$17)*20,0)),"")</f>
        <v>████████████████</v>
      </c>
      <c r="H14" s="101"/>
      <c r="I14" s="22" t="s">
        <v>152</v>
      </c>
      <c r="J14" s="22"/>
      <c r="K14" s="50" t="n">
        <f aca="false">SUMIFS('Project Register'!$AD$9:$AD$38,'Project Register'!$F$9:$F$38,$I14)</f>
        <v>33153577.37875</v>
      </c>
      <c r="L14" s="52" t="n">
        <f aca="false">IFERROR($K14/$K$22,0)</f>
        <v>0.151081024173507</v>
      </c>
      <c r="M14" s="101" t="str">
        <f aca="false">IFERROR(REPT("█",ROUND($K14/MAX($K$13:$K$21)*26,0)),"")</f>
        <v>████████████</v>
      </c>
      <c r="N14" s="101"/>
      <c r="O14" s="101"/>
    </row>
    <row r="15" customFormat="false" ht="16.5" hidden="false" customHeight="true" outlineLevel="0" collapsed="false">
      <c r="B15" s="22" t="str">
        <f aca="false">Setup!$E$23</f>
        <v>FY2029</v>
      </c>
      <c r="C15" s="22"/>
      <c r="D15" s="50" t="n">
        <f aca="false">'Project Register'!Q$39</f>
        <v>55700000</v>
      </c>
      <c r="E15" s="50" t="n">
        <f aca="false">'Project Register'!Z$39</f>
        <v>59667232.5</v>
      </c>
      <c r="F15" s="52" t="n">
        <f aca="false">IFERROR($E15/$E$18,0)</f>
        <v>0.271903888160097</v>
      </c>
      <c r="G15" s="101" t="str">
        <f aca="false">IFERROR(REPT("█",ROUND($E15/MAX($E$13:$E$17)*20,0)),"")</f>
        <v>████████████████████</v>
      </c>
      <c r="H15" s="101"/>
      <c r="I15" s="22" t="s">
        <v>162</v>
      </c>
      <c r="J15" s="22"/>
      <c r="K15" s="50" t="n">
        <f aca="false">SUMIFS('Project Register'!$AD$9:$AD$38,'Project Register'!$F$9:$F$38,$I15)</f>
        <v>67801727.9428125</v>
      </c>
      <c r="L15" s="52" t="n">
        <f aca="false">IFERROR($K15/$K$22,0)</f>
        <v>0.308972826108933</v>
      </c>
      <c r="M15" s="101" t="str">
        <f aca="false">IFERROR(REPT("█",ROUND($K15/MAX($K$13:$K$21)*26,0)),"")</f>
        <v>█████████████████████████</v>
      </c>
      <c r="N15" s="101"/>
      <c r="O15" s="101"/>
    </row>
    <row r="16" customFormat="false" ht="16.5" hidden="false" customHeight="true" outlineLevel="0" collapsed="false">
      <c r="B16" s="22" t="str">
        <f aca="false">Setup!$F$23</f>
        <v>FY2030</v>
      </c>
      <c r="C16" s="22"/>
      <c r="D16" s="50" t="n">
        <f aca="false">'Project Register'!R$39</f>
        <v>48600000</v>
      </c>
      <c r="E16" s="50" t="n">
        <f aca="false">'Project Register'!AA$39</f>
        <v>53883688.725</v>
      </c>
      <c r="F16" s="52" t="n">
        <f aca="false">IFERROR($E16/$E$18,0)</f>
        <v>0.245548249162316</v>
      </c>
      <c r="G16" s="101" t="str">
        <f aca="false">IFERROR(REPT("█",ROUND($E16/MAX($E$13:$E$17)*20,0)),"")</f>
        <v>██████████████████</v>
      </c>
      <c r="H16" s="101"/>
      <c r="I16" s="22" t="s">
        <v>186</v>
      </c>
      <c r="J16" s="22"/>
      <c r="K16" s="50" t="n">
        <f aca="false">SUMIFS('Project Register'!$AD$9:$AD$38,'Project Register'!$F$9:$F$38,$I16)</f>
        <v>15408407.25</v>
      </c>
      <c r="L16" s="52" t="n">
        <f aca="false">IFERROR($K16/$K$22,0)</f>
        <v>0.0702161918039222</v>
      </c>
      <c r="M16" s="101" t="str">
        <f aca="false">IFERROR(REPT("█",ROUND($K16/MAX($K$13:$K$21)*26,0)),"")</f>
        <v>██████</v>
      </c>
      <c r="N16" s="101"/>
      <c r="O16" s="101"/>
    </row>
    <row r="17" customFormat="false" ht="16.5" hidden="false" customHeight="true" outlineLevel="0" collapsed="false">
      <c r="B17" s="22" t="str">
        <f aca="false">Setup!$G$23</f>
        <v>FY2031</v>
      </c>
      <c r="C17" s="22"/>
      <c r="D17" s="50" t="n">
        <f aca="false">'Project Register'!S$39</f>
        <v>30200000</v>
      </c>
      <c r="E17" s="50" t="n">
        <f aca="false">'Project Register'!AB$39</f>
        <v>34655194.618875</v>
      </c>
      <c r="F17" s="52" t="n">
        <f aca="false">IFERROR($E17/$E$18,0)</f>
        <v>0.157923901729764</v>
      </c>
      <c r="G17" s="101" t="str">
        <f aca="false">IFERROR(REPT("█",ROUND($E17/MAX($E$13:$E$17)*20,0)),"")</f>
        <v>████████████</v>
      </c>
      <c r="H17" s="101"/>
      <c r="I17" s="22" t="s">
        <v>194</v>
      </c>
      <c r="J17" s="22"/>
      <c r="K17" s="50" t="n">
        <f aca="false">SUMIFS('Project Register'!$AD$9:$AD$38,'Project Register'!$F$9:$F$38,$I17)</f>
        <v>11853052.1890625</v>
      </c>
      <c r="L17" s="52" t="n">
        <f aca="false">IFERROR($K17/$K$22,0)</f>
        <v>0.0540144203398513</v>
      </c>
      <c r="M17" s="101" t="str">
        <f aca="false">IFERROR(REPT("█",ROUND($K17/MAX($K$13:$K$21)*26,0)),"")</f>
        <v>████</v>
      </c>
      <c r="N17" s="101"/>
      <c r="O17" s="101"/>
    </row>
    <row r="18" customFormat="false" ht="16.5" hidden="false" customHeight="true" outlineLevel="0" collapsed="false">
      <c r="B18" s="34" t="s">
        <v>489</v>
      </c>
      <c r="C18" s="34"/>
      <c r="D18" s="102" t="n">
        <f aca="false">SUM(D13:D17)</f>
        <v>204100000</v>
      </c>
      <c r="E18" s="102" t="n">
        <f aca="false">SUM(E13:E17)</f>
        <v>219442365.843875</v>
      </c>
      <c r="F18" s="103" t="n">
        <f aca="false">IFERROR($E18/$E18,0)</f>
        <v>1</v>
      </c>
      <c r="G18" s="36"/>
      <c r="H18" s="36"/>
      <c r="I18" s="22" t="s">
        <v>200</v>
      </c>
      <c r="J18" s="22"/>
      <c r="K18" s="50" t="n">
        <f aca="false">SUMIFS('Project Register'!$AD$9:$AD$38,'Project Register'!$F$9:$F$38,$I18)</f>
        <v>6180337.5</v>
      </c>
      <c r="L18" s="52" t="n">
        <f aca="false">IFERROR($K18/$K$22,0)</f>
        <v>0.0281638300618627</v>
      </c>
      <c r="M18" s="101" t="str">
        <f aca="false">IFERROR(REPT("█",ROUND($K18/MAX($K$13:$K$21)*26,0)),"")</f>
        <v>██</v>
      </c>
      <c r="N18" s="101"/>
      <c r="O18" s="101"/>
    </row>
    <row r="19" customFormat="false" ht="16.5" hidden="false" customHeight="true" outlineLevel="0" collapsed="false">
      <c r="B19" s="104" t="str">
        <f aca="false">Setup!$H$23&amp;"  (memo)"</f>
        <v>Beyond FY2031  (memo)</v>
      </c>
      <c r="C19" s="104"/>
      <c r="D19" s="105" t="n">
        <f aca="false">'Project Register'!T$39</f>
        <v>9500000</v>
      </c>
      <c r="E19" s="105" t="n">
        <f aca="false">'Project Register'!AC$39</f>
        <v>11283019.9036453</v>
      </c>
      <c r="I19" s="22" t="s">
        <v>212</v>
      </c>
      <c r="J19" s="22"/>
      <c r="K19" s="50" t="n">
        <f aca="false">SUMIFS('Project Register'!$AD$9:$AD$38,'Project Register'!$F$9:$F$38,$I19)</f>
        <v>7657500</v>
      </c>
      <c r="L19" s="52" t="n">
        <f aca="false">IFERROR($K19/$K$22,0)</f>
        <v>0.0348952672404563</v>
      </c>
      <c r="M19" s="101" t="str">
        <f aca="false">IFERROR(REPT("█",ROUND($K19/MAX($K$13:$K$21)*26,0)),"")</f>
        <v>███</v>
      </c>
      <c r="N19" s="101"/>
      <c r="O19" s="101"/>
    </row>
    <row r="20" customFormat="false" ht="16.5" hidden="false" customHeight="true" outlineLevel="0" collapsed="false">
      <c r="I20" s="22" t="s">
        <v>221</v>
      </c>
      <c r="J20" s="22"/>
      <c r="K20" s="50" t="n">
        <f aca="false">SUMIFS('Project Register'!$AD$9:$AD$38,'Project Register'!$F$9:$F$38,$I20)</f>
        <v>6434959.05075</v>
      </c>
      <c r="L20" s="52" t="n">
        <f aca="false">IFERROR($K20/$K$22,0)</f>
        <v>0.0293241417900508</v>
      </c>
      <c r="M20" s="101" t="str">
        <f aca="false">IFERROR(REPT("█",ROUND($K20/MAX($K$13:$K$21)*26,0)),"")</f>
        <v>██</v>
      </c>
      <c r="N20" s="101"/>
      <c r="O20" s="101"/>
    </row>
    <row r="21" customFormat="false" ht="16.5" hidden="false" customHeight="true" outlineLevel="0" collapsed="false">
      <c r="I21" s="22" t="s">
        <v>224</v>
      </c>
      <c r="J21" s="22"/>
      <c r="K21" s="50" t="n">
        <f aca="false">SUMIFS('Project Register'!$AD$9:$AD$38,'Project Register'!$F$9:$F$38,$I21)</f>
        <v>0</v>
      </c>
      <c r="L21" s="52" t="n">
        <f aca="false">IFERROR($K21/$K$22,0)</f>
        <v>0</v>
      </c>
      <c r="M21" s="101" t="str">
        <f aca="false">IFERROR(REPT("█",ROUND($K21/MAX($K$13:$K$21)*26,0)),"")</f>
        <v/>
      </c>
      <c r="N21" s="101"/>
      <c r="O21" s="101"/>
    </row>
    <row r="22" customFormat="false" ht="19.5" hidden="false" customHeight="true" outlineLevel="0" collapsed="false">
      <c r="I22" s="34" t="s">
        <v>70</v>
      </c>
      <c r="J22" s="34"/>
      <c r="K22" s="102" t="n">
        <f aca="false">SUM(K13:K21)</f>
        <v>219442365.843875</v>
      </c>
      <c r="L22" s="106" t="n">
        <f aca="false">IFERROR($K22/$K22,0)</f>
        <v>1</v>
      </c>
      <c r="M22" s="36"/>
      <c r="N22" s="36"/>
      <c r="O22" s="36"/>
    </row>
    <row r="24" customFormat="false" ht="18" hidden="false" customHeight="true" outlineLevel="0" collapsed="false">
      <c r="B24" s="45" t="s">
        <v>490</v>
      </c>
      <c r="C24" s="45"/>
      <c r="D24" s="45"/>
      <c r="E24" s="45"/>
      <c r="F24" s="45"/>
      <c r="G24" s="45"/>
      <c r="H24" s="45"/>
      <c r="I24" s="45" t="s">
        <v>491</v>
      </c>
      <c r="J24" s="45"/>
      <c r="K24" s="45"/>
      <c r="L24" s="45"/>
      <c r="M24" s="45"/>
      <c r="N24" s="45"/>
      <c r="O24" s="45"/>
    </row>
    <row r="25" customFormat="false" ht="18" hidden="false" customHeight="true" outlineLevel="0" collapsed="false">
      <c r="B25" s="9" t="s">
        <v>133</v>
      </c>
      <c r="C25" s="9"/>
      <c r="D25" s="9" t="s">
        <v>267</v>
      </c>
      <c r="E25" s="9" t="s">
        <v>445</v>
      </c>
      <c r="F25" s="9" t="s">
        <v>492</v>
      </c>
      <c r="G25" s="9" t="s">
        <v>145</v>
      </c>
      <c r="H25" s="9"/>
      <c r="I25" s="9" t="s">
        <v>102</v>
      </c>
      <c r="J25" s="9"/>
      <c r="K25" s="9" t="s">
        <v>492</v>
      </c>
      <c r="L25" s="9" t="s">
        <v>267</v>
      </c>
      <c r="M25" s="9" t="s">
        <v>493</v>
      </c>
      <c r="N25" s="9"/>
      <c r="O25" s="9"/>
    </row>
    <row r="26" customFormat="false" ht="16.5" hidden="false" customHeight="true" outlineLevel="0" collapsed="false">
      <c r="B26" s="22" t="s">
        <v>155</v>
      </c>
      <c r="C26" s="22"/>
      <c r="D26" s="50" t="n">
        <f aca="false">SUMIFS('Project Register'!$AD$9:$AD$38,'Project Register'!$I$9:$I$38,$B26)</f>
        <v>44914110.05325</v>
      </c>
      <c r="E26" s="52" t="n">
        <f aca="false">IFERROR($D26/$D$31,0)</f>
        <v>0.204673832605344</v>
      </c>
      <c r="F26" s="107" t="n">
        <f aca="false">COUNTIFS('Project Register'!$I$9:$I$38,$B26)</f>
        <v>5</v>
      </c>
      <c r="G26" s="101" t="str">
        <f aca="false">IFERROR(REPT("█",ROUND($D26/MAX($D$26:$D$30)*20,0)),"")</f>
        <v>████████████</v>
      </c>
      <c r="H26" s="101"/>
      <c r="I26" s="39" t="s">
        <v>105</v>
      </c>
      <c r="J26" s="39"/>
      <c r="K26" s="107" t="n">
        <f aca="false">COUNTIF(Prioritisation!$Q$9:$Q$38,$I26)</f>
        <v>2</v>
      </c>
      <c r="L26" s="50" t="n">
        <f aca="false">SUMIFS(Prioritisation!$F$9:$F$38,Prioritisation!$Q$9:$Q$38,$I26)</f>
        <v>51139343</v>
      </c>
      <c r="M26" s="52" t="n">
        <f aca="false">IFERROR($L26/$L$30,0)</f>
        <v>0.233042251451043</v>
      </c>
      <c r="N26" s="52"/>
      <c r="O26" s="52"/>
    </row>
    <row r="27" customFormat="false" ht="16.5" hidden="false" customHeight="true" outlineLevel="0" collapsed="false">
      <c r="B27" s="22" t="s">
        <v>189</v>
      </c>
      <c r="C27" s="22"/>
      <c r="D27" s="50" t="n">
        <f aca="false">SUMIFS('Project Register'!$AD$9:$AD$38,'Project Register'!$I$9:$I$38,$B27)</f>
        <v>37637084.62875</v>
      </c>
      <c r="E27" s="52" t="n">
        <f aca="false">IFERROR($D27/$D$31,0)</f>
        <v>0.171512389980007</v>
      </c>
      <c r="F27" s="107" t="n">
        <f aca="false">COUNTIFS('Project Register'!$I$9:$I$38,$B27)</f>
        <v>3</v>
      </c>
      <c r="G27" s="101" t="str">
        <f aca="false">IFERROR(REPT("█",ROUND($D27/MAX($D$26:$D$30)*20,0)),"")</f>
        <v>██████████</v>
      </c>
      <c r="H27" s="101"/>
      <c r="I27" s="41" t="s">
        <v>107</v>
      </c>
      <c r="J27" s="41"/>
      <c r="K27" s="107" t="n">
        <f aca="false">COUNTIF(Prioritisation!$Q$9:$Q$38,$I27)</f>
        <v>7</v>
      </c>
      <c r="L27" s="50" t="n">
        <f aca="false">SUMIFS(Prioritisation!$F$9:$F$38,Prioritisation!$Q$9:$Q$38,$I27)</f>
        <v>71913687.131875</v>
      </c>
      <c r="M27" s="52" t="n">
        <f aca="false">IFERROR($L27/$L$30,0)</f>
        <v>0.327711045473502</v>
      </c>
      <c r="N27" s="52"/>
      <c r="O27" s="52"/>
    </row>
    <row r="28" customFormat="false" ht="16.5" hidden="false" customHeight="true" outlineLevel="0" collapsed="false">
      <c r="B28" s="22" t="s">
        <v>165</v>
      </c>
      <c r="C28" s="22"/>
      <c r="D28" s="50" t="n">
        <f aca="false">SUMIFS('Project Register'!$AD$9:$AD$38,'Project Register'!$I$9:$I$38,$B28)</f>
        <v>76916379.129375</v>
      </c>
      <c r="E28" s="52" t="n">
        <f aca="false">IFERROR($D28/$D$31,0)</f>
        <v>0.350508338868795</v>
      </c>
      <c r="F28" s="107" t="n">
        <f aca="false">COUNTIFS('Project Register'!$I$9:$I$38,$B28)</f>
        <v>4</v>
      </c>
      <c r="G28" s="101" t="str">
        <f aca="false">IFERROR(REPT("█",ROUND($D28/MAX($D$26:$D$30)*20,0)),"")</f>
        <v>████████████████████</v>
      </c>
      <c r="H28" s="101"/>
      <c r="I28" s="42" t="s">
        <v>109</v>
      </c>
      <c r="J28" s="42"/>
      <c r="K28" s="107" t="n">
        <f aca="false">COUNTIF(Prioritisation!$Q$9:$Q$38,$I28)</f>
        <v>5</v>
      </c>
      <c r="L28" s="50" t="n">
        <f aca="false">SUMIFS(Prioritisation!$F$9:$F$38,Prioritisation!$Q$9:$Q$38,$I28)</f>
        <v>90247038.6845</v>
      </c>
      <c r="M28" s="52" t="n">
        <f aca="false">IFERROR($L28/$L$30,0)</f>
        <v>0.411256223644195</v>
      </c>
      <c r="N28" s="52"/>
      <c r="O28" s="52"/>
    </row>
    <row r="29" customFormat="false" ht="16.5" hidden="false" customHeight="true" outlineLevel="0" collapsed="false">
      <c r="B29" s="22" t="s">
        <v>173</v>
      </c>
      <c r="C29" s="22"/>
      <c r="D29" s="50" t="n">
        <f aca="false">SUMIFS('Project Register'!$AD$9:$AD$38,'Project Register'!$I$9:$I$38,$B29)</f>
        <v>59974792.0325</v>
      </c>
      <c r="E29" s="52" t="n">
        <f aca="false">IFERROR($D29/$D$31,0)</f>
        <v>0.273305438545854</v>
      </c>
      <c r="F29" s="107" t="n">
        <f aca="false">COUNTIFS('Project Register'!$I$9:$I$38,$B29)</f>
        <v>3</v>
      </c>
      <c r="G29" s="101" t="str">
        <f aca="false">IFERROR(REPT("█",ROUND($D29/MAX($D$26:$D$30)*20,0)),"")</f>
        <v>████████████████</v>
      </c>
      <c r="H29" s="101"/>
      <c r="I29" s="43" t="s">
        <v>111</v>
      </c>
      <c r="J29" s="43"/>
      <c r="K29" s="107" t="n">
        <f aca="false">COUNTIF(Prioritisation!$Q$9:$Q$38,$I29)</f>
        <v>1</v>
      </c>
      <c r="L29" s="50" t="n">
        <f aca="false">SUMIFS(Prioritisation!$F$9:$F$38,Prioritisation!$Q$9:$Q$38,$I29)</f>
        <v>6142297.0275</v>
      </c>
      <c r="M29" s="52" t="n">
        <f aca="false">IFERROR($L29/$L$30,0)</f>
        <v>0.0279904794312599</v>
      </c>
      <c r="N29" s="52"/>
      <c r="O29" s="52"/>
    </row>
    <row r="30" customFormat="false" ht="19.5" hidden="false" customHeight="true" outlineLevel="0" collapsed="false">
      <c r="B30" s="22" t="s">
        <v>494</v>
      </c>
      <c r="C30" s="22"/>
      <c r="D30" s="50" t="n">
        <f aca="false">SUMIFS('Project Register'!$AD$9:$AD$38,'Project Register'!$I$9:$I$38,$B30)</f>
        <v>0</v>
      </c>
      <c r="E30" s="52" t="n">
        <f aca="false">IFERROR($D30/$D$31,0)</f>
        <v>0</v>
      </c>
      <c r="F30" s="107" t="n">
        <f aca="false">COUNTIFS('Project Register'!$I$9:$I$38,$B30)</f>
        <v>0</v>
      </c>
      <c r="G30" s="101" t="str">
        <f aca="false">IFERROR(REPT("█",ROUND($D30/MAX($D$26:$D$30)*20,0)),"")</f>
        <v/>
      </c>
      <c r="H30" s="101"/>
      <c r="I30" s="34" t="s">
        <v>70</v>
      </c>
      <c r="J30" s="34"/>
      <c r="K30" s="108" t="n">
        <f aca="false">SUM(K26:K29)</f>
        <v>15</v>
      </c>
      <c r="L30" s="102" t="n">
        <f aca="false">SUM(L26:L29)</f>
        <v>219442365.843875</v>
      </c>
      <c r="M30" s="106" t="n">
        <f aca="false">IFERROR($L30/$L30,0)</f>
        <v>1</v>
      </c>
      <c r="N30" s="106"/>
      <c r="O30" s="106"/>
    </row>
    <row r="31" customFormat="false" ht="19.5" hidden="false" customHeight="true" outlineLevel="0" collapsed="false">
      <c r="B31" s="34" t="s">
        <v>70</v>
      </c>
      <c r="C31" s="34"/>
      <c r="D31" s="102" t="n">
        <f aca="false">SUM(D26:D30)</f>
        <v>219442365.843875</v>
      </c>
      <c r="E31" s="106" t="n">
        <f aca="false">IFERROR($D31/$D31,0)</f>
        <v>1</v>
      </c>
      <c r="F31" s="108" t="n">
        <f aca="false">SUM(F26:F30)</f>
        <v>15</v>
      </c>
      <c r="G31" s="36"/>
      <c r="H31" s="36"/>
    </row>
    <row r="33" customFormat="false" ht="21.75" hidden="false" customHeight="true" outlineLevel="0" collapsed="false">
      <c r="B33" s="6" t="s">
        <v>495</v>
      </c>
      <c r="C33" s="6"/>
      <c r="D33" s="6"/>
      <c r="E33" s="6"/>
      <c r="F33" s="6"/>
      <c r="G33" s="6"/>
      <c r="H33" s="6"/>
      <c r="I33" s="6"/>
      <c r="J33" s="6"/>
      <c r="K33" s="6"/>
      <c r="L33" s="6"/>
      <c r="M33" s="6"/>
      <c r="N33" s="6"/>
      <c r="O33" s="6"/>
    </row>
    <row r="34" customFormat="false" ht="18" hidden="false" customHeight="true" outlineLevel="0" collapsed="false">
      <c r="B34" s="9" t="s">
        <v>244</v>
      </c>
      <c r="C34" s="9" t="s">
        <v>496</v>
      </c>
      <c r="D34" s="9"/>
      <c r="E34" s="9"/>
      <c r="F34" s="9" t="s">
        <v>130</v>
      </c>
      <c r="G34" s="9"/>
      <c r="H34" s="9" t="s">
        <v>133</v>
      </c>
      <c r="I34" s="9"/>
      <c r="J34" s="9" t="s">
        <v>242</v>
      </c>
      <c r="K34" s="9" t="s">
        <v>497</v>
      </c>
      <c r="L34" s="9" t="s">
        <v>102</v>
      </c>
      <c r="M34" s="9" t="s">
        <v>144</v>
      </c>
      <c r="N34" s="9"/>
      <c r="O34" s="9" t="s">
        <v>147</v>
      </c>
    </row>
    <row r="35" customFormat="false" ht="25.5" hidden="false" customHeight="true" outlineLevel="0" collapsed="false">
      <c r="B35" s="109" t="n">
        <f aca="false">1</f>
        <v>1</v>
      </c>
      <c r="C35" s="62" t="str">
        <f aca="false">IFERROR(INDEX(Prioritisation!$D$9:$D$38,MATCH($B35,Prioritisation!$P$9:$P$38,0)),"")</f>
        <v>Central water treatment plant upgrade</v>
      </c>
      <c r="D35" s="62"/>
      <c r="E35" s="62"/>
      <c r="F35" s="62" t="str">
        <f aca="false">IFERROR(INDEX(Prioritisation!$E$9:$E$38,MATCH($B35,Prioritisation!$P$9:$P$38,0)),"")</f>
        <v>Water and wastewater</v>
      </c>
      <c r="G35" s="62"/>
      <c r="H35" s="62" t="str">
        <f aca="false">IFERROR(INDEX(Prioritisation!$R$9:$R$38,MATCH($B35,Prioritisation!$P$9:$P$38,0)),"")</f>
        <v>Compliance and safety</v>
      </c>
      <c r="I35" s="62"/>
      <c r="J35" s="50" t="n">
        <f aca="false">IFERROR(INDEX(Prioritisation!$F$9:$F$38,MATCH($B35,Prioritisation!$P$9:$P$38,0)),"")</f>
        <v>38644443</v>
      </c>
      <c r="K35" s="110" t="n">
        <f aca="false">IFERROR(INDEX(Prioritisation!$O$9:$O$38,MATCH($B35,Prioritisation!$P$9:$P$38,0)),"")</f>
        <v>4.32</v>
      </c>
      <c r="L35" s="44" t="str">
        <f aca="false">IFERROR(INDEX(Prioritisation!$Q$9:$Q$38,MATCH($B35,Prioritisation!$P$9:$P$38,0)),"")</f>
        <v>Critical</v>
      </c>
      <c r="M35" s="62" t="str">
        <f aca="false">IFERROR(INDEX('Project Register'!$AF$9:$AF$38,MATCH($B35,Prioritisation!$P$9:$P$38,0)),"")</f>
        <v>Borrowings</v>
      </c>
      <c r="N35" s="62"/>
      <c r="O35" s="52" t="n">
        <f aca="false">IFERROR(INDEX('Project Register'!$AJ$9:$AJ$38,MATCH($B35,Prioritisation!$P$9:$P$38,0)),"")</f>
        <v>0</v>
      </c>
    </row>
    <row r="36" customFormat="false" ht="25.5" hidden="false" customHeight="true" outlineLevel="0" collapsed="false">
      <c r="B36" s="109" t="n">
        <f aca="false">B35+1</f>
        <v>2</v>
      </c>
      <c r="C36" s="62" t="str">
        <f aca="false">IFERROR(INDEX(Prioritisation!$D$9:$D$38,MATCH($B36,Prioritisation!$P$9:$P$38,0)),"")</f>
        <v>Riverside Bridge deck renewal</v>
      </c>
      <c r="D36" s="62"/>
      <c r="E36" s="62"/>
      <c r="F36" s="62" t="str">
        <f aca="false">IFERROR(INDEX(Prioritisation!$E$9:$E$38,MATCH($B36,Prioritisation!$P$9:$P$38,0)),"")</f>
        <v>Roads and bridges</v>
      </c>
      <c r="G36" s="62"/>
      <c r="H36" s="62" t="str">
        <f aca="false">IFERROR(INDEX(Prioritisation!$R$9:$R$38,MATCH($B36,Prioritisation!$P$9:$P$38,0)),"")</f>
        <v>Renewal</v>
      </c>
      <c r="I36" s="62"/>
      <c r="J36" s="50" t="n">
        <f aca="false">IFERROR(INDEX(Prioritisation!$F$9:$F$38,MATCH($B36,Prioritisation!$P$9:$P$38,0)),"")</f>
        <v>12494900</v>
      </c>
      <c r="K36" s="110" t="n">
        <f aca="false">IFERROR(INDEX(Prioritisation!$O$9:$O$38,MATCH($B36,Prioritisation!$P$9:$P$38,0)),"")</f>
        <v>4.21</v>
      </c>
      <c r="L36" s="44" t="str">
        <f aca="false">IFERROR(INDEX(Prioritisation!$Q$9:$Q$38,MATCH($B36,Prioritisation!$P$9:$P$38,0)),"")</f>
        <v>Critical</v>
      </c>
      <c r="M36" s="62" t="str">
        <f aca="false">IFERROR(INDEX('Project Register'!$AF$9:$AF$38,MATCH($B36,Prioritisation!$P$9:$P$38,0)),"")</f>
        <v>Grants - government</v>
      </c>
      <c r="N36" s="62"/>
      <c r="O36" s="52" t="n">
        <f aca="false">IFERROR(INDEX('Project Register'!$AJ$9:$AJ$38,MATCH($B36,Prioritisation!$P$9:$P$38,0)),"")</f>
        <v>0</v>
      </c>
    </row>
    <row r="37" customFormat="false" ht="25.5" hidden="false" customHeight="true" outlineLevel="0" collapsed="false">
      <c r="B37" s="109" t="n">
        <f aca="false">B36+1</f>
        <v>3</v>
      </c>
      <c r="C37" s="62" t="str">
        <f aca="false">IFERROR(INDEX(Prioritisation!$D$9:$D$38,MATCH($B37,Prioritisation!$P$9:$P$38,0)),"")</f>
        <v>Harbour catchment flood mitigation</v>
      </c>
      <c r="D37" s="62"/>
      <c r="E37" s="62"/>
      <c r="F37" s="62" t="str">
        <f aca="false">IFERROR(INDEX(Prioritisation!$E$9:$E$38,MATCH($B37,Prioritisation!$P$9:$P$38,0)),"")</f>
        <v>Water and wastewater</v>
      </c>
      <c r="G37" s="62"/>
      <c r="H37" s="62" t="str">
        <f aca="false">IFERROR(INDEX(Prioritisation!$R$9:$R$38,MATCH($B37,Prioritisation!$P$9:$P$38,0)),"")</f>
        <v>Compliance and safety</v>
      </c>
      <c r="I37" s="62"/>
      <c r="J37" s="50" t="n">
        <f aca="false">IFERROR(INDEX(Prioritisation!$F$9:$F$38,MATCH($B37,Prioritisation!$P$9:$P$38,0)),"")</f>
        <v>21113586.129375</v>
      </c>
      <c r="K37" s="110" t="n">
        <f aca="false">IFERROR(INDEX(Prioritisation!$O$9:$O$38,MATCH($B37,Prioritisation!$P$9:$P$38,0)),"")</f>
        <v>4.04</v>
      </c>
      <c r="L37" s="44" t="str">
        <f aca="false">IFERROR(INDEX(Prioritisation!$Q$9:$Q$38,MATCH($B37,Prioritisation!$P$9:$P$38,0)),"")</f>
        <v>High</v>
      </c>
      <c r="M37" s="62" t="str">
        <f aca="false">IFERROR(INDEX('Project Register'!$AF$9:$AF$38,MATCH($B37,Prioritisation!$P$9:$P$38,0)),"")</f>
        <v>Grants - government</v>
      </c>
      <c r="N37" s="62"/>
      <c r="O37" s="52" t="n">
        <f aca="false">IFERROR(INDEX('Project Register'!$AJ$9:$AJ$38,MATCH($B37,Prioritisation!$P$9:$P$38,0)),"")</f>
        <v>0.3</v>
      </c>
    </row>
    <row r="38" customFormat="false" ht="25.5" hidden="false" customHeight="true" outlineLevel="0" collapsed="false">
      <c r="B38" s="109" t="n">
        <f aca="false">B37+1</f>
        <v>4</v>
      </c>
      <c r="C38" s="62" t="str">
        <f aca="false">IFERROR(INDEX(Prioritisation!$D$9:$D$38,MATCH($B38,Prioritisation!$P$9:$P$38,0)),"")</f>
        <v>Core network and cyber security uplift</v>
      </c>
      <c r="D38" s="62"/>
      <c r="E38" s="62"/>
      <c r="F38" s="62" t="str">
        <f aca="false">IFERROR(INDEX(Prioritisation!$E$9:$E$38,MATCH($B38,Prioritisation!$P$9:$P$38,0)),"")</f>
        <v>Technology</v>
      </c>
      <c r="G38" s="62"/>
      <c r="H38" s="62" t="str">
        <f aca="false">IFERROR(INDEX(Prioritisation!$R$9:$R$38,MATCH($B38,Prioritisation!$P$9:$P$38,0)),"")</f>
        <v>Compliance and safety</v>
      </c>
      <c r="I38" s="62"/>
      <c r="J38" s="50" t="n">
        <f aca="false">IFERROR(INDEX(Prioritisation!$F$9:$F$38,MATCH($B38,Prioritisation!$P$9:$P$38,0)),"")</f>
        <v>6180337.5</v>
      </c>
      <c r="K38" s="110" t="n">
        <f aca="false">IFERROR(INDEX(Prioritisation!$O$9:$O$38,MATCH($B38,Prioritisation!$P$9:$P$38,0)),"")</f>
        <v>4</v>
      </c>
      <c r="L38" s="44" t="str">
        <f aca="false">IFERROR(INDEX(Prioritisation!$Q$9:$Q$38,MATCH($B38,Prioritisation!$P$9:$P$38,0)),"")</f>
        <v>High</v>
      </c>
      <c r="M38" s="62" t="str">
        <f aca="false">IFERROR(INDEX('Project Register'!$AF$9:$AF$38,MATCH($B38,Prioritisation!$P$9:$P$38,0)),"")</f>
        <v>Own revenue</v>
      </c>
      <c r="N38" s="62"/>
      <c r="O38" s="52" t="n">
        <f aca="false">IFERROR(INDEX('Project Register'!$AJ$9:$AJ$38,MATCH($B38,Prioritisation!$P$9:$P$38,0)),"")</f>
        <v>0</v>
      </c>
    </row>
    <row r="39" customFormat="false" ht="25.5" hidden="false" customHeight="true" outlineLevel="0" collapsed="false">
      <c r="B39" s="109" t="n">
        <f aca="false">B38+1</f>
        <v>5</v>
      </c>
      <c r="C39" s="62" t="str">
        <f aca="false">IFERROR(INDEX(Prioritisation!$D$9:$D$38,MATCH($B39,Prioritisation!$P$9:$P$38,0)),"")</f>
        <v>Wastewater pump station renewals</v>
      </c>
      <c r="D39" s="62"/>
      <c r="E39" s="62"/>
      <c r="F39" s="62" t="str">
        <f aca="false">IFERROR(INDEX(Prioritisation!$E$9:$E$38,MATCH($B39,Prioritisation!$P$9:$P$38,0)),"")</f>
        <v>Water and wastewater</v>
      </c>
      <c r="G39" s="62"/>
      <c r="H39" s="62" t="str">
        <f aca="false">IFERROR(INDEX(Prioritisation!$R$9:$R$38,MATCH($B39,Prioritisation!$P$9:$P$38,0)),"")</f>
        <v>Renewal</v>
      </c>
      <c r="I39" s="62"/>
      <c r="J39" s="50" t="n">
        <f aca="false">IFERROR(INDEX(Prioritisation!$F$9:$F$38,MATCH($B39,Prioritisation!$P$9:$P$38,0)),"")</f>
        <v>8043698.8134375</v>
      </c>
      <c r="K39" s="110" t="n">
        <f aca="false">IFERROR(INDEX(Prioritisation!$O$9:$O$38,MATCH($B39,Prioritisation!$P$9:$P$38,0)),"")</f>
        <v>3.91</v>
      </c>
      <c r="L39" s="44" t="str">
        <f aca="false">IFERROR(INDEX(Prioritisation!$Q$9:$Q$38,MATCH($B39,Prioritisation!$P$9:$P$38,0)),"")</f>
        <v>High</v>
      </c>
      <c r="M39" s="62" t="str">
        <f aca="false">IFERROR(INDEX('Project Register'!$AF$9:$AF$38,MATCH($B39,Prioritisation!$P$9:$P$38,0)),"")</f>
        <v>Reserves</v>
      </c>
      <c r="N39" s="62"/>
      <c r="O39" s="52" t="n">
        <f aca="false">IFERROR(INDEX('Project Register'!$AJ$9:$AJ$38,MATCH($B39,Prioritisation!$P$9:$P$38,0)),"")</f>
        <v>0</v>
      </c>
    </row>
    <row r="40" customFormat="false" ht="25.5" hidden="false" customHeight="true" outlineLevel="0" collapsed="false">
      <c r="B40" s="109" t="n">
        <f aca="false">B39+1</f>
        <v>6</v>
      </c>
      <c r="C40" s="62" t="str">
        <f aca="false">IFERROR(INDEX(Prioritisation!$D$9:$D$38,MATCH($B40,Prioritisation!$P$9:$P$38,0)),"")</f>
        <v>Depot Road reconstruction - stage 2</v>
      </c>
      <c r="D40" s="62"/>
      <c r="E40" s="62"/>
      <c r="F40" s="62" t="str">
        <f aca="false">IFERROR(INDEX(Prioritisation!$E$9:$E$38,MATCH($B40,Prioritisation!$P$9:$P$38,0)),"")</f>
        <v>Roads and bridges</v>
      </c>
      <c r="G40" s="62"/>
      <c r="H40" s="62" t="str">
        <f aca="false">IFERROR(INDEX(Prioritisation!$R$9:$R$38,MATCH($B40,Prioritisation!$P$9:$P$38,0)),"")</f>
        <v>Renewal</v>
      </c>
      <c r="I40" s="62"/>
      <c r="J40" s="50" t="n">
        <f aca="false">IFERROR(INDEX(Prioritisation!$F$9:$F$38,MATCH($B40,Prioritisation!$P$9:$P$38,0)),"")</f>
        <v>6087500</v>
      </c>
      <c r="K40" s="110" t="n">
        <f aca="false">IFERROR(INDEX(Prioritisation!$O$9:$O$38,MATCH($B40,Prioritisation!$P$9:$P$38,0)),"")</f>
        <v>3.83</v>
      </c>
      <c r="L40" s="44" t="str">
        <f aca="false">IFERROR(INDEX(Prioritisation!$Q$9:$Q$38,MATCH($B40,Prioritisation!$P$9:$P$38,0)),"")</f>
        <v>High</v>
      </c>
      <c r="M40" s="62" t="str">
        <f aca="false">IFERROR(INDEX('Project Register'!$AF$9:$AF$38,MATCH($B40,Prioritisation!$P$9:$P$38,0)),"")</f>
        <v>Own revenue</v>
      </c>
      <c r="N40" s="62"/>
      <c r="O40" s="52" t="n">
        <f aca="false">IFERROR(INDEX('Project Register'!$AJ$9:$AJ$38,MATCH($B40,Prioritisation!$P$9:$P$38,0)),"")</f>
        <v>0</v>
      </c>
    </row>
    <row r="41" customFormat="false" ht="25.5" hidden="false" customHeight="true" outlineLevel="0" collapsed="false">
      <c r="B41" s="109" t="n">
        <f aca="false">B40+1</f>
        <v>7</v>
      </c>
      <c r="C41" s="62" t="str">
        <f aca="false">IFERROR(INDEX(Prioritisation!$D$9:$D$38,MATCH($B41,Prioritisation!$P$9:$P$38,0)),"")</f>
        <v>Civic administration building - structural and fire upgrade</v>
      </c>
      <c r="D41" s="62"/>
      <c r="E41" s="62"/>
      <c r="F41" s="62" t="str">
        <f aca="false">IFERROR(INDEX(Prioritisation!$E$9:$E$38,MATCH($B41,Prioritisation!$P$9:$P$38,0)),"")</f>
        <v>Buildings</v>
      </c>
      <c r="G41" s="62"/>
      <c r="H41" s="62" t="str">
        <f aca="false">IFERROR(INDEX(Prioritisation!$R$9:$R$38,MATCH($B41,Prioritisation!$P$9:$P$38,0)),"")</f>
        <v>Compliance and safety</v>
      </c>
      <c r="I41" s="62"/>
      <c r="J41" s="50" t="n">
        <f aca="false">IFERROR(INDEX(Prioritisation!$F$9:$F$38,MATCH($B41,Prioritisation!$P$9:$P$38,0)),"")</f>
        <v>10978012.5</v>
      </c>
      <c r="K41" s="110" t="n">
        <f aca="false">IFERROR(INDEX(Prioritisation!$O$9:$O$38,MATCH($B41,Prioritisation!$P$9:$P$38,0)),"")</f>
        <v>3.7</v>
      </c>
      <c r="L41" s="44" t="str">
        <f aca="false">IFERROR(INDEX(Prioritisation!$Q$9:$Q$38,MATCH($B41,Prioritisation!$P$9:$P$38,0)),"")</f>
        <v>High</v>
      </c>
      <c r="M41" s="62" t="str">
        <f aca="false">IFERROR(INDEX('Project Register'!$AF$9:$AF$38,MATCH($B41,Prioritisation!$P$9:$P$38,0)),"")</f>
        <v>Own revenue</v>
      </c>
      <c r="N41" s="62"/>
      <c r="O41" s="52" t="n">
        <f aca="false">IFERROR(INDEX('Project Register'!$AJ$9:$AJ$38,MATCH($B41,Prioritisation!$P$9:$P$38,0)),"")</f>
        <v>0</v>
      </c>
    </row>
    <row r="42" customFormat="false" ht="25.5" hidden="false" customHeight="true" outlineLevel="0" collapsed="false">
      <c r="B42" s="109" t="n">
        <f aca="false">B41+1</f>
        <v>8</v>
      </c>
      <c r="C42" s="62" t="str">
        <f aca="false">IFERROR(INDEX(Prioritisation!$D$9:$D$38,MATCH($B42,Prioritisation!$P$9:$P$38,0)),"")</f>
        <v>Fleet replacement program - heavy plant</v>
      </c>
      <c r="D42" s="62"/>
      <c r="E42" s="62"/>
      <c r="F42" s="62" t="str">
        <f aca="false">IFERROR(INDEX(Prioritisation!$E$9:$E$38,MATCH($B42,Prioritisation!$P$9:$P$38,0)),"")</f>
        <v>Fleet and plant</v>
      </c>
      <c r="G42" s="62"/>
      <c r="H42" s="62" t="str">
        <f aca="false">IFERROR(INDEX(Prioritisation!$R$9:$R$38,MATCH($B42,Prioritisation!$P$9:$P$38,0)),"")</f>
        <v>Renewal</v>
      </c>
      <c r="I42" s="62"/>
      <c r="J42" s="50" t="n">
        <f aca="false">IFERROR(INDEX(Prioritisation!$F$9:$F$38,MATCH($B42,Prioritisation!$P$9:$P$38,0)),"")</f>
        <v>11853052.1890625</v>
      </c>
      <c r="K42" s="110" t="n">
        <f aca="false">IFERROR(INDEX(Prioritisation!$O$9:$O$38,MATCH($B42,Prioritisation!$P$9:$P$38,0)),"")</f>
        <v>3.59</v>
      </c>
      <c r="L42" s="44" t="str">
        <f aca="false">IFERROR(INDEX(Prioritisation!$Q$9:$Q$38,MATCH($B42,Prioritisation!$P$9:$P$38,0)),"")</f>
        <v>High</v>
      </c>
      <c r="M42" s="62" t="str">
        <f aca="false">IFERROR(INDEX('Project Register'!$AF$9:$AF$38,MATCH($B42,Prioritisation!$P$9:$P$38,0)),"")</f>
        <v>Reserves</v>
      </c>
      <c r="N42" s="62"/>
      <c r="O42" s="52" t="n">
        <f aca="false">IFERROR(INDEX('Project Register'!$AJ$9:$AJ$38,MATCH($B42,Prioritisation!$P$9:$P$38,0)),"")</f>
        <v>0</v>
      </c>
    </row>
    <row r="43" customFormat="false" ht="25.5" hidden="false" customHeight="true" outlineLevel="0" collapsed="false">
      <c r="B43" s="109" t="n">
        <f aca="false">B42+1</f>
        <v>9</v>
      </c>
      <c r="C43" s="62" t="str">
        <f aca="false">IFERROR(INDEX(Prioritisation!$D$9:$D$38,MATCH($B43,Prioritisation!$P$9:$P$38,0)),"")</f>
        <v>Land acquisition - eastern growth corridor</v>
      </c>
      <c r="D43" s="62"/>
      <c r="E43" s="62"/>
      <c r="F43" s="62" t="str">
        <f aca="false">IFERROR(INDEX(Prioritisation!$E$9:$E$38,MATCH($B43,Prioritisation!$P$9:$P$38,0)),"")</f>
        <v>Land</v>
      </c>
      <c r="G43" s="62"/>
      <c r="H43" s="62" t="str">
        <f aca="false">IFERROR(INDEX(Prioritisation!$R$9:$R$38,MATCH($B43,Prioritisation!$P$9:$P$38,0)),"")</f>
        <v>Growth</v>
      </c>
      <c r="I43" s="62"/>
      <c r="J43" s="50" t="n">
        <f aca="false">IFERROR(INDEX(Prioritisation!$F$9:$F$38,MATCH($B43,Prioritisation!$P$9:$P$38,0)),"")</f>
        <v>7657500</v>
      </c>
      <c r="K43" s="110" t="n">
        <f aca="false">IFERROR(INDEX(Prioritisation!$O$9:$O$38,MATCH($B43,Prioritisation!$P$9:$P$38,0)),"")</f>
        <v>3.54</v>
      </c>
      <c r="L43" s="44" t="str">
        <f aca="false">IFERROR(INDEX(Prioritisation!$Q$9:$Q$38,MATCH($B43,Prioritisation!$P$9:$P$38,0)),"")</f>
        <v>High</v>
      </c>
      <c r="M43" s="62" t="str">
        <f aca="false">IFERROR(INDEX('Project Register'!$AF$9:$AF$38,MATCH($B43,Prioritisation!$P$9:$P$38,0)),"")</f>
        <v>Developer contributions</v>
      </c>
      <c r="N43" s="62"/>
      <c r="O43" s="52" t="n">
        <f aca="false">IFERROR(INDEX('Project Register'!$AJ$9:$AJ$38,MATCH($B43,Prioritisation!$P$9:$P$38,0)),"")</f>
        <v>0</v>
      </c>
    </row>
    <row r="44" customFormat="false" ht="25.5" hidden="false" customHeight="true" outlineLevel="0" collapsed="false">
      <c r="B44" s="109" t="n">
        <f aca="false">B43+1</f>
        <v>10</v>
      </c>
      <c r="C44" s="62" t="str">
        <f aca="false">IFERROR(INDEX(Prioritisation!$D$9:$D$38,MATCH($B44,Prioritisation!$P$9:$P$38,0)),"")</f>
        <v>Northgate aquatic centre replacement</v>
      </c>
      <c r="D44" s="62"/>
      <c r="E44" s="62"/>
      <c r="F44" s="62" t="str">
        <f aca="false">IFERROR(INDEX(Prioritisation!$E$9:$E$38,MATCH($B44,Prioritisation!$P$9:$P$38,0)),"")</f>
        <v>Buildings</v>
      </c>
      <c r="G44" s="62"/>
      <c r="H44" s="62" t="str">
        <f aca="false">IFERROR(INDEX(Prioritisation!$R$9:$R$38,MATCH($B44,Prioritisation!$P$9:$P$38,0)),"")</f>
        <v>Service improvement</v>
      </c>
      <c r="I44" s="62"/>
      <c r="J44" s="50" t="n">
        <f aca="false">IFERROR(INDEX(Prioritisation!$F$9:$F$38,MATCH($B44,Prioritisation!$P$9:$P$38,0)),"")</f>
        <v>49376820.005</v>
      </c>
      <c r="K44" s="110" t="n">
        <f aca="false">IFERROR(INDEX(Prioritisation!$O$9:$O$38,MATCH($B44,Prioritisation!$P$9:$P$38,0)),"")</f>
        <v>3.29</v>
      </c>
      <c r="L44" s="44" t="str">
        <f aca="false">IFERROR(INDEX(Prioritisation!$Q$9:$Q$38,MATCH($B44,Prioritisation!$P$9:$P$38,0)),"")</f>
        <v>Medium</v>
      </c>
      <c r="M44" s="62" t="str">
        <f aca="false">IFERROR(INDEX('Project Register'!$AF$9:$AF$38,MATCH($B44,Prioritisation!$P$9:$P$38,0)),"")</f>
        <v>Borrowings</v>
      </c>
      <c r="N44" s="62"/>
      <c r="O44" s="52" t="n">
        <f aca="false">IFERROR(INDEX('Project Register'!$AJ$9:$AJ$38,MATCH($B44,Prioritisation!$P$9:$P$38,0)),"")</f>
        <v>0.3</v>
      </c>
    </row>
    <row r="46" customFormat="false" ht="21.75" hidden="false" customHeight="true" outlineLevel="0" collapsed="false">
      <c r="B46" s="6" t="s">
        <v>498</v>
      </c>
      <c r="C46" s="6"/>
      <c r="D46" s="6"/>
      <c r="E46" s="6"/>
      <c r="F46" s="6"/>
      <c r="G46" s="6"/>
      <c r="H46" s="6"/>
      <c r="I46" s="6"/>
      <c r="J46" s="6"/>
      <c r="K46" s="6"/>
      <c r="L46" s="6"/>
      <c r="M46" s="6"/>
      <c r="N46" s="6"/>
      <c r="O46" s="6"/>
    </row>
    <row r="47" customFormat="false" ht="18" hidden="false" customHeight="true" outlineLevel="0" collapsed="false">
      <c r="B47" s="111" t="s">
        <v>499</v>
      </c>
      <c r="C47" s="111"/>
      <c r="D47" s="111"/>
      <c r="E47" s="111"/>
      <c r="F47" s="111"/>
      <c r="G47" s="111"/>
      <c r="H47" s="111"/>
      <c r="I47" s="92" t="n">
        <f aca="false">'Project Register'!$AD$39</f>
        <v>219442365.843875</v>
      </c>
      <c r="J47" s="92"/>
    </row>
    <row r="48" customFormat="false" ht="18" hidden="false" customHeight="true" outlineLevel="0" collapsed="false">
      <c r="B48" s="111" t="s">
        <v>500</v>
      </c>
      <c r="C48" s="111"/>
      <c r="D48" s="111"/>
      <c r="E48" s="111"/>
      <c r="F48" s="111"/>
      <c r="G48" s="111"/>
      <c r="H48" s="111"/>
      <c r="I48" s="92" t="n">
        <f aca="false">Setup!$I$31</f>
        <v>214000000</v>
      </c>
      <c r="J48" s="92"/>
    </row>
    <row r="49" customFormat="false" ht="18" hidden="false" customHeight="true" outlineLevel="0" collapsed="false">
      <c r="B49" s="111" t="s">
        <v>501</v>
      </c>
      <c r="C49" s="111"/>
      <c r="D49" s="111"/>
      <c r="E49" s="111"/>
      <c r="F49" s="111"/>
      <c r="G49" s="111"/>
      <c r="H49" s="111"/>
      <c r="I49" s="92" t="n">
        <f aca="false">Setup!$I$31-'Project Register'!$AD$39</f>
        <v>-5442365.84387496</v>
      </c>
      <c r="J49" s="92"/>
    </row>
    <row r="50" customFormat="false" ht="18" hidden="false" customHeight="true" outlineLevel="0" collapsed="false">
      <c r="B50" s="111" t="s">
        <v>502</v>
      </c>
      <c r="C50" s="111"/>
      <c r="D50" s="111"/>
      <c r="E50" s="111"/>
      <c r="F50" s="111"/>
      <c r="G50" s="111"/>
      <c r="H50" s="111"/>
      <c r="I50" s="92" t="n">
        <f aca="false">'Project Register'!$AK$39</f>
        <v>187771060.826187</v>
      </c>
      <c r="J50" s="92"/>
    </row>
    <row r="51" customFormat="false" ht="18" hidden="false" customHeight="true" outlineLevel="0" collapsed="false">
      <c r="B51" s="111" t="s">
        <v>503</v>
      </c>
      <c r="C51" s="111"/>
      <c r="D51" s="111"/>
      <c r="E51" s="111"/>
      <c r="F51" s="111"/>
      <c r="G51" s="111"/>
      <c r="H51" s="111"/>
      <c r="I51" s="92" t="n">
        <f aca="false">'Project Register'!$AL$39</f>
        <v>31671305.0176875</v>
      </c>
      <c r="J51" s="92"/>
    </row>
    <row r="52" customFormat="false" ht="18" hidden="false" customHeight="true" outlineLevel="0" collapsed="false">
      <c r="B52" s="111" t="s">
        <v>504</v>
      </c>
      <c r="C52" s="111"/>
      <c r="D52" s="111"/>
      <c r="E52" s="111"/>
      <c r="F52" s="111"/>
      <c r="G52" s="111"/>
      <c r="H52" s="111"/>
      <c r="I52" s="92" t="n">
        <f aca="false">SUMPRODUCT('Funding Summary'!$C$9:$H$9,Setup!$C$25:$H$25)</f>
        <v>206950293.609508</v>
      </c>
      <c r="J52" s="92"/>
    </row>
    <row r="53" customFormat="false" ht="27.75" hidden="false" customHeight="true" outlineLevel="0" collapsed="false">
      <c r="B53" s="112" t="str">
        <f aca="false">IF(Setup!$I$31&gt;='Project Register'!$AD$39,"The plan fits inside the funding envelope, with "&amp;TEXT(Setup!$I$31-'Project Register'!$AD$39,"$#,##0")&amp;" to spare across the plan period.","The plan is over the envelope by "&amp;TEXT('Project Register'!$AD$39-Setup!$I$31,"$#,##0")&amp;" across the plan period. "&amp;TEXT(COUNTIF(Prioritisation!$U$9:$U$38,"Below the line"),"0")&amp;" project(s) fall below the line and have to be re-phased, funded from elsewhere or deferred.")</f>
        <v>The plan is over the envelope by $5,442,366 across the plan period. 1 project(s) fall below the line and have to be re-phased, funded from elsewhere or deferred.</v>
      </c>
      <c r="C53" s="112"/>
      <c r="D53" s="112"/>
      <c r="E53" s="112"/>
      <c r="F53" s="112"/>
      <c r="G53" s="112"/>
      <c r="H53" s="112"/>
      <c r="I53" s="112"/>
      <c r="J53" s="112"/>
      <c r="K53" s="112"/>
      <c r="L53" s="112"/>
      <c r="M53" s="112"/>
      <c r="N53" s="112"/>
      <c r="O53" s="112"/>
    </row>
    <row r="55" customFormat="false" ht="19.5" hidden="false" customHeight="true" outlineLevel="0" collapsed="false">
      <c r="B55" s="57" t="s">
        <v>248</v>
      </c>
      <c r="C55" s="57"/>
      <c r="D55" s="57"/>
      <c r="E55" s="57"/>
      <c r="F55" s="57"/>
      <c r="G55" s="57"/>
      <c r="H55" s="57"/>
      <c r="I55" s="57"/>
      <c r="J55" s="57"/>
      <c r="K55" s="57"/>
      <c r="L55" s="57"/>
      <c r="M55" s="57"/>
      <c r="N55" s="57"/>
      <c r="O55" s="57"/>
    </row>
    <row r="56" customFormat="false" ht="18" hidden="false" customHeight="true" outlineLevel="0" collapsed="false">
      <c r="B56" s="18" t="s">
        <v>505</v>
      </c>
      <c r="C56" s="18"/>
      <c r="D56" s="18"/>
      <c r="E56" s="18"/>
      <c r="F56" s="38" t="str">
        <f aca="false">IF(ABS($K$22-'Project Register'!$AD$39)&lt;1,"RECONCILED - spend by category equals the register total","EXCEPTION - spend by category is out by "&amp;TEXT($K$22-'Project Register'!$AD$39,"$#,##0")&amp;". A project is carrying a category that is not on the Reference list.")</f>
        <v>RECONCILED - spend by category equals the register total</v>
      </c>
      <c r="G56" s="38"/>
      <c r="H56" s="38"/>
      <c r="I56" s="38"/>
      <c r="J56" s="38"/>
      <c r="K56" s="38"/>
      <c r="L56" s="38"/>
      <c r="M56" s="38"/>
      <c r="N56" s="38"/>
      <c r="O56" s="38"/>
    </row>
    <row r="57" customFormat="false" ht="18" hidden="false" customHeight="true" outlineLevel="0" collapsed="false">
      <c r="B57" s="18" t="s">
        <v>506</v>
      </c>
      <c r="C57" s="18"/>
      <c r="D57" s="18"/>
      <c r="E57" s="18"/>
      <c r="F57" s="38" t="str">
        <f aca="false">IF(ABS($D$31-'Project Register'!$AD$39)&lt;1,"RECONCILED - spend by driver equals the register total","EXCEPTION - spend by driver is out by "&amp;TEXT($D$31-'Project Register'!$AD$39,"$#,##0")&amp;". A project is carrying a driver that is not on the Reference list.")</f>
        <v>RECONCILED - spend by driver equals the register total</v>
      </c>
      <c r="G57" s="38"/>
      <c r="H57" s="38"/>
      <c r="I57" s="38"/>
      <c r="J57" s="38"/>
      <c r="K57" s="38"/>
      <c r="L57" s="38"/>
      <c r="M57" s="38"/>
      <c r="N57" s="38"/>
      <c r="O57" s="38"/>
    </row>
    <row r="58" customFormat="false" ht="18" hidden="false" customHeight="true" outlineLevel="0" collapsed="false">
      <c r="B58" s="18" t="s">
        <v>507</v>
      </c>
      <c r="C58" s="18"/>
      <c r="D58" s="18"/>
      <c r="E58" s="18"/>
      <c r="F58" s="38" t="str">
        <f aca="false">IF(ABS('Project Register'!$AK$39+'Project Register'!$AL$39-'Project Register'!$AD$39)&lt;1,"RECONCILED - funded plus unfunded equals the escalated plan value","EXCEPTION - funded plus unfunded does not equal the escalated plan value")</f>
        <v>RECONCILED - funded plus unfunded equals the escalated plan value</v>
      </c>
      <c r="G58" s="38"/>
      <c r="H58" s="38"/>
      <c r="I58" s="38"/>
      <c r="J58" s="38"/>
      <c r="K58" s="38"/>
      <c r="L58" s="38"/>
      <c r="M58" s="38"/>
      <c r="N58" s="38"/>
      <c r="O58" s="38"/>
    </row>
    <row r="59" customFormat="false" ht="18" hidden="false" customHeight="true" outlineLevel="0" collapsed="false">
      <c r="B59" s="18" t="s">
        <v>508</v>
      </c>
      <c r="C59" s="18"/>
      <c r="D59" s="18"/>
      <c r="E59" s="18"/>
      <c r="F59" s="38" t="str">
        <f aca="false">IF($K$30=COUNTIF('Project Register'!$C$9:$C$38,"?*"),"RECONCILED - every project on the register carries a priority band","EXCEPTION - "&amp;TEXT(COUNTIF('Project Register'!$C$9:$C$38,"?*")-$K$30,"0")&amp;" project(s) are not banded. Check the weightings and the scores.")</f>
        <v>RECONCILED - every project on the register carries a priority band</v>
      </c>
      <c r="G59" s="38"/>
      <c r="H59" s="38"/>
      <c r="I59" s="38"/>
      <c r="J59" s="38"/>
      <c r="K59" s="38"/>
      <c r="L59" s="38"/>
      <c r="M59" s="38"/>
      <c r="N59" s="38"/>
      <c r="O59" s="38"/>
    </row>
    <row r="60" customFormat="false" ht="18" hidden="false" customHeight="true" outlineLevel="0" collapsed="false">
      <c r="B60" s="18" t="s">
        <v>509</v>
      </c>
      <c r="C60" s="18"/>
      <c r="D60" s="18"/>
      <c r="E60" s="18"/>
      <c r="F60" s="38" t="str">
        <f aca="false">IF(SUM('Project Brief'!$S$6:$S$1085)&gt;=10*COUNTIF('Project Register'!$C$9:$C$38,"?*"),"RECONCILED - all ten narrative fields are written on the Project Brief for every project on the register","EXCEPTION - "&amp;TEXT(10*COUNTIF('Project Register'!$C$9:$C$38,"?*")-SUM('Project Brief'!$S$6:$S$1085),"0")&amp;" narrative field(s) are blank on the Project Brief. Write them before the panel scores anything.")</f>
        <v>RECONCILED - all ten narrative fields are written on the Project Brief for every project on the register</v>
      </c>
      <c r="G60" s="38"/>
      <c r="H60" s="38"/>
      <c r="I60" s="38"/>
      <c r="J60" s="38"/>
      <c r="K60" s="38"/>
      <c r="L60" s="38"/>
      <c r="M60" s="38"/>
      <c r="N60" s="38"/>
      <c r="O60" s="38"/>
    </row>
    <row r="61" customFormat="false" ht="18" hidden="false" customHeight="true" outlineLevel="0" collapsed="false">
      <c r="B61" s="18" t="s">
        <v>510</v>
      </c>
      <c r="C61" s="18"/>
      <c r="D61" s="18"/>
      <c r="E61" s="18"/>
      <c r="F61" s="38" t="str">
        <f aca="false">IF(COUNTIF('Project Brief'!$R$6:$R$1085,"?*")=COUNTIF('Project Register'!$C$9:$C$38,"?*"),"RECONCILED - the Project Brief carries a block for every project on the register, keyed to its register row","EXCEPTION - the Project Brief does not hold a block for every project on the register")</f>
        <v>RECONCILED - the Project Brief carries a block for every project on the register, keyed to its register row</v>
      </c>
      <c r="G61" s="38"/>
      <c r="H61" s="38"/>
      <c r="I61" s="38"/>
      <c r="J61" s="38"/>
      <c r="K61" s="38"/>
      <c r="L61" s="38"/>
      <c r="M61" s="38"/>
      <c r="N61" s="38"/>
      <c r="O61" s="38"/>
    </row>
    <row r="62" customFormat="false" ht="18" hidden="false" customHeight="true" outlineLevel="0" collapsed="false">
      <c r="B62" s="18" t="s">
        <v>511</v>
      </c>
      <c r="C62" s="18"/>
      <c r="D62" s="18"/>
      <c r="E62" s="18"/>
      <c r="F62" s="38" t="str">
        <f aca="false">IF(AND(ABS($E$18-SUM('Funding Summary'!$C$9:$G$9))&lt;1,ABS($E$19-'Funding Summary'!$H$9)&lt;1),"RECONCILED - spend by year equals the escalated requirement on Funding Summary, plan period and beyond","EXCEPTION - spend by year does not equal the escalated requirement on Funding Summary")</f>
        <v>RECONCILED - spend by year equals the escalated requirement on Funding Summary, plan period and beyond</v>
      </c>
      <c r="G62" s="38"/>
      <c r="H62" s="38"/>
      <c r="I62" s="38"/>
      <c r="J62" s="38"/>
      <c r="K62" s="38"/>
      <c r="L62" s="38"/>
      <c r="M62" s="38"/>
      <c r="N62" s="38"/>
      <c r="O62" s="38"/>
    </row>
    <row r="64" customFormat="false" ht="15" hidden="false" customHeight="false" outlineLevel="0" collapsed="false">
      <c r="B64" s="16" t="s">
        <v>40</v>
      </c>
      <c r="C64" s="16"/>
      <c r="D64" s="16"/>
      <c r="E64" s="16"/>
      <c r="F64" s="16"/>
      <c r="G64" s="16"/>
      <c r="H64" s="16"/>
      <c r="I64" s="16"/>
      <c r="J64" s="16"/>
      <c r="K64" s="16"/>
      <c r="L64" s="16"/>
      <c r="M64" s="16"/>
      <c r="N64" s="16"/>
      <c r="O64" s="16"/>
    </row>
  </sheetData>
  <mergeCells count="168">
    <mergeCell ref="B1:O1"/>
    <mergeCell ref="B2:O2"/>
    <mergeCell ref="B3:O3"/>
    <mergeCell ref="B4:O4"/>
    <mergeCell ref="B6:O6"/>
    <mergeCell ref="B7:C7"/>
    <mergeCell ref="D7:E7"/>
    <mergeCell ref="F7:G7"/>
    <mergeCell ref="H7:I7"/>
    <mergeCell ref="J7:K7"/>
    <mergeCell ref="L7:M7"/>
    <mergeCell ref="N7:O7"/>
    <mergeCell ref="B8:C8"/>
    <mergeCell ref="D8:E8"/>
    <mergeCell ref="F8:G8"/>
    <mergeCell ref="H8:I8"/>
    <mergeCell ref="J8:K8"/>
    <mergeCell ref="L8:M8"/>
    <mergeCell ref="N8:O8"/>
    <mergeCell ref="B9:C9"/>
    <mergeCell ref="D9:E9"/>
    <mergeCell ref="F9:G9"/>
    <mergeCell ref="H9:I9"/>
    <mergeCell ref="J9:K9"/>
    <mergeCell ref="L9:M9"/>
    <mergeCell ref="N9:O9"/>
    <mergeCell ref="B11:H11"/>
    <mergeCell ref="I11:O11"/>
    <mergeCell ref="B12:C12"/>
    <mergeCell ref="G12:H12"/>
    <mergeCell ref="I12:J12"/>
    <mergeCell ref="M12:O12"/>
    <mergeCell ref="B13:C13"/>
    <mergeCell ref="G13:H13"/>
    <mergeCell ref="I13:J13"/>
    <mergeCell ref="M13:O13"/>
    <mergeCell ref="B14:C14"/>
    <mergeCell ref="G14:H14"/>
    <mergeCell ref="I14:J14"/>
    <mergeCell ref="M14:O14"/>
    <mergeCell ref="B15:C15"/>
    <mergeCell ref="G15:H15"/>
    <mergeCell ref="I15:J15"/>
    <mergeCell ref="M15:O15"/>
    <mergeCell ref="B16:C16"/>
    <mergeCell ref="G16:H16"/>
    <mergeCell ref="I16:J16"/>
    <mergeCell ref="M16:O16"/>
    <mergeCell ref="B17:C17"/>
    <mergeCell ref="G17:H17"/>
    <mergeCell ref="I17:J17"/>
    <mergeCell ref="M17:O17"/>
    <mergeCell ref="B18:C18"/>
    <mergeCell ref="G18:H18"/>
    <mergeCell ref="I18:J18"/>
    <mergeCell ref="M18:O18"/>
    <mergeCell ref="B19:C19"/>
    <mergeCell ref="I19:J19"/>
    <mergeCell ref="M19:O19"/>
    <mergeCell ref="I20:J20"/>
    <mergeCell ref="M20:O20"/>
    <mergeCell ref="I21:J21"/>
    <mergeCell ref="M21:O21"/>
    <mergeCell ref="I22:J22"/>
    <mergeCell ref="M22:O22"/>
    <mergeCell ref="B24:H24"/>
    <mergeCell ref="I24:O24"/>
    <mergeCell ref="B25:C25"/>
    <mergeCell ref="G25:H25"/>
    <mergeCell ref="I25:J25"/>
    <mergeCell ref="M25:O25"/>
    <mergeCell ref="B26:C26"/>
    <mergeCell ref="G26:H26"/>
    <mergeCell ref="I26:J26"/>
    <mergeCell ref="M26:O26"/>
    <mergeCell ref="B27:C27"/>
    <mergeCell ref="G27:H27"/>
    <mergeCell ref="I27:J27"/>
    <mergeCell ref="M27:O27"/>
    <mergeCell ref="B28:C28"/>
    <mergeCell ref="G28:H28"/>
    <mergeCell ref="I28:J28"/>
    <mergeCell ref="M28:O28"/>
    <mergeCell ref="B29:C29"/>
    <mergeCell ref="G29:H29"/>
    <mergeCell ref="I29:J29"/>
    <mergeCell ref="M29:O29"/>
    <mergeCell ref="B30:C30"/>
    <mergeCell ref="G30:H30"/>
    <mergeCell ref="I30:J30"/>
    <mergeCell ref="M30:O30"/>
    <mergeCell ref="B31:C31"/>
    <mergeCell ref="G31:H31"/>
    <mergeCell ref="B33:O33"/>
    <mergeCell ref="C34:E34"/>
    <mergeCell ref="F34:G34"/>
    <mergeCell ref="H34:I34"/>
    <mergeCell ref="M34:N34"/>
    <mergeCell ref="C35:E35"/>
    <mergeCell ref="F35:G35"/>
    <mergeCell ref="H35:I35"/>
    <mergeCell ref="M35:N35"/>
    <mergeCell ref="C36:E36"/>
    <mergeCell ref="F36:G36"/>
    <mergeCell ref="H36:I36"/>
    <mergeCell ref="M36:N36"/>
    <mergeCell ref="C37:E37"/>
    <mergeCell ref="F37:G37"/>
    <mergeCell ref="H37:I37"/>
    <mergeCell ref="M37:N37"/>
    <mergeCell ref="C38:E38"/>
    <mergeCell ref="F38:G38"/>
    <mergeCell ref="H38:I38"/>
    <mergeCell ref="M38:N38"/>
    <mergeCell ref="C39:E39"/>
    <mergeCell ref="F39:G39"/>
    <mergeCell ref="H39:I39"/>
    <mergeCell ref="M39:N39"/>
    <mergeCell ref="C40:E40"/>
    <mergeCell ref="F40:G40"/>
    <mergeCell ref="H40:I40"/>
    <mergeCell ref="M40:N40"/>
    <mergeCell ref="C41:E41"/>
    <mergeCell ref="F41:G41"/>
    <mergeCell ref="H41:I41"/>
    <mergeCell ref="M41:N41"/>
    <mergeCell ref="C42:E42"/>
    <mergeCell ref="F42:G42"/>
    <mergeCell ref="H42:I42"/>
    <mergeCell ref="M42:N42"/>
    <mergeCell ref="C43:E43"/>
    <mergeCell ref="F43:G43"/>
    <mergeCell ref="H43:I43"/>
    <mergeCell ref="M43:N43"/>
    <mergeCell ref="C44:E44"/>
    <mergeCell ref="F44:G44"/>
    <mergeCell ref="H44:I44"/>
    <mergeCell ref="M44:N44"/>
    <mergeCell ref="B46:O46"/>
    <mergeCell ref="B47:H47"/>
    <mergeCell ref="I47:J47"/>
    <mergeCell ref="B48:H48"/>
    <mergeCell ref="I48:J48"/>
    <mergeCell ref="B49:H49"/>
    <mergeCell ref="I49:J49"/>
    <mergeCell ref="B50:H50"/>
    <mergeCell ref="I50:J50"/>
    <mergeCell ref="B51:H51"/>
    <mergeCell ref="I51:J51"/>
    <mergeCell ref="B52:H52"/>
    <mergeCell ref="I52:J52"/>
    <mergeCell ref="B53:O53"/>
    <mergeCell ref="B55:O55"/>
    <mergeCell ref="B56:E56"/>
    <mergeCell ref="F56:O56"/>
    <mergeCell ref="B57:E57"/>
    <mergeCell ref="F57:O57"/>
    <mergeCell ref="B58:E58"/>
    <mergeCell ref="F58:O58"/>
    <mergeCell ref="B59:E59"/>
    <mergeCell ref="F59:O59"/>
    <mergeCell ref="B60:E60"/>
    <mergeCell ref="F60:O60"/>
    <mergeCell ref="B61:E61"/>
    <mergeCell ref="F61:O61"/>
    <mergeCell ref="B62:E62"/>
    <mergeCell ref="F62:O62"/>
    <mergeCell ref="B64:O64"/>
  </mergeCells>
  <conditionalFormatting sqref="B3:O3">
    <cfRule type="expression" priority="2" aboveAverage="0" equalAverage="0" bottom="0" percent="0" rank="0" text="" dxfId="0">
      <formula>LEN($B$3)&gt;0</formula>
    </cfRule>
  </conditionalFormatting>
  <conditionalFormatting sqref="L8:M8">
    <cfRule type="cellIs" priority="3" operator="lessThan" aboveAverage="0" equalAverage="0" bottom="0" percent="0" rank="0" text="" dxfId="36">
      <formula>0</formula>
    </cfRule>
  </conditionalFormatting>
  <conditionalFormatting sqref="N8:O8">
    <cfRule type="cellIs" priority="4" operator="greaterThan" aboveAverage="0" equalAverage="0" bottom="0" percent="0" rank="0" text="" dxfId="37">
      <formula>0</formula>
    </cfRule>
  </conditionalFormatting>
  <conditionalFormatting sqref="L35:L44">
    <cfRule type="cellIs" priority="5" operator="equal" aboveAverage="0" equalAverage="0" bottom="0" percent="0" rank="0" text="" dxfId="21">
      <formula>"Critical"</formula>
    </cfRule>
    <cfRule type="cellIs" priority="6" operator="equal" aboveAverage="0" equalAverage="0" bottom="0" percent="0" rank="0" text="" dxfId="32">
      <formula>"High"</formula>
    </cfRule>
    <cfRule type="cellIs" priority="7" operator="equal" aboveAverage="0" equalAverage="0" bottom="0" percent="0" rank="0" text="" dxfId="25">
      <formula>"Medium"</formula>
    </cfRule>
    <cfRule type="cellIs" priority="8" operator="equal" aboveAverage="0" equalAverage="0" bottom="0" percent="0" rank="0" text="" dxfId="33">
      <formula>"Low"</formula>
    </cfRule>
  </conditionalFormatting>
  <conditionalFormatting sqref="O35:O44">
    <cfRule type="cellIs" priority="9" operator="greaterThan" aboveAverage="0" equalAverage="0" bottom="0" percent="0" rank="0" text="" dxfId="23">
      <formula>0.0001</formula>
    </cfRule>
  </conditionalFormatting>
  <conditionalFormatting sqref="B53:O53">
    <cfRule type="expression" priority="10" aboveAverage="0" equalAverage="0" bottom="0" percent="0" rank="0" text="" dxfId="38">
      <formula>ISNUMBER(SEARCH("over the envelope",$B$53))</formula>
    </cfRule>
  </conditionalFormatting>
  <conditionalFormatting sqref="F56:O56">
    <cfRule type="expression" priority="11" aboveAverage="0" equalAverage="0" bottom="0" percent="0" rank="0" text="" dxfId="1">
      <formula>ISNUMBER(SEARCH("EXCEPTION",$F$56))</formula>
    </cfRule>
    <cfRule type="expression" priority="12" aboveAverage="0" equalAverage="0" bottom="0" percent="0" rank="0" text="" dxfId="2">
      <formula>ISNUMBER(SEARCH("RECONCILED",$F$56))</formula>
    </cfRule>
  </conditionalFormatting>
  <conditionalFormatting sqref="F57:O57">
    <cfRule type="expression" priority="13" aboveAverage="0" equalAverage="0" bottom="0" percent="0" rank="0" text="" dxfId="1">
      <formula>ISNUMBER(SEARCH("EXCEPTION",$F$57))</formula>
    </cfRule>
    <cfRule type="expression" priority="14" aboveAverage="0" equalAverage="0" bottom="0" percent="0" rank="0" text="" dxfId="2">
      <formula>ISNUMBER(SEARCH("RECONCILED",$F$57))</formula>
    </cfRule>
  </conditionalFormatting>
  <conditionalFormatting sqref="F58:O58">
    <cfRule type="expression" priority="15" aboveAverage="0" equalAverage="0" bottom="0" percent="0" rank="0" text="" dxfId="1">
      <formula>ISNUMBER(SEARCH("EXCEPTION",$F$58))</formula>
    </cfRule>
    <cfRule type="expression" priority="16" aboveAverage="0" equalAverage="0" bottom="0" percent="0" rank="0" text="" dxfId="2">
      <formula>ISNUMBER(SEARCH("RECONCILED",$F$58))</formula>
    </cfRule>
  </conditionalFormatting>
  <conditionalFormatting sqref="F59:O59">
    <cfRule type="expression" priority="17" aboveAverage="0" equalAverage="0" bottom="0" percent="0" rank="0" text="" dxfId="1">
      <formula>ISNUMBER(SEARCH("EXCEPTION",$F$59))</formula>
    </cfRule>
    <cfRule type="expression" priority="18" aboveAverage="0" equalAverage="0" bottom="0" percent="0" rank="0" text="" dxfId="2">
      <formula>ISNUMBER(SEARCH("RECONCILED",$F$59))</formula>
    </cfRule>
  </conditionalFormatting>
  <conditionalFormatting sqref="F60:O60">
    <cfRule type="expression" priority="19" aboveAverage="0" equalAverage="0" bottom="0" percent="0" rank="0" text="" dxfId="1">
      <formula>ISNUMBER(SEARCH("EXCEPTION",$F$60))</formula>
    </cfRule>
    <cfRule type="expression" priority="20" aboveAverage="0" equalAverage="0" bottom="0" percent="0" rank="0" text="" dxfId="2">
      <formula>ISNUMBER(SEARCH("RECONCILED",$F$60))</formula>
    </cfRule>
  </conditionalFormatting>
  <conditionalFormatting sqref="F61:O61">
    <cfRule type="expression" priority="21" aboveAverage="0" equalAverage="0" bottom="0" percent="0" rank="0" text="" dxfId="1">
      <formula>ISNUMBER(SEARCH("EXCEPTION",$F$61))</formula>
    </cfRule>
    <cfRule type="expression" priority="22" aboveAverage="0" equalAverage="0" bottom="0" percent="0" rank="0" text="" dxfId="2">
      <formula>ISNUMBER(SEARCH("RECONCILED",$F$61))</formula>
    </cfRule>
  </conditionalFormatting>
  <conditionalFormatting sqref="F62:O62">
    <cfRule type="expression" priority="23" aboveAverage="0" equalAverage="0" bottom="0" percent="0" rank="0" text="" dxfId="1">
      <formula>ISNUMBER(SEARCH("EXCEPTION",$F$62))</formula>
    </cfRule>
    <cfRule type="expression" priority="24" aboveAverage="0" equalAverage="0" bottom="0" percent="0" rank="0" text="" dxfId="2">
      <formula>ISNUMBER(SEARCH("RECONCILED",$F$62))</formula>
    </cfRule>
  </conditionalFormatting>
  <hyperlinks>
    <hyperlink ref="B64" r:id="rId1" display="Built with Mastt  |  mastt.com"/>
  </hyperlink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32" man="true" max="16383" min="0"/>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J7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10" min="2" style="0" width="21"/>
    <col collapsed="false" customWidth="true" hidden="false" outlineLevel="0" max="11" min="11" style="0" width="2.2"/>
  </cols>
  <sheetData>
    <row r="1" customFormat="false" ht="33.75" hidden="false" customHeight="true" outlineLevel="0" collapsed="false">
      <c r="B1" s="17" t="s">
        <v>512</v>
      </c>
      <c r="C1" s="17"/>
      <c r="D1" s="17"/>
      <c r="E1" s="17"/>
      <c r="F1" s="17"/>
      <c r="G1" s="17"/>
      <c r="H1" s="17"/>
      <c r="I1" s="17"/>
      <c r="J1" s="17"/>
    </row>
    <row r="2" customFormat="false" ht="4.5" hidden="false" customHeight="true" outlineLevel="0" collapsed="false">
      <c r="B2" s="4"/>
      <c r="C2" s="4"/>
      <c r="D2" s="4"/>
      <c r="E2" s="4"/>
      <c r="F2" s="4"/>
      <c r="G2" s="4"/>
      <c r="H2" s="4"/>
      <c r="I2" s="4"/>
      <c r="J2" s="4"/>
    </row>
    <row r="4" customFormat="false" ht="30" hidden="false" customHeight="true" outlineLevel="0" collapsed="false">
      <c r="B4" s="19" t="s">
        <v>513</v>
      </c>
      <c r="C4" s="19"/>
      <c r="D4" s="19"/>
      <c r="E4" s="19"/>
      <c r="F4" s="19"/>
      <c r="G4" s="19"/>
      <c r="H4" s="19"/>
      <c r="I4" s="19"/>
      <c r="J4" s="19"/>
    </row>
    <row r="6" customFormat="false" ht="21.75" hidden="false" customHeight="true" outlineLevel="0" collapsed="false">
      <c r="B6" s="6" t="s">
        <v>514</v>
      </c>
      <c r="C6" s="6"/>
      <c r="D6" s="6"/>
      <c r="E6" s="6"/>
      <c r="F6" s="6"/>
      <c r="G6" s="6"/>
      <c r="H6" s="6"/>
      <c r="I6" s="6"/>
      <c r="J6" s="6"/>
    </row>
    <row r="7" customFormat="false" ht="30" hidden="false" customHeight="true" outlineLevel="0" collapsed="false">
      <c r="B7" s="9" t="s">
        <v>130</v>
      </c>
      <c r="C7" s="9" t="s">
        <v>131</v>
      </c>
      <c r="D7" s="9" t="s">
        <v>132</v>
      </c>
      <c r="E7" s="9" t="s">
        <v>133</v>
      </c>
      <c r="F7" s="9" t="s">
        <v>134</v>
      </c>
      <c r="G7" s="9" t="s">
        <v>269</v>
      </c>
      <c r="H7" s="9" t="s">
        <v>497</v>
      </c>
      <c r="I7" s="9" t="s">
        <v>52</v>
      </c>
      <c r="J7" s="9" t="s">
        <v>245</v>
      </c>
    </row>
    <row r="8" customFormat="false" ht="25.5" hidden="false" customHeight="true" outlineLevel="0" collapsed="false">
      <c r="B8" s="113" t="s">
        <v>170</v>
      </c>
      <c r="C8" s="113" t="s">
        <v>171</v>
      </c>
      <c r="D8" s="113" t="s">
        <v>154</v>
      </c>
      <c r="E8" s="113" t="s">
        <v>155</v>
      </c>
      <c r="F8" s="113" t="s">
        <v>174</v>
      </c>
      <c r="G8" s="113" t="s">
        <v>159</v>
      </c>
      <c r="H8" s="114" t="n">
        <v>1</v>
      </c>
      <c r="I8" s="113" t="s">
        <v>53</v>
      </c>
      <c r="J8" s="113" t="s">
        <v>105</v>
      </c>
    </row>
    <row r="9" customFormat="false" ht="25.5" hidden="false" customHeight="true" outlineLevel="0" collapsed="false">
      <c r="B9" s="113" t="s">
        <v>152</v>
      </c>
      <c r="C9" s="113" t="s">
        <v>205</v>
      </c>
      <c r="D9" s="113" t="s">
        <v>172</v>
      </c>
      <c r="E9" s="113" t="s">
        <v>189</v>
      </c>
      <c r="F9" s="113" t="s">
        <v>156</v>
      </c>
      <c r="G9" s="113" t="s">
        <v>183</v>
      </c>
      <c r="H9" s="114" t="n">
        <v>2</v>
      </c>
      <c r="I9" s="113" t="s">
        <v>515</v>
      </c>
      <c r="J9" s="113" t="s">
        <v>107</v>
      </c>
    </row>
    <row r="10" customFormat="false" ht="25.5" hidden="false" customHeight="true" outlineLevel="0" collapsed="false">
      <c r="B10" s="113" t="s">
        <v>162</v>
      </c>
      <c r="C10" s="113" t="s">
        <v>178</v>
      </c>
      <c r="D10" s="113" t="s">
        <v>164</v>
      </c>
      <c r="E10" s="113" t="s">
        <v>165</v>
      </c>
      <c r="F10" s="113" t="s">
        <v>179</v>
      </c>
      <c r="G10" s="113" t="s">
        <v>158</v>
      </c>
      <c r="H10" s="114" t="n">
        <v>3</v>
      </c>
      <c r="I10" s="113" t="s">
        <v>516</v>
      </c>
      <c r="J10" s="113" t="s">
        <v>109</v>
      </c>
    </row>
    <row r="11" customFormat="false" ht="25.5" hidden="false" customHeight="true" outlineLevel="0" collapsed="false">
      <c r="B11" s="113" t="s">
        <v>186</v>
      </c>
      <c r="C11" s="113" t="s">
        <v>153</v>
      </c>
      <c r="D11" s="113" t="s">
        <v>188</v>
      </c>
      <c r="E11" s="113" t="s">
        <v>173</v>
      </c>
      <c r="F11" s="113" t="s">
        <v>218</v>
      </c>
      <c r="G11" s="113" t="s">
        <v>167</v>
      </c>
      <c r="H11" s="114" t="n">
        <v>4</v>
      </c>
      <c r="I11" s="113" t="s">
        <v>517</v>
      </c>
      <c r="J11" s="113" t="s">
        <v>111</v>
      </c>
    </row>
    <row r="12" customFormat="false" ht="25.5" hidden="false" customHeight="true" outlineLevel="0" collapsed="false">
      <c r="B12" s="113" t="s">
        <v>194</v>
      </c>
      <c r="C12" s="113" t="s">
        <v>163</v>
      </c>
      <c r="D12" s="113" t="s">
        <v>214</v>
      </c>
      <c r="E12" s="113" t="s">
        <v>494</v>
      </c>
      <c r="F12" s="113" t="s">
        <v>518</v>
      </c>
      <c r="G12" s="113" t="s">
        <v>191</v>
      </c>
      <c r="H12" s="114" t="n">
        <v>5</v>
      </c>
    </row>
    <row r="13" customFormat="false" ht="25.5" hidden="false" customHeight="true" outlineLevel="0" collapsed="false">
      <c r="B13" s="113" t="s">
        <v>200</v>
      </c>
      <c r="C13" s="113" t="s">
        <v>182</v>
      </c>
      <c r="D13" s="113" t="s">
        <v>200</v>
      </c>
      <c r="G13" s="113" t="s">
        <v>225</v>
      </c>
    </row>
    <row r="14" customFormat="false" ht="25.5" hidden="false" customHeight="true" outlineLevel="0" collapsed="false">
      <c r="B14" s="113" t="s">
        <v>212</v>
      </c>
      <c r="C14" s="113" t="s">
        <v>209</v>
      </c>
      <c r="D14" s="113" t="s">
        <v>206</v>
      </c>
      <c r="G14" s="113" t="s">
        <v>215</v>
      </c>
    </row>
    <row r="15" customFormat="false" ht="25.5" hidden="false" customHeight="true" outlineLevel="0" collapsed="false">
      <c r="B15" s="113" t="s">
        <v>221</v>
      </c>
      <c r="C15" s="113" t="s">
        <v>187</v>
      </c>
      <c r="D15" s="113" t="s">
        <v>196</v>
      </c>
    </row>
    <row r="16" customFormat="false" ht="25.5" hidden="false" customHeight="true" outlineLevel="0" collapsed="false">
      <c r="B16" s="113" t="s">
        <v>224</v>
      </c>
      <c r="C16" s="113" t="s">
        <v>195</v>
      </c>
    </row>
    <row r="17" customFormat="false" ht="25.5" hidden="false" customHeight="true" outlineLevel="0" collapsed="false">
      <c r="C17" s="113" t="s">
        <v>201</v>
      </c>
    </row>
    <row r="18" customFormat="false" ht="25.5" hidden="false" customHeight="true" outlineLevel="0" collapsed="false">
      <c r="C18" s="113" t="s">
        <v>213</v>
      </c>
    </row>
    <row r="19" customFormat="false" ht="25.5" hidden="false" customHeight="true" outlineLevel="0" collapsed="false">
      <c r="C19" s="113" t="s">
        <v>224</v>
      </c>
    </row>
    <row r="20" customFormat="false" ht="15" hidden="false" customHeight="true" outlineLevel="0" collapsed="false">
      <c r="B20" s="15" t="s">
        <v>519</v>
      </c>
      <c r="C20" s="15"/>
      <c r="D20" s="15"/>
      <c r="E20" s="15"/>
      <c r="F20" s="15"/>
      <c r="G20" s="15"/>
      <c r="H20" s="15"/>
      <c r="I20" s="15"/>
      <c r="J20" s="15"/>
    </row>
    <row r="22" customFormat="false" ht="21.75" hidden="false" customHeight="true" outlineLevel="0" collapsed="false">
      <c r="B22" s="6" t="s">
        <v>520</v>
      </c>
      <c r="C22" s="6"/>
      <c r="D22" s="6"/>
      <c r="E22" s="6"/>
      <c r="F22" s="6"/>
      <c r="G22" s="6"/>
      <c r="H22" s="6"/>
      <c r="I22" s="6"/>
      <c r="J22" s="6"/>
    </row>
    <row r="23" customFormat="false" ht="18" hidden="false" customHeight="true" outlineLevel="0" collapsed="false">
      <c r="B23" s="9" t="s">
        <v>79</v>
      </c>
      <c r="C23" s="9"/>
      <c r="D23" s="9" t="s">
        <v>80</v>
      </c>
      <c r="E23" s="9" t="s">
        <v>521</v>
      </c>
      <c r="F23" s="9"/>
      <c r="G23" s="9" t="s">
        <v>522</v>
      </c>
      <c r="H23" s="9"/>
      <c r="I23" s="9" t="s">
        <v>523</v>
      </c>
      <c r="J23" s="9"/>
    </row>
    <row r="24" customFormat="false" ht="45.75" hidden="false" customHeight="true" outlineLevel="0" collapsed="false">
      <c r="B24" s="115" t="s">
        <v>82</v>
      </c>
      <c r="C24" s="115"/>
      <c r="D24" s="52" t="n">
        <f aca="false">Setup!$C$36</f>
        <v>0.15</v>
      </c>
      <c r="E24" s="116" t="s">
        <v>524</v>
      </c>
      <c r="F24" s="116"/>
      <c r="G24" s="116" t="s">
        <v>525</v>
      </c>
      <c r="H24" s="116"/>
      <c r="I24" s="116" t="s">
        <v>526</v>
      </c>
      <c r="J24" s="116"/>
    </row>
    <row r="25" customFormat="false" ht="45.75" hidden="false" customHeight="true" outlineLevel="0" collapsed="false">
      <c r="B25" s="115" t="s">
        <v>84</v>
      </c>
      <c r="C25" s="115"/>
      <c r="D25" s="52" t="n">
        <f aca="false">Setup!$C$37</f>
        <v>0.2</v>
      </c>
      <c r="E25" s="116" t="s">
        <v>527</v>
      </c>
      <c r="F25" s="116"/>
      <c r="G25" s="116" t="s">
        <v>528</v>
      </c>
      <c r="H25" s="116"/>
      <c r="I25" s="116" t="s">
        <v>529</v>
      </c>
      <c r="J25" s="116"/>
    </row>
    <row r="26" customFormat="false" ht="45.75" hidden="false" customHeight="true" outlineLevel="0" collapsed="false">
      <c r="B26" s="115" t="s">
        <v>86</v>
      </c>
      <c r="C26" s="115"/>
      <c r="D26" s="52" t="n">
        <f aca="false">Setup!$C$38</f>
        <v>0.12</v>
      </c>
      <c r="E26" s="116" t="s">
        <v>530</v>
      </c>
      <c r="F26" s="116"/>
      <c r="G26" s="116" t="s">
        <v>531</v>
      </c>
      <c r="H26" s="116"/>
      <c r="I26" s="116" t="s">
        <v>532</v>
      </c>
      <c r="J26" s="116"/>
    </row>
    <row r="27" customFormat="false" ht="45.75" hidden="false" customHeight="true" outlineLevel="0" collapsed="false">
      <c r="B27" s="115" t="s">
        <v>88</v>
      </c>
      <c r="C27" s="115"/>
      <c r="D27" s="52" t="n">
        <f aca="false">Setup!$C$39</f>
        <v>0.12</v>
      </c>
      <c r="E27" s="116" t="s">
        <v>533</v>
      </c>
      <c r="F27" s="116"/>
      <c r="G27" s="116" t="s">
        <v>534</v>
      </c>
      <c r="H27" s="116"/>
      <c r="I27" s="116" t="s">
        <v>535</v>
      </c>
      <c r="J27" s="116"/>
    </row>
    <row r="28" customFormat="false" ht="45.75" hidden="false" customHeight="true" outlineLevel="0" collapsed="false">
      <c r="B28" s="115" t="s">
        <v>90</v>
      </c>
      <c r="C28" s="115"/>
      <c r="D28" s="52" t="n">
        <f aca="false">Setup!$C$40</f>
        <v>0.12</v>
      </c>
      <c r="E28" s="116" t="s">
        <v>536</v>
      </c>
      <c r="F28" s="116"/>
      <c r="G28" s="116" t="s">
        <v>537</v>
      </c>
      <c r="H28" s="116"/>
      <c r="I28" s="116" t="s">
        <v>538</v>
      </c>
      <c r="J28" s="116"/>
    </row>
    <row r="29" customFormat="false" ht="45.75" hidden="false" customHeight="true" outlineLevel="0" collapsed="false">
      <c r="B29" s="115" t="s">
        <v>92</v>
      </c>
      <c r="C29" s="115"/>
      <c r="D29" s="52" t="n">
        <f aca="false">Setup!$C$41</f>
        <v>0.1</v>
      </c>
      <c r="E29" s="116" t="s">
        <v>539</v>
      </c>
      <c r="F29" s="116"/>
      <c r="G29" s="116" t="s">
        <v>540</v>
      </c>
      <c r="H29" s="116"/>
      <c r="I29" s="116" t="s">
        <v>541</v>
      </c>
      <c r="J29" s="116"/>
    </row>
    <row r="30" customFormat="false" ht="45.75" hidden="false" customHeight="true" outlineLevel="0" collapsed="false">
      <c r="B30" s="115" t="s">
        <v>94</v>
      </c>
      <c r="C30" s="115"/>
      <c r="D30" s="52" t="n">
        <f aca="false">Setup!$C$42</f>
        <v>0.09</v>
      </c>
      <c r="E30" s="116" t="s">
        <v>542</v>
      </c>
      <c r="F30" s="116"/>
      <c r="G30" s="116" t="s">
        <v>543</v>
      </c>
      <c r="H30" s="116"/>
      <c r="I30" s="116" t="s">
        <v>544</v>
      </c>
      <c r="J30" s="116"/>
    </row>
    <row r="31" customFormat="false" ht="45.75" hidden="false" customHeight="true" outlineLevel="0" collapsed="false">
      <c r="B31" s="115" t="s">
        <v>96</v>
      </c>
      <c r="C31" s="115"/>
      <c r="D31" s="52" t="n">
        <f aca="false">Setup!$C$43</f>
        <v>0.1</v>
      </c>
      <c r="E31" s="116" t="s">
        <v>545</v>
      </c>
      <c r="F31" s="116"/>
      <c r="G31" s="116" t="s">
        <v>546</v>
      </c>
      <c r="H31" s="116"/>
      <c r="I31" s="116" t="s">
        <v>547</v>
      </c>
      <c r="J31" s="116"/>
    </row>
    <row r="32" customFormat="false" ht="15" hidden="false" customHeight="true" outlineLevel="0" collapsed="false">
      <c r="B32" s="15" t="s">
        <v>548</v>
      </c>
      <c r="C32" s="15"/>
      <c r="D32" s="15"/>
      <c r="E32" s="15"/>
      <c r="F32" s="15"/>
      <c r="G32" s="15"/>
      <c r="H32" s="15"/>
      <c r="I32" s="15"/>
      <c r="J32" s="15"/>
    </row>
    <row r="34" customFormat="false" ht="21.75" hidden="false" customHeight="true" outlineLevel="0" collapsed="false">
      <c r="B34" s="6" t="s">
        <v>549</v>
      </c>
      <c r="C34" s="6"/>
      <c r="D34" s="6"/>
      <c r="E34" s="6"/>
      <c r="F34" s="6"/>
      <c r="G34" s="6"/>
      <c r="H34" s="6"/>
      <c r="I34" s="6"/>
      <c r="J34" s="6"/>
    </row>
    <row r="35" customFormat="false" ht="18" hidden="false" customHeight="true" outlineLevel="0" collapsed="false">
      <c r="B35" s="9" t="s">
        <v>550</v>
      </c>
      <c r="C35" s="9"/>
      <c r="D35" s="9" t="s">
        <v>104</v>
      </c>
      <c r="E35" s="9"/>
      <c r="F35" s="9"/>
      <c r="G35" s="9"/>
      <c r="H35" s="9"/>
      <c r="I35" s="9"/>
      <c r="J35" s="9"/>
    </row>
    <row r="36" customFormat="false" ht="30" hidden="false" customHeight="true" outlineLevel="0" collapsed="false">
      <c r="B36" s="115" t="s">
        <v>551</v>
      </c>
      <c r="C36" s="115"/>
      <c r="D36" s="116" t="s">
        <v>552</v>
      </c>
      <c r="E36" s="116"/>
      <c r="F36" s="116"/>
      <c r="G36" s="116"/>
      <c r="H36" s="116"/>
      <c r="I36" s="116"/>
      <c r="J36" s="116"/>
    </row>
    <row r="37" customFormat="false" ht="30" hidden="false" customHeight="true" outlineLevel="0" collapsed="false">
      <c r="B37" s="115" t="s">
        <v>553</v>
      </c>
      <c r="C37" s="115"/>
      <c r="D37" s="116" t="s">
        <v>554</v>
      </c>
      <c r="E37" s="116"/>
      <c r="F37" s="116"/>
      <c r="G37" s="116"/>
      <c r="H37" s="116"/>
      <c r="I37" s="116"/>
      <c r="J37" s="116"/>
    </row>
    <row r="38" customFormat="false" ht="30" hidden="false" customHeight="true" outlineLevel="0" collapsed="false">
      <c r="B38" s="115" t="s">
        <v>555</v>
      </c>
      <c r="C38" s="115"/>
      <c r="D38" s="116" t="s">
        <v>556</v>
      </c>
      <c r="E38" s="116"/>
      <c r="F38" s="116"/>
      <c r="G38" s="116"/>
      <c r="H38" s="116"/>
      <c r="I38" s="116"/>
      <c r="J38" s="116"/>
    </row>
    <row r="39" customFormat="false" ht="30" hidden="false" customHeight="true" outlineLevel="0" collapsed="false">
      <c r="B39" s="115" t="s">
        <v>136</v>
      </c>
      <c r="C39" s="115"/>
      <c r="D39" s="116" t="s">
        <v>557</v>
      </c>
      <c r="E39" s="116"/>
      <c r="F39" s="116"/>
      <c r="G39" s="116"/>
      <c r="H39" s="116"/>
      <c r="I39" s="116"/>
      <c r="J39" s="116"/>
    </row>
    <row r="40" customFormat="false" ht="30" hidden="false" customHeight="true" outlineLevel="0" collapsed="false">
      <c r="B40" s="115" t="s">
        <v>138</v>
      </c>
      <c r="C40" s="115"/>
      <c r="D40" s="116" t="s">
        <v>558</v>
      </c>
      <c r="E40" s="116"/>
      <c r="F40" s="116"/>
      <c r="G40" s="116"/>
      <c r="H40" s="116"/>
      <c r="I40" s="116"/>
      <c r="J40" s="116"/>
    </row>
    <row r="41" customFormat="false" ht="30" hidden="false" customHeight="true" outlineLevel="0" collapsed="false">
      <c r="B41" s="115" t="s">
        <v>559</v>
      </c>
      <c r="C41" s="115"/>
      <c r="D41" s="116" t="s">
        <v>560</v>
      </c>
      <c r="E41" s="116"/>
      <c r="F41" s="116"/>
      <c r="G41" s="116"/>
      <c r="H41" s="116"/>
      <c r="I41" s="116"/>
      <c r="J41" s="116"/>
    </row>
    <row r="42" customFormat="false" ht="30" hidden="false" customHeight="true" outlineLevel="0" collapsed="false">
      <c r="B42" s="115" t="s">
        <v>561</v>
      </c>
      <c r="C42" s="115"/>
      <c r="D42" s="116" t="s">
        <v>562</v>
      </c>
      <c r="E42" s="116"/>
      <c r="F42" s="116"/>
      <c r="G42" s="116"/>
      <c r="H42" s="116"/>
      <c r="I42" s="116"/>
      <c r="J42" s="116"/>
    </row>
    <row r="43" customFormat="false" ht="30" hidden="false" customHeight="true" outlineLevel="0" collapsed="false">
      <c r="B43" s="115" t="s">
        <v>563</v>
      </c>
      <c r="C43" s="115"/>
      <c r="D43" s="116" t="s">
        <v>564</v>
      </c>
      <c r="E43" s="116"/>
      <c r="F43" s="116"/>
      <c r="G43" s="116"/>
      <c r="H43" s="116"/>
      <c r="I43" s="116"/>
      <c r="J43" s="116"/>
    </row>
    <row r="44" customFormat="false" ht="30" hidden="false" customHeight="true" outlineLevel="0" collapsed="false">
      <c r="B44" s="115" t="s">
        <v>565</v>
      </c>
      <c r="C44" s="115"/>
      <c r="D44" s="116" t="s">
        <v>566</v>
      </c>
      <c r="E44" s="116"/>
      <c r="F44" s="116"/>
      <c r="G44" s="116"/>
      <c r="H44" s="116"/>
      <c r="I44" s="116"/>
      <c r="J44" s="116"/>
    </row>
    <row r="45" customFormat="false" ht="30" hidden="false" customHeight="true" outlineLevel="0" collapsed="false">
      <c r="B45" s="115" t="s">
        <v>475</v>
      </c>
      <c r="C45" s="115"/>
      <c r="D45" s="116" t="s">
        <v>567</v>
      </c>
      <c r="E45" s="116"/>
      <c r="F45" s="116"/>
      <c r="G45" s="116"/>
      <c r="H45" s="116"/>
      <c r="I45" s="116"/>
      <c r="J45" s="116"/>
    </row>
    <row r="46" customFormat="false" ht="30" hidden="false" customHeight="true" outlineLevel="0" collapsed="false">
      <c r="B46" s="115" t="s">
        <v>147</v>
      </c>
      <c r="C46" s="115"/>
      <c r="D46" s="116" t="s">
        <v>568</v>
      </c>
      <c r="E46" s="116"/>
      <c r="F46" s="116"/>
      <c r="G46" s="116"/>
      <c r="H46" s="116"/>
      <c r="I46" s="116"/>
      <c r="J46" s="116"/>
    </row>
    <row r="47" customFormat="false" ht="30" hidden="false" customHeight="true" outlineLevel="0" collapsed="false">
      <c r="B47" s="115" t="s">
        <v>133</v>
      </c>
      <c r="C47" s="115"/>
      <c r="D47" s="116" t="s">
        <v>569</v>
      </c>
      <c r="E47" s="116"/>
      <c r="F47" s="116"/>
      <c r="G47" s="116"/>
      <c r="H47" s="116"/>
      <c r="I47" s="116"/>
      <c r="J47" s="116"/>
    </row>
    <row r="48" customFormat="false" ht="30" hidden="false" customHeight="true" outlineLevel="0" collapsed="false">
      <c r="B48" s="115" t="s">
        <v>474</v>
      </c>
      <c r="C48" s="115"/>
      <c r="D48" s="116" t="s">
        <v>570</v>
      </c>
      <c r="E48" s="116"/>
      <c r="F48" s="116"/>
      <c r="G48" s="116"/>
      <c r="H48" s="116"/>
      <c r="I48" s="116"/>
      <c r="J48" s="116"/>
    </row>
    <row r="49" customFormat="false" ht="30" hidden="false" customHeight="true" outlineLevel="0" collapsed="false">
      <c r="B49" s="115" t="s">
        <v>571</v>
      </c>
      <c r="C49" s="115"/>
      <c r="D49" s="116" t="s">
        <v>572</v>
      </c>
      <c r="E49" s="116"/>
      <c r="F49" s="116"/>
      <c r="G49" s="116"/>
      <c r="H49" s="116"/>
      <c r="I49" s="116"/>
      <c r="J49" s="116"/>
    </row>
    <row r="50" customFormat="false" ht="30" hidden="false" customHeight="true" outlineLevel="0" collapsed="false">
      <c r="B50" s="115" t="s">
        <v>573</v>
      </c>
      <c r="C50" s="115"/>
      <c r="D50" s="116" t="s">
        <v>574</v>
      </c>
      <c r="E50" s="116"/>
      <c r="F50" s="116"/>
      <c r="G50" s="116"/>
      <c r="H50" s="116"/>
      <c r="I50" s="116"/>
      <c r="J50" s="116"/>
    </row>
    <row r="51" customFormat="false" ht="30" hidden="false" customHeight="true" outlineLevel="0" collapsed="false">
      <c r="B51" s="115" t="s">
        <v>575</v>
      </c>
      <c r="C51" s="115"/>
      <c r="D51" s="116" t="s">
        <v>576</v>
      </c>
      <c r="E51" s="116"/>
      <c r="F51" s="116"/>
      <c r="G51" s="116"/>
      <c r="H51" s="116"/>
      <c r="I51" s="116"/>
      <c r="J51" s="116"/>
    </row>
    <row r="52" customFormat="false" ht="30" hidden="false" customHeight="true" outlineLevel="0" collapsed="false">
      <c r="B52" s="115" t="s">
        <v>577</v>
      </c>
      <c r="C52" s="115"/>
      <c r="D52" s="116" t="s">
        <v>578</v>
      </c>
      <c r="E52" s="116"/>
      <c r="F52" s="116"/>
      <c r="G52" s="116"/>
      <c r="H52" s="116"/>
      <c r="I52" s="116"/>
      <c r="J52" s="116"/>
    </row>
    <row r="53" customFormat="false" ht="30" hidden="false" customHeight="true" outlineLevel="0" collapsed="false">
      <c r="B53" s="115" t="s">
        <v>579</v>
      </c>
      <c r="C53" s="115"/>
      <c r="D53" s="116" t="s">
        <v>580</v>
      </c>
      <c r="E53" s="116"/>
      <c r="F53" s="116"/>
      <c r="G53" s="116"/>
      <c r="H53" s="116"/>
      <c r="I53" s="116"/>
      <c r="J53" s="116"/>
    </row>
    <row r="55" customFormat="false" ht="21.75" hidden="false" customHeight="true" outlineLevel="0" collapsed="false">
      <c r="B55" s="6" t="s">
        <v>581</v>
      </c>
      <c r="C55" s="6"/>
      <c r="D55" s="6"/>
      <c r="E55" s="6"/>
      <c r="F55" s="6"/>
      <c r="G55" s="6"/>
      <c r="H55" s="6"/>
      <c r="I55" s="6"/>
      <c r="J55" s="6"/>
    </row>
    <row r="56" customFormat="false" ht="18" hidden="false" customHeight="true" outlineLevel="0" collapsed="false">
      <c r="B56" s="9" t="s">
        <v>582</v>
      </c>
      <c r="C56" s="9"/>
      <c r="D56" s="9" t="s">
        <v>583</v>
      </c>
      <c r="E56" s="9"/>
      <c r="F56" s="9"/>
      <c r="G56" s="9"/>
      <c r="H56" s="9"/>
      <c r="I56" s="9"/>
      <c r="J56" s="9"/>
    </row>
    <row r="57" customFormat="false" ht="24.75" hidden="false" customHeight="true" outlineLevel="0" collapsed="false">
      <c r="B57" s="117" t="s">
        <v>584</v>
      </c>
      <c r="C57" s="117"/>
      <c r="D57" s="38" t="s">
        <v>585</v>
      </c>
      <c r="E57" s="38"/>
      <c r="F57" s="38"/>
      <c r="G57" s="38"/>
      <c r="H57" s="38"/>
      <c r="I57" s="38"/>
      <c r="J57" s="38"/>
    </row>
    <row r="58" customFormat="false" ht="24.75" hidden="false" customHeight="true" outlineLevel="0" collapsed="false">
      <c r="B58" s="117" t="s">
        <v>555</v>
      </c>
      <c r="C58" s="117"/>
      <c r="D58" s="38" t="s">
        <v>586</v>
      </c>
      <c r="E58" s="38"/>
      <c r="F58" s="38"/>
      <c r="G58" s="38"/>
      <c r="H58" s="38"/>
      <c r="I58" s="38"/>
      <c r="J58" s="38"/>
    </row>
    <row r="59" customFormat="false" ht="24.75" hidden="false" customHeight="true" outlineLevel="0" collapsed="false">
      <c r="B59" s="117" t="s">
        <v>587</v>
      </c>
      <c r="C59" s="117"/>
      <c r="D59" s="38" t="s">
        <v>588</v>
      </c>
      <c r="E59" s="38"/>
      <c r="F59" s="38"/>
      <c r="G59" s="38"/>
      <c r="H59" s="38"/>
      <c r="I59" s="38"/>
      <c r="J59" s="38"/>
    </row>
    <row r="60" customFormat="false" ht="24.75" hidden="false" customHeight="true" outlineLevel="0" collapsed="false">
      <c r="B60" s="117" t="s">
        <v>589</v>
      </c>
      <c r="C60" s="117"/>
      <c r="D60" s="38" t="s">
        <v>590</v>
      </c>
      <c r="E60" s="38"/>
      <c r="F60" s="38"/>
      <c r="G60" s="38"/>
      <c r="H60" s="38"/>
      <c r="I60" s="38"/>
      <c r="J60" s="38"/>
    </row>
    <row r="61" customFormat="false" ht="24.75" hidden="false" customHeight="true" outlineLevel="0" collapsed="false">
      <c r="B61" s="117" t="s">
        <v>575</v>
      </c>
      <c r="C61" s="117"/>
      <c r="D61" s="38" t="s">
        <v>591</v>
      </c>
      <c r="E61" s="38"/>
      <c r="F61" s="38"/>
      <c r="G61" s="38"/>
      <c r="H61" s="38"/>
      <c r="I61" s="38"/>
      <c r="J61" s="38"/>
    </row>
    <row r="62" customFormat="false" ht="24.75" hidden="false" customHeight="true" outlineLevel="0" collapsed="false">
      <c r="B62" s="117" t="s">
        <v>573</v>
      </c>
      <c r="C62" s="117"/>
      <c r="D62" s="38" t="s">
        <v>592</v>
      </c>
      <c r="E62" s="38"/>
      <c r="F62" s="38"/>
      <c r="G62" s="38"/>
      <c r="H62" s="38"/>
      <c r="I62" s="38"/>
      <c r="J62" s="38"/>
    </row>
    <row r="63" customFormat="false" ht="24.75" hidden="false" customHeight="true" outlineLevel="0" collapsed="false">
      <c r="B63" s="117" t="s">
        <v>0</v>
      </c>
      <c r="C63" s="117"/>
      <c r="D63" s="38" t="s">
        <v>593</v>
      </c>
      <c r="E63" s="38"/>
      <c r="F63" s="38"/>
      <c r="G63" s="38"/>
      <c r="H63" s="38"/>
      <c r="I63" s="38"/>
      <c r="J63" s="38"/>
    </row>
    <row r="65" customFormat="false" ht="21.75" hidden="false" customHeight="true" outlineLevel="0" collapsed="false">
      <c r="B65" s="6" t="s">
        <v>594</v>
      </c>
      <c r="C65" s="6"/>
      <c r="D65" s="6"/>
      <c r="E65" s="6"/>
      <c r="F65" s="6"/>
      <c r="G65" s="6"/>
      <c r="H65" s="6"/>
      <c r="I65" s="6"/>
      <c r="J65" s="6"/>
    </row>
    <row r="66" customFormat="false" ht="18" hidden="false" customHeight="true" outlineLevel="0" collapsed="false">
      <c r="B66" s="21" t="s">
        <v>595</v>
      </c>
      <c r="C66" s="118" t="s">
        <v>596</v>
      </c>
      <c r="D66" s="118"/>
      <c r="E66" s="118"/>
      <c r="F66" s="118"/>
      <c r="G66" s="118"/>
      <c r="H66" s="118"/>
      <c r="I66" s="118"/>
      <c r="J66" s="118"/>
    </row>
    <row r="67" customFormat="false" ht="18" hidden="false" customHeight="true" outlineLevel="0" collapsed="false">
      <c r="B67" s="22" t="s">
        <v>597</v>
      </c>
      <c r="C67" s="118" t="s">
        <v>598</v>
      </c>
      <c r="D67" s="118"/>
      <c r="E67" s="118"/>
      <c r="F67" s="118"/>
      <c r="G67" s="118"/>
      <c r="H67" s="118"/>
      <c r="I67" s="118"/>
      <c r="J67" s="118"/>
    </row>
    <row r="68" customFormat="false" ht="18" hidden="false" customHeight="true" outlineLevel="0" collapsed="false">
      <c r="B68" s="34" t="s">
        <v>70</v>
      </c>
      <c r="C68" s="118" t="s">
        <v>599</v>
      </c>
      <c r="D68" s="118"/>
      <c r="E68" s="118"/>
      <c r="F68" s="118"/>
      <c r="G68" s="118"/>
      <c r="H68" s="118"/>
      <c r="I68" s="118"/>
      <c r="J68" s="118"/>
    </row>
    <row r="69" customFormat="false" ht="18" hidden="false" customHeight="true" outlineLevel="0" collapsed="false">
      <c r="B69" s="39" t="s">
        <v>105</v>
      </c>
      <c r="C69" s="118" t="s">
        <v>600</v>
      </c>
      <c r="D69" s="118"/>
      <c r="E69" s="118"/>
      <c r="F69" s="118"/>
      <c r="G69" s="118"/>
      <c r="H69" s="118"/>
      <c r="I69" s="118"/>
      <c r="J69" s="118"/>
    </row>
    <row r="70" customFormat="false" ht="18" hidden="false" customHeight="true" outlineLevel="0" collapsed="false">
      <c r="B70" s="119" t="s">
        <v>601</v>
      </c>
      <c r="C70" s="118" t="s">
        <v>602</v>
      </c>
      <c r="D70" s="118"/>
      <c r="E70" s="118"/>
      <c r="F70" s="118"/>
      <c r="G70" s="118"/>
      <c r="H70" s="118"/>
      <c r="I70" s="118"/>
      <c r="J70" s="118"/>
    </row>
    <row r="71" customFormat="false" ht="18" hidden="false" customHeight="true" outlineLevel="0" collapsed="false">
      <c r="B71" s="42" t="s">
        <v>126</v>
      </c>
      <c r="C71" s="118" t="s">
        <v>603</v>
      </c>
      <c r="D71" s="118"/>
      <c r="E71" s="118"/>
      <c r="F71" s="118"/>
      <c r="G71" s="118"/>
      <c r="H71" s="118"/>
      <c r="I71" s="118"/>
      <c r="J71" s="118"/>
    </row>
    <row r="73" customFormat="false" ht="15" hidden="false" customHeight="false" outlineLevel="0" collapsed="false">
      <c r="B73" s="16" t="s">
        <v>40</v>
      </c>
      <c r="C73" s="16"/>
      <c r="D73" s="16"/>
      <c r="E73" s="16"/>
      <c r="F73" s="16"/>
      <c r="G73" s="16"/>
      <c r="H73" s="16"/>
      <c r="I73" s="16"/>
      <c r="J73" s="16"/>
    </row>
  </sheetData>
  <mergeCells count="107">
    <mergeCell ref="B1:J1"/>
    <mergeCell ref="B2:J2"/>
    <mergeCell ref="B4:J4"/>
    <mergeCell ref="B6:J6"/>
    <mergeCell ref="B20:J20"/>
    <mergeCell ref="B22:J22"/>
    <mergeCell ref="B23:C23"/>
    <mergeCell ref="E23:F23"/>
    <mergeCell ref="G23:H23"/>
    <mergeCell ref="I23:J23"/>
    <mergeCell ref="B24:C24"/>
    <mergeCell ref="E24:F24"/>
    <mergeCell ref="G24:H24"/>
    <mergeCell ref="I24:J24"/>
    <mergeCell ref="B25:C25"/>
    <mergeCell ref="E25:F25"/>
    <mergeCell ref="G25:H25"/>
    <mergeCell ref="I25:J25"/>
    <mergeCell ref="B26:C26"/>
    <mergeCell ref="E26:F26"/>
    <mergeCell ref="G26:H26"/>
    <mergeCell ref="I26:J26"/>
    <mergeCell ref="B27:C27"/>
    <mergeCell ref="E27:F27"/>
    <mergeCell ref="G27:H27"/>
    <mergeCell ref="I27:J27"/>
    <mergeCell ref="B28:C28"/>
    <mergeCell ref="E28:F28"/>
    <mergeCell ref="G28:H28"/>
    <mergeCell ref="I28:J28"/>
    <mergeCell ref="B29:C29"/>
    <mergeCell ref="E29:F29"/>
    <mergeCell ref="G29:H29"/>
    <mergeCell ref="I29:J29"/>
    <mergeCell ref="B30:C30"/>
    <mergeCell ref="E30:F30"/>
    <mergeCell ref="G30:H30"/>
    <mergeCell ref="I30:J30"/>
    <mergeCell ref="B31:C31"/>
    <mergeCell ref="E31:F31"/>
    <mergeCell ref="G31:H31"/>
    <mergeCell ref="I31:J31"/>
    <mergeCell ref="B32:J32"/>
    <mergeCell ref="B34:J34"/>
    <mergeCell ref="B35:C35"/>
    <mergeCell ref="D35:J35"/>
    <mergeCell ref="B36:C36"/>
    <mergeCell ref="D36:J36"/>
    <mergeCell ref="B37:C37"/>
    <mergeCell ref="D37:J37"/>
    <mergeCell ref="B38:C38"/>
    <mergeCell ref="D38:J38"/>
    <mergeCell ref="B39:C39"/>
    <mergeCell ref="D39:J39"/>
    <mergeCell ref="B40:C40"/>
    <mergeCell ref="D40:J40"/>
    <mergeCell ref="B41:C41"/>
    <mergeCell ref="D41:J41"/>
    <mergeCell ref="B42:C42"/>
    <mergeCell ref="D42:J42"/>
    <mergeCell ref="B43:C43"/>
    <mergeCell ref="D43:J43"/>
    <mergeCell ref="B44:C44"/>
    <mergeCell ref="D44:J44"/>
    <mergeCell ref="B45:C45"/>
    <mergeCell ref="D45:J45"/>
    <mergeCell ref="B46:C46"/>
    <mergeCell ref="D46:J46"/>
    <mergeCell ref="B47:C47"/>
    <mergeCell ref="D47:J47"/>
    <mergeCell ref="B48:C48"/>
    <mergeCell ref="D48:J48"/>
    <mergeCell ref="B49:C49"/>
    <mergeCell ref="D49:J49"/>
    <mergeCell ref="B50:C50"/>
    <mergeCell ref="D50:J50"/>
    <mergeCell ref="B51:C51"/>
    <mergeCell ref="D51:J51"/>
    <mergeCell ref="B52:C52"/>
    <mergeCell ref="D52:J52"/>
    <mergeCell ref="B53:C53"/>
    <mergeCell ref="D53:J53"/>
    <mergeCell ref="B55:J55"/>
    <mergeCell ref="B56:C56"/>
    <mergeCell ref="D56:J56"/>
    <mergeCell ref="B57:C57"/>
    <mergeCell ref="D57:J57"/>
    <mergeCell ref="B58:C58"/>
    <mergeCell ref="D58:J58"/>
    <mergeCell ref="B59:C59"/>
    <mergeCell ref="D59:J59"/>
    <mergeCell ref="B60:C60"/>
    <mergeCell ref="D60:J60"/>
    <mergeCell ref="B61:C61"/>
    <mergeCell ref="D61:J61"/>
    <mergeCell ref="B62:C62"/>
    <mergeCell ref="D62:J62"/>
    <mergeCell ref="B63:C63"/>
    <mergeCell ref="D63:J63"/>
    <mergeCell ref="B65:J65"/>
    <mergeCell ref="C66:J66"/>
    <mergeCell ref="C67:J67"/>
    <mergeCell ref="C68:J68"/>
    <mergeCell ref="C69:J69"/>
    <mergeCell ref="C70:J70"/>
    <mergeCell ref="C71:J71"/>
    <mergeCell ref="B73:J73"/>
  </mergeCells>
  <hyperlinks>
    <hyperlink ref="B73" r:id="rId1" display="Built with Mastt  |  mastt.com"/>
  </hyperlinks>
  <printOptions headings="false" gridLines="false" gridLinesSet="true" horizontalCentered="tru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2026-08-12T02:54:08Z</dcterms:created>
  <dc:creator>Mastt</dc:creator>
  <dc:description>Rolling multi-year capital improvement plan: project register, cost phasing and escalation, prioritisation scoring, funding and affordability.</dc:description>
  <dc:language>en-US</dc:language>
  <cp:lastModifiedBy>Mastt</cp:lastModifiedBy>
  <dcterms:modified xsi:type="dcterms:W3CDTF">2026-08-12T02:54:11Z</dcterms:modified>
  <cp:revision>0</cp:revision>
  <dc:subject/>
  <dc:title>Capital Improvement Plan Template</dc:title>
</cp:coreProperties>
</file>

<file path=docProps/custom.xml><?xml version="1.0" encoding="utf-8"?>
<Properties xmlns="http://schemas.openxmlformats.org/officeDocument/2006/custom-properties" xmlns:vt="http://schemas.openxmlformats.org/officeDocument/2006/docPropsVTypes"/>
</file>