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Submittal Log" sheetId="3" state="visible" r:id="rId5"/>
    <sheet name="Summary" sheetId="4" state="visible" r:id="rId6"/>
    <sheet name="Reference" sheetId="5" state="visible" r:id="rId7"/>
  </sheets>
  <definedNames>
    <definedName function="false" hidden="false" localSheetId="0" name="_xlnm.Print_Area" vbProcedure="false">Cover!$A$1:$G$56</definedName>
    <definedName function="false" hidden="false" localSheetId="4" name="_xlnm.Print_Area" vbProcedure="false">Reference!$A$1:$H$125</definedName>
    <definedName function="false" hidden="false" localSheetId="1" name="_xlnm.Print_Area" vbProcedure="false">Setup!$A$1:$F$35</definedName>
    <definedName function="false" hidden="false" localSheetId="2" name="_xlnm.Print_Area" vbProcedure="false">'Submittal Log'!$A$1:$AE$68</definedName>
    <definedName function="false" hidden="false" localSheetId="2" name="_xlnm.Print_Titles" vbProcedure="false">'Submittal Log'!$8:$8</definedName>
    <definedName function="false" hidden="true" localSheetId="2" name="_xlnm._FilterDatabase" vbProcedure="false">'Submittal Log'!$B$8:$AE$208</definedName>
    <definedName function="false" hidden="false" localSheetId="3" name="_xlnm.Print_Area" vbProcedure="false">Summary!$A$1:$J$66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<sst xmlns="http://schemas.openxmlformats.org/spreadsheetml/2006/main" count="754" uniqueCount="398">
  <si>
    <t xml:space="preserve">Submittal Log</t>
  </si>
  <si>
    <t xml:space="preserve">A submittal register for construction projects - what has to be submitted, what it is waiting on, and what is about to be late. It numbers submittals off the specification section, separates the items that need a decision from the ones that only need filing, and works back from the required-on-site date to tell you the last day each one can be submitted.</t>
  </si>
  <si>
    <t xml:space="preserve">HOW TO USE IT</t>
  </si>
  <si>
    <t xml:space="preserve">1</t>
  </si>
  <si>
    <t xml:space="preserve">Set the project up once</t>
  </si>
  <si>
    <t xml:space="preserve">Setup holds the project, the parties, the review periods your specification actually states, and which review action set the reviewer stamps with. Every other sheet reads from it.</t>
  </si>
  <si>
    <t xml:space="preserve">2</t>
  </si>
  <si>
    <t xml:space="preserve">Choose the action set first</t>
  </si>
  <si>
    <t xml:space="preserve">Four sets are in real use and they are not interchangeable. Reference explains each one. Pick the one your specification uses, because the log's logic follows it.</t>
  </si>
  <si>
    <t xml:space="preserve">3</t>
  </si>
  <si>
    <t xml:space="preserve">Load the register from the specification</t>
  </si>
  <si>
    <t xml:space="preserve">One row per submittal, numbered off its specification section. Set the class - Action, Informational or Closeout. Only Action items get a disposition and block fabrication.</t>
  </si>
  <si>
    <t xml:space="preserve">4</t>
  </si>
  <si>
    <t xml:space="preserve">Enter the lead time and the required-on-site date</t>
  </si>
  <si>
    <t xml:space="preserve">These two fields drive the whole warning system. Without them the log records history; with them it tells you what is about to be late.</t>
  </si>
  <si>
    <t xml:space="preserve">5</t>
  </si>
  <si>
    <t xml:space="preserve">Read the float column, not the status column</t>
  </si>
  <si>
    <t xml:space="preserve">Float is the days between the latest date a submittal can be made and the day it actually was. Negative float means the item is already late even if nobody has noticed.</t>
  </si>
  <si>
    <t xml:space="preserve">6</t>
  </si>
  <si>
    <t xml:space="preserve">Log received and submitted separately</t>
  </si>
  <si>
    <t xml:space="preserve">The review clock runs from receipt. The gap between the two is the Contractor's, not the reviewer's, and it is the first thing challenged in a delay claim.</t>
  </si>
  <si>
    <t xml:space="preserve">7</t>
  </si>
  <si>
    <t xml:space="preserve">Never delete a row</t>
  </si>
  <si>
    <t xml:space="preserve">Set the Void column to Yes, or raise the revision so the old row shows as Superseded. A submittal log is a contemporaneous record - gaps in the numbering are the fastest way to lose its evidential value.</t>
  </si>
  <si>
    <t xml:space="preserve">WHAT IS IN THE WORKBOOK</t>
  </si>
  <si>
    <t xml:space="preserve">Sheet</t>
  </si>
  <si>
    <t xml:space="preserve">What it is for</t>
  </si>
  <si>
    <t xml:space="preserve">Setup</t>
  </si>
  <si>
    <t xml:space="preserve">Project, parties, the review periods your specification states, and the review action set in use. Everything else reads from it.</t>
  </si>
  <si>
    <t xml:space="preserve">The register. One row per submittal, with the review clock, the ball in court and the float against the required-on-site date.</t>
  </si>
  <si>
    <t xml:space="preserve">Summary</t>
  </si>
  <si>
    <t xml:space="preserve">Counts by status, class, ball in court, package and division, the ageing of items with the reviewer, and the first-time approval rate.</t>
  </si>
  <si>
    <t xml:space="preserve">Reference</t>
  </si>
  <si>
    <t xml:space="preserve">Every dropdown, the MasterFormat divisions, all four review action sets with what each one means, the ISO 19650 mapping and the definitions.</t>
  </si>
  <si>
    <t xml:space="preserve">THE TWO THINGS MOST SUBMITTAL LOGS GET WRONG</t>
  </si>
  <si>
    <t xml:space="preserve">They record history instead of warning you</t>
  </si>
  <si>
    <t xml:space="preserve">A log that only holds submitted and returned dates tells you what already happened. This one works back from the required-on-site date - less lead time, less review time, less one resubmittal - to the last day the submittal can be made, and shows the float against it. Negative float is an item that is already late whether or not anyone has noticed.</t>
  </si>
  <si>
    <t xml:space="preserve">They treat every submittal as the same kind of thing</t>
  </si>
  <si>
    <t xml:space="preserve">Items that need a decision and items that only need filing are not the same. Action submittals get a disposition and block fabrication. Informational submittals are received and acknowledged - measuring a reviewer's turnaround on those makes the numbers meaningless. Closeout submittals belong on the log from day one, because they are what holds up the final certificate.</t>
  </si>
  <si>
    <t xml:space="preserve">IMPORTANT</t>
  </si>
  <si>
    <t xml:space="preserve">This log is a management and record-keeping tool, not advice. Review periods, action codes and the consequences of late or rejected submittals are set by the Contract and the specification - read them and set this workbook to match. A reviewer's action on a submittal does not relieve the Contractor of responsibility for dimensions, quantities, fabrication processes, coordination, or construction means and methods.</t>
  </si>
  <si>
    <t xml:space="preserve">Built for capital project teams by Mastt.  Project controls, cost management and reporting  ·  mastt.com</t>
  </si>
  <si>
    <t xml:space="preserve">SUBMITTAL LOG     ·     SETUP</t>
  </si>
  <si>
    <t xml:space="preserve">Fill this in once. The register, the summary and every calculated date read from here.</t>
  </si>
  <si>
    <t xml:space="preserve">1  ·  PROJECT AND CONTRACT</t>
  </si>
  <si>
    <t xml:space="preserve">Project name</t>
  </si>
  <si>
    <t xml:space="preserve">Project number</t>
  </si>
  <si>
    <t xml:space="preserve">Site address</t>
  </si>
  <si>
    <t xml:space="preserve">Contract title</t>
  </si>
  <si>
    <t xml:space="preserve">Contract number</t>
  </si>
  <si>
    <t xml:space="preserve">Owner / Client</t>
  </si>
  <si>
    <t xml:space="preserve">Contractor</t>
  </si>
  <si>
    <t xml:space="preserve">Contract Administrator / Owner's Representative</t>
  </si>
  <si>
    <t xml:space="preserve">Document controller</t>
  </si>
  <si>
    <t xml:space="preserve">2  ·  REVIEW PERIODS AND THE ACTION SET</t>
  </si>
  <si>
    <t xml:space="preserve">Review action set in use</t>
  </si>
  <si>
    <t xml:space="preserve">A - EJCDC (recommended)</t>
  </si>
  <si>
    <t xml:space="preserve">Four sets are in real use and they are not interchangeable. Reference explains each.</t>
  </si>
  <si>
    <t xml:space="preserve">Initial review period - concurrent review (calendar days)</t>
  </si>
  <si>
    <t xml:space="preserve">The most common figure in US master specifications. Read your own - AIA A201 states no number at all, leaving it to the submittal schedule.</t>
  </si>
  <si>
    <t xml:space="preserve">Initial review period - sequential review (calendar days)</t>
  </si>
  <si>
    <t xml:space="preserve">Used where the submittal passes through consultants one after another rather than at once.</t>
  </si>
  <si>
    <t xml:space="preserve">Resubmittal review period (calendar days)</t>
  </si>
  <si>
    <t xml:space="preserve">Applies to revision 01 and later.</t>
  </si>
  <si>
    <t xml:space="preserve">Contractor internal review allowance (calendar days)</t>
  </si>
  <si>
    <t xml:space="preserve">The Contractor's own check before it goes out. Included in the back-calculated submit-by date.</t>
  </si>
  <si>
    <t xml:space="preserve">Long lead threshold (weeks)</t>
  </si>
  <si>
    <t xml:space="preserve">Anything at or above this is flagged as long lead on the register.</t>
  </si>
  <si>
    <t xml:space="preserve">3  ·  WHERE THE LOG STANDS</t>
  </si>
  <si>
    <t xml:space="preserve">Submittals on the log</t>
  </si>
  <si>
    <t xml:space="preserve">Action submittals</t>
  </si>
  <si>
    <t xml:space="preserve">Open - not yet closed</t>
  </si>
  <si>
    <t xml:space="preserve">Overdue with the reviewer</t>
  </si>
  <si>
    <t xml:space="preserve">Awaiting resubmittal</t>
  </si>
  <si>
    <t xml:space="preserve">Negative float - already late</t>
  </si>
  <si>
    <t xml:space="preserve">AIA A201-2017 states no review period - the number comes from the specification, usually section 01 33 00. It also says that if the Contractor fails to submit in accordance with the approved submittal schedule, it is not entitled to more time or money for the review period. That is why this log is a contractual record, not an administrative convenience.</t>
  </si>
  <si>
    <t xml:space="preserve">Built with Mastt  |  mastt.com</t>
  </si>
  <si>
    <t xml:space="preserve">SUBMITTAL LOG     ·     REGISTER</t>
  </si>
  <si>
    <t xml:space="preserve">One row per submittal. Blue cells are yours; grey columns calculate. Float is the number that matters - it is the days between the latest date this could be submitted and the day it actually was. Prints A3 landscape, two pages wide.</t>
  </si>
  <si>
    <t xml:space="preserve">Ref</t>
  </si>
  <si>
    <t xml:space="preserve">Submittal no.</t>
  </si>
  <si>
    <t xml:space="preserve">Spec section</t>
  </si>
  <si>
    <t xml:space="preserve">Seq</t>
  </si>
  <si>
    <t xml:space="preserve">Rev</t>
  </si>
  <si>
    <t xml:space="preserve">Spec section title</t>
  </si>
  <si>
    <t xml:space="preserve">Division</t>
  </si>
  <si>
    <t xml:space="preserve">Package</t>
  </si>
  <si>
    <t xml:space="preserve">Description of the submittal</t>
  </si>
  <si>
    <t xml:space="preserve">Submittal type</t>
  </si>
  <si>
    <t xml:space="preserve">Class</t>
  </si>
  <si>
    <t xml:space="preserve">Responsible party</t>
  </si>
  <si>
    <t xml:space="preserve">Submitted</t>
  </si>
  <si>
    <t xml:space="preserve">Received for review</t>
  </si>
  <si>
    <t xml:space="preserve">Reviewer</t>
  </si>
  <si>
    <t xml:space="preserve">Review route</t>
  </si>
  <si>
    <t xml:space="preserve">Review due</t>
  </si>
  <si>
    <t xml:space="preserve">Returned</t>
  </si>
  <si>
    <t xml:space="preserve">Review action</t>
  </si>
  <si>
    <t xml:space="preserve">Days in review</t>
  </si>
  <si>
    <t xml:space="preserve">Status</t>
  </si>
  <si>
    <t xml:space="preserve">Ball in court</t>
  </si>
  <si>
    <t xml:space="preserve">Lead time (weeks)</t>
  </si>
  <si>
    <t xml:space="preserve">Required on site</t>
  </si>
  <si>
    <t xml:space="preserve">Latest submit by</t>
  </si>
  <si>
    <t xml:space="preserve">Float (days)</t>
  </si>
  <si>
    <t xml:space="preserve">Long lead</t>
  </si>
  <si>
    <t xml:space="preserve">Delegated design</t>
  </si>
  <si>
    <t xml:space="preserve">Void</t>
  </si>
  <si>
    <t xml:space="preserve">Notes</t>
  </si>
  <si>
    <t xml:space="preserve">03 30 00</t>
  </si>
  <si>
    <t xml:space="preserve">Cast-in-place concrete</t>
  </si>
  <si>
    <t xml:space="preserve">03 Concrete</t>
  </si>
  <si>
    <t xml:space="preserve">Structure</t>
  </si>
  <si>
    <t xml:space="preserve">Concrete mix designs - 32 MPa and 40 MPa structural mixes</t>
  </si>
  <si>
    <t xml:space="preserve">Design mix</t>
  </si>
  <si>
    <t xml:space="preserve">Northgate Readymix</t>
  </si>
  <si>
    <t xml:space="preserve">Structural engineer</t>
  </si>
  <si>
    <t xml:space="preserve">Concurrent</t>
  </si>
  <si>
    <t xml:space="preserve">Approved as Noted</t>
  </si>
  <si>
    <t xml:space="preserve">No</t>
  </si>
  <si>
    <t xml:space="preserve">EXAMPLE - delete before use</t>
  </si>
  <si>
    <t xml:space="preserve">05 12 00</t>
  </si>
  <si>
    <t xml:space="preserve">Structural steel framing</t>
  </si>
  <si>
    <t xml:space="preserve">05 Metals</t>
  </si>
  <si>
    <t xml:space="preserve">Shop drawings - primary frame, grids A to F</t>
  </si>
  <si>
    <t xml:space="preserve">SD-02 Shop drawings</t>
  </si>
  <si>
    <t xml:space="preserve">Kembla Steel Fabrication</t>
  </si>
  <si>
    <t xml:space="preserve">Sequential</t>
  </si>
  <si>
    <t xml:space="preserve">Revise and Resubmit</t>
  </si>
  <si>
    <t xml:space="preserve">EXAMPLE</t>
  </si>
  <si>
    <t xml:space="preserve">Shop drawings - primary frame, grids A to F, revision 1</t>
  </si>
  <si>
    <t xml:space="preserve">Approved</t>
  </si>
  <si>
    <t xml:space="preserve">07 42 13</t>
  </si>
  <si>
    <t xml:space="preserve">Metal wall panels</t>
  </si>
  <si>
    <t xml:space="preserve">07 Thermal and Moisture Protection</t>
  </si>
  <si>
    <t xml:space="preserve">Envelope</t>
  </si>
  <si>
    <t xml:space="preserve">Product data and finish samples - rainscreen cladding</t>
  </si>
  <si>
    <t xml:space="preserve">SD-03 Product data</t>
  </si>
  <si>
    <t xml:space="preserve">Vitrex Facades</t>
  </si>
  <si>
    <t xml:space="preserve">Architect</t>
  </si>
  <si>
    <t xml:space="preserve">08 44 13</t>
  </si>
  <si>
    <t xml:space="preserve">Glazed aluminium curtain wall</t>
  </si>
  <si>
    <t xml:space="preserve">08 Openings</t>
  </si>
  <si>
    <t xml:space="preserve">Delegated design - curtain wall structural calculations, signed and sealed</t>
  </si>
  <si>
    <t xml:space="preserve">Yes</t>
  </si>
  <si>
    <t xml:space="preserve">EXAMPLE - open, overdue</t>
  </si>
  <si>
    <t xml:space="preserve">09 51 13</t>
  </si>
  <si>
    <t xml:space="preserve">Acoustical panel ceilings</t>
  </si>
  <si>
    <t xml:space="preserve">09 Finishes</t>
  </si>
  <si>
    <t xml:space="preserve">Fit-out</t>
  </si>
  <si>
    <t xml:space="preserve">Product data and samples - ceiling tile and grid</t>
  </si>
  <si>
    <t xml:space="preserve">SD-04 Samples</t>
  </si>
  <si>
    <t xml:space="preserve">Interior Linings Co</t>
  </si>
  <si>
    <t xml:space="preserve">EXAMPLE - in review</t>
  </si>
  <si>
    <t xml:space="preserve">09 91 00</t>
  </si>
  <si>
    <t xml:space="preserve">Painting</t>
  </si>
  <si>
    <t xml:space="preserve">Product data and colour schedule</t>
  </si>
  <si>
    <t xml:space="preserve">Coastal Painting</t>
  </si>
  <si>
    <t xml:space="preserve">14 21 00</t>
  </si>
  <si>
    <t xml:space="preserve">Electric traction elevators</t>
  </si>
  <si>
    <t xml:space="preserve">14 Conveying Equipment</t>
  </si>
  <si>
    <t xml:space="preserve">Vertical transport</t>
  </si>
  <si>
    <t xml:space="preserve">Shop drawings, capacity calculations and finishes - two passenger cars</t>
  </si>
  <si>
    <t xml:space="preserve">Ascent Lifts</t>
  </si>
  <si>
    <t xml:space="preserve">EXAMPLE - long lead</t>
  </si>
  <si>
    <t xml:space="preserve">21 13 13</t>
  </si>
  <si>
    <t xml:space="preserve">Wet-pipe sprinkler systems</t>
  </si>
  <si>
    <t xml:space="preserve">21 Fire Suppression</t>
  </si>
  <si>
    <t xml:space="preserve">Fire</t>
  </si>
  <si>
    <t xml:space="preserve">Hydraulic calculations and layout drawings</t>
  </si>
  <si>
    <t xml:space="preserve">SD-05 Design data and calculations</t>
  </si>
  <si>
    <t xml:space="preserve">Sentinel Fire</t>
  </si>
  <si>
    <t xml:space="preserve">Fire engineer</t>
  </si>
  <si>
    <t xml:space="preserve">22 40 00</t>
  </si>
  <si>
    <t xml:space="preserve">Plumbing fixtures</t>
  </si>
  <si>
    <t xml:space="preserve">22 Plumbing</t>
  </si>
  <si>
    <t xml:space="preserve">Hydraulic</t>
  </si>
  <si>
    <t xml:space="preserve">Product data - sanitaryware and tapware schedule</t>
  </si>
  <si>
    <t xml:space="preserve">Metro Plumbing Group</t>
  </si>
  <si>
    <t xml:space="preserve">23 73 13</t>
  </si>
  <si>
    <t xml:space="preserve">Air handling units</t>
  </si>
  <si>
    <t xml:space="preserve">23 Heating, Ventilating and Air Conditioning</t>
  </si>
  <si>
    <t xml:space="preserve">Mechanical</t>
  </si>
  <si>
    <t xml:space="preserve">Shop drawings and selection data - AHU-01 to AHU-04</t>
  </si>
  <si>
    <t xml:space="preserve">Apex Mechanical</t>
  </si>
  <si>
    <t xml:space="preserve">Services engineer</t>
  </si>
  <si>
    <t xml:space="preserve">23 09 00</t>
  </si>
  <si>
    <t xml:space="preserve">Instrumentation and control for HVAC</t>
  </si>
  <si>
    <t xml:space="preserve">Controls architecture and points schedule</t>
  </si>
  <si>
    <t xml:space="preserve">EXAMPLE - not submitted, negative float</t>
  </si>
  <si>
    <t xml:space="preserve">26 24 16</t>
  </si>
  <si>
    <t xml:space="preserve">Panelboards</t>
  </si>
  <si>
    <t xml:space="preserve">26 Electrical</t>
  </si>
  <si>
    <t xml:space="preserve">Electrical</t>
  </si>
  <si>
    <t xml:space="preserve">Shop drawings - main switchboard and distribution boards</t>
  </si>
  <si>
    <t xml:space="preserve">Arcline Electrical</t>
  </si>
  <si>
    <t xml:space="preserve">26 51 00</t>
  </si>
  <si>
    <t xml:space="preserve">Interior lighting</t>
  </si>
  <si>
    <t xml:space="preserve">Product data and photometric calculations</t>
  </si>
  <si>
    <t xml:space="preserve">26 05 00</t>
  </si>
  <si>
    <t xml:space="preserve">Common work results for electrical</t>
  </si>
  <si>
    <t xml:space="preserve">Installer qualifications and licences</t>
  </si>
  <si>
    <t xml:space="preserve">SD-07 Certificates</t>
  </si>
  <si>
    <t xml:space="preserve">Contract Administrator</t>
  </si>
  <si>
    <t xml:space="preserve">Accepted</t>
  </si>
  <si>
    <t xml:space="preserve">EXAMPLE - informational</t>
  </si>
  <si>
    <t xml:space="preserve">28 13 00</t>
  </si>
  <si>
    <t xml:space="preserve">Access control</t>
  </si>
  <si>
    <t xml:space="preserve">28 Electronic Safety and Security</t>
  </si>
  <si>
    <t xml:space="preserve">Product data and system architecture</t>
  </si>
  <si>
    <t xml:space="preserve">Sentry Systems</t>
  </si>
  <si>
    <t xml:space="preserve">31 20 00</t>
  </si>
  <si>
    <t xml:space="preserve">Earth moving</t>
  </si>
  <si>
    <t xml:space="preserve">31 Earthwork</t>
  </si>
  <si>
    <t xml:space="preserve">Civil and external</t>
  </si>
  <si>
    <t xml:space="preserve">Compaction test reports - bulk earthworks</t>
  </si>
  <si>
    <t xml:space="preserve">SD-06 Test reports</t>
  </si>
  <si>
    <t xml:space="preserve">Groundline Civil</t>
  </si>
  <si>
    <t xml:space="preserve">Geotechnical engineer</t>
  </si>
  <si>
    <t xml:space="preserve">32 12 16</t>
  </si>
  <si>
    <t xml:space="preserve">Asphalt paving</t>
  </si>
  <si>
    <t xml:space="preserve">32 Exterior Improvements</t>
  </si>
  <si>
    <t xml:space="preserve">Asphalt mix design and compaction method</t>
  </si>
  <si>
    <t xml:space="preserve">Civil engineer</t>
  </si>
  <si>
    <t xml:space="preserve">32 90 00</t>
  </si>
  <si>
    <t xml:space="preserve">Planting</t>
  </si>
  <si>
    <t xml:space="preserve">Landscape</t>
  </si>
  <si>
    <t xml:space="preserve">Plant schedule and nursery certification</t>
  </si>
  <si>
    <t xml:space="preserve">Greenline Landscapes</t>
  </si>
  <si>
    <t xml:space="preserve">Landscape architect</t>
  </si>
  <si>
    <t xml:space="preserve">EXAMPLE - not submitted, long lead</t>
  </si>
  <si>
    <t xml:space="preserve">33 11 00</t>
  </si>
  <si>
    <t xml:space="preserve">Water utility distribution piping</t>
  </si>
  <si>
    <t xml:space="preserve">33 Utilities</t>
  </si>
  <si>
    <t xml:space="preserve">Product data - pipe, fittings and valves</t>
  </si>
  <si>
    <t xml:space="preserve">08 71 00</t>
  </si>
  <si>
    <t xml:space="preserve">Door hardware</t>
  </si>
  <si>
    <t xml:space="preserve">Hardware schedule and product data</t>
  </si>
  <si>
    <t xml:space="preserve">Approved as Noted, Resubmit</t>
  </si>
  <si>
    <t xml:space="preserve">EXAMPLE - hybrid action</t>
  </si>
  <si>
    <t xml:space="preserve">09 30 00</t>
  </si>
  <si>
    <t xml:space="preserve">Tiling</t>
  </si>
  <si>
    <t xml:space="preserve">Samples and setting-out drawings - wet areas</t>
  </si>
  <si>
    <t xml:space="preserve">Surface Floors</t>
  </si>
  <si>
    <t xml:space="preserve">10 28 00</t>
  </si>
  <si>
    <t xml:space="preserve">Toilet and bath accessories</t>
  </si>
  <si>
    <t xml:space="preserve">10 Specialties</t>
  </si>
  <si>
    <t xml:space="preserve">Product data and schedule</t>
  </si>
  <si>
    <t xml:space="preserve">01 78 23</t>
  </si>
  <si>
    <t xml:space="preserve">Operation and maintenance data</t>
  </si>
  <si>
    <t xml:space="preserve">01 General Requirements</t>
  </si>
  <si>
    <t xml:space="preserve">Other</t>
  </si>
  <si>
    <t xml:space="preserve">Draft O&amp;M manual structure and contents list</t>
  </si>
  <si>
    <t xml:space="preserve">SD-10 Operation and maintenance data</t>
  </si>
  <si>
    <t xml:space="preserve">Meridian Construction</t>
  </si>
  <si>
    <t xml:space="preserve">EXAMPLE - closeout, not submitted</t>
  </si>
  <si>
    <t xml:space="preserve">01 78 36</t>
  </si>
  <si>
    <t xml:space="preserve">Warranties</t>
  </si>
  <si>
    <t xml:space="preserve">Warranty schedule - all packages</t>
  </si>
  <si>
    <t xml:space="preserve">SD-11 Closeout submittals</t>
  </si>
  <si>
    <t xml:space="preserve">11 53 00</t>
  </si>
  <si>
    <t xml:space="preserve">Laboratory fume cupboards</t>
  </si>
  <si>
    <t xml:space="preserve">11 Equipment</t>
  </si>
  <si>
    <t xml:space="preserve">Specialist</t>
  </si>
  <si>
    <t xml:space="preserve">Product data and shop drawings - fume cupboards</t>
  </si>
  <si>
    <t xml:space="preserve">Lab Systems Group</t>
  </si>
  <si>
    <t xml:space="preserve">EXAMPLE - scope deleted by variation, voided not deleted</t>
  </si>
  <si>
    <t xml:space="preserve">Number each submittal off its specification section - the submittal number builds itself from the section, the sequence and the revision. Log the date RECEIVED separately from the date SUBMITTED: the review clock runs from receipt, and the gap between the two belongs to the Contractor. Raise the revision number rather than overwriting a row - the superseded row greys itself out and stays as the record. For A4, hide columns G, P, S, AC, AD and AE. The print area is set to the first 60 rows - extend it under Page Layout if your log runs longer.</t>
  </si>
  <si>
    <t xml:space="preserve">SUBMITTAL LOG     ·     SUMMARY</t>
  </si>
  <si>
    <t xml:space="preserve">Every figure is a formula over the register. Open means anything not Closed, not Superseded and not Void.</t>
  </si>
  <si>
    <t xml:space="preserve">WHERE THE LOG STANDS</t>
  </si>
  <si>
    <t xml:space="preserve">Closed</t>
  </si>
  <si>
    <t xml:space="preserve">Open</t>
  </si>
  <si>
    <t xml:space="preserve">Approved first time</t>
  </si>
  <si>
    <t xml:space="preserve">Approved first time counts revision 00 items whose action let the work proceed without a resubmittal. Below about 60 per cent, the specification or the briefing of subcontractors is the problem, not the reviewer.</t>
  </si>
  <si>
    <t xml:space="preserve">Package and division counts show OPEN items only.</t>
  </si>
  <si>
    <t xml:space="preserve">BY STATUS</t>
  </si>
  <si>
    <t xml:space="preserve">BY PACKAGE</t>
  </si>
  <si>
    <t xml:space="preserve">Items</t>
  </si>
  <si>
    <t xml:space="preserve">Share</t>
  </si>
  <si>
    <t xml:space="preserve">Not submitted</t>
  </si>
  <si>
    <t xml:space="preserve">In review</t>
  </si>
  <si>
    <t xml:space="preserve">Overdue with reviewer</t>
  </si>
  <si>
    <t xml:space="preserve">Resubmittal required</t>
  </si>
  <si>
    <t xml:space="preserve">Superseded</t>
  </si>
  <si>
    <t xml:space="preserve">BY CLASS</t>
  </si>
  <si>
    <t xml:space="preserve">Action</t>
  </si>
  <si>
    <t xml:space="preserve">Informational</t>
  </si>
  <si>
    <t xml:space="preserve">Closeout</t>
  </si>
  <si>
    <t xml:space="preserve">BY DIVISION</t>
  </si>
  <si>
    <t xml:space="preserve">BY BALL IN COURT</t>
  </si>
  <si>
    <t xml:space="preserve">Ball In Court</t>
  </si>
  <si>
    <t xml:space="preserve">00 Procurement and Contracting Requirements</t>
  </si>
  <si>
    <t xml:space="preserve">02 Existing Conditions</t>
  </si>
  <si>
    <t xml:space="preserve">04 Masonry</t>
  </si>
  <si>
    <t xml:space="preserve">AGEING OF ITEMS WITH THE REVIEWER</t>
  </si>
  <si>
    <t xml:space="preserve">06 Wood, Plastics and Composites</t>
  </si>
  <si>
    <t xml:space="preserve">0 - 7 days</t>
  </si>
  <si>
    <t xml:space="preserve">8 - 14 days</t>
  </si>
  <si>
    <t xml:space="preserve">15 - 21 days</t>
  </si>
  <si>
    <t xml:space="preserve">22 - 30 days</t>
  </si>
  <si>
    <t xml:space="preserve">Over 30 days</t>
  </si>
  <si>
    <t xml:space="preserve">12 Furnishings</t>
  </si>
  <si>
    <t xml:space="preserve">13 Special Construction</t>
  </si>
  <si>
    <t xml:space="preserve">Days in review runs from the date received, and keeps running until the item is returned. Anything past the review period in your specification is a reviewer delay you can evidence; anything sitting unsubmitted with negative float is a Contractor delay you can evidence. The log is only worth what its dates are worth.</t>
  </si>
  <si>
    <t xml:space="preserve">25 Integrated Automation</t>
  </si>
  <si>
    <t xml:space="preserve">27 Communications</t>
  </si>
  <si>
    <t xml:space="preserve">34 Transportation</t>
  </si>
  <si>
    <t xml:space="preserve">35 Waterway and Marine Construction</t>
  </si>
  <si>
    <t xml:space="preserve">40 Process Interconnections</t>
  </si>
  <si>
    <t xml:space="preserve">41 Material Processing and Handling Equipment</t>
  </si>
  <si>
    <t xml:space="preserve">42 Process Heating, Cooling and Drying Equipment</t>
  </si>
  <si>
    <t xml:space="preserve">43 Process Gas and Liquid Handling and Storage</t>
  </si>
  <si>
    <t xml:space="preserve">44 Pollution and Waste Control Equipment</t>
  </si>
  <si>
    <t xml:space="preserve">45 Industry-Specific Manufacturing Equipment</t>
  </si>
  <si>
    <t xml:space="preserve">46 Water and Wastewater Equipment</t>
  </si>
  <si>
    <t xml:space="preserve">48 Electrical Power Generation</t>
  </si>
  <si>
    <t xml:space="preserve">SUBMITTAL LOG     ·     REFERENCE</t>
  </si>
  <si>
    <t xml:space="preserve">Every dropdown in the workbook is sourced from this sheet. Add your own values inside the ranges, not below them.</t>
  </si>
  <si>
    <t xml:space="preserve">Review action - all sets</t>
  </si>
  <si>
    <t xml:space="preserve">SD-01 Preconstruction submittals</t>
  </si>
  <si>
    <t xml:space="preserve">A1 Authorised and accepted</t>
  </si>
  <si>
    <t xml:space="preserve">A2 Authorised with minor comments</t>
  </si>
  <si>
    <t xml:space="preserve">Approved as Submitted</t>
  </si>
  <si>
    <t xml:space="preserve">SD-08 Manufacturer's instructions</t>
  </si>
  <si>
    <t xml:space="preserve">B1 Accepted with comments</t>
  </si>
  <si>
    <t xml:space="preserve">SD-09 Manufacturer's field reports</t>
  </si>
  <si>
    <t xml:space="preserve">B2 Rejected - resubmit</t>
  </si>
  <si>
    <t xml:space="preserve">Information Only</t>
  </si>
  <si>
    <t xml:space="preserve">Make Corrections Noted</t>
  </si>
  <si>
    <t xml:space="preserve">Mock-up or field sample</t>
  </si>
  <si>
    <t xml:space="preserve">No Exceptions Taken</t>
  </si>
  <si>
    <t xml:space="preserve">Not Acceptable</t>
  </si>
  <si>
    <t xml:space="preserve">Not Approved</t>
  </si>
  <si>
    <t xml:space="preserve">Schedule or register</t>
  </si>
  <si>
    <t xml:space="preserve">Receipt Acknowledged</t>
  </si>
  <si>
    <t xml:space="preserve">Rejected</t>
  </si>
  <si>
    <t xml:space="preserve">Reviewed for Record Only</t>
  </si>
  <si>
    <t xml:space="preserve">S4 Issued for stage approval</t>
  </si>
  <si>
    <t xml:space="preserve">S6 Issued for PIM authorisation</t>
  </si>
  <si>
    <t xml:space="preserve">Submit Specified Item</t>
  </si>
  <si>
    <t xml:space="preserve">Action set in use</t>
  </si>
  <si>
    <t xml:space="preserve">B - Conventional architectural</t>
  </si>
  <si>
    <t xml:space="preserve">C - UFGS federal</t>
  </si>
  <si>
    <t xml:space="preserve">D - ISO 19650 suitability</t>
  </si>
  <si>
    <t xml:space="preserve">Yes / No</t>
  </si>
  <si>
    <t xml:space="preserve">TYPE TO CLASS - the register reads this</t>
  </si>
  <si>
    <t xml:space="preserve">ACTIONS THAT CLOSE AN ITEM - the register reads this</t>
  </si>
  <si>
    <t xml:space="preserve">ACTIONS THAT COUNT AS APPROVED FIRST TIME</t>
  </si>
  <si>
    <t xml:space="preserve">THE FOUR REVIEW ACTION SETS - pick one on Setup and stay with it</t>
  </si>
  <si>
    <t xml:space="preserve">Approved · Approved as Noted · Revise and Resubmit · Rejected, plus Accepted / Not Acceptable for informational and closeout items. EJCDC argues against 'No Exceptions Taken', 'Reviewed' and 'Furnish as Submitted' - it calls them weasel words that give no good answer under cross-examination, and cites the Hyatt Regency walkway collapse where the court treated 'Reviewed' and 'Approved' as the same thing. Both AIA A201 and EJCDC C-700 use 'approve'.</t>
  </si>
  <si>
    <t xml:space="preserve">No Exceptions Taken · Make Corrections Noted · Approved as Noted, Resubmit · Revise and Resubmit · Rejected · Submit Specified Item · Reviewed for Record Only. Widely used in US architectural practice, but the wording is not standardised and every office varies it. Note that 'Make Corrections Noted' and 'Approved as Noted, Resubmit' are different actions - one lets work proceed, the other does not.</t>
  </si>
  <si>
    <t xml:space="preserve">Used on USACE, NAVFAC and AFCEC work. Approved · Approved as Noted · Approved as Submitted · Not Approved, with Receipt Acknowledged and Information Only for items needing no action.</t>
  </si>
  <si>
    <t xml:space="preserve">For projects running a BIM Execution Plan under ISO 19650. Information is exchanged with a suitability code rather than a review stamp - A codes are authorised, B codes are shared with comment, S codes are work in progress or shared for a defined purpose. Use this set where the common data environment governs, not a submittal stamp.</t>
  </si>
  <si>
    <t xml:space="preserve">MAPPING TO ISO 19650 SUITABILITY CODES</t>
  </si>
  <si>
    <t xml:space="preserve">US review action</t>
  </si>
  <si>
    <t xml:space="preserve">ISO 19650 suitability</t>
  </si>
  <si>
    <t xml:space="preserve">What it means</t>
  </si>
  <si>
    <t xml:space="preserve">Approved / No Exceptions Taken</t>
  </si>
  <si>
    <t xml:space="preserve">Status A - approved, no comments. Work may proceed.</t>
  </si>
  <si>
    <t xml:space="preserve">Approved as Noted / Make Corrections Noted</t>
  </si>
  <si>
    <t xml:space="preserve">Status B - approved subject to the comments marked. Work may proceed, corrections mandatory.</t>
  </si>
  <si>
    <t xml:space="preserve">Status B with a resubmittal required before the work proceeds.</t>
  </si>
  <si>
    <t xml:space="preserve">Status C - not approved. Correct and resubmit.</t>
  </si>
  <si>
    <t xml:space="preserve">Rejected / Submit Specified Item</t>
  </si>
  <si>
    <t xml:space="preserve">Status C. Rejected outright, or the specified item was not offered.</t>
  </si>
  <si>
    <t xml:space="preserve">Reviewed for Record Only / Information Only</t>
  </si>
  <si>
    <t xml:space="preserve">S4 or S6 issued for information</t>
  </si>
  <si>
    <t xml:space="preserve">Status D - for information. No responsive action, no approval implied.</t>
  </si>
  <si>
    <t xml:space="preserve">SUBMITTAL CLASS - what it changes</t>
  </si>
  <si>
    <t xml:space="preserve">Requires the reviewer to take a responsive action. Gets a disposition code, blocks fabrication until returned, and counts in the turnaround metrics. Shop drawings, product data, samples, design data, design mixes, delegated design.</t>
  </si>
  <si>
    <t xml:space="preserve">Written information that needs no responsive action - it is received and acknowledged. Qualifications, certificates, test reports, field reports, manufacturer's instructions. Do not measure a reviewer's turnaround on these.</t>
  </si>
  <si>
    <t xml:space="preserve">Specified separately and delivered at the end - O&amp;M data, warranties, record drawings, spare parts, training. Put them on the log from day one; they are the items that hold up the final certificate.</t>
  </si>
  <si>
    <t xml:space="preserve">STATUS DEFINITIONS</t>
  </si>
  <si>
    <t xml:space="preserve">On the log, not yet issued by the Contractor. Its float is already running down.</t>
  </si>
  <si>
    <t xml:space="preserve">With the reviewer, inside the review period.</t>
  </si>
  <si>
    <t xml:space="preserve">Past the review due date. This is the column that supports - or defeats - a delay claim founded on slow review.</t>
  </si>
  <si>
    <t xml:space="preserve">Returned with an action that requires it to come back. The revision number goes up and the clock starts again.</t>
  </si>
  <si>
    <t xml:space="preserve">Returned with an action that lets the work proceed. No further submittal due.</t>
  </si>
  <si>
    <t xml:space="preserve">A later revision of the same specification section and sequence number is on the log. Set automatically - the row greys out and stays as the record of what was issued and when.</t>
  </si>
  <si>
    <t xml:space="preserve">Withdrawn, cancelled or no longer required - set the Void column to Yes. The row stays on the log and drops out of every open count.</t>
  </si>
  <si>
    <t xml:space="preserve">CELL CONVENTIONS</t>
  </si>
  <si>
    <t xml:space="preserve">You complete this</t>
  </si>
  <si>
    <t xml:space="preserve">Pale blue fill, blue text.</t>
  </si>
  <si>
    <t xml:space="preserve">Calculated</t>
  </si>
  <si>
    <t xml:space="preserve">Grey fill. A formula - do not type over it.</t>
  </si>
  <si>
    <t xml:space="preserve">Subtotal or total</t>
  </si>
  <si>
    <t xml:space="preserve">Light grey with a rule above.</t>
  </si>
  <si>
    <t xml:space="preserve">Section band</t>
  </si>
  <si>
    <t xml:space="preserve">Marks the start of a section.</t>
  </si>
  <si>
    <t xml:space="preserve">TERMINOLOGY - this log is written for a global audience</t>
  </si>
  <si>
    <t xml:space="preserve">The party who reviews and returns submittals. Called the Architect, the Engineer, the Superintendent or the Contract Administrator depending on your contract.</t>
  </si>
  <si>
    <t xml:space="preserve">Submittal</t>
  </si>
  <si>
    <t xml:space="preserve">Called a technical submission, a design submission or simply a submission outside the United States. Same thing.</t>
  </si>
  <si>
    <t xml:space="preserve">Specification section</t>
  </si>
  <si>
    <t xml:space="preserve">The six-digit MasterFormat number, e.g. 03 30 00. Outside the US, use your own specification reference - the log does not care, it only concatenates it into the submittal number.</t>
  </si>
  <si>
    <t xml:space="preserve">Program / Schedule</t>
  </si>
  <si>
    <t xml:space="preserve">Both mean the dated plan of works.</t>
  </si>
</sst>
</file>

<file path=xl/styles.xml><?xml version="1.0" encoding="utf-8"?>
<styleSheet xmlns="http://schemas.openxmlformats.org/spreadsheetml/2006/main">
  <numFmts count="7">
    <numFmt numFmtId="164" formatCode="General"/>
    <numFmt numFmtId="165" formatCode="#,##0"/>
    <numFmt numFmtId="166" formatCode="General"/>
    <numFmt numFmtId="167" formatCode="dd\ mmm\ yyyy"/>
    <numFmt numFmtId="168" formatCode="0;\-0;\-"/>
    <numFmt numFmtId="169" formatCode="0.0%"/>
    <numFmt numFmtId="170" formatCode="0;;\-"/>
  </numFmts>
  <fonts count="34">
    <font>
      <sz val="11"/>
      <color theme="1"/>
      <name val="Calibri"/>
      <family val="2"/>
      <charset val="1"/>
    </font>
    <font>
      <sz val="10"/>
      <name val="Arial"/>
      <family val="0"/>
    </font>
    <font>
      <sz val="10"/>
      <name val="Arial"/>
      <family val="0"/>
    </font>
    <font>
      <sz val="10"/>
      <name val="Arial"/>
      <family val="0"/>
    </font>
    <font>
      <b val="true"/>
      <sz val="25"/>
      <color rgb="FFFFFFFF"/>
      <name val="Inter"/>
      <family val="0"/>
      <charset val="1"/>
    </font>
    <font>
      <sz val="11"/>
      <color rgb="FF1D3245"/>
      <name val="Inter"/>
      <family val="0"/>
      <charset val="1"/>
    </font>
    <font>
      <b val="true"/>
      <sz val="11"/>
      <color rgb="FFFFFFFF"/>
      <name val="Inter"/>
      <family val="0"/>
      <charset val="1"/>
    </font>
    <font>
      <b val="true"/>
      <sz val="11"/>
      <color rgb="FF3480BC"/>
      <name val="Inter"/>
      <family val="0"/>
      <charset val="1"/>
    </font>
    <font>
      <b val="true"/>
      <sz val="10"/>
      <color rgb="FF1D3245"/>
      <name val="Inter"/>
      <family val="0"/>
      <charset val="1"/>
    </font>
    <font>
      <sz val="9.5"/>
      <color rgb="FF1D3245"/>
      <name val="Inter"/>
      <family val="0"/>
      <charset val="1"/>
    </font>
    <font>
      <b val="true"/>
      <sz val="9.5"/>
      <color rgb="FF0D3C61"/>
      <name val="Inter"/>
      <family val="0"/>
      <charset val="1"/>
    </font>
    <font>
      <b val="true"/>
      <u val="single"/>
      <sz val="10"/>
      <color rgb="FF3480BC"/>
      <name val="Inter"/>
      <family val="0"/>
      <charset val="1"/>
    </font>
    <font>
      <b val="true"/>
      <sz val="10"/>
      <color rgb="FF0D3C61"/>
      <name val="Inter"/>
      <family val="0"/>
      <charset val="1"/>
    </font>
    <font>
      <b val="true"/>
      <sz val="9.5"/>
      <color rgb="FFE31B0C"/>
      <name val="Inter"/>
      <family val="0"/>
      <charset val="1"/>
    </font>
    <font>
      <u val="single"/>
      <sz val="10"/>
      <color rgb="FF3480BC"/>
      <name val="Inter"/>
      <family val="0"/>
      <charset val="1"/>
    </font>
    <font>
      <b val="true"/>
      <sz val="13"/>
      <color rgb="FFFFFFFF"/>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i val="true"/>
      <sz val="9.5"/>
      <color rgb="FF8E98A2"/>
      <name val="Inter"/>
      <family val="0"/>
      <charset val="1"/>
    </font>
    <font>
      <b val="true"/>
      <sz val="13"/>
      <color rgb="FF0D3C61"/>
      <name val="Inter"/>
      <family val="0"/>
      <charset val="1"/>
    </font>
    <font>
      <u val="single"/>
      <sz val="8.5"/>
      <color rgb="FF3480BC"/>
      <name val="Inter"/>
      <family val="0"/>
      <charset val="1"/>
    </font>
    <font>
      <b val="true"/>
      <sz val="9.5"/>
      <color rgb="FF1D3245"/>
      <name val="Inter"/>
      <family val="0"/>
      <charset val="1"/>
    </font>
    <font>
      <sz val="9.5"/>
      <color rgb="FF0D3C61"/>
      <name val="Inter"/>
      <family val="0"/>
      <charset val="1"/>
    </font>
    <font>
      <i val="true"/>
      <sz val="9.5"/>
      <color rgb="FF039BE5"/>
      <name val="Inter"/>
      <family val="0"/>
      <charset val="1"/>
    </font>
    <font>
      <b val="true"/>
      <sz val="10"/>
      <color rgb="FFFFFFFF"/>
      <name val="Inter"/>
      <family val="0"/>
      <charset val="1"/>
    </font>
    <font>
      <sz val="9.5"/>
      <color rgb="FF8E98A2"/>
      <name val="Inter"/>
      <family val="0"/>
      <charset val="1"/>
    </font>
    <font>
      <b val="true"/>
      <sz val="10"/>
      <color rgb="FF039BE5"/>
      <name val="Inter"/>
      <family val="0"/>
      <charset val="1"/>
    </font>
    <font>
      <b val="true"/>
      <sz val="10"/>
      <color rgb="FF4CAF50"/>
      <name val="Inter"/>
      <family val="0"/>
      <charset val="1"/>
    </font>
    <font>
      <b val="true"/>
      <sz val="10"/>
      <color rgb="FFFFB547"/>
      <name val="Inter"/>
      <family val="0"/>
      <charset val="1"/>
    </font>
    <font>
      <b val="true"/>
      <sz val="10"/>
      <color rgb="FFEC6917"/>
      <name val="Inter"/>
      <family val="0"/>
      <charset val="1"/>
    </font>
    <font>
      <b val="true"/>
      <sz val="10"/>
      <color rgb="FFE31B0C"/>
      <name val="Inter"/>
      <family val="0"/>
      <charset val="1"/>
    </font>
    <font>
      <b val="true"/>
      <sz val="9.5"/>
      <color rgb="FFFFFFFF"/>
      <name val="Inter"/>
      <family val="0"/>
      <charset val="1"/>
    </font>
    <font>
      <b val="true"/>
      <sz val="9.5"/>
      <color rgb="FFBDBDBD"/>
      <name val="Inter"/>
      <family val="0"/>
      <charset val="1"/>
    </font>
  </fonts>
  <fills count="17">
    <fill>
      <patternFill patternType="none"/>
    </fill>
    <fill>
      <patternFill patternType="gray125"/>
    </fill>
    <fill>
      <patternFill patternType="solid">
        <fgColor rgb="FF1D3245"/>
        <bgColor rgb="FF0D3C61"/>
      </patternFill>
    </fill>
    <fill>
      <patternFill patternType="solid">
        <fgColor rgb="FF3480BC"/>
        <bgColor rgb="FF008080"/>
      </patternFill>
    </fill>
    <fill>
      <patternFill patternType="solid">
        <fgColor rgb="FF0D3C61"/>
        <bgColor rgb="FF1D3245"/>
      </patternFill>
    </fill>
    <fill>
      <patternFill patternType="solid">
        <fgColor rgb="FFDCE9F4"/>
        <bgColor rgb="FFE3F0FA"/>
      </patternFill>
    </fill>
    <fill>
      <patternFill patternType="solid">
        <fgColor rgb="FFFFFFFF"/>
        <bgColor rgb="FFF5F5F5"/>
      </patternFill>
    </fill>
    <fill>
      <patternFill patternType="solid">
        <fgColor rgb="FFF5F5F5"/>
        <bgColor rgb="FFEEEEEE"/>
      </patternFill>
    </fill>
    <fill>
      <patternFill patternType="solid">
        <fgColor rgb="FFFFF4E0"/>
        <bgColor rgb="FFFDEBE9"/>
      </patternFill>
    </fill>
    <fill>
      <patternFill patternType="solid">
        <fgColor rgb="FFE3F0FA"/>
        <bgColor rgb="FFDCE9F4"/>
      </patternFill>
    </fill>
    <fill>
      <patternFill patternType="solid">
        <fgColor rgb="FFEEEEEE"/>
        <bgColor rgb="FFF5F5F5"/>
      </patternFill>
    </fill>
    <fill>
      <patternFill patternType="solid">
        <fgColor rgb="FFE0E0E0"/>
        <bgColor rgb="FFDCE9F4"/>
      </patternFill>
    </fill>
    <fill>
      <patternFill patternType="solid">
        <fgColor rgb="FF64B6F7"/>
        <bgColor rgb="FF33CCCC"/>
      </patternFill>
    </fill>
    <fill>
      <patternFill patternType="solid">
        <fgColor rgb="FFE31B0C"/>
        <bgColor rgb="FF993300"/>
      </patternFill>
    </fill>
    <fill>
      <patternFill patternType="solid">
        <fgColor rgb="FFEC6917"/>
        <bgColor rgb="FFFF9900"/>
      </patternFill>
    </fill>
    <fill>
      <patternFill patternType="solid">
        <fgColor rgb="FF4CAF50"/>
        <bgColor rgb="FF8E98A2"/>
      </patternFill>
    </fill>
    <fill>
      <patternFill patternType="solid">
        <fgColor rgb="FFBDBDBD"/>
        <bgColor rgb="FFE0E0E0"/>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center" vertical="top" textRotation="0" wrapText="false" indent="0"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0" fillId="6" borderId="2" xfId="0" applyFont="false" applyBorder="true" applyAlignment="false" applyProtection="false">
      <alignment horizontal="general" vertical="bottom" textRotation="0" wrapText="false" indent="0" shrinkToFit="false"/>
      <protection locked="true" hidden="false"/>
    </xf>
    <xf numFmtId="164" fontId="11" fillId="6" borderId="2" xfId="0" applyFont="true" applyBorder="true" applyAlignment="true" applyProtection="false">
      <alignment horizontal="left" vertical="center" textRotation="0" wrapText="false" indent="1" shrinkToFit="false"/>
      <protection locked="true" hidden="false"/>
    </xf>
    <xf numFmtId="164" fontId="9" fillId="6" borderId="2" xfId="0" applyFont="true" applyBorder="true" applyAlignment="true" applyProtection="false">
      <alignment horizontal="left" vertical="center" textRotation="0" wrapText="true" indent="1" shrinkToFit="false"/>
      <protection locked="true" hidden="false"/>
    </xf>
    <xf numFmtId="164" fontId="0" fillId="7" borderId="2" xfId="0" applyFont="false" applyBorder="true" applyAlignment="false" applyProtection="false">
      <alignment horizontal="general" vertical="bottom" textRotation="0" wrapText="false" indent="0" shrinkToFit="false"/>
      <protection locked="true" hidden="false"/>
    </xf>
    <xf numFmtId="164" fontId="11" fillId="7" borderId="2" xfId="0" applyFont="true" applyBorder="true" applyAlignment="true" applyProtection="false">
      <alignment horizontal="left" vertical="center" textRotation="0" wrapText="false" indent="1" shrinkToFit="false"/>
      <protection locked="true" hidden="false"/>
    </xf>
    <xf numFmtId="164" fontId="9" fillId="7" borderId="2" xfId="0" applyFont="true" applyBorder="true" applyAlignment="true" applyProtection="false">
      <alignment horizontal="left" vertical="center" textRotation="0" wrapText="true" indent="1" shrinkToFit="false"/>
      <protection locked="true" hidden="false"/>
    </xf>
    <xf numFmtId="164" fontId="12" fillId="0" borderId="0" xfId="0" applyFont="true" applyBorder="true" applyAlignment="true" applyProtection="false">
      <alignment horizontal="left" vertical="top" textRotation="0" wrapText="true" indent="1" shrinkToFit="false"/>
      <protection locked="true" hidden="false"/>
    </xf>
    <xf numFmtId="164" fontId="13" fillId="0" borderId="0" xfId="0" applyFont="true" applyBorder="true" applyAlignment="true" applyProtection="false">
      <alignment horizontal="left" vertical="center" textRotation="0" wrapText="false" indent="1" shrinkToFit="false"/>
      <protection locked="true" hidden="false"/>
    </xf>
    <xf numFmtId="164" fontId="9" fillId="8" borderId="2" xfId="0" applyFont="true" applyBorder="true" applyAlignment="true" applyProtection="false">
      <alignment horizontal="left" vertical="top" textRotation="0" wrapText="true" indent="1" shrinkToFit="false"/>
      <protection locked="true" hidden="false"/>
    </xf>
    <xf numFmtId="164" fontId="14" fillId="0" borderId="0" xfId="0" applyFont="true" applyBorder="true" applyAlignment="true" applyProtection="false">
      <alignment horizontal="left" vertical="center" textRotation="0" wrapText="false" indent="1" shrinkToFit="false"/>
      <protection locked="true" hidden="false"/>
    </xf>
    <xf numFmtId="164" fontId="15" fillId="2" borderId="0" xfId="0" applyFont="true" applyBorder="true" applyAlignment="true" applyProtection="false">
      <alignment horizontal="left" vertical="center" textRotation="0" wrapText="false" indent="15" shrinkToFit="false"/>
      <protection locked="true" hidden="false"/>
    </xf>
    <xf numFmtId="164" fontId="6" fillId="3" borderId="0" xfId="0" applyFont="true" applyBorder="true" applyAlignment="true" applyProtection="false">
      <alignment horizontal="left" vertical="center" textRotation="0" wrapText="false" indent="1" shrinkToFit="false"/>
      <protection locked="true" hidden="false"/>
    </xf>
    <xf numFmtId="164" fontId="16" fillId="0" borderId="0" xfId="0" applyFont="true" applyBorder="true" applyAlignment="true" applyProtection="false">
      <alignment horizontal="left" vertical="top" textRotation="0" wrapText="true" indent="1" shrinkToFit="false"/>
      <protection locked="true" hidden="false"/>
    </xf>
    <xf numFmtId="164" fontId="17" fillId="0" borderId="0" xfId="0" applyFont="true" applyBorder="true" applyAlignment="true" applyProtection="false">
      <alignment horizontal="left" vertical="center" textRotation="0" wrapText="true" indent="1" shrinkToFit="false"/>
      <protection locked="true" hidden="false"/>
    </xf>
    <xf numFmtId="164" fontId="18" fillId="9" borderId="2" xfId="0" applyFont="true" applyBorder="true" applyAlignment="true" applyProtection="false">
      <alignment horizontal="left" vertical="center" textRotation="0" wrapText="false" indent="1" shrinkToFit="false"/>
      <protection locked="true" hidden="false"/>
    </xf>
    <xf numFmtId="164" fontId="19" fillId="0" borderId="0" xfId="0" applyFont="true" applyBorder="true" applyAlignment="true" applyProtection="false">
      <alignment horizontal="left" vertical="center" textRotation="0" wrapText="true" indent="1" shrinkToFit="false"/>
      <protection locked="true" hidden="false"/>
    </xf>
    <xf numFmtId="165" fontId="18" fillId="9" borderId="2" xfId="0" applyFont="true" applyBorder="true" applyAlignment="true" applyProtection="false">
      <alignment horizontal="left" vertical="center" textRotation="0" wrapText="false" indent="1" shrinkToFit="false"/>
      <protection locked="true" hidden="false"/>
    </xf>
    <xf numFmtId="164" fontId="17" fillId="10" borderId="2" xfId="0" applyFont="true" applyBorder="true" applyAlignment="true" applyProtection="false">
      <alignment horizontal="left" vertical="center" textRotation="0" wrapText="false" indent="1" shrinkToFit="false"/>
      <protection locked="true" hidden="false"/>
    </xf>
    <xf numFmtId="165" fontId="20" fillId="10" borderId="2" xfId="0" applyFont="true" applyBorder="true" applyAlignment="true" applyProtection="false">
      <alignment horizontal="center" vertical="center" textRotation="0" wrapText="false" indent="0" shrinkToFit="false"/>
      <protection locked="true" hidden="false"/>
    </xf>
    <xf numFmtId="164" fontId="21" fillId="0" borderId="0" xfId="0" applyFont="true" applyBorder="true" applyAlignment="true" applyProtection="false">
      <alignment horizontal="right" vertical="center" textRotation="0" wrapText="false" indent="0" shrinkToFit="false"/>
      <protection locked="true" hidden="false"/>
    </xf>
    <xf numFmtId="164" fontId="22" fillId="0" borderId="0"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6" fontId="9" fillId="10" borderId="2" xfId="0" applyFont="true" applyBorder="true" applyAlignment="true" applyProtection="false">
      <alignment horizontal="center" vertical="center" textRotation="0" wrapText="true" indent="0" shrinkToFit="false"/>
      <protection locked="true" hidden="false"/>
    </xf>
    <xf numFmtId="164" fontId="9" fillId="10" borderId="2" xfId="0" applyFont="true" applyBorder="true" applyAlignment="true" applyProtection="false">
      <alignment horizontal="left" vertical="top" textRotation="0" wrapText="true" indent="1" shrinkToFit="false"/>
      <protection locked="true" hidden="false"/>
    </xf>
    <xf numFmtId="164" fontId="23" fillId="6" borderId="2" xfId="0" applyFont="true" applyBorder="true" applyAlignment="true" applyProtection="false">
      <alignment horizontal="left" vertical="top" textRotation="0" wrapText="true" indent="1" shrinkToFit="false"/>
      <protection locked="true" hidden="false"/>
    </xf>
    <xf numFmtId="164" fontId="23" fillId="6" borderId="2" xfId="0" applyFont="true" applyBorder="true" applyAlignment="true" applyProtection="false">
      <alignment horizontal="center" vertical="center" textRotation="0" wrapText="true" indent="0" shrinkToFit="false"/>
      <protection locked="true" hidden="false"/>
    </xf>
    <xf numFmtId="164" fontId="9" fillId="10" borderId="2" xfId="0" applyFont="true" applyBorder="true" applyAlignment="true" applyProtection="false">
      <alignment horizontal="center" vertical="center" textRotation="0" wrapText="true" indent="0" shrinkToFit="false"/>
      <protection locked="true" hidden="false"/>
    </xf>
    <xf numFmtId="167" fontId="23" fillId="6" borderId="2" xfId="0" applyFont="true" applyBorder="true" applyAlignment="true" applyProtection="false">
      <alignment horizontal="center" vertical="center" textRotation="0" wrapText="false" indent="0" shrinkToFit="false"/>
      <protection locked="true" hidden="false"/>
    </xf>
    <xf numFmtId="167" fontId="9" fillId="10" borderId="2" xfId="0" applyFont="true" applyBorder="true" applyAlignment="true" applyProtection="false">
      <alignment horizontal="center" vertical="center" textRotation="0" wrapText="false" indent="0" shrinkToFit="false"/>
      <protection locked="true" hidden="false"/>
    </xf>
    <xf numFmtId="168" fontId="9" fillId="10" borderId="2" xfId="0" applyFont="true" applyBorder="true" applyAlignment="true" applyProtection="false">
      <alignment horizontal="center" vertical="center" textRotation="0" wrapText="true" indent="0" shrinkToFit="false"/>
      <protection locked="true" hidden="false"/>
    </xf>
    <xf numFmtId="164" fontId="9" fillId="6" borderId="2" xfId="0" applyFont="true" applyBorder="true" applyAlignment="true" applyProtection="false">
      <alignment horizontal="center" vertical="center" textRotation="0" wrapText="true" indent="0" shrinkToFit="false"/>
      <protection locked="true" hidden="false"/>
    </xf>
    <xf numFmtId="164" fontId="9" fillId="6" borderId="2" xfId="0" applyFont="true" applyBorder="true" applyAlignment="true" applyProtection="false">
      <alignment horizontal="left" vertical="top" textRotation="0" wrapText="true" indent="1" shrinkToFit="false"/>
      <protection locked="true" hidden="false"/>
    </xf>
    <xf numFmtId="164" fontId="24" fillId="6" borderId="2" xfId="0" applyFont="true" applyBorder="true" applyAlignment="true" applyProtection="false">
      <alignment horizontal="left" vertical="top" textRotation="0" wrapText="true" indent="1" shrinkToFit="false"/>
      <protection locked="true" hidden="false"/>
    </xf>
    <xf numFmtId="164" fontId="23" fillId="7" borderId="2" xfId="0" applyFont="true" applyBorder="true" applyAlignment="true" applyProtection="false">
      <alignment horizontal="left" vertical="top" textRotation="0" wrapText="true" indent="1" shrinkToFit="false"/>
      <protection locked="true" hidden="false"/>
    </xf>
    <xf numFmtId="164" fontId="23" fillId="7" borderId="2" xfId="0" applyFont="true" applyBorder="true" applyAlignment="true" applyProtection="false">
      <alignment horizontal="center" vertical="center" textRotation="0" wrapText="true" indent="0" shrinkToFit="false"/>
      <protection locked="true" hidden="false"/>
    </xf>
    <xf numFmtId="167" fontId="23" fillId="7" borderId="2" xfId="0" applyFont="true" applyBorder="true" applyAlignment="true" applyProtection="false">
      <alignment horizontal="center" vertical="center" textRotation="0" wrapText="false" indent="0" shrinkToFit="false"/>
      <protection locked="true" hidden="false"/>
    </xf>
    <xf numFmtId="164" fontId="9" fillId="7" borderId="2" xfId="0" applyFont="true" applyBorder="true" applyAlignment="true" applyProtection="false">
      <alignment horizontal="center" vertical="center" textRotation="0" wrapText="true" indent="0" shrinkToFit="false"/>
      <protection locked="true" hidden="false"/>
    </xf>
    <xf numFmtId="164" fontId="9" fillId="7" borderId="2" xfId="0" applyFont="true" applyBorder="true" applyAlignment="true" applyProtection="false">
      <alignment horizontal="left" vertical="top" textRotation="0" wrapText="true" indent="1" shrinkToFit="false"/>
      <protection locked="true" hidden="false"/>
    </xf>
    <xf numFmtId="164" fontId="24" fillId="7" borderId="2" xfId="0" applyFont="true" applyBorder="true" applyAlignment="true" applyProtection="false">
      <alignment horizontal="left" vertical="top" textRotation="0" wrapText="true" indent="1" shrinkToFit="false"/>
      <protection locked="true" hidden="false"/>
    </xf>
    <xf numFmtId="169" fontId="20" fillId="10" borderId="2" xfId="0" applyFont="true" applyBorder="true" applyAlignment="true" applyProtection="false">
      <alignment horizontal="center" vertical="center" textRotation="0" wrapText="false" indent="0" shrinkToFit="false"/>
      <protection locked="true" hidden="false"/>
    </xf>
    <xf numFmtId="164" fontId="25" fillId="3" borderId="0" xfId="0" applyFont="true" applyBorder="true" applyAlignment="true" applyProtection="false">
      <alignment horizontal="left" vertical="center" textRotation="0" wrapText="false" indent="1" shrinkToFit="false"/>
      <protection locked="true" hidden="false"/>
    </xf>
    <xf numFmtId="170" fontId="8" fillId="6" borderId="2" xfId="0" applyFont="true" applyBorder="true" applyAlignment="true" applyProtection="false">
      <alignment horizontal="center" vertical="center" textRotation="0" wrapText="false" indent="0" shrinkToFit="false"/>
      <protection locked="true" hidden="false"/>
    </xf>
    <xf numFmtId="169" fontId="26" fillId="6" borderId="2" xfId="0" applyFont="true" applyBorder="true" applyAlignment="true" applyProtection="false">
      <alignment horizontal="center" vertical="center" textRotation="0" wrapText="false" indent="0" shrinkToFit="false"/>
      <protection locked="true" hidden="false"/>
    </xf>
    <xf numFmtId="164" fontId="27" fillId="6" borderId="2" xfId="0" applyFont="true" applyBorder="true" applyAlignment="true" applyProtection="false">
      <alignment horizontal="left" vertical="center" textRotation="0" wrapText="false" indent="1" shrinkToFit="false"/>
      <protection locked="true" hidden="false"/>
    </xf>
    <xf numFmtId="170" fontId="8" fillId="7" borderId="2" xfId="0" applyFont="true" applyBorder="true" applyAlignment="true" applyProtection="false">
      <alignment horizontal="center" vertical="center" textRotation="0" wrapText="false" indent="0" shrinkToFit="false"/>
      <protection locked="true" hidden="false"/>
    </xf>
    <xf numFmtId="169" fontId="26" fillId="7" borderId="2" xfId="0" applyFont="true" applyBorder="true" applyAlignment="true" applyProtection="false">
      <alignment horizontal="center" vertical="center" textRotation="0" wrapText="false" indent="0" shrinkToFit="false"/>
      <protection locked="true" hidden="false"/>
    </xf>
    <xf numFmtId="164" fontId="27" fillId="7" borderId="2" xfId="0" applyFont="true" applyBorder="true" applyAlignment="true" applyProtection="false">
      <alignment horizontal="left" vertical="center" textRotation="0" wrapText="false" indent="1" shrinkToFit="false"/>
      <protection locked="true" hidden="false"/>
    </xf>
    <xf numFmtId="164" fontId="9" fillId="6" borderId="2" xfId="0" applyFont="true" applyBorder="true" applyAlignment="true" applyProtection="false">
      <alignment horizontal="left" vertical="center" textRotation="0" wrapText="false" indent="1" shrinkToFit="false"/>
      <protection locked="true" hidden="false"/>
    </xf>
    <xf numFmtId="164" fontId="28" fillId="6" borderId="2" xfId="0" applyFont="true" applyBorder="true" applyAlignment="true" applyProtection="false">
      <alignment horizontal="left" vertical="center" textRotation="0" wrapText="false" indent="1" shrinkToFit="false"/>
      <protection locked="true" hidden="false"/>
    </xf>
    <xf numFmtId="164" fontId="9" fillId="7" borderId="2" xfId="0" applyFont="true" applyBorder="true" applyAlignment="true" applyProtection="false">
      <alignment horizontal="left" vertical="center" textRotation="0" wrapText="false" indent="1" shrinkToFit="false"/>
      <protection locked="true" hidden="false"/>
    </xf>
    <xf numFmtId="164" fontId="28" fillId="7" borderId="2" xfId="0" applyFont="true" applyBorder="true" applyAlignment="true" applyProtection="false">
      <alignment horizontal="left" vertical="center" textRotation="0" wrapText="false" indent="1" shrinkToFit="false"/>
      <protection locked="true" hidden="false"/>
    </xf>
    <xf numFmtId="164" fontId="29" fillId="6" borderId="2" xfId="0" applyFont="true" applyBorder="true" applyAlignment="true" applyProtection="false">
      <alignment horizontal="left" vertical="center" textRotation="0" wrapText="false" indent="1" shrinkToFit="false"/>
      <protection locked="true" hidden="false"/>
    </xf>
    <xf numFmtId="164" fontId="30" fillId="7" borderId="2" xfId="0" applyFont="true" applyBorder="true" applyAlignment="true" applyProtection="false">
      <alignment horizontal="left" vertical="center" textRotation="0" wrapText="false" indent="1" shrinkToFit="false"/>
      <protection locked="true" hidden="false"/>
    </xf>
    <xf numFmtId="164" fontId="31" fillId="6" borderId="2" xfId="0" applyFont="true" applyBorder="true" applyAlignment="true" applyProtection="false">
      <alignment horizontal="left" vertical="center" textRotation="0" wrapText="false" indent="1" shrinkToFit="false"/>
      <protection locked="true" hidden="false"/>
    </xf>
    <xf numFmtId="164" fontId="19" fillId="0" borderId="0" xfId="0" applyFont="true" applyBorder="true" applyAlignment="true" applyProtection="false">
      <alignment horizontal="left" vertical="top" textRotation="0" wrapText="true" indent="1" shrinkToFit="false"/>
      <protection locked="true" hidden="false"/>
    </xf>
    <xf numFmtId="164" fontId="9" fillId="0" borderId="2" xfId="0" applyFont="true" applyBorder="true" applyAlignment="true" applyProtection="false">
      <alignment horizontal="left" vertical="center" textRotation="0" wrapText="false" indent="1" shrinkToFit="false"/>
      <protection locked="true" hidden="false"/>
    </xf>
    <xf numFmtId="164" fontId="32" fillId="3" borderId="0" xfId="0" applyFont="true" applyBorder="true" applyAlignment="true" applyProtection="false">
      <alignment horizontal="left" vertical="center" textRotation="0" wrapText="false" indent="1" shrinkToFit="false"/>
      <protection locked="true" hidden="false"/>
    </xf>
    <xf numFmtId="164" fontId="9" fillId="0" borderId="2" xfId="0" applyFont="true" applyBorder="true" applyAlignment="true" applyProtection="false">
      <alignment horizontal="center" vertical="center" textRotation="0" wrapText="false" indent="0" shrinkToFit="false"/>
      <protection locked="true" hidden="false"/>
    </xf>
    <xf numFmtId="164" fontId="32" fillId="3" borderId="0" xfId="0" applyFont="true" applyBorder="false" applyAlignment="true" applyProtection="false">
      <alignment horizontal="left" vertical="center" textRotation="0" wrapText="false" indent="1" shrinkToFit="false"/>
      <protection locked="true" hidden="false"/>
    </xf>
    <xf numFmtId="164" fontId="10" fillId="7" borderId="2" xfId="0" applyFont="true" applyBorder="true" applyAlignment="true" applyProtection="false">
      <alignment horizontal="left" vertical="top" textRotation="0" wrapText="true" indent="1" shrinkToFit="false"/>
      <protection locked="true" hidden="false"/>
    </xf>
    <xf numFmtId="164" fontId="9" fillId="0" borderId="2" xfId="0" applyFont="true" applyBorder="true" applyAlignment="true" applyProtection="false">
      <alignment horizontal="left" vertical="top" textRotation="0" wrapText="true" indent="1"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left" vertical="center" textRotation="0" wrapText="true" indent="1" shrinkToFit="false"/>
      <protection locked="true" hidden="false"/>
    </xf>
    <xf numFmtId="164" fontId="10" fillId="0" borderId="2" xfId="0" applyFont="true" applyBorder="true" applyAlignment="true" applyProtection="false">
      <alignment horizontal="left" vertical="center" textRotation="0" wrapText="true" indent="1" shrinkToFit="false"/>
      <protection locked="true" hidden="false"/>
    </xf>
    <xf numFmtId="164" fontId="10" fillId="7" borderId="2" xfId="0" applyFont="true" applyBorder="true" applyAlignment="true" applyProtection="false">
      <alignment horizontal="left" vertical="top" textRotation="0" wrapText="false" indent="1" shrinkToFit="false"/>
      <protection locked="true" hidden="false"/>
    </xf>
    <xf numFmtId="164" fontId="22" fillId="11"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1" shrinkToFit="false"/>
      <protection locked="true" hidden="false"/>
    </xf>
    <xf numFmtId="164" fontId="22" fillId="12" borderId="2" xfId="0" applyFont="true" applyBorder="true" applyAlignment="true" applyProtection="false">
      <alignment horizontal="center" vertical="center" textRotation="0" wrapText="false" indent="0" shrinkToFit="false"/>
      <protection locked="true" hidden="false"/>
    </xf>
    <xf numFmtId="164" fontId="32" fillId="13" borderId="2" xfId="0" applyFont="true" applyBorder="true" applyAlignment="true" applyProtection="false">
      <alignment horizontal="center" vertical="center" textRotation="0" wrapText="false" indent="0" shrinkToFit="false"/>
      <protection locked="true" hidden="false"/>
    </xf>
    <xf numFmtId="164" fontId="32" fillId="14" borderId="2" xfId="0" applyFont="true" applyBorder="true" applyAlignment="true" applyProtection="false">
      <alignment horizontal="center" vertical="center" textRotation="0" wrapText="false" indent="0" shrinkToFit="false"/>
      <protection locked="true" hidden="false"/>
    </xf>
    <xf numFmtId="164" fontId="22" fillId="15" borderId="2" xfId="0" applyFont="true" applyBorder="true" applyAlignment="true" applyProtection="false">
      <alignment horizontal="center" vertical="center" textRotation="0" wrapText="false" indent="0" shrinkToFit="false"/>
      <protection locked="true" hidden="false"/>
    </xf>
    <xf numFmtId="164" fontId="33" fillId="10" borderId="2" xfId="0" applyFont="true" applyBorder="true" applyAlignment="true" applyProtection="false">
      <alignment horizontal="center" vertical="center" textRotation="0" wrapText="false" indent="0" shrinkToFit="false"/>
      <protection locked="true" hidden="false"/>
    </xf>
    <xf numFmtId="164" fontId="22" fillId="16" borderId="2" xfId="0" applyFont="true" applyBorder="true" applyAlignment="true" applyProtection="false">
      <alignment horizontal="center" vertical="center" textRotation="0" wrapText="false" indent="0" shrinkToFit="false"/>
      <protection locked="true" hidden="false"/>
    </xf>
    <xf numFmtId="164" fontId="10" fillId="9"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1" shrinkToFit="false"/>
      <protection locked="true" hidden="false"/>
    </xf>
    <xf numFmtId="164" fontId="22" fillId="10" borderId="2" xfId="0" applyFont="true" applyBorder="true" applyAlignment="true" applyProtection="false">
      <alignment horizontal="center" vertical="center" textRotation="0" wrapText="false" indent="0" shrinkToFit="false"/>
      <protection locked="true" hidden="false"/>
    </xf>
    <xf numFmtId="164" fontId="32" fillId="4" borderId="2"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1">
    <dxf>
      <font>
        <name val="Inter"/>
        <charset val="1"/>
        <family val="0"/>
        <b val="1"/>
        <color rgb="FFE31B0C"/>
        <sz val="13"/>
      </font>
    </dxf>
    <dxf>
      <fill>
        <patternFill patternType="solid">
          <fgColor rgb="FFDCE9F4"/>
          <bgColor rgb="FF000000"/>
        </patternFill>
      </fill>
    </dxf>
    <dxf>
      <fill>
        <patternFill patternType="solid">
          <fgColor rgb="FFEEEEEE"/>
          <bgColor rgb="FF000000"/>
        </patternFill>
      </fill>
    </dxf>
    <dxf>
      <fill>
        <patternFill patternType="solid">
          <fgColor rgb="FF0D3C61"/>
          <bgColor rgb="FF000000"/>
        </patternFill>
      </fill>
    </dxf>
    <dxf>
      <fill>
        <patternFill patternType="solid">
          <fgColor rgb="FF1D3245"/>
          <bgColor rgb="FF000000"/>
        </patternFill>
      </fill>
    </dxf>
    <dxf>
      <fill>
        <patternFill patternType="solid">
          <fgColor rgb="FFBDBDBD"/>
          <bgColor rgb="FF000000"/>
        </patternFill>
      </fill>
    </dxf>
    <dxf>
      <fill>
        <patternFill patternType="solid">
          <fgColor rgb="FFF5F5F5"/>
          <bgColor rgb="FF000000"/>
        </patternFill>
      </fill>
    </dxf>
    <dxf>
      <fill>
        <patternFill patternType="solid">
          <fgColor rgb="FFFFFFFF"/>
          <bgColor rgb="FF000000"/>
        </patternFill>
      </fill>
    </dxf>
    <dxf>
      <fill>
        <patternFill patternType="solid">
          <fgColor rgb="FFE3F0FA"/>
          <bgColor rgb="FF000000"/>
        </patternFill>
      </fill>
    </dxf>
    <dxf>
      <fill>
        <patternFill patternType="solid">
          <fgColor rgb="FFFDEBE9"/>
          <bgColor rgb="FF000000"/>
        </patternFill>
      </fill>
    </dxf>
    <dxf>
      <fill>
        <patternFill patternType="solid">
          <fgColor rgb="FFE31B0C"/>
          <bgColor rgb="FF000000"/>
        </patternFill>
      </fill>
    </dxf>
    <dxf>
      <fill>
        <patternFill patternType="solid">
          <fgColor rgb="FF4CAF50"/>
          <bgColor rgb="FF000000"/>
        </patternFill>
      </fill>
    </dxf>
    <dxf>
      <fill>
        <patternFill patternType="solid">
          <fgColor rgb="FF64B6F7"/>
          <bgColor rgb="FF000000"/>
        </patternFill>
      </fill>
    </dxf>
    <dxf>
      <fill>
        <patternFill patternType="solid">
          <fgColor rgb="FFE0E0E0"/>
          <bgColor rgb="FF000000"/>
        </patternFill>
      </fill>
    </dxf>
    <dxf>
      <fill>
        <patternFill patternType="solid">
          <fgColor rgb="FFEC6917"/>
          <bgColor rgb="FF000000"/>
        </patternFill>
      </fill>
    </dxf>
    <dxf>
      <fill>
        <patternFill patternType="solid">
          <fgColor rgb="FFFFB547"/>
          <bgColor rgb="FF000000"/>
        </patternFill>
      </fill>
    </dxf>
    <dxf>
      <fill>
        <patternFill patternType="solid">
          <fgColor rgb="FFFFF4E0"/>
          <bgColor rgb="FF000000"/>
        </patternFill>
      </fill>
    </dxf>
    <dxf>
      <fill>
        <patternFill patternType="solid">
          <fgColor rgb="FF039BE5"/>
          <bgColor rgb="FF000000"/>
        </patternFill>
      </fill>
    </dxf>
    <dxf>
      <fill>
        <patternFill>
          <bgColor rgb="FFFFF4E0"/>
        </patternFill>
      </fill>
    </dxf>
    <dxf>
      <font>
        <name val="Inter"/>
        <charset val="1"/>
        <family val="0"/>
        <b val="1"/>
        <color rgb="FF1D3245"/>
        <sz val="9"/>
      </font>
      <fill>
        <patternFill>
          <bgColor rgb="FFE0E0E0"/>
        </patternFill>
      </fill>
    </dxf>
    <dxf>
      <font>
        <name val="Inter"/>
        <charset val="1"/>
        <family val="0"/>
        <b val="1"/>
        <color rgb="FF1D3245"/>
        <sz val="9"/>
      </font>
      <fill>
        <patternFill>
          <bgColor rgb="FF64B6F7"/>
        </patternFill>
      </fill>
    </dxf>
    <dxf>
      <font>
        <name val="Inter"/>
        <charset val="1"/>
        <family val="0"/>
        <b val="1"/>
        <color rgb="FFFFFFFF"/>
        <sz val="9"/>
      </font>
      <fill>
        <patternFill>
          <bgColor rgb="FFE31B0C"/>
        </patternFill>
      </fill>
    </dxf>
    <dxf>
      <font>
        <name val="Inter"/>
        <charset val="1"/>
        <family val="0"/>
        <b val="1"/>
        <color rgb="FFFFFFFF"/>
        <sz val="9"/>
      </font>
      <fill>
        <patternFill>
          <bgColor rgb="FFEC6917"/>
        </patternFill>
      </fill>
    </dxf>
    <dxf>
      <font>
        <name val="Inter"/>
        <charset val="1"/>
        <family val="0"/>
        <b val="1"/>
        <color rgb="FF1D3245"/>
        <sz val="9"/>
      </font>
      <fill>
        <patternFill>
          <bgColor rgb="FF4CAF50"/>
        </patternFill>
      </fill>
    </dxf>
    <dxf>
      <font>
        <name val="Inter"/>
        <charset val="1"/>
        <family val="0"/>
        <b val="1"/>
        <color rgb="FFBDBDBD"/>
        <sz val="9"/>
      </font>
      <fill>
        <patternFill>
          <bgColor rgb="FFEEEEEE"/>
        </patternFill>
      </fill>
    </dxf>
    <dxf>
      <font>
        <name val="Inter"/>
        <charset val="1"/>
        <family val="0"/>
        <b val="1"/>
        <color rgb="FF1D3245"/>
        <sz val="9"/>
      </font>
      <fill>
        <patternFill>
          <bgColor rgb="FFBDBDBD"/>
        </patternFill>
      </fill>
    </dxf>
    <dxf>
      <font>
        <name val="Inter"/>
        <charset val="1"/>
        <family val="0"/>
        <b val="1"/>
        <color rgb="FF1D3245"/>
        <sz val="9"/>
      </font>
      <fill>
        <patternFill>
          <bgColor rgb="FFFFB547"/>
        </patternFill>
      </fill>
    </dxf>
    <dxf>
      <font>
        <name val="Inter"/>
        <charset val="1"/>
        <family val="0"/>
        <b val="1"/>
        <color rgb="FF1D3245"/>
        <sz val="9"/>
      </font>
      <fill>
        <patternFill>
          <bgColor rgb="FFFFF4E0"/>
        </patternFill>
      </fill>
    </dxf>
    <dxf>
      <font>
        <name val="Inter"/>
        <charset val="1"/>
        <family val="0"/>
        <b val="1"/>
        <color rgb="FF0D3C61"/>
        <sz val="9"/>
      </font>
      <fill>
        <patternFill>
          <bgColor rgb="FFE3F0FA"/>
        </patternFill>
      </fill>
    </dxf>
    <dxf>
      <font>
        <name val="Inter"/>
        <charset val="1"/>
        <family val="0"/>
        <b val="1"/>
        <color rgb="FFE31B0C"/>
        <sz val="9"/>
      </font>
      <fill>
        <patternFill>
          <bgColor rgb="FFFDEBE9"/>
        </patternFill>
      </fill>
    </dxf>
    <dxf>
      <font>
        <name val="Inter"/>
        <charset val="1"/>
        <family val="0"/>
        <color rgb="FFBDBDBD"/>
        <sz val="9"/>
      </font>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BDBDBD"/>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39BE5"/>
      <rgbColor rgb="FFDCE9F4"/>
      <rgbColor rgb="FFEEEEEE"/>
      <rgbColor rgb="FFFDEBE9"/>
      <rgbColor rgb="FF64B6F7"/>
      <rgbColor rgb="FFFF99CC"/>
      <rgbColor rgb="FFCC99FF"/>
      <rgbColor rgb="FFF5F5F5"/>
      <rgbColor rgb="FF3480BC"/>
      <rgbColor rgb="FF33CCCC"/>
      <rgbColor rgb="FF99CC00"/>
      <rgbColor rgb="FFFFB547"/>
      <rgbColor rgb="FFFF9900"/>
      <rgbColor rgb="FFEC6917"/>
      <rgbColor rgb="FF666699"/>
      <rgbColor rgb="FF8E98A2"/>
      <rgbColor rgb="FF0D3C61"/>
      <rgbColor rgb="FF4CAF50"/>
      <rgbColor rgb="FF0C1628"/>
      <rgbColor rgb="FF333300"/>
      <rgbColor rgb="FF993300"/>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57240</xdr:colOff>
      <xdr:row>2</xdr:row>
      <xdr:rowOff>76320</xdr:rowOff>
    </xdr:from>
    <xdr:to>
      <xdr:col>3</xdr:col>
      <xdr:colOff>159840</xdr:colOff>
      <xdr:row>5</xdr:row>
      <xdr:rowOff>66600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423720" y="409680"/>
          <a:ext cx="2076120" cy="618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599760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B1:G5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
    <col collapsed="false" customWidth="true" hidden="false" outlineLevel="0" max="3" min="3" style="0" width="28"/>
    <col collapsed="false" customWidth="true" hidden="false" outlineLevel="0" max="6" min="4" style="0" width="20"/>
    <col collapsed="false" customWidth="true" hidden="false" outlineLevel="0" max="7" min="7" style="0" width="18"/>
    <col collapsed="false" customWidth="true" hidden="false" outlineLevel="0" max="8" min="8" style="0" width="2.2"/>
  </cols>
  <sheetData>
    <row r="1" customFormat="false" ht="9.75" hidden="false" customHeight="true" outlineLevel="0" collapsed="false"/>
    <row r="2" customFormat="false" ht="16.5" hidden="false" customHeight="true" outlineLevel="0" collapsed="false">
      <c r="B2" s="1"/>
      <c r="C2" s="1"/>
      <c r="D2" s="1"/>
      <c r="E2" s="1"/>
      <c r="F2" s="1"/>
      <c r="G2" s="1"/>
    </row>
    <row r="3" customFormat="false" ht="16.5" hidden="false" customHeight="true" outlineLevel="0" collapsed="false">
      <c r="B3" s="1"/>
      <c r="C3" s="1"/>
      <c r="D3" s="1"/>
      <c r="E3" s="1"/>
      <c r="F3" s="1"/>
      <c r="G3" s="1"/>
    </row>
    <row r="4" customFormat="false" ht="16.5" hidden="false" customHeight="true" outlineLevel="0" collapsed="false">
      <c r="B4" s="1"/>
      <c r="C4" s="1"/>
      <c r="D4" s="1"/>
      <c r="E4" s="1"/>
      <c r="F4" s="1"/>
      <c r="G4" s="1"/>
    </row>
    <row r="5" customFormat="false" ht="16.5" hidden="false" customHeight="true" outlineLevel="0" collapsed="false">
      <c r="B5" s="1"/>
      <c r="C5" s="1"/>
      <c r="D5" s="1"/>
      <c r="E5" s="1"/>
      <c r="F5" s="1"/>
      <c r="G5" s="1"/>
    </row>
    <row r="6" customFormat="false" ht="31.5" hidden="false" customHeight="true" outlineLevel="0" collapsed="false">
      <c r="B6" s="1"/>
      <c r="C6" s="2" t="s">
        <v>0</v>
      </c>
      <c r="D6" s="2"/>
      <c r="E6" s="2"/>
      <c r="F6" s="2"/>
      <c r="G6" s="2"/>
    </row>
    <row r="7" customFormat="false" ht="9.75" hidden="false" customHeight="true" outlineLevel="0" collapsed="false">
      <c r="B7" s="1"/>
      <c r="C7" s="1"/>
      <c r="D7" s="1"/>
      <c r="E7" s="1"/>
      <c r="F7" s="1"/>
      <c r="G7" s="1"/>
    </row>
    <row r="8" customFormat="false" ht="4.5" hidden="false" customHeight="true" outlineLevel="0" collapsed="false">
      <c r="B8" s="3"/>
      <c r="C8" s="3"/>
      <c r="D8" s="3"/>
      <c r="E8" s="3"/>
      <c r="F8" s="3"/>
      <c r="G8" s="3"/>
    </row>
    <row r="9" customFormat="false" ht="7.5" hidden="false" customHeight="true" outlineLevel="0" collapsed="false"/>
    <row r="10" customFormat="false" ht="16.5" hidden="false" customHeight="true" outlineLevel="0" collapsed="false">
      <c r="B10" s="4" t="s">
        <v>1</v>
      </c>
      <c r="C10" s="4"/>
      <c r="D10" s="4"/>
      <c r="E10" s="4"/>
      <c r="F10" s="4"/>
      <c r="G10" s="4"/>
    </row>
    <row r="11" customFormat="false" ht="16.5" hidden="false" customHeight="true" outlineLevel="0" collapsed="false">
      <c r="B11" s="4"/>
      <c r="C11" s="4"/>
      <c r="D11" s="4"/>
      <c r="E11" s="4"/>
      <c r="F11" s="4"/>
      <c r="G11" s="4"/>
    </row>
    <row r="12" customFormat="false" ht="16.5" hidden="false" customHeight="true" outlineLevel="0" collapsed="false">
      <c r="B12" s="4"/>
      <c r="C12" s="4"/>
      <c r="D12" s="4"/>
      <c r="E12" s="4"/>
      <c r="F12" s="4"/>
      <c r="G12" s="4"/>
    </row>
    <row r="13" customFormat="false" ht="16.5" hidden="false" customHeight="true" outlineLevel="0" collapsed="false">
      <c r="B13" s="4"/>
      <c r="C13" s="4"/>
      <c r="D13" s="4"/>
      <c r="E13" s="4"/>
      <c r="F13" s="4"/>
      <c r="G13" s="4"/>
    </row>
    <row r="15" customFormat="false" ht="24" hidden="false" customHeight="true" outlineLevel="0" collapsed="false">
      <c r="B15" s="5" t="s">
        <v>2</v>
      </c>
      <c r="C15" s="5"/>
      <c r="D15" s="5"/>
      <c r="E15" s="5"/>
      <c r="F15" s="5"/>
      <c r="G15" s="5"/>
    </row>
    <row r="16" customFormat="false" ht="16.5" hidden="false" customHeight="true" outlineLevel="0" collapsed="false">
      <c r="B16" s="6" t="s">
        <v>3</v>
      </c>
      <c r="C16" s="7" t="s">
        <v>4</v>
      </c>
      <c r="D16" s="8" t="s">
        <v>5</v>
      </c>
      <c r="E16" s="8"/>
      <c r="F16" s="8"/>
      <c r="G16" s="8"/>
    </row>
    <row r="17" customFormat="false" ht="16.5" hidden="false" customHeight="true" outlineLevel="0" collapsed="false">
      <c r="B17" s="6"/>
      <c r="C17" s="6"/>
      <c r="D17" s="6"/>
      <c r="E17" s="8"/>
      <c r="F17" s="8"/>
      <c r="G17" s="8"/>
    </row>
    <row r="18" customFormat="false" ht="16.5" hidden="false" customHeight="true" outlineLevel="0" collapsed="false">
      <c r="B18" s="6" t="s">
        <v>6</v>
      </c>
      <c r="C18" s="7" t="s">
        <v>7</v>
      </c>
      <c r="D18" s="8" t="s">
        <v>8</v>
      </c>
      <c r="E18" s="8"/>
      <c r="F18" s="8"/>
      <c r="G18" s="8"/>
    </row>
    <row r="19" customFormat="false" ht="16.5" hidden="false" customHeight="true" outlineLevel="0" collapsed="false">
      <c r="B19" s="6"/>
      <c r="C19" s="6"/>
      <c r="D19" s="6"/>
      <c r="E19" s="8"/>
      <c r="F19" s="8"/>
      <c r="G19" s="8"/>
    </row>
    <row r="20" customFormat="false" ht="16.5" hidden="false" customHeight="true" outlineLevel="0" collapsed="false">
      <c r="B20" s="6" t="s">
        <v>9</v>
      </c>
      <c r="C20" s="7" t="s">
        <v>10</v>
      </c>
      <c r="D20" s="8" t="s">
        <v>11</v>
      </c>
      <c r="E20" s="8"/>
      <c r="F20" s="8"/>
      <c r="G20" s="8"/>
    </row>
    <row r="21" customFormat="false" ht="16.5" hidden="false" customHeight="true" outlineLevel="0" collapsed="false">
      <c r="B21" s="6"/>
      <c r="C21" s="6"/>
      <c r="D21" s="6"/>
      <c r="E21" s="8"/>
      <c r="F21" s="8"/>
      <c r="G21" s="8"/>
    </row>
    <row r="22" customFormat="false" ht="16.5" hidden="false" customHeight="true" outlineLevel="0" collapsed="false">
      <c r="B22" s="6" t="s">
        <v>12</v>
      </c>
      <c r="C22" s="7" t="s">
        <v>13</v>
      </c>
      <c r="D22" s="8" t="s">
        <v>14</v>
      </c>
      <c r="E22" s="8"/>
      <c r="F22" s="8"/>
      <c r="G22" s="8"/>
    </row>
    <row r="23" customFormat="false" ht="16.5" hidden="false" customHeight="true" outlineLevel="0" collapsed="false">
      <c r="B23" s="6"/>
      <c r="C23" s="6"/>
      <c r="D23" s="6"/>
      <c r="E23" s="8"/>
      <c r="F23" s="8"/>
      <c r="G23" s="8"/>
    </row>
    <row r="24" customFormat="false" ht="16.5" hidden="false" customHeight="true" outlineLevel="0" collapsed="false">
      <c r="B24" s="6" t="s">
        <v>15</v>
      </c>
      <c r="C24" s="7" t="s">
        <v>16</v>
      </c>
      <c r="D24" s="8" t="s">
        <v>17</v>
      </c>
      <c r="E24" s="8"/>
      <c r="F24" s="8"/>
      <c r="G24" s="8"/>
    </row>
    <row r="25" customFormat="false" ht="16.5" hidden="false" customHeight="true" outlineLevel="0" collapsed="false">
      <c r="B25" s="6"/>
      <c r="C25" s="6"/>
      <c r="D25" s="6"/>
      <c r="E25" s="8"/>
      <c r="F25" s="8"/>
      <c r="G25" s="8"/>
    </row>
    <row r="26" customFormat="false" ht="16.5" hidden="false" customHeight="true" outlineLevel="0" collapsed="false">
      <c r="B26" s="6" t="s">
        <v>18</v>
      </c>
      <c r="C26" s="7" t="s">
        <v>19</v>
      </c>
      <c r="D26" s="8" t="s">
        <v>20</v>
      </c>
      <c r="E26" s="8"/>
      <c r="F26" s="8"/>
      <c r="G26" s="8"/>
    </row>
    <row r="27" customFormat="false" ht="16.5" hidden="false" customHeight="true" outlineLevel="0" collapsed="false">
      <c r="B27" s="6"/>
      <c r="C27" s="6"/>
      <c r="D27" s="6"/>
      <c r="E27" s="8"/>
      <c r="F27" s="8"/>
      <c r="G27" s="8"/>
    </row>
    <row r="28" customFormat="false" ht="16.5" hidden="false" customHeight="true" outlineLevel="0" collapsed="false">
      <c r="B28" s="6" t="s">
        <v>21</v>
      </c>
      <c r="C28" s="7" t="s">
        <v>22</v>
      </c>
      <c r="D28" s="8" t="s">
        <v>23</v>
      </c>
      <c r="E28" s="8"/>
      <c r="F28" s="8"/>
      <c r="G28" s="8"/>
    </row>
    <row r="29" customFormat="false" ht="16.5" hidden="false" customHeight="true" outlineLevel="0" collapsed="false">
      <c r="B29" s="6"/>
      <c r="C29" s="6"/>
      <c r="D29" s="6"/>
      <c r="E29" s="8"/>
      <c r="F29" s="8"/>
      <c r="G29" s="8"/>
    </row>
    <row r="31" customFormat="false" ht="24" hidden="false" customHeight="true" outlineLevel="0" collapsed="false">
      <c r="B31" s="5" t="s">
        <v>24</v>
      </c>
      <c r="C31" s="5"/>
      <c r="D31" s="5"/>
      <c r="E31" s="5"/>
      <c r="F31" s="5"/>
      <c r="G31" s="5"/>
    </row>
    <row r="32" customFormat="false" ht="18.75" hidden="false" customHeight="true" outlineLevel="0" collapsed="false">
      <c r="B32" s="9"/>
      <c r="C32" s="9" t="s">
        <v>25</v>
      </c>
      <c r="D32" s="9" t="s">
        <v>26</v>
      </c>
      <c r="E32" s="9"/>
      <c r="F32" s="9"/>
      <c r="G32" s="9"/>
    </row>
    <row r="33" customFormat="false" ht="30" hidden="false" customHeight="true" outlineLevel="0" collapsed="false">
      <c r="B33" s="10"/>
      <c r="C33" s="11" t="s">
        <v>27</v>
      </c>
      <c r="D33" s="12" t="s">
        <v>28</v>
      </c>
      <c r="E33" s="12"/>
      <c r="F33" s="12"/>
      <c r="G33" s="12"/>
    </row>
    <row r="34" customFormat="false" ht="30" hidden="false" customHeight="true" outlineLevel="0" collapsed="false">
      <c r="B34" s="13"/>
      <c r="C34" s="14" t="s">
        <v>0</v>
      </c>
      <c r="D34" s="15" t="s">
        <v>29</v>
      </c>
      <c r="E34" s="15"/>
      <c r="F34" s="15"/>
      <c r="G34" s="15"/>
    </row>
    <row r="35" customFormat="false" ht="30" hidden="false" customHeight="true" outlineLevel="0" collapsed="false">
      <c r="B35" s="10"/>
      <c r="C35" s="11" t="s">
        <v>30</v>
      </c>
      <c r="D35" s="12" t="s">
        <v>31</v>
      </c>
      <c r="E35" s="12"/>
      <c r="F35" s="12"/>
      <c r="G35" s="12"/>
    </row>
    <row r="36" customFormat="false" ht="30" hidden="false" customHeight="true" outlineLevel="0" collapsed="false">
      <c r="B36" s="13"/>
      <c r="C36" s="14" t="s">
        <v>32</v>
      </c>
      <c r="D36" s="15" t="s">
        <v>33</v>
      </c>
      <c r="E36" s="15"/>
      <c r="F36" s="15"/>
      <c r="G36" s="15"/>
    </row>
    <row r="38" customFormat="false" ht="24" hidden="false" customHeight="true" outlineLevel="0" collapsed="false">
      <c r="B38" s="5" t="s">
        <v>34</v>
      </c>
      <c r="C38" s="5"/>
      <c r="D38" s="5"/>
      <c r="E38" s="5"/>
      <c r="F38" s="5"/>
      <c r="G38" s="5"/>
    </row>
    <row r="39" customFormat="false" ht="15.75" hidden="false" customHeight="true" outlineLevel="0" collapsed="false">
      <c r="C39" s="16" t="s">
        <v>35</v>
      </c>
      <c r="D39" s="8" t="s">
        <v>36</v>
      </c>
      <c r="E39" s="8"/>
      <c r="F39" s="8"/>
      <c r="G39" s="8"/>
    </row>
    <row r="40" customFormat="false" ht="15.75" hidden="false" customHeight="true" outlineLevel="0" collapsed="false">
      <c r="C40" s="16"/>
      <c r="D40" s="16"/>
      <c r="E40" s="8"/>
      <c r="F40" s="8"/>
      <c r="G40" s="8"/>
    </row>
    <row r="41" customFormat="false" ht="15.75" hidden="false" customHeight="true" outlineLevel="0" collapsed="false">
      <c r="C41" s="16"/>
      <c r="D41" s="16"/>
      <c r="E41" s="8"/>
      <c r="F41" s="8"/>
      <c r="G41" s="8"/>
    </row>
    <row r="42" customFormat="false" ht="15.75" hidden="false" customHeight="true" outlineLevel="0" collapsed="false">
      <c r="C42" s="16"/>
      <c r="D42" s="16"/>
      <c r="E42" s="8"/>
      <c r="F42" s="8"/>
      <c r="G42" s="8"/>
    </row>
    <row r="43" customFormat="false" ht="15.75" hidden="false" customHeight="true" outlineLevel="0" collapsed="false">
      <c r="C43" s="16"/>
      <c r="D43" s="16"/>
      <c r="E43" s="8"/>
      <c r="F43" s="8"/>
      <c r="G43" s="8"/>
    </row>
    <row r="45" customFormat="false" ht="15.75" hidden="false" customHeight="true" outlineLevel="0" collapsed="false">
      <c r="C45" s="16" t="s">
        <v>37</v>
      </c>
      <c r="D45" s="8" t="s">
        <v>38</v>
      </c>
      <c r="E45" s="8"/>
      <c r="F45" s="8"/>
      <c r="G45" s="8"/>
    </row>
    <row r="46" customFormat="false" ht="15.75" hidden="false" customHeight="true" outlineLevel="0" collapsed="false">
      <c r="C46" s="16"/>
      <c r="D46" s="16"/>
      <c r="E46" s="8"/>
      <c r="F46" s="8"/>
      <c r="G46" s="8"/>
    </row>
    <row r="47" customFormat="false" ht="15.75" hidden="false" customHeight="true" outlineLevel="0" collapsed="false">
      <c r="C47" s="16"/>
      <c r="D47" s="16"/>
      <c r="E47" s="8"/>
      <c r="F47" s="8"/>
      <c r="G47" s="8"/>
    </row>
    <row r="48" customFormat="false" ht="15.75" hidden="false" customHeight="true" outlineLevel="0" collapsed="false">
      <c r="C48" s="16"/>
      <c r="D48" s="16"/>
      <c r="E48" s="8"/>
      <c r="F48" s="8"/>
      <c r="G48" s="8"/>
    </row>
    <row r="49" customFormat="false" ht="15.75" hidden="false" customHeight="true" outlineLevel="0" collapsed="false">
      <c r="C49" s="16"/>
      <c r="D49" s="16"/>
      <c r="E49" s="8"/>
      <c r="F49" s="8"/>
      <c r="G49" s="8"/>
    </row>
    <row r="51" customFormat="false" ht="15" hidden="false" customHeight="false" outlineLevel="0" collapsed="false">
      <c r="B51" s="17" t="s">
        <v>39</v>
      </c>
      <c r="C51" s="17"/>
      <c r="D51" s="17"/>
      <c r="E51" s="17"/>
      <c r="F51" s="17"/>
      <c r="G51" s="17"/>
    </row>
    <row r="52" customFormat="false" ht="15" hidden="false" customHeight="true" outlineLevel="0" collapsed="false">
      <c r="B52" s="18" t="s">
        <v>40</v>
      </c>
      <c r="C52" s="18"/>
      <c r="D52" s="18"/>
      <c r="E52" s="18"/>
      <c r="F52" s="18"/>
      <c r="G52" s="18"/>
    </row>
    <row r="53" customFormat="false" ht="15" hidden="false" customHeight="true" outlineLevel="0" collapsed="false">
      <c r="B53" s="18"/>
      <c r="C53" s="18"/>
      <c r="D53" s="18"/>
      <c r="E53" s="18"/>
      <c r="F53" s="18"/>
      <c r="G53" s="18"/>
    </row>
    <row r="54" customFormat="false" ht="15" hidden="false" customHeight="true" outlineLevel="0" collapsed="false">
      <c r="B54" s="18"/>
      <c r="C54" s="18"/>
      <c r="D54" s="18"/>
      <c r="E54" s="18"/>
      <c r="F54" s="18"/>
      <c r="G54" s="18"/>
    </row>
    <row r="56" customFormat="false" ht="19.5" hidden="false" customHeight="true" outlineLevel="0" collapsed="false">
      <c r="B56" s="19" t="s">
        <v>41</v>
      </c>
      <c r="C56" s="19"/>
      <c r="D56" s="19"/>
      <c r="E56" s="19"/>
      <c r="F56" s="19"/>
      <c r="G56" s="19"/>
    </row>
  </sheetData>
  <mergeCells count="38">
    <mergeCell ref="C6:G6"/>
    <mergeCell ref="B10:G13"/>
    <mergeCell ref="B15:G15"/>
    <mergeCell ref="B16:B17"/>
    <mergeCell ref="C16:C17"/>
    <mergeCell ref="D16:G17"/>
    <mergeCell ref="B18:B19"/>
    <mergeCell ref="C18:C19"/>
    <mergeCell ref="D18:G19"/>
    <mergeCell ref="B20:B21"/>
    <mergeCell ref="C20:C21"/>
    <mergeCell ref="D20:G21"/>
    <mergeCell ref="B22:B23"/>
    <mergeCell ref="C22:C23"/>
    <mergeCell ref="D22:G23"/>
    <mergeCell ref="B24:B25"/>
    <mergeCell ref="C24:C25"/>
    <mergeCell ref="D24:G25"/>
    <mergeCell ref="B26:B27"/>
    <mergeCell ref="C26:C27"/>
    <mergeCell ref="D26:G27"/>
    <mergeCell ref="B28:B29"/>
    <mergeCell ref="C28:C29"/>
    <mergeCell ref="D28:G29"/>
    <mergeCell ref="B31:G31"/>
    <mergeCell ref="D32:G32"/>
    <mergeCell ref="D33:G33"/>
    <mergeCell ref="D34:G34"/>
    <mergeCell ref="D35:G35"/>
    <mergeCell ref="D36:G36"/>
    <mergeCell ref="B38:G38"/>
    <mergeCell ref="C39:C43"/>
    <mergeCell ref="D39:G43"/>
    <mergeCell ref="C45:C49"/>
    <mergeCell ref="D45:G49"/>
    <mergeCell ref="B51:G51"/>
    <mergeCell ref="B52:G54"/>
    <mergeCell ref="B56:G56"/>
  </mergeCells>
  <hyperlinks>
    <hyperlink ref="C33" location="'Setup'!A1" display="Setup"/>
    <hyperlink ref="C34" location="'Submittal Log'!A1" display="Submittal Log"/>
    <hyperlink ref="C35" location="'Summary'!A1" display="Summary"/>
    <hyperlink ref="C36" location="'Reference'!A1" display="Reference"/>
    <hyperlink ref="B56" r:id="rId1" display="Built for capital project teams by Mastt.  Project controls, cost management and reporting  ·  mastt.com"/>
  </hyperlinks>
  <printOptions headings="false" gridLines="false" gridLinesSet="true" horizontalCentered="false" verticalCentered="false"/>
  <pageMargins left="0.3" right="0.3"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F35"/>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5"/>
    <col collapsed="false" customWidth="true" hidden="false" outlineLevel="0" max="3" min="3" style="0" width="30"/>
    <col collapsed="false" customWidth="true" hidden="false" outlineLevel="0" max="4" min="4" style="0" width="26"/>
    <col collapsed="false" customWidth="true" hidden="false" outlineLevel="0" max="5" min="5" style="0" width="34"/>
    <col collapsed="false" customWidth="true" hidden="false" outlineLevel="0" max="6" min="6" style="0" width="12"/>
    <col collapsed="false" customWidth="true" hidden="false" outlineLevel="0" max="7" min="7" style="0" width="2.2"/>
  </cols>
  <sheetData>
    <row r="1" customFormat="false" ht="33.75" hidden="false" customHeight="true" outlineLevel="0" collapsed="false">
      <c r="B1" s="20" t="s">
        <v>42</v>
      </c>
      <c r="C1" s="20"/>
      <c r="D1" s="20"/>
      <c r="E1" s="20"/>
      <c r="F1" s="20"/>
    </row>
    <row r="2" customFormat="false" ht="4.5" hidden="false" customHeight="true" outlineLevel="0" collapsed="false">
      <c r="B2" s="21"/>
      <c r="C2" s="21"/>
      <c r="D2" s="21"/>
      <c r="E2" s="21"/>
      <c r="F2" s="21"/>
    </row>
    <row r="4" customFormat="false" ht="25.5" hidden="false" customHeight="true" outlineLevel="0" collapsed="false">
      <c r="B4" s="22" t="s">
        <v>43</v>
      </c>
      <c r="C4" s="22"/>
      <c r="D4" s="22"/>
      <c r="E4" s="22"/>
      <c r="F4" s="22"/>
    </row>
    <row r="6" customFormat="false" ht="21.75" hidden="false" customHeight="true" outlineLevel="0" collapsed="false">
      <c r="B6" s="5" t="s">
        <v>44</v>
      </c>
      <c r="C6" s="5"/>
      <c r="D6" s="5"/>
      <c r="E6" s="5"/>
      <c r="F6" s="5"/>
    </row>
    <row r="7" customFormat="false" ht="19.5" hidden="false" customHeight="true" outlineLevel="0" collapsed="false">
      <c r="B7" s="23" t="s">
        <v>45</v>
      </c>
      <c r="C7" s="23"/>
      <c r="D7" s="24"/>
    </row>
    <row r="8" customFormat="false" ht="19.5" hidden="false" customHeight="true" outlineLevel="0" collapsed="false">
      <c r="B8" s="23" t="s">
        <v>46</v>
      </c>
      <c r="C8" s="23"/>
      <c r="D8" s="24"/>
    </row>
    <row r="9" customFormat="false" ht="19.5" hidden="false" customHeight="true" outlineLevel="0" collapsed="false">
      <c r="B9" s="23" t="s">
        <v>47</v>
      </c>
      <c r="C9" s="23"/>
      <c r="D9" s="24"/>
    </row>
    <row r="10" customFormat="false" ht="19.5" hidden="false" customHeight="true" outlineLevel="0" collapsed="false">
      <c r="B10" s="23" t="s">
        <v>48</v>
      </c>
      <c r="C10" s="23"/>
      <c r="D10" s="24"/>
    </row>
    <row r="11" customFormat="false" ht="19.5" hidden="false" customHeight="true" outlineLevel="0" collapsed="false">
      <c r="B11" s="23" t="s">
        <v>49</v>
      </c>
      <c r="C11" s="23"/>
      <c r="D11" s="24"/>
    </row>
    <row r="12" customFormat="false" ht="19.5" hidden="false" customHeight="true" outlineLevel="0" collapsed="false">
      <c r="B12" s="23" t="s">
        <v>50</v>
      </c>
      <c r="C12" s="23"/>
      <c r="D12" s="24"/>
    </row>
    <row r="13" customFormat="false" ht="19.5" hidden="false" customHeight="true" outlineLevel="0" collapsed="false">
      <c r="B13" s="23" t="s">
        <v>51</v>
      </c>
      <c r="C13" s="23"/>
      <c r="D13" s="24"/>
    </row>
    <row r="14" customFormat="false" ht="27.75" hidden="false" customHeight="true" outlineLevel="0" collapsed="false">
      <c r="B14" s="23" t="s">
        <v>52</v>
      </c>
      <c r="C14" s="23"/>
      <c r="D14" s="24"/>
    </row>
    <row r="15" customFormat="false" ht="19.5" hidden="false" customHeight="true" outlineLevel="0" collapsed="false">
      <c r="B15" s="23" t="s">
        <v>53</v>
      </c>
      <c r="C15" s="23"/>
      <c r="D15" s="24"/>
    </row>
    <row r="17" customFormat="false" ht="21.75" hidden="false" customHeight="true" outlineLevel="0" collapsed="false">
      <c r="B17" s="5" t="s">
        <v>54</v>
      </c>
      <c r="C17" s="5"/>
      <c r="D17" s="5"/>
      <c r="E17" s="5"/>
      <c r="F17" s="5"/>
    </row>
    <row r="18" customFormat="false" ht="37.5" hidden="false" customHeight="true" outlineLevel="0" collapsed="false">
      <c r="B18" s="23" t="s">
        <v>55</v>
      </c>
      <c r="C18" s="23"/>
      <c r="D18" s="24" t="s">
        <v>56</v>
      </c>
      <c r="E18" s="25" t="s">
        <v>57</v>
      </c>
      <c r="F18" s="25"/>
    </row>
    <row r="19" customFormat="false" ht="37.5" hidden="false" customHeight="true" outlineLevel="0" collapsed="false">
      <c r="B19" s="23" t="s">
        <v>58</v>
      </c>
      <c r="C19" s="23"/>
      <c r="D19" s="26" t="n">
        <v>15</v>
      </c>
      <c r="E19" s="25" t="s">
        <v>59</v>
      </c>
      <c r="F19" s="25"/>
    </row>
    <row r="20" customFormat="false" ht="37.5" hidden="false" customHeight="true" outlineLevel="0" collapsed="false">
      <c r="B20" s="23" t="s">
        <v>60</v>
      </c>
      <c r="C20" s="23"/>
      <c r="D20" s="26" t="n">
        <v>21</v>
      </c>
      <c r="E20" s="25" t="s">
        <v>61</v>
      </c>
      <c r="F20" s="25"/>
    </row>
    <row r="21" customFormat="false" ht="37.5" hidden="false" customHeight="true" outlineLevel="0" collapsed="false">
      <c r="B21" s="23" t="s">
        <v>62</v>
      </c>
      <c r="C21" s="23"/>
      <c r="D21" s="26" t="n">
        <v>15</v>
      </c>
      <c r="E21" s="25" t="s">
        <v>63</v>
      </c>
      <c r="F21" s="25"/>
    </row>
    <row r="22" customFormat="false" ht="37.5" hidden="false" customHeight="true" outlineLevel="0" collapsed="false">
      <c r="B22" s="23" t="s">
        <v>64</v>
      </c>
      <c r="C22" s="23"/>
      <c r="D22" s="26" t="n">
        <v>5</v>
      </c>
      <c r="E22" s="25" t="s">
        <v>65</v>
      </c>
      <c r="F22" s="25"/>
    </row>
    <row r="23" customFormat="false" ht="37.5" hidden="false" customHeight="true" outlineLevel="0" collapsed="false">
      <c r="B23" s="23" t="s">
        <v>66</v>
      </c>
      <c r="C23" s="23"/>
      <c r="D23" s="26" t="n">
        <v>12</v>
      </c>
      <c r="E23" s="25" t="s">
        <v>67</v>
      </c>
      <c r="F23" s="25"/>
    </row>
    <row r="25" customFormat="false" ht="21.75" hidden="false" customHeight="true" outlineLevel="0" collapsed="false">
      <c r="B25" s="5" t="s">
        <v>68</v>
      </c>
      <c r="C25" s="5"/>
      <c r="D25" s="5"/>
      <c r="E25" s="5"/>
      <c r="F25" s="5"/>
    </row>
    <row r="26" customFormat="false" ht="19.5" hidden="false" customHeight="true" outlineLevel="0" collapsed="false">
      <c r="B26" s="27" t="s">
        <v>69</v>
      </c>
      <c r="C26" s="27"/>
      <c r="D26" s="28" t="n">
        <f aca="false">COUNTIF('Submittal Log'!$J$9:$J$208,"?*")</f>
        <v>26</v>
      </c>
    </row>
    <row r="27" customFormat="false" ht="19.5" hidden="false" customHeight="true" outlineLevel="0" collapsed="false">
      <c r="B27" s="27" t="s">
        <v>70</v>
      </c>
      <c r="C27" s="27"/>
      <c r="D27" s="28" t="n">
        <f aca="false">COUNTIFS('Submittal Log'!$L$9:$L$208,"Action")</f>
        <v>22</v>
      </c>
    </row>
    <row r="28" customFormat="false" ht="19.5" hidden="false" customHeight="true" outlineLevel="0" collapsed="false">
      <c r="B28" s="27" t="s">
        <v>71</v>
      </c>
      <c r="C28" s="27"/>
      <c r="D28" s="28" t="n">
        <f aca="false">COUNTIFS('Submittal Log'!$J$9:$J$208,"?*",'Submittal Log'!$V$9:$V$208,"&lt;&gt;Closed",'Submittal Log'!$V$9:$V$208,"&lt;&gt;Superseded",'Submittal Log'!$V$9:$V$208,"&lt;&gt;Void")</f>
        <v>12</v>
      </c>
    </row>
    <row r="29" customFormat="false" ht="19.5" hidden="false" customHeight="true" outlineLevel="0" collapsed="false">
      <c r="B29" s="27" t="s">
        <v>72</v>
      </c>
      <c r="C29" s="27"/>
      <c r="D29" s="28" t="n">
        <f aca="false">COUNTIFS('Submittal Log'!$V$9:$V$208,"Overdue with reviewer")</f>
        <v>3</v>
      </c>
    </row>
    <row r="30" customFormat="false" ht="19.5" hidden="false" customHeight="true" outlineLevel="0" collapsed="false">
      <c r="B30" s="27" t="s">
        <v>73</v>
      </c>
      <c r="C30" s="27"/>
      <c r="D30" s="28" t="n">
        <f aca="false">COUNTIFS('Submittal Log'!$V$9:$V$208,"Resubmittal required")</f>
        <v>2</v>
      </c>
    </row>
    <row r="31" customFormat="false" ht="19.5" hidden="false" customHeight="true" outlineLevel="0" collapsed="false">
      <c r="B31" s="27" t="s">
        <v>74</v>
      </c>
      <c r="C31" s="27"/>
      <c r="D31" s="28" t="n">
        <f aca="false">COUNTIFS('Submittal Log'!$AA$9:$AA$208,"&lt;0",'Submittal Log'!$J$9:$J$208,"?*",'Submittal Log'!$V$9:$V$208,"&lt;&gt;Closed",'Submittal Log'!$V$9:$V$208,"&lt;&gt;Superseded",'Submittal Log'!$V$9:$V$208,"&lt;&gt;Void")</f>
        <v>4</v>
      </c>
    </row>
    <row r="33" customFormat="false" ht="15" hidden="false" customHeight="true" outlineLevel="0" collapsed="false">
      <c r="B33" s="22" t="s">
        <v>75</v>
      </c>
      <c r="C33" s="22"/>
      <c r="D33" s="22"/>
      <c r="E33" s="22"/>
      <c r="F33" s="22"/>
    </row>
    <row r="34" customFormat="false" ht="15" hidden="false" customHeight="false" outlineLevel="0" collapsed="false">
      <c r="B34" s="22"/>
      <c r="C34" s="22"/>
      <c r="D34" s="22"/>
      <c r="E34" s="22"/>
      <c r="F34" s="22"/>
    </row>
    <row r="35" customFormat="false" ht="15" hidden="false" customHeight="false" outlineLevel="0" collapsed="false">
      <c r="B35" s="29" t="s">
        <v>76</v>
      </c>
      <c r="C35" s="29"/>
      <c r="D35" s="29"/>
      <c r="E35" s="29"/>
      <c r="F35" s="29"/>
    </row>
  </sheetData>
  <mergeCells count="35">
    <mergeCell ref="B1:F1"/>
    <mergeCell ref="B2:F2"/>
    <mergeCell ref="B4:F4"/>
    <mergeCell ref="B6:F6"/>
    <mergeCell ref="B7:C7"/>
    <mergeCell ref="B8:C8"/>
    <mergeCell ref="B9:C9"/>
    <mergeCell ref="B10:C10"/>
    <mergeCell ref="B11:C11"/>
    <mergeCell ref="B12:C12"/>
    <mergeCell ref="B13:C13"/>
    <mergeCell ref="B14:C14"/>
    <mergeCell ref="B15:C15"/>
    <mergeCell ref="B17:F17"/>
    <mergeCell ref="B18:C18"/>
    <mergeCell ref="E18:F18"/>
    <mergeCell ref="B19:C19"/>
    <mergeCell ref="E19:F19"/>
    <mergeCell ref="B20:C20"/>
    <mergeCell ref="E20:F20"/>
    <mergeCell ref="B21:C21"/>
    <mergeCell ref="E21:F21"/>
    <mergeCell ref="B22:C22"/>
    <mergeCell ref="E22:F22"/>
    <mergeCell ref="B23:C23"/>
    <mergeCell ref="E23:F23"/>
    <mergeCell ref="B25:F25"/>
    <mergeCell ref="B26:C26"/>
    <mergeCell ref="B27:C27"/>
    <mergeCell ref="B28:C28"/>
    <mergeCell ref="B29:C29"/>
    <mergeCell ref="B30:C30"/>
    <mergeCell ref="B31:C31"/>
    <mergeCell ref="B33:F34"/>
    <mergeCell ref="B35:F35"/>
  </mergeCells>
  <conditionalFormatting sqref="D29">
    <cfRule type="cellIs" priority="2" operator="greaterThan" aboveAverage="0" equalAverage="0" bottom="0" percent="0" rank="0" text="" dxfId="0">
      <formula>0</formula>
    </cfRule>
  </conditionalFormatting>
  <conditionalFormatting sqref="D30">
    <cfRule type="cellIs" priority="3" operator="greaterThan" aboveAverage="0" equalAverage="0" bottom="0" percent="0" rank="0" text="" dxfId="0">
      <formula>0</formula>
    </cfRule>
  </conditionalFormatting>
  <conditionalFormatting sqref="D31">
    <cfRule type="cellIs" priority="4" operator="greaterThan" aboveAverage="0" equalAverage="0" bottom="0" percent="0" rank="0" text="" dxfId="0">
      <formula>0</formula>
    </cfRule>
  </conditionalFormatting>
  <dataValidations count="1">
    <dataValidation allowBlank="true" errorStyle="stop" operator="between" showDropDown="false" showErrorMessage="false" showInputMessage="false" sqref="D18" type="list">
      <formula1>Reference!$D$44:$D$47</formula1>
      <formula2>0</formula2>
    </dataValidation>
  </dataValidations>
  <hyperlinks>
    <hyperlink ref="B35" r:id="rId1" display="Built with Mastt  |  mastt.com"/>
  </hyperlinks>
  <printOptions headings="false" gridLines="false" gridLinesSet="true" horizontalCentered="false" verticalCentered="false"/>
  <pageMargins left="0.3" right="0.3"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AE21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9" ySplit="8" topLeftCell="J9" activePane="bottomRight" state="frozen"/>
      <selection pane="topLeft" activeCell="A1" activeCellId="0" sqref="A1"/>
      <selection pane="topRight" activeCell="J1" activeCellId="0" sqref="J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16"/>
    <col collapsed="false" customWidth="true" hidden="false" outlineLevel="0" max="4" min="4" style="0" width="12"/>
    <col collapsed="false" customWidth="true" hidden="false" outlineLevel="0" max="5" min="5" style="0" width="6"/>
    <col collapsed="false" customWidth="true" hidden="false" outlineLevel="0" max="6" min="6" style="0" width="5"/>
    <col collapsed="false" customWidth="true" hidden="false" outlineLevel="0" max="7" min="7" style="0" width="26"/>
    <col collapsed="false" customWidth="true" hidden="false" outlineLevel="0" max="8" min="8" style="0" width="24"/>
    <col collapsed="false" customWidth="true" hidden="false" outlineLevel="0" max="9" min="9" style="0" width="16"/>
    <col collapsed="false" customWidth="true" hidden="false" outlineLevel="0" max="10" min="10" style="0" width="42"/>
    <col collapsed="false" customWidth="true" hidden="false" outlineLevel="0" max="11" min="11" style="0" width="24"/>
    <col collapsed="false" customWidth="true" hidden="false" outlineLevel="0" max="12" min="12" style="0" width="13"/>
    <col collapsed="false" customWidth="true" hidden="false" outlineLevel="0" max="13" min="13" style="0" width="21"/>
    <col collapsed="false" customWidth="true" hidden="false" outlineLevel="0" max="15" min="14" style="0" width="12"/>
    <col collapsed="false" customWidth="true" hidden="false" outlineLevel="0" max="16" min="16" style="0" width="18"/>
    <col collapsed="false" customWidth="true" hidden="false" outlineLevel="0" max="17" min="17" style="0" width="13"/>
    <col collapsed="false" customWidth="true" hidden="false" outlineLevel="0" max="19" min="18" style="0" width="12"/>
    <col collapsed="false" customWidth="true" hidden="false" outlineLevel="0" max="20" min="20" style="0" width="24"/>
    <col collapsed="false" customWidth="true" hidden="false" outlineLevel="0" max="21" min="21" style="0" width="9"/>
    <col collapsed="false" customWidth="true" hidden="false" outlineLevel="0" max="22" min="22" style="0" width="18"/>
    <col collapsed="false" customWidth="true" hidden="false" outlineLevel="0" max="23" min="23" style="0" width="13"/>
    <col collapsed="false" customWidth="true" hidden="false" outlineLevel="0" max="24" min="24" style="0" width="9"/>
    <col collapsed="false" customWidth="true" hidden="false" outlineLevel="0" max="26" min="25" style="0" width="13"/>
    <col collapsed="false" customWidth="true" hidden="false" outlineLevel="0" max="27" min="27" style="0" width="9"/>
    <col collapsed="false" customWidth="true" hidden="false" outlineLevel="0" max="29" min="28" style="0" width="11"/>
    <col collapsed="false" customWidth="true" hidden="false" outlineLevel="0" max="30" min="30" style="0" width="7"/>
    <col collapsed="false" customWidth="true" hidden="false" outlineLevel="0" max="31" min="31" style="0" width="26"/>
    <col collapsed="false" customWidth="true" hidden="false" outlineLevel="0" max="32" min="32" style="0" width="2.2"/>
  </cols>
  <sheetData>
    <row r="1" customFormat="false" ht="33.75" hidden="false" customHeight="true" outlineLevel="0" collapsed="false">
      <c r="B1" s="20" t="s">
        <v>77</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row>
    <row r="2" customFormat="false" ht="4.5" hidden="false" customHeight="true" outlineLevel="0" collapsed="false">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row>
    <row r="3" customFormat="false" ht="16.5" hidden="false" customHeight="true" outlineLevel="0" collapsed="false">
      <c r="B3" s="30" t="str">
        <f aca="false">IF(COUNTIF('Submittal Log'!$AE$9:$AE$208,"EXAMPLE*")=0,"","EXAMPLE DATA - 26 rows are worked examples. Delete them and this banner clears.")</f>
        <v>EXAMPLE DATA - 26 rows are worked examples. Delete them and this banner clears.</v>
      </c>
      <c r="C3" s="30"/>
      <c r="D3" s="30"/>
      <c r="E3" s="30"/>
      <c r="F3" s="30"/>
      <c r="G3" s="30"/>
      <c r="H3" s="30"/>
      <c r="I3" s="30"/>
      <c r="J3" s="30"/>
      <c r="K3" s="30"/>
      <c r="L3" s="30"/>
      <c r="M3" s="30"/>
      <c r="N3" s="30"/>
    </row>
    <row r="4" customFormat="false" ht="25.5" hidden="false" customHeight="true" outlineLevel="0" collapsed="false">
      <c r="B4" s="22" t="s">
        <v>78</v>
      </c>
      <c r="C4" s="22"/>
      <c r="D4" s="22"/>
      <c r="E4" s="22"/>
      <c r="F4" s="22"/>
      <c r="G4" s="22"/>
      <c r="H4" s="22"/>
      <c r="I4" s="22"/>
      <c r="J4" s="22"/>
      <c r="K4" s="22"/>
      <c r="L4" s="22"/>
      <c r="M4" s="22"/>
      <c r="N4" s="22"/>
    </row>
    <row r="8" customFormat="false" ht="42" hidden="false" customHeight="true" outlineLevel="0" collapsed="false">
      <c r="B8" s="9" t="s">
        <v>79</v>
      </c>
      <c r="C8" s="9" t="s">
        <v>80</v>
      </c>
      <c r="D8" s="9" t="s">
        <v>81</v>
      </c>
      <c r="E8" s="9" t="s">
        <v>82</v>
      </c>
      <c r="F8" s="9" t="s">
        <v>83</v>
      </c>
      <c r="G8" s="9" t="s">
        <v>84</v>
      </c>
      <c r="H8" s="9" t="s">
        <v>85</v>
      </c>
      <c r="I8" s="9" t="s">
        <v>86</v>
      </c>
      <c r="J8" s="9" t="s">
        <v>87</v>
      </c>
      <c r="K8" s="9" t="s">
        <v>88</v>
      </c>
      <c r="L8" s="9" t="s">
        <v>89</v>
      </c>
      <c r="M8" s="9" t="s">
        <v>90</v>
      </c>
      <c r="N8" s="9" t="s">
        <v>91</v>
      </c>
      <c r="O8" s="9" t="s">
        <v>92</v>
      </c>
      <c r="P8" s="9" t="s">
        <v>93</v>
      </c>
      <c r="Q8" s="9" t="s">
        <v>94</v>
      </c>
      <c r="R8" s="9" t="s">
        <v>95</v>
      </c>
      <c r="S8" s="9" t="s">
        <v>96</v>
      </c>
      <c r="T8" s="9" t="s">
        <v>97</v>
      </c>
      <c r="U8" s="9" t="s">
        <v>98</v>
      </c>
      <c r="V8" s="9" t="s">
        <v>99</v>
      </c>
      <c r="W8" s="9" t="s">
        <v>100</v>
      </c>
      <c r="X8" s="9" t="s">
        <v>101</v>
      </c>
      <c r="Y8" s="9" t="s">
        <v>102</v>
      </c>
      <c r="Z8" s="9" t="s">
        <v>103</v>
      </c>
      <c r="AA8" s="9" t="s">
        <v>104</v>
      </c>
      <c r="AB8" s="9" t="s">
        <v>105</v>
      </c>
      <c r="AC8" s="9" t="s">
        <v>106</v>
      </c>
      <c r="AD8" s="9" t="s">
        <v>107</v>
      </c>
      <c r="AE8" s="9" t="s">
        <v>108</v>
      </c>
    </row>
    <row r="9" customFormat="false" ht="30" hidden="false" customHeight="true" outlineLevel="0" collapsed="false">
      <c r="A9" s="31"/>
      <c r="B9" s="32" t="n">
        <f aca="false">IF($J9="","",ROW()-8)</f>
        <v>1</v>
      </c>
      <c r="C9" s="33" t="str">
        <f aca="false">IF($J9="","",$D9&amp;"-"&amp;TEXT($E9,"000")&amp;IF(N($F9)&gt;0,"."&amp;TEXT($F9,"00"),""))</f>
        <v>03 30 00-001</v>
      </c>
      <c r="D9" s="34" t="s">
        <v>109</v>
      </c>
      <c r="E9" s="35" t="n">
        <v>1</v>
      </c>
      <c r="F9" s="35" t="n">
        <v>0</v>
      </c>
      <c r="G9" s="34" t="s">
        <v>110</v>
      </c>
      <c r="H9" s="34" t="s">
        <v>111</v>
      </c>
      <c r="I9" s="34" t="s">
        <v>112</v>
      </c>
      <c r="J9" s="34" t="s">
        <v>113</v>
      </c>
      <c r="K9" s="34" t="s">
        <v>114</v>
      </c>
      <c r="L9" s="36" t="str">
        <f aca="false">IF($K9="","",IFERROR(INDEX(Reference!$D$53:$D$67,MATCH($K9,Reference!$B$53:$B$67,0)),""))</f>
        <v>Action</v>
      </c>
      <c r="M9" s="34" t="s">
        <v>115</v>
      </c>
      <c r="N9" s="37" t="n">
        <v>46181</v>
      </c>
      <c r="O9" s="37" t="n">
        <v>46181</v>
      </c>
      <c r="P9" s="34" t="s">
        <v>116</v>
      </c>
      <c r="Q9" s="35" t="s">
        <v>117</v>
      </c>
      <c r="R9" s="38" t="n">
        <f aca="false">IF($O9="","",$O9+IF(N($F9)&gt;0,Setup!$D$21,IF($Q9="Sequential",Setup!$D$20,Setup!$D$19)))</f>
        <v>46196</v>
      </c>
      <c r="S9" s="37" t="n">
        <v>46192</v>
      </c>
      <c r="T9" s="35" t="s">
        <v>118</v>
      </c>
      <c r="U9" s="39" t="n">
        <f aca="true">IF($O9="","",IF($S9&lt;&gt;"",$S9-$O9,TODAY()-$O9))</f>
        <v>11</v>
      </c>
      <c r="V9" s="36" t="str">
        <f aca="true">IF($J9="","",IF($AD9="Yes","Void",IF(COUNTIFS($D$9:$D$208,$D9,$E$9:$E$208,$E9,$F$9:$F$208,"&gt;"&amp;N($F9))&gt;0,"Superseded",IF($N9="","Not submitted",IF($S9="",IF(AND($R9&lt;&gt;"",$R9&lt;TODAY()),"Overdue with reviewer","In review"),IF(COUNTIF(Reference!$B$70:$B$80,$T9)&gt;0,"Closed","Resubmittal required"))))))</f>
        <v>Closed</v>
      </c>
      <c r="W9" s="36" t="str">
        <f aca="false">IF($J9="","",IF(OR($V9="Closed",$V9="Superseded",$V9="Void"),"Closed",IF(OR($V9="Not submitted",$V9="Resubmittal required"),"Contractor","Reviewer")))</f>
        <v>Closed</v>
      </c>
      <c r="X9" s="35" t="n">
        <v>2</v>
      </c>
      <c r="Y9" s="37" t="n">
        <v>46213</v>
      </c>
      <c r="Z9" s="38" t="n">
        <f aca="false">IF(OR($J9="",$Y9="",$X9="",$V9="Void",$V9="Superseded"),"",$Y9-N($X9)*7-IF($Q9="Sequential",Setup!$D$20,Setup!$D$19)-Setup!$D$22)</f>
        <v>46179</v>
      </c>
      <c r="AA9" s="39" t="n">
        <f aca="true">IF($Z9="","",IF($N9&lt;&gt;"",$Z9-$N9,$Z9-TODAY()))</f>
        <v>-2</v>
      </c>
      <c r="AB9" s="36" t="str">
        <f aca="false">IF(OR($X9="",$V9="Void",$V9="Superseded"),"",IF(N($X9)&gt;=Setup!$D$23,"Long lead",""))</f>
        <v/>
      </c>
      <c r="AC9" s="40" t="s">
        <v>119</v>
      </c>
      <c r="AD9" s="41"/>
      <c r="AE9" s="42" t="s">
        <v>120</v>
      </c>
    </row>
    <row r="10" customFormat="false" ht="30" hidden="false" customHeight="true" outlineLevel="0" collapsed="false">
      <c r="A10" s="31"/>
      <c r="B10" s="32" t="n">
        <f aca="false">IF($J10="","",ROW()-8)</f>
        <v>2</v>
      </c>
      <c r="C10" s="33" t="str">
        <f aca="false">IF($J10="","",$D10&amp;"-"&amp;TEXT($E10,"000")&amp;IF(N($F10)&gt;0,"."&amp;TEXT($F10,"00"),""))</f>
        <v>05 12 00-002</v>
      </c>
      <c r="D10" s="43" t="s">
        <v>121</v>
      </c>
      <c r="E10" s="44" t="n">
        <v>2</v>
      </c>
      <c r="F10" s="44" t="n">
        <v>0</v>
      </c>
      <c r="G10" s="43" t="s">
        <v>122</v>
      </c>
      <c r="H10" s="43" t="s">
        <v>123</v>
      </c>
      <c r="I10" s="43" t="s">
        <v>112</v>
      </c>
      <c r="J10" s="43" t="s">
        <v>124</v>
      </c>
      <c r="K10" s="43" t="s">
        <v>125</v>
      </c>
      <c r="L10" s="36" t="str">
        <f aca="false">IF($K10="","",IFERROR(INDEX(Reference!$D$53:$D$67,MATCH($K10,Reference!$B$53:$B$67,0)),""))</f>
        <v>Action</v>
      </c>
      <c r="M10" s="43" t="s">
        <v>126</v>
      </c>
      <c r="N10" s="45" t="n">
        <v>46184</v>
      </c>
      <c r="O10" s="45" t="n">
        <v>46185</v>
      </c>
      <c r="P10" s="43" t="s">
        <v>116</v>
      </c>
      <c r="Q10" s="44" t="s">
        <v>127</v>
      </c>
      <c r="R10" s="38" t="n">
        <f aca="false">IF($O10="","",$O10+IF(N($F10)&gt;0,Setup!$D$21,IF($Q10="Sequential",Setup!$D$20,Setup!$D$19)))</f>
        <v>46206</v>
      </c>
      <c r="S10" s="45" t="n">
        <v>46209</v>
      </c>
      <c r="T10" s="44" t="s">
        <v>128</v>
      </c>
      <c r="U10" s="39" t="n">
        <f aca="true">IF($O10="","",IF($S10&lt;&gt;"",$S10-$O10,TODAY()-$O10))</f>
        <v>24</v>
      </c>
      <c r="V10" s="36" t="str">
        <f aca="true">IF($J10="","",IF($AD10="Yes","Void",IF(COUNTIFS($D$9:$D$208,$D10,$E$9:$E$208,$E10,$F$9:$F$208,"&gt;"&amp;N($F10))&gt;0,"Superseded",IF($N10="","Not submitted",IF($S10="",IF(AND($R10&lt;&gt;"",$R10&lt;TODAY()),"Overdue with reviewer","In review"),IF(COUNTIF(Reference!$B$70:$B$80,$T10)&gt;0,"Closed","Resubmittal required"))))))</f>
        <v>Superseded</v>
      </c>
      <c r="W10" s="36" t="str">
        <f aca="false">IF($J10="","",IF(OR($V10="Closed",$V10="Superseded",$V10="Void"),"Closed",IF(OR($V10="Not submitted",$V10="Resubmittal required"),"Contractor","Reviewer")))</f>
        <v>Closed</v>
      </c>
      <c r="X10" s="44" t="n">
        <v>14</v>
      </c>
      <c r="Y10" s="45" t="n">
        <v>46332</v>
      </c>
      <c r="Z10" s="38" t="str">
        <f aca="false">IF(OR($J10="",$Y10="",$X10="",$V10="Void",$V10="Superseded"),"",$Y10-N($X10)*7-IF($Q10="Sequential",Setup!$D$20,Setup!$D$19)-Setup!$D$22)</f>
        <v/>
      </c>
      <c r="AA10" s="39" t="str">
        <f aca="true">IF($Z10="","",IF($N10&lt;&gt;"",$Z10-$N10,$Z10-TODAY()))</f>
        <v/>
      </c>
      <c r="AB10" s="36" t="str">
        <f aca="false">IF(OR($X10="",$V10="Void",$V10="Superseded"),"",IF(N($X10)&gt;=Setup!$D$23,"Long lead",""))</f>
        <v/>
      </c>
      <c r="AC10" s="46" t="s">
        <v>119</v>
      </c>
      <c r="AD10" s="47"/>
      <c r="AE10" s="48" t="s">
        <v>129</v>
      </c>
    </row>
    <row r="11" customFormat="false" ht="30" hidden="false" customHeight="true" outlineLevel="0" collapsed="false">
      <c r="A11" s="31"/>
      <c r="B11" s="32" t="n">
        <f aca="false">IF($J11="","",ROW()-8)</f>
        <v>3</v>
      </c>
      <c r="C11" s="33" t="str">
        <f aca="false">IF($J11="","",$D11&amp;"-"&amp;TEXT($E11,"000")&amp;IF(N($F11)&gt;0,"."&amp;TEXT($F11,"00"),""))</f>
        <v>05 12 00-002.01</v>
      </c>
      <c r="D11" s="34" t="s">
        <v>121</v>
      </c>
      <c r="E11" s="35" t="n">
        <v>2</v>
      </c>
      <c r="F11" s="35" t="n">
        <v>1</v>
      </c>
      <c r="G11" s="34" t="s">
        <v>122</v>
      </c>
      <c r="H11" s="34" t="s">
        <v>123</v>
      </c>
      <c r="I11" s="34" t="s">
        <v>112</v>
      </c>
      <c r="J11" s="34" t="s">
        <v>130</v>
      </c>
      <c r="K11" s="34" t="s">
        <v>125</v>
      </c>
      <c r="L11" s="36" t="str">
        <f aca="false">IF($K11="","",IFERROR(INDEX(Reference!$D$53:$D$67,MATCH($K11,Reference!$B$53:$B$67,0)),""))</f>
        <v>Action</v>
      </c>
      <c r="M11" s="34" t="s">
        <v>126</v>
      </c>
      <c r="N11" s="37" t="n">
        <v>46223</v>
      </c>
      <c r="O11" s="37" t="n">
        <v>46224</v>
      </c>
      <c r="P11" s="34" t="s">
        <v>116</v>
      </c>
      <c r="Q11" s="35" t="s">
        <v>127</v>
      </c>
      <c r="R11" s="38" t="n">
        <f aca="false">IF($O11="","",$O11+IF(N($F11)&gt;0,Setup!$D$21,IF($Q11="Sequential",Setup!$D$20,Setup!$D$19)))</f>
        <v>46239</v>
      </c>
      <c r="S11" s="37" t="n">
        <v>46238</v>
      </c>
      <c r="T11" s="35" t="s">
        <v>131</v>
      </c>
      <c r="U11" s="39" t="n">
        <f aca="true">IF($O11="","",IF($S11&lt;&gt;"",$S11-$O11,TODAY()-$O11))</f>
        <v>14</v>
      </c>
      <c r="V11" s="36" t="str">
        <f aca="true">IF($J11="","",IF($AD11="Yes","Void",IF(COUNTIFS($D$9:$D$208,$D11,$E$9:$E$208,$E11,$F$9:$F$208,"&gt;"&amp;N($F11))&gt;0,"Superseded",IF($N11="","Not submitted",IF($S11="",IF(AND($R11&lt;&gt;"",$R11&lt;TODAY()),"Overdue with reviewer","In review"),IF(COUNTIF(Reference!$B$70:$B$80,$T11)&gt;0,"Closed","Resubmittal required"))))))</f>
        <v>Closed</v>
      </c>
      <c r="W11" s="36" t="str">
        <f aca="false">IF($J11="","",IF(OR($V11="Closed",$V11="Superseded",$V11="Void"),"Closed",IF(OR($V11="Not submitted",$V11="Resubmittal required"),"Contractor","Reviewer")))</f>
        <v>Closed</v>
      </c>
      <c r="X11" s="35" t="n">
        <v>14</v>
      </c>
      <c r="Y11" s="37" t="n">
        <v>46332</v>
      </c>
      <c r="Z11" s="38" t="n">
        <f aca="false">IF(OR($J11="",$Y11="",$X11="",$V11="Void",$V11="Superseded"),"",$Y11-N($X11)*7-IF($Q11="Sequential",Setup!$D$20,Setup!$D$19)-Setup!$D$22)</f>
        <v>46208</v>
      </c>
      <c r="AA11" s="39" t="n">
        <f aca="true">IF($Z11="","",IF($N11&lt;&gt;"",$Z11-$N11,$Z11-TODAY()))</f>
        <v>-15</v>
      </c>
      <c r="AB11" s="36" t="str">
        <f aca="false">IF(OR($X11="",$V11="Void",$V11="Superseded"),"",IF(N($X11)&gt;=Setup!$D$23,"Long lead",""))</f>
        <v>Long lead</v>
      </c>
      <c r="AC11" s="40" t="s">
        <v>119</v>
      </c>
      <c r="AD11" s="41"/>
      <c r="AE11" s="42" t="s">
        <v>129</v>
      </c>
    </row>
    <row r="12" customFormat="false" ht="30" hidden="false" customHeight="true" outlineLevel="0" collapsed="false">
      <c r="A12" s="31"/>
      <c r="B12" s="32" t="n">
        <f aca="false">IF($J12="","",ROW()-8)</f>
        <v>4</v>
      </c>
      <c r="C12" s="33" t="str">
        <f aca="false">IF($J12="","",$D12&amp;"-"&amp;TEXT($E12,"000")&amp;IF(N($F12)&gt;0,"."&amp;TEXT($F12,"00"),""))</f>
        <v>07 42 13-003</v>
      </c>
      <c r="D12" s="43" t="s">
        <v>132</v>
      </c>
      <c r="E12" s="44" t="n">
        <v>3</v>
      </c>
      <c r="F12" s="44" t="n">
        <v>0</v>
      </c>
      <c r="G12" s="43" t="s">
        <v>133</v>
      </c>
      <c r="H12" s="43" t="s">
        <v>134</v>
      </c>
      <c r="I12" s="43" t="s">
        <v>135</v>
      </c>
      <c r="J12" s="43" t="s">
        <v>136</v>
      </c>
      <c r="K12" s="43" t="s">
        <v>137</v>
      </c>
      <c r="L12" s="36" t="str">
        <f aca="false">IF($K12="","",IFERROR(INDEX(Reference!$D$53:$D$67,MATCH($K12,Reference!$B$53:$B$67,0)),""))</f>
        <v>Action</v>
      </c>
      <c r="M12" s="43" t="s">
        <v>138</v>
      </c>
      <c r="N12" s="45" t="n">
        <v>46195</v>
      </c>
      <c r="O12" s="45" t="n">
        <v>46196</v>
      </c>
      <c r="P12" s="43" t="s">
        <v>139</v>
      </c>
      <c r="Q12" s="44" t="s">
        <v>117</v>
      </c>
      <c r="R12" s="38" t="n">
        <f aca="false">IF($O12="","",$O12+IF(N($F12)&gt;0,Setup!$D$21,IF($Q12="Sequential",Setup!$D$20,Setup!$D$19)))</f>
        <v>46211</v>
      </c>
      <c r="S12" s="45" t="n">
        <v>46210</v>
      </c>
      <c r="T12" s="44" t="s">
        <v>131</v>
      </c>
      <c r="U12" s="39" t="n">
        <f aca="true">IF($O12="","",IF($S12&lt;&gt;"",$S12-$O12,TODAY()-$O12))</f>
        <v>14</v>
      </c>
      <c r="V12" s="36" t="str">
        <f aca="true">IF($J12="","",IF($AD12="Yes","Void",IF(COUNTIFS($D$9:$D$208,$D12,$E$9:$E$208,$E12,$F$9:$F$208,"&gt;"&amp;N($F12))&gt;0,"Superseded",IF($N12="","Not submitted",IF($S12="",IF(AND($R12&lt;&gt;"",$R12&lt;TODAY()),"Overdue with reviewer","In review"),IF(COUNTIF(Reference!$B$70:$B$80,$T12)&gt;0,"Closed","Resubmittal required"))))))</f>
        <v>Closed</v>
      </c>
      <c r="W12" s="36" t="str">
        <f aca="false">IF($J12="","",IF(OR($V12="Closed",$V12="Superseded",$V12="Void"),"Closed",IF(OR($V12="Not submitted",$V12="Resubmittal required"),"Contractor","Reviewer")))</f>
        <v>Closed</v>
      </c>
      <c r="X12" s="44" t="n">
        <v>10</v>
      </c>
      <c r="Y12" s="45" t="n">
        <v>46297</v>
      </c>
      <c r="Z12" s="38" t="n">
        <f aca="false">IF(OR($J12="",$Y12="",$X12="",$V12="Void",$V12="Superseded"),"",$Y12-N($X12)*7-IF($Q12="Sequential",Setup!$D$20,Setup!$D$19)-Setup!$D$22)</f>
        <v>46207</v>
      </c>
      <c r="AA12" s="39" t="n">
        <f aca="true">IF($Z12="","",IF($N12&lt;&gt;"",$Z12-$N12,$Z12-TODAY()))</f>
        <v>12</v>
      </c>
      <c r="AB12" s="36" t="str">
        <f aca="false">IF(OR($X12="",$V12="Void",$V12="Superseded"),"",IF(N($X12)&gt;=Setup!$D$23,"Long lead",""))</f>
        <v/>
      </c>
      <c r="AC12" s="46" t="s">
        <v>119</v>
      </c>
      <c r="AD12" s="47"/>
      <c r="AE12" s="48" t="s">
        <v>129</v>
      </c>
    </row>
    <row r="13" customFormat="false" ht="30" hidden="false" customHeight="true" outlineLevel="0" collapsed="false">
      <c r="A13" s="31"/>
      <c r="B13" s="32" t="n">
        <f aca="false">IF($J13="","",ROW()-8)</f>
        <v>5</v>
      </c>
      <c r="C13" s="33" t="str">
        <f aca="false">IF($J13="","",$D13&amp;"-"&amp;TEXT($E13,"000")&amp;IF(N($F13)&gt;0,"."&amp;TEXT($F13,"00"),""))</f>
        <v>08 44 13-004</v>
      </c>
      <c r="D13" s="34" t="s">
        <v>140</v>
      </c>
      <c r="E13" s="35" t="n">
        <v>4</v>
      </c>
      <c r="F13" s="35" t="n">
        <v>0</v>
      </c>
      <c r="G13" s="34" t="s">
        <v>141</v>
      </c>
      <c r="H13" s="34" t="s">
        <v>142</v>
      </c>
      <c r="I13" s="34" t="s">
        <v>135</v>
      </c>
      <c r="J13" s="34" t="s">
        <v>143</v>
      </c>
      <c r="K13" s="34" t="s">
        <v>106</v>
      </c>
      <c r="L13" s="36" t="str">
        <f aca="false">IF($K13="","",IFERROR(INDEX(Reference!$D$53:$D$67,MATCH($K13,Reference!$B$53:$B$67,0)),""))</f>
        <v>Action</v>
      </c>
      <c r="M13" s="34" t="s">
        <v>138</v>
      </c>
      <c r="N13" s="37" t="n">
        <v>46202</v>
      </c>
      <c r="O13" s="37" t="n">
        <v>46203</v>
      </c>
      <c r="P13" s="34" t="s">
        <v>116</v>
      </c>
      <c r="Q13" s="35" t="s">
        <v>127</v>
      </c>
      <c r="R13" s="38" t="n">
        <f aca="false">IF($O13="","",$O13+IF(N($F13)&gt;0,Setup!$D$21,IF($Q13="Sequential",Setup!$D$20,Setup!$D$19)))</f>
        <v>46224</v>
      </c>
      <c r="S13" s="37"/>
      <c r="T13" s="35"/>
      <c r="U13" s="39" t="n">
        <f aca="true">IF($O13="","",IF($S13&lt;&gt;"",$S13-$O13,TODAY()-$O13))</f>
        <v>43</v>
      </c>
      <c r="V13" s="36" t="str">
        <f aca="true">IF($J13="","",IF($AD13="Yes","Void",IF(COUNTIFS($D$9:$D$208,$D13,$E$9:$E$208,$E13,$F$9:$F$208,"&gt;"&amp;N($F13))&gt;0,"Superseded",IF($N13="","Not submitted",IF($S13="",IF(AND($R13&lt;&gt;"",$R13&lt;TODAY()),"Overdue with reviewer","In review"),IF(COUNTIF(Reference!$B$70:$B$80,$T13)&gt;0,"Closed","Resubmittal required"))))))</f>
        <v>Overdue with reviewer</v>
      </c>
      <c r="W13" s="36" t="str">
        <f aca="false">IF($J13="","",IF(OR($V13="Closed",$V13="Superseded",$V13="Void"),"Closed",IF(OR($V13="Not submitted",$V13="Resubmittal required"),"Contractor","Reviewer")))</f>
        <v>Reviewer</v>
      </c>
      <c r="X13" s="35" t="n">
        <v>16</v>
      </c>
      <c r="Y13" s="37" t="n">
        <v>46311</v>
      </c>
      <c r="Z13" s="38" t="n">
        <f aca="false">IF(OR($J13="",$Y13="",$X13="",$V13="Void",$V13="Superseded"),"",$Y13-N($X13)*7-IF($Q13="Sequential",Setup!$D$20,Setup!$D$19)-Setup!$D$22)</f>
        <v>46173</v>
      </c>
      <c r="AA13" s="39" t="n">
        <f aca="true">IF($Z13="","",IF($N13&lt;&gt;"",$Z13-$N13,$Z13-TODAY()))</f>
        <v>-29</v>
      </c>
      <c r="AB13" s="36" t="str">
        <f aca="false">IF(OR($X13="",$V13="Void",$V13="Superseded"),"",IF(N($X13)&gt;=Setup!$D$23,"Long lead",""))</f>
        <v>Long lead</v>
      </c>
      <c r="AC13" s="40" t="s">
        <v>144</v>
      </c>
      <c r="AD13" s="41"/>
      <c r="AE13" s="42" t="s">
        <v>145</v>
      </c>
    </row>
    <row r="14" customFormat="false" ht="30" hidden="false" customHeight="true" outlineLevel="0" collapsed="false">
      <c r="A14" s="31"/>
      <c r="B14" s="32" t="n">
        <f aca="false">IF($J14="","",ROW()-8)</f>
        <v>6</v>
      </c>
      <c r="C14" s="33" t="str">
        <f aca="false">IF($J14="","",$D14&amp;"-"&amp;TEXT($E14,"000")&amp;IF(N($F14)&gt;0,"."&amp;TEXT($F14,"00"),""))</f>
        <v>09 51 13-005</v>
      </c>
      <c r="D14" s="43" t="s">
        <v>146</v>
      </c>
      <c r="E14" s="44" t="n">
        <v>5</v>
      </c>
      <c r="F14" s="44" t="n">
        <v>0</v>
      </c>
      <c r="G14" s="43" t="s">
        <v>147</v>
      </c>
      <c r="H14" s="43" t="s">
        <v>148</v>
      </c>
      <c r="I14" s="43" t="s">
        <v>149</v>
      </c>
      <c r="J14" s="43" t="s">
        <v>150</v>
      </c>
      <c r="K14" s="43" t="s">
        <v>151</v>
      </c>
      <c r="L14" s="36" t="str">
        <f aca="false">IF($K14="","",IFERROR(INDEX(Reference!$D$53:$D$67,MATCH($K14,Reference!$B$53:$B$67,0)),""))</f>
        <v>Action</v>
      </c>
      <c r="M14" s="43" t="s">
        <v>152</v>
      </c>
      <c r="N14" s="45" t="n">
        <v>46230</v>
      </c>
      <c r="O14" s="45" t="n">
        <v>46231</v>
      </c>
      <c r="P14" s="43" t="s">
        <v>139</v>
      </c>
      <c r="Q14" s="44" t="s">
        <v>117</v>
      </c>
      <c r="R14" s="38" t="n">
        <f aca="false">IF($O14="","",$O14+IF(N($F14)&gt;0,Setup!$D$21,IF($Q14="Sequential",Setup!$D$20,Setup!$D$19)))</f>
        <v>46246</v>
      </c>
      <c r="S14" s="45"/>
      <c r="T14" s="44"/>
      <c r="U14" s="39" t="n">
        <f aca="true">IF($O14="","",IF($S14&lt;&gt;"",$S14-$O14,TODAY()-$O14))</f>
        <v>15</v>
      </c>
      <c r="V14" s="36" t="str">
        <f aca="true">IF($J14="","",IF($AD14="Yes","Void",IF(COUNTIFS($D$9:$D$208,$D14,$E$9:$E$208,$E14,$F$9:$F$208,"&gt;"&amp;N($F14))&gt;0,"Superseded",IF($N14="","Not submitted",IF($S14="",IF(AND($R14&lt;&gt;"",$R14&lt;TODAY()),"Overdue with reviewer","In review"),IF(COUNTIF(Reference!$B$70:$B$80,$T14)&gt;0,"Closed","Resubmittal required"))))))</f>
        <v>In review</v>
      </c>
      <c r="W14" s="36" t="str">
        <f aca="false">IF($J14="","",IF(OR($V14="Closed",$V14="Superseded",$V14="Void"),"Closed",IF(OR($V14="Not submitted",$V14="Resubmittal required"),"Contractor","Reviewer")))</f>
        <v>Reviewer</v>
      </c>
      <c r="X14" s="44" t="n">
        <v>6</v>
      </c>
      <c r="Y14" s="45" t="n">
        <v>46325</v>
      </c>
      <c r="Z14" s="38" t="n">
        <f aca="false">IF(OR($J14="",$Y14="",$X14="",$V14="Void",$V14="Superseded"),"",$Y14-N($X14)*7-IF($Q14="Sequential",Setup!$D$20,Setup!$D$19)-Setup!$D$22)</f>
        <v>46263</v>
      </c>
      <c r="AA14" s="39" t="n">
        <f aca="true">IF($Z14="","",IF($N14&lt;&gt;"",$Z14-$N14,$Z14-TODAY()))</f>
        <v>33</v>
      </c>
      <c r="AB14" s="36" t="str">
        <f aca="false">IF(OR($X14="",$V14="Void",$V14="Superseded"),"",IF(N($X14)&gt;=Setup!$D$23,"Long lead",""))</f>
        <v/>
      </c>
      <c r="AC14" s="46" t="s">
        <v>119</v>
      </c>
      <c r="AD14" s="47"/>
      <c r="AE14" s="48" t="s">
        <v>153</v>
      </c>
    </row>
    <row r="15" customFormat="false" ht="30" hidden="false" customHeight="true" outlineLevel="0" collapsed="false">
      <c r="A15" s="31"/>
      <c r="B15" s="32" t="n">
        <f aca="false">IF($J15="","",ROW()-8)</f>
        <v>7</v>
      </c>
      <c r="C15" s="33" t="str">
        <f aca="false">IF($J15="","",$D15&amp;"-"&amp;TEXT($E15,"000")&amp;IF(N($F15)&gt;0,"."&amp;TEXT($F15,"00"),""))</f>
        <v>09 91 00-006</v>
      </c>
      <c r="D15" s="34" t="s">
        <v>154</v>
      </c>
      <c r="E15" s="35" t="n">
        <v>6</v>
      </c>
      <c r="F15" s="35" t="n">
        <v>0</v>
      </c>
      <c r="G15" s="34" t="s">
        <v>155</v>
      </c>
      <c r="H15" s="34" t="s">
        <v>148</v>
      </c>
      <c r="I15" s="34" t="s">
        <v>149</v>
      </c>
      <c r="J15" s="34" t="s">
        <v>156</v>
      </c>
      <c r="K15" s="34" t="s">
        <v>137</v>
      </c>
      <c r="L15" s="36" t="str">
        <f aca="false">IF($K15="","",IFERROR(INDEX(Reference!$D$53:$D$67,MATCH($K15,Reference!$B$53:$B$67,0)),""))</f>
        <v>Action</v>
      </c>
      <c r="M15" s="34" t="s">
        <v>157</v>
      </c>
      <c r="N15" s="37" t="n">
        <v>46233</v>
      </c>
      <c r="O15" s="37" t="n">
        <v>46234</v>
      </c>
      <c r="P15" s="34" t="s">
        <v>139</v>
      </c>
      <c r="Q15" s="35" t="s">
        <v>117</v>
      </c>
      <c r="R15" s="38" t="n">
        <f aca="false">IF($O15="","",$O15+IF(N($F15)&gt;0,Setup!$D$21,IF($Q15="Sequential",Setup!$D$20,Setup!$D$19)))</f>
        <v>46249</v>
      </c>
      <c r="S15" s="37"/>
      <c r="T15" s="35"/>
      <c r="U15" s="39" t="n">
        <f aca="true">IF($O15="","",IF($S15&lt;&gt;"",$S15-$O15,TODAY()-$O15))</f>
        <v>12</v>
      </c>
      <c r="V15" s="36" t="str">
        <f aca="true">IF($J15="","",IF($AD15="Yes","Void",IF(COUNTIFS($D$9:$D$208,$D15,$E$9:$E$208,$E15,$F$9:$F$208,"&gt;"&amp;N($F15))&gt;0,"Superseded",IF($N15="","Not submitted",IF($S15="",IF(AND($R15&lt;&gt;"",$R15&lt;TODAY()),"Overdue with reviewer","In review"),IF(COUNTIF(Reference!$B$70:$B$80,$T15)&gt;0,"Closed","Resubmittal required"))))))</f>
        <v>In review</v>
      </c>
      <c r="W15" s="36" t="str">
        <f aca="false">IF($J15="","",IF(OR($V15="Closed",$V15="Superseded",$V15="Void"),"Closed",IF(OR($V15="Not submitted",$V15="Resubmittal required"),"Contractor","Reviewer")))</f>
        <v>Reviewer</v>
      </c>
      <c r="X15" s="35" t="n">
        <v>3</v>
      </c>
      <c r="Y15" s="37" t="n">
        <v>46346</v>
      </c>
      <c r="Z15" s="38" t="n">
        <f aca="false">IF(OR($J15="",$Y15="",$X15="",$V15="Void",$V15="Superseded"),"",$Y15-N($X15)*7-IF($Q15="Sequential",Setup!$D$20,Setup!$D$19)-Setup!$D$22)</f>
        <v>46305</v>
      </c>
      <c r="AA15" s="39" t="n">
        <f aca="true">IF($Z15="","",IF($N15&lt;&gt;"",$Z15-$N15,$Z15-TODAY()))</f>
        <v>72</v>
      </c>
      <c r="AB15" s="36" t="str">
        <f aca="false">IF(OR($X15="",$V15="Void",$V15="Superseded"),"",IF(N($X15)&gt;=Setup!$D$23,"Long lead",""))</f>
        <v/>
      </c>
      <c r="AC15" s="40" t="s">
        <v>119</v>
      </c>
      <c r="AD15" s="41"/>
      <c r="AE15" s="42" t="s">
        <v>153</v>
      </c>
    </row>
    <row r="16" customFormat="false" ht="30" hidden="false" customHeight="true" outlineLevel="0" collapsed="false">
      <c r="A16" s="31"/>
      <c r="B16" s="32" t="n">
        <f aca="false">IF($J16="","",ROW()-8)</f>
        <v>8</v>
      </c>
      <c r="C16" s="33" t="str">
        <f aca="false">IF($J16="","",$D16&amp;"-"&amp;TEXT($E16,"000")&amp;IF(N($F16)&gt;0,"."&amp;TEXT($F16,"00"),""))</f>
        <v>14 21 00-007</v>
      </c>
      <c r="D16" s="43" t="s">
        <v>158</v>
      </c>
      <c r="E16" s="44" t="n">
        <v>7</v>
      </c>
      <c r="F16" s="44" t="n">
        <v>0</v>
      </c>
      <c r="G16" s="43" t="s">
        <v>159</v>
      </c>
      <c r="H16" s="43" t="s">
        <v>160</v>
      </c>
      <c r="I16" s="43" t="s">
        <v>161</v>
      </c>
      <c r="J16" s="43" t="s">
        <v>162</v>
      </c>
      <c r="K16" s="43" t="s">
        <v>125</v>
      </c>
      <c r="L16" s="36" t="str">
        <f aca="false">IF($K16="","",IFERROR(INDEX(Reference!$D$53:$D$67,MATCH($K16,Reference!$B$53:$B$67,0)),""))</f>
        <v>Action</v>
      </c>
      <c r="M16" s="43" t="s">
        <v>163</v>
      </c>
      <c r="N16" s="45" t="n">
        <v>46160</v>
      </c>
      <c r="O16" s="45" t="n">
        <v>46161</v>
      </c>
      <c r="P16" s="43" t="s">
        <v>139</v>
      </c>
      <c r="Q16" s="44" t="s">
        <v>127</v>
      </c>
      <c r="R16" s="38" t="n">
        <f aca="false">IF($O16="","",$O16+IF(N($F16)&gt;0,Setup!$D$21,IF($Q16="Sequential",Setup!$D$20,Setup!$D$19)))</f>
        <v>46182</v>
      </c>
      <c r="S16" s="45" t="n">
        <v>46183</v>
      </c>
      <c r="T16" s="44" t="s">
        <v>118</v>
      </c>
      <c r="U16" s="39" t="n">
        <f aca="true">IF($O16="","",IF($S16&lt;&gt;"",$S16-$O16,TODAY()-$O16))</f>
        <v>22</v>
      </c>
      <c r="V16" s="36" t="str">
        <f aca="true">IF($J16="","",IF($AD16="Yes","Void",IF(COUNTIFS($D$9:$D$208,$D16,$E$9:$E$208,$E16,$F$9:$F$208,"&gt;"&amp;N($F16))&gt;0,"Superseded",IF($N16="","Not submitted",IF($S16="",IF(AND($R16&lt;&gt;"",$R16&lt;TODAY()),"Overdue with reviewer","In review"),IF(COUNTIF(Reference!$B$70:$B$80,$T16)&gt;0,"Closed","Resubmittal required"))))))</f>
        <v>Closed</v>
      </c>
      <c r="W16" s="36" t="str">
        <f aca="false">IF($J16="","",IF(OR($V16="Closed",$V16="Superseded",$V16="Void"),"Closed",IF(OR($V16="Not submitted",$V16="Resubmittal required"),"Contractor","Reviewer")))</f>
        <v>Closed</v>
      </c>
      <c r="X16" s="44" t="n">
        <v>26</v>
      </c>
      <c r="Y16" s="45" t="n">
        <v>46360</v>
      </c>
      <c r="Z16" s="38" t="n">
        <f aca="false">IF(OR($J16="",$Y16="",$X16="",$V16="Void",$V16="Superseded"),"",$Y16-N($X16)*7-IF($Q16="Sequential",Setup!$D$20,Setup!$D$19)-Setup!$D$22)</f>
        <v>46152</v>
      </c>
      <c r="AA16" s="39" t="n">
        <f aca="true">IF($Z16="","",IF($N16&lt;&gt;"",$Z16-$N16,$Z16-TODAY()))</f>
        <v>-8</v>
      </c>
      <c r="AB16" s="36" t="str">
        <f aca="false">IF(OR($X16="",$V16="Void",$V16="Superseded"),"",IF(N($X16)&gt;=Setup!$D$23,"Long lead",""))</f>
        <v>Long lead</v>
      </c>
      <c r="AC16" s="46" t="s">
        <v>119</v>
      </c>
      <c r="AD16" s="47"/>
      <c r="AE16" s="48" t="s">
        <v>164</v>
      </c>
    </row>
    <row r="17" customFormat="false" ht="30" hidden="false" customHeight="true" outlineLevel="0" collapsed="false">
      <c r="A17" s="31"/>
      <c r="B17" s="32" t="n">
        <f aca="false">IF($J17="","",ROW()-8)</f>
        <v>9</v>
      </c>
      <c r="C17" s="33" t="str">
        <f aca="false">IF($J17="","",$D17&amp;"-"&amp;TEXT($E17,"000")&amp;IF(N($F17)&gt;0,"."&amp;TEXT($F17,"00"),""))</f>
        <v>21 13 13-008</v>
      </c>
      <c r="D17" s="34" t="s">
        <v>165</v>
      </c>
      <c r="E17" s="35" t="n">
        <v>8</v>
      </c>
      <c r="F17" s="35" t="n">
        <v>0</v>
      </c>
      <c r="G17" s="34" t="s">
        <v>166</v>
      </c>
      <c r="H17" s="34" t="s">
        <v>167</v>
      </c>
      <c r="I17" s="34" t="s">
        <v>168</v>
      </c>
      <c r="J17" s="34" t="s">
        <v>169</v>
      </c>
      <c r="K17" s="34" t="s">
        <v>170</v>
      </c>
      <c r="L17" s="36" t="str">
        <f aca="false">IF($K17="","",IFERROR(INDEX(Reference!$D$53:$D$67,MATCH($K17,Reference!$B$53:$B$67,0)),""))</f>
        <v>Action</v>
      </c>
      <c r="M17" s="34" t="s">
        <v>171</v>
      </c>
      <c r="N17" s="37" t="n">
        <v>46209</v>
      </c>
      <c r="O17" s="37" t="n">
        <v>46210</v>
      </c>
      <c r="P17" s="34" t="s">
        <v>172</v>
      </c>
      <c r="Q17" s="35" t="s">
        <v>127</v>
      </c>
      <c r="R17" s="38" t="n">
        <f aca="false">IF($O17="","",$O17+IF(N($F17)&gt;0,Setup!$D$21,IF($Q17="Sequential",Setup!$D$20,Setup!$D$19)))</f>
        <v>46231</v>
      </c>
      <c r="S17" s="37" t="n">
        <v>46227</v>
      </c>
      <c r="T17" s="35" t="s">
        <v>128</v>
      </c>
      <c r="U17" s="39" t="n">
        <f aca="true">IF($O17="","",IF($S17&lt;&gt;"",$S17-$O17,TODAY()-$O17))</f>
        <v>17</v>
      </c>
      <c r="V17" s="36" t="str">
        <f aca="true">IF($J17="","",IF($AD17="Yes","Void",IF(COUNTIFS($D$9:$D$208,$D17,$E$9:$E$208,$E17,$F$9:$F$208,"&gt;"&amp;N($F17))&gt;0,"Superseded",IF($N17="","Not submitted",IF($S17="",IF(AND($R17&lt;&gt;"",$R17&lt;TODAY()),"Overdue with reviewer","In review"),IF(COUNTIF(Reference!$B$70:$B$80,$T17)&gt;0,"Closed","Resubmittal required"))))))</f>
        <v>Resubmittal required</v>
      </c>
      <c r="W17" s="36" t="str">
        <f aca="false">IF($J17="","",IF(OR($V17="Closed",$V17="Superseded",$V17="Void"),"Closed",IF(OR($V17="Not submitted",$V17="Resubmittal required"),"Contractor","Reviewer")))</f>
        <v>Contractor</v>
      </c>
      <c r="X17" s="35" t="n">
        <v>8</v>
      </c>
      <c r="Y17" s="37" t="n">
        <v>46304</v>
      </c>
      <c r="Z17" s="38" t="n">
        <f aca="false">IF(OR($J17="",$Y17="",$X17="",$V17="Void",$V17="Superseded"),"",$Y17-N($X17)*7-IF($Q17="Sequential",Setup!$D$20,Setup!$D$19)-Setup!$D$22)</f>
        <v>46222</v>
      </c>
      <c r="AA17" s="39" t="n">
        <f aca="true">IF($Z17="","",IF($N17&lt;&gt;"",$Z17-$N17,$Z17-TODAY()))</f>
        <v>13</v>
      </c>
      <c r="AB17" s="36" t="str">
        <f aca="false">IF(OR($X17="",$V17="Void",$V17="Superseded"),"",IF(N($X17)&gt;=Setup!$D$23,"Long lead",""))</f>
        <v/>
      </c>
      <c r="AC17" s="40" t="s">
        <v>144</v>
      </c>
      <c r="AD17" s="41"/>
      <c r="AE17" s="42" t="s">
        <v>129</v>
      </c>
    </row>
    <row r="18" customFormat="false" ht="30" hidden="false" customHeight="true" outlineLevel="0" collapsed="false">
      <c r="A18" s="31"/>
      <c r="B18" s="32" t="n">
        <f aca="false">IF($J18="","",ROW()-8)</f>
        <v>10</v>
      </c>
      <c r="C18" s="33" t="str">
        <f aca="false">IF($J18="","",$D18&amp;"-"&amp;TEXT($E18,"000")&amp;IF(N($F18)&gt;0,"."&amp;TEXT($F18,"00"),""))</f>
        <v>22 40 00-009</v>
      </c>
      <c r="D18" s="43" t="s">
        <v>173</v>
      </c>
      <c r="E18" s="44" t="n">
        <v>9</v>
      </c>
      <c r="F18" s="44" t="n">
        <v>0</v>
      </c>
      <c r="G18" s="43" t="s">
        <v>174</v>
      </c>
      <c r="H18" s="43" t="s">
        <v>175</v>
      </c>
      <c r="I18" s="43" t="s">
        <v>176</v>
      </c>
      <c r="J18" s="43" t="s">
        <v>177</v>
      </c>
      <c r="K18" s="43" t="s">
        <v>137</v>
      </c>
      <c r="L18" s="36" t="str">
        <f aca="false">IF($K18="","",IFERROR(INDEX(Reference!$D$53:$D$67,MATCH($K18,Reference!$B$53:$B$67,0)),""))</f>
        <v>Action</v>
      </c>
      <c r="M18" s="43" t="s">
        <v>178</v>
      </c>
      <c r="N18" s="45" t="n">
        <v>46216</v>
      </c>
      <c r="O18" s="45" t="n">
        <v>46217</v>
      </c>
      <c r="P18" s="43" t="s">
        <v>139</v>
      </c>
      <c r="Q18" s="44" t="s">
        <v>117</v>
      </c>
      <c r="R18" s="38" t="n">
        <f aca="false">IF($O18="","",$O18+IF(N($F18)&gt;0,Setup!$D$21,IF($Q18="Sequential",Setup!$D$20,Setup!$D$19)))</f>
        <v>46232</v>
      </c>
      <c r="S18" s="45" t="n">
        <v>46230</v>
      </c>
      <c r="T18" s="44" t="s">
        <v>131</v>
      </c>
      <c r="U18" s="39" t="n">
        <f aca="true">IF($O18="","",IF($S18&lt;&gt;"",$S18-$O18,TODAY()-$O18))</f>
        <v>13</v>
      </c>
      <c r="V18" s="36" t="str">
        <f aca="true">IF($J18="","",IF($AD18="Yes","Void",IF(COUNTIFS($D$9:$D$208,$D18,$E$9:$E$208,$E18,$F$9:$F$208,"&gt;"&amp;N($F18))&gt;0,"Superseded",IF($N18="","Not submitted",IF($S18="",IF(AND($R18&lt;&gt;"",$R18&lt;TODAY()),"Overdue with reviewer","In review"),IF(COUNTIF(Reference!$B$70:$B$80,$T18)&gt;0,"Closed","Resubmittal required"))))))</f>
        <v>Closed</v>
      </c>
      <c r="W18" s="36" t="str">
        <f aca="false">IF($J18="","",IF(OR($V18="Closed",$V18="Superseded",$V18="Void"),"Closed",IF(OR($V18="Not submitted",$V18="Resubmittal required"),"Contractor","Reviewer")))</f>
        <v>Closed</v>
      </c>
      <c r="X18" s="44" t="n">
        <v>9</v>
      </c>
      <c r="Y18" s="45" t="n">
        <v>46339</v>
      </c>
      <c r="Z18" s="38" t="n">
        <f aca="false">IF(OR($J18="",$Y18="",$X18="",$V18="Void",$V18="Superseded"),"",$Y18-N($X18)*7-IF($Q18="Sequential",Setup!$D$20,Setup!$D$19)-Setup!$D$22)</f>
        <v>46256</v>
      </c>
      <c r="AA18" s="39" t="n">
        <f aca="true">IF($Z18="","",IF($N18&lt;&gt;"",$Z18-$N18,$Z18-TODAY()))</f>
        <v>40</v>
      </c>
      <c r="AB18" s="36" t="str">
        <f aca="false">IF(OR($X18="",$V18="Void",$V18="Superseded"),"",IF(N($X18)&gt;=Setup!$D$23,"Long lead",""))</f>
        <v/>
      </c>
      <c r="AC18" s="46" t="s">
        <v>119</v>
      </c>
      <c r="AD18" s="47"/>
      <c r="AE18" s="48" t="s">
        <v>129</v>
      </c>
    </row>
    <row r="19" customFormat="false" ht="30" hidden="false" customHeight="true" outlineLevel="0" collapsed="false">
      <c r="A19" s="31"/>
      <c r="B19" s="32" t="n">
        <f aca="false">IF($J19="","",ROW()-8)</f>
        <v>11</v>
      </c>
      <c r="C19" s="33" t="str">
        <f aca="false">IF($J19="","",$D19&amp;"-"&amp;TEXT($E19,"000")&amp;IF(N($F19)&gt;0,"."&amp;TEXT($F19,"00"),""))</f>
        <v>23 73 13-010</v>
      </c>
      <c r="D19" s="34" t="s">
        <v>179</v>
      </c>
      <c r="E19" s="35" t="n">
        <v>10</v>
      </c>
      <c r="F19" s="35" t="n">
        <v>0</v>
      </c>
      <c r="G19" s="34" t="s">
        <v>180</v>
      </c>
      <c r="H19" s="34" t="s">
        <v>181</v>
      </c>
      <c r="I19" s="34" t="s">
        <v>182</v>
      </c>
      <c r="J19" s="34" t="s">
        <v>183</v>
      </c>
      <c r="K19" s="34" t="s">
        <v>125</v>
      </c>
      <c r="L19" s="36" t="str">
        <f aca="false">IF($K19="","",IFERROR(INDEX(Reference!$D$53:$D$67,MATCH($K19,Reference!$B$53:$B$67,0)),""))</f>
        <v>Action</v>
      </c>
      <c r="M19" s="34" t="s">
        <v>184</v>
      </c>
      <c r="N19" s="37" t="n">
        <v>46168</v>
      </c>
      <c r="O19" s="37" t="n">
        <v>46169</v>
      </c>
      <c r="P19" s="34" t="s">
        <v>185</v>
      </c>
      <c r="Q19" s="35" t="s">
        <v>127</v>
      </c>
      <c r="R19" s="38" t="n">
        <f aca="false">IF($O19="","",$O19+IF(N($F19)&gt;0,Setup!$D$21,IF($Q19="Sequential",Setup!$D$20,Setup!$D$19)))</f>
        <v>46190</v>
      </c>
      <c r="S19" s="37" t="n">
        <v>46189</v>
      </c>
      <c r="T19" s="35" t="s">
        <v>118</v>
      </c>
      <c r="U19" s="39" t="n">
        <f aca="true">IF($O19="","",IF($S19&lt;&gt;"",$S19-$O19,TODAY()-$O19))</f>
        <v>20</v>
      </c>
      <c r="V19" s="36" t="str">
        <f aca="true">IF($J19="","",IF($AD19="Yes","Void",IF(COUNTIFS($D$9:$D$208,$D19,$E$9:$E$208,$E19,$F$9:$F$208,"&gt;"&amp;N($F19))&gt;0,"Superseded",IF($N19="","Not submitted",IF($S19="",IF(AND($R19&lt;&gt;"",$R19&lt;TODAY()),"Overdue with reviewer","In review"),IF(COUNTIF(Reference!$B$70:$B$80,$T19)&gt;0,"Closed","Resubmittal required"))))))</f>
        <v>Closed</v>
      </c>
      <c r="W19" s="36" t="str">
        <f aca="false">IF($J19="","",IF(OR($V19="Closed",$V19="Superseded",$V19="Void"),"Closed",IF(OR($V19="Not submitted",$V19="Resubmittal required"),"Contractor","Reviewer")))</f>
        <v>Closed</v>
      </c>
      <c r="X19" s="35" t="n">
        <v>22</v>
      </c>
      <c r="Y19" s="37" t="n">
        <v>46353</v>
      </c>
      <c r="Z19" s="38" t="n">
        <f aca="false">IF(OR($J19="",$Y19="",$X19="",$V19="Void",$V19="Superseded"),"",$Y19-N($X19)*7-IF($Q19="Sequential",Setup!$D$20,Setup!$D$19)-Setup!$D$22)</f>
        <v>46173</v>
      </c>
      <c r="AA19" s="39" t="n">
        <f aca="true">IF($Z19="","",IF($N19&lt;&gt;"",$Z19-$N19,$Z19-TODAY()))</f>
        <v>5</v>
      </c>
      <c r="AB19" s="36" t="str">
        <f aca="false">IF(OR($X19="",$V19="Void",$V19="Superseded"),"",IF(N($X19)&gt;=Setup!$D$23,"Long lead",""))</f>
        <v>Long lead</v>
      </c>
      <c r="AC19" s="40" t="s">
        <v>119</v>
      </c>
      <c r="AD19" s="41"/>
      <c r="AE19" s="42" t="s">
        <v>164</v>
      </c>
    </row>
    <row r="20" customFormat="false" ht="30" hidden="false" customHeight="true" outlineLevel="0" collapsed="false">
      <c r="A20" s="31"/>
      <c r="B20" s="32" t="n">
        <f aca="false">IF($J20="","",ROW()-8)</f>
        <v>12</v>
      </c>
      <c r="C20" s="33" t="str">
        <f aca="false">IF($J20="","",$D20&amp;"-"&amp;TEXT($E20,"000")&amp;IF(N($F20)&gt;0,"."&amp;TEXT($F20,"00"),""))</f>
        <v>23 09 00-011</v>
      </c>
      <c r="D20" s="43" t="s">
        <v>186</v>
      </c>
      <c r="E20" s="44" t="n">
        <v>11</v>
      </c>
      <c r="F20" s="44" t="n">
        <v>0</v>
      </c>
      <c r="G20" s="43" t="s">
        <v>187</v>
      </c>
      <c r="H20" s="43" t="s">
        <v>181</v>
      </c>
      <c r="I20" s="43" t="s">
        <v>182</v>
      </c>
      <c r="J20" s="43" t="s">
        <v>188</v>
      </c>
      <c r="K20" s="43" t="s">
        <v>170</v>
      </c>
      <c r="L20" s="36" t="str">
        <f aca="false">IF($K20="","",IFERROR(INDEX(Reference!$D$53:$D$67,MATCH($K20,Reference!$B$53:$B$67,0)),""))</f>
        <v>Action</v>
      </c>
      <c r="M20" s="43" t="s">
        <v>184</v>
      </c>
      <c r="N20" s="45"/>
      <c r="O20" s="45"/>
      <c r="P20" s="43" t="s">
        <v>185</v>
      </c>
      <c r="Q20" s="44" t="s">
        <v>117</v>
      </c>
      <c r="R20" s="38" t="str">
        <f aca="false">IF($O20="","",$O20+IF(N($F20)&gt;0,Setup!$D$21,IF($Q20="Sequential",Setup!$D$20,Setup!$D$19)))</f>
        <v/>
      </c>
      <c r="S20" s="45"/>
      <c r="T20" s="44"/>
      <c r="U20" s="39" t="str">
        <f aca="true">IF($O20="","",IF($S20&lt;&gt;"",$S20-$O20,TODAY()-$O20))</f>
        <v/>
      </c>
      <c r="V20" s="36" t="str">
        <f aca="true">IF($J20="","",IF($AD20="Yes","Void",IF(COUNTIFS($D$9:$D$208,$D20,$E$9:$E$208,$E20,$F$9:$F$208,"&gt;"&amp;N($F20))&gt;0,"Superseded",IF($N20="","Not submitted",IF($S20="",IF(AND($R20&lt;&gt;"",$R20&lt;TODAY()),"Overdue with reviewer","In review"),IF(COUNTIF(Reference!$B$70:$B$80,$T20)&gt;0,"Closed","Resubmittal required"))))))</f>
        <v>Not submitted</v>
      </c>
      <c r="W20" s="36" t="str">
        <f aca="false">IF($J20="","",IF(OR($V20="Closed",$V20="Superseded",$V20="Void"),"Closed",IF(OR($V20="Not submitted",$V20="Resubmittal required"),"Contractor","Reviewer")))</f>
        <v>Contractor</v>
      </c>
      <c r="X20" s="44" t="n">
        <v>12</v>
      </c>
      <c r="Y20" s="45" t="n">
        <v>46318</v>
      </c>
      <c r="Z20" s="38" t="n">
        <f aca="false">IF(OR($J20="",$Y20="",$X20="",$V20="Void",$V20="Superseded"),"",$Y20-N($X20)*7-IF($Q20="Sequential",Setup!$D$20,Setup!$D$19)-Setup!$D$22)</f>
        <v>46214</v>
      </c>
      <c r="AA20" s="39" t="n">
        <f aca="true">IF($Z20="","",IF($N20&lt;&gt;"",$Z20-$N20,$Z20-TODAY()))</f>
        <v>-32</v>
      </c>
      <c r="AB20" s="36" t="str">
        <f aca="false">IF(OR($X20="",$V20="Void",$V20="Superseded"),"",IF(N($X20)&gt;=Setup!$D$23,"Long lead",""))</f>
        <v>Long lead</v>
      </c>
      <c r="AC20" s="46" t="s">
        <v>119</v>
      </c>
      <c r="AD20" s="47"/>
      <c r="AE20" s="48" t="s">
        <v>189</v>
      </c>
    </row>
    <row r="21" customFormat="false" ht="30" hidden="false" customHeight="true" outlineLevel="0" collapsed="false">
      <c r="A21" s="31"/>
      <c r="B21" s="32" t="n">
        <f aca="false">IF($J21="","",ROW()-8)</f>
        <v>13</v>
      </c>
      <c r="C21" s="33" t="str">
        <f aca="false">IF($J21="","",$D21&amp;"-"&amp;TEXT($E21,"000")&amp;IF(N($F21)&gt;0,"."&amp;TEXT($F21,"00"),""))</f>
        <v>26 24 16-012</v>
      </c>
      <c r="D21" s="34" t="s">
        <v>190</v>
      </c>
      <c r="E21" s="35" t="n">
        <v>12</v>
      </c>
      <c r="F21" s="35" t="n">
        <v>0</v>
      </c>
      <c r="G21" s="34" t="s">
        <v>191</v>
      </c>
      <c r="H21" s="34" t="s">
        <v>192</v>
      </c>
      <c r="I21" s="34" t="s">
        <v>193</v>
      </c>
      <c r="J21" s="34" t="s">
        <v>194</v>
      </c>
      <c r="K21" s="34" t="s">
        <v>125</v>
      </c>
      <c r="L21" s="36" t="str">
        <f aca="false">IF($K21="","",IFERROR(INDEX(Reference!$D$53:$D$67,MATCH($K21,Reference!$B$53:$B$67,0)),""))</f>
        <v>Action</v>
      </c>
      <c r="M21" s="34" t="s">
        <v>195</v>
      </c>
      <c r="N21" s="37" t="n">
        <v>46188</v>
      </c>
      <c r="O21" s="37" t="n">
        <v>46189</v>
      </c>
      <c r="P21" s="34" t="s">
        <v>185</v>
      </c>
      <c r="Q21" s="35" t="s">
        <v>127</v>
      </c>
      <c r="R21" s="38" t="n">
        <f aca="false">IF($O21="","",$O21+IF(N($F21)&gt;0,Setup!$D$21,IF($Q21="Sequential",Setup!$D$20,Setup!$D$19)))</f>
        <v>46210</v>
      </c>
      <c r="S21" s="37" t="n">
        <v>46211</v>
      </c>
      <c r="T21" s="35" t="s">
        <v>131</v>
      </c>
      <c r="U21" s="39" t="n">
        <f aca="true">IF($O21="","",IF($S21&lt;&gt;"",$S21-$O21,TODAY()-$O21))</f>
        <v>22</v>
      </c>
      <c r="V21" s="36" t="str">
        <f aca="true">IF($J21="","",IF($AD21="Yes","Void",IF(COUNTIFS($D$9:$D$208,$D21,$E$9:$E$208,$E21,$F$9:$F$208,"&gt;"&amp;N($F21))&gt;0,"Superseded",IF($N21="","Not submitted",IF($S21="",IF(AND($R21&lt;&gt;"",$R21&lt;TODAY()),"Overdue with reviewer","In review"),IF(COUNTIF(Reference!$B$70:$B$80,$T21)&gt;0,"Closed","Resubmittal required"))))))</f>
        <v>Closed</v>
      </c>
      <c r="W21" s="36" t="str">
        <f aca="false">IF($J21="","",IF(OR($V21="Closed",$V21="Superseded",$V21="Void"),"Closed",IF(OR($V21="Not submitted",$V21="Resubmittal required"),"Contractor","Reviewer")))</f>
        <v>Closed</v>
      </c>
      <c r="X21" s="35" t="n">
        <v>18</v>
      </c>
      <c r="Y21" s="37" t="n">
        <v>46346</v>
      </c>
      <c r="Z21" s="38" t="n">
        <f aca="false">IF(OR($J21="",$Y21="",$X21="",$V21="Void",$V21="Superseded"),"",$Y21-N($X21)*7-IF($Q21="Sequential",Setup!$D$20,Setup!$D$19)-Setup!$D$22)</f>
        <v>46194</v>
      </c>
      <c r="AA21" s="39" t="n">
        <f aca="true">IF($Z21="","",IF($N21&lt;&gt;"",$Z21-$N21,$Z21-TODAY()))</f>
        <v>6</v>
      </c>
      <c r="AB21" s="36" t="str">
        <f aca="false">IF(OR($X21="",$V21="Void",$V21="Superseded"),"",IF(N($X21)&gt;=Setup!$D$23,"Long lead",""))</f>
        <v>Long lead</v>
      </c>
      <c r="AC21" s="40" t="s">
        <v>119</v>
      </c>
      <c r="AD21" s="41"/>
      <c r="AE21" s="42" t="s">
        <v>129</v>
      </c>
    </row>
    <row r="22" customFormat="false" ht="30" hidden="false" customHeight="true" outlineLevel="0" collapsed="false">
      <c r="A22" s="31"/>
      <c r="B22" s="32" t="n">
        <f aca="false">IF($J22="","",ROW()-8)</f>
        <v>14</v>
      </c>
      <c r="C22" s="33" t="str">
        <f aca="false">IF($J22="","",$D22&amp;"-"&amp;TEXT($E22,"000")&amp;IF(N($F22)&gt;0,"."&amp;TEXT($F22,"00"),""))</f>
        <v>26 51 00-013</v>
      </c>
      <c r="D22" s="43" t="s">
        <v>196</v>
      </c>
      <c r="E22" s="44" t="n">
        <v>13</v>
      </c>
      <c r="F22" s="44" t="n">
        <v>0</v>
      </c>
      <c r="G22" s="43" t="s">
        <v>197</v>
      </c>
      <c r="H22" s="43" t="s">
        <v>192</v>
      </c>
      <c r="I22" s="43" t="s">
        <v>193</v>
      </c>
      <c r="J22" s="43" t="s">
        <v>198</v>
      </c>
      <c r="K22" s="43" t="s">
        <v>170</v>
      </c>
      <c r="L22" s="36" t="str">
        <f aca="false">IF($K22="","",IFERROR(INDEX(Reference!$D$53:$D$67,MATCH($K22,Reference!$B$53:$B$67,0)),""))</f>
        <v>Action</v>
      </c>
      <c r="M22" s="43" t="s">
        <v>195</v>
      </c>
      <c r="N22" s="45" t="n">
        <v>46223</v>
      </c>
      <c r="O22" s="45" t="n">
        <v>46224</v>
      </c>
      <c r="P22" s="43" t="s">
        <v>185</v>
      </c>
      <c r="Q22" s="44" t="s">
        <v>117</v>
      </c>
      <c r="R22" s="38" t="n">
        <f aca="false">IF($O22="","",$O22+IF(N($F22)&gt;0,Setup!$D$21,IF($Q22="Sequential",Setup!$D$20,Setup!$D$19)))</f>
        <v>46239</v>
      </c>
      <c r="S22" s="45"/>
      <c r="T22" s="44"/>
      <c r="U22" s="39" t="n">
        <f aca="true">IF($O22="","",IF($S22&lt;&gt;"",$S22-$O22,TODAY()-$O22))</f>
        <v>22</v>
      </c>
      <c r="V22" s="36" t="str">
        <f aca="true">IF($J22="","",IF($AD22="Yes","Void",IF(COUNTIFS($D$9:$D$208,$D22,$E$9:$E$208,$E22,$F$9:$F$208,"&gt;"&amp;N($F22))&gt;0,"Superseded",IF($N22="","Not submitted",IF($S22="",IF(AND($R22&lt;&gt;"",$R22&lt;TODAY()),"Overdue with reviewer","In review"),IF(COUNTIF(Reference!$B$70:$B$80,$T22)&gt;0,"Closed","Resubmittal required"))))))</f>
        <v>Overdue with reviewer</v>
      </c>
      <c r="W22" s="36" t="str">
        <f aca="false">IF($J22="","",IF(OR($V22="Closed",$V22="Superseded",$V22="Void"),"Closed",IF(OR($V22="Not submitted",$V22="Resubmittal required"),"Contractor","Reviewer")))</f>
        <v>Reviewer</v>
      </c>
      <c r="X22" s="44" t="n">
        <v>11</v>
      </c>
      <c r="Y22" s="45" t="n">
        <v>46311</v>
      </c>
      <c r="Z22" s="38" t="n">
        <f aca="false">IF(OR($J22="",$Y22="",$X22="",$V22="Void",$V22="Superseded"),"",$Y22-N($X22)*7-IF($Q22="Sequential",Setup!$D$20,Setup!$D$19)-Setup!$D$22)</f>
        <v>46214</v>
      </c>
      <c r="AA22" s="39" t="n">
        <f aca="true">IF($Z22="","",IF($N22&lt;&gt;"",$Z22-$N22,$Z22-TODAY()))</f>
        <v>-9</v>
      </c>
      <c r="AB22" s="36" t="str">
        <f aca="false">IF(OR($X22="",$V22="Void",$V22="Superseded"),"",IF(N($X22)&gt;=Setup!$D$23,"Long lead",""))</f>
        <v/>
      </c>
      <c r="AC22" s="46" t="s">
        <v>119</v>
      </c>
      <c r="AD22" s="47"/>
      <c r="AE22" s="48" t="s">
        <v>153</v>
      </c>
    </row>
    <row r="23" customFormat="false" ht="30" hidden="false" customHeight="true" outlineLevel="0" collapsed="false">
      <c r="A23" s="31"/>
      <c r="B23" s="32" t="n">
        <f aca="false">IF($J23="","",ROW()-8)</f>
        <v>15</v>
      </c>
      <c r="C23" s="33" t="str">
        <f aca="false">IF($J23="","",$D23&amp;"-"&amp;TEXT($E23,"000")&amp;IF(N($F23)&gt;0,"."&amp;TEXT($F23,"00"),""))</f>
        <v>26 05 00-014</v>
      </c>
      <c r="D23" s="34" t="s">
        <v>199</v>
      </c>
      <c r="E23" s="35" t="n">
        <v>14</v>
      </c>
      <c r="F23" s="35" t="n">
        <v>0</v>
      </c>
      <c r="G23" s="34" t="s">
        <v>200</v>
      </c>
      <c r="H23" s="34" t="s">
        <v>192</v>
      </c>
      <c r="I23" s="34" t="s">
        <v>193</v>
      </c>
      <c r="J23" s="34" t="s">
        <v>201</v>
      </c>
      <c r="K23" s="34" t="s">
        <v>202</v>
      </c>
      <c r="L23" s="36" t="str">
        <f aca="false">IF($K23="","",IFERROR(INDEX(Reference!$D$53:$D$67,MATCH($K23,Reference!$B$53:$B$67,0)),""))</f>
        <v>Informational</v>
      </c>
      <c r="M23" s="34" t="s">
        <v>195</v>
      </c>
      <c r="N23" s="37" t="n">
        <v>46174</v>
      </c>
      <c r="O23" s="37" t="n">
        <v>46175</v>
      </c>
      <c r="P23" s="34" t="s">
        <v>203</v>
      </c>
      <c r="Q23" s="35" t="s">
        <v>117</v>
      </c>
      <c r="R23" s="38" t="n">
        <f aca="false">IF($O23="","",$O23+IF(N($F23)&gt;0,Setup!$D$21,IF($Q23="Sequential",Setup!$D$20,Setup!$D$19)))</f>
        <v>46190</v>
      </c>
      <c r="S23" s="37" t="n">
        <v>46181</v>
      </c>
      <c r="T23" s="35" t="s">
        <v>204</v>
      </c>
      <c r="U23" s="39" t="n">
        <f aca="true">IF($O23="","",IF($S23&lt;&gt;"",$S23-$O23,TODAY()-$O23))</f>
        <v>6</v>
      </c>
      <c r="V23" s="36" t="str">
        <f aca="true">IF($J23="","",IF($AD23="Yes","Void",IF(COUNTIFS($D$9:$D$208,$D23,$E$9:$E$208,$E23,$F$9:$F$208,"&gt;"&amp;N($F23))&gt;0,"Superseded",IF($N23="","Not submitted",IF($S23="",IF(AND($R23&lt;&gt;"",$R23&lt;TODAY()),"Overdue with reviewer","In review"),IF(COUNTIF(Reference!$B$70:$B$80,$T23)&gt;0,"Closed","Resubmittal required"))))))</f>
        <v>Closed</v>
      </c>
      <c r="W23" s="36" t="str">
        <f aca="false">IF($J23="","",IF(OR($V23="Closed",$V23="Superseded",$V23="Void"),"Closed",IF(OR($V23="Not submitted",$V23="Resubmittal required"),"Contractor","Reviewer")))</f>
        <v>Closed</v>
      </c>
      <c r="X23" s="35" t="n">
        <v>0</v>
      </c>
      <c r="Y23" s="37"/>
      <c r="Z23" s="38" t="str">
        <f aca="false">IF(OR($J23="",$Y23="",$X23="",$V23="Void",$V23="Superseded"),"",$Y23-N($X23)*7-IF($Q23="Sequential",Setup!$D$20,Setup!$D$19)-Setup!$D$22)</f>
        <v/>
      </c>
      <c r="AA23" s="39" t="str">
        <f aca="true">IF($Z23="","",IF($N23&lt;&gt;"",$Z23-$N23,$Z23-TODAY()))</f>
        <v/>
      </c>
      <c r="AB23" s="36" t="str">
        <f aca="false">IF(OR($X23="",$V23="Void",$V23="Superseded"),"",IF(N($X23)&gt;=Setup!$D$23,"Long lead",""))</f>
        <v/>
      </c>
      <c r="AC23" s="40" t="s">
        <v>119</v>
      </c>
      <c r="AD23" s="41"/>
      <c r="AE23" s="42" t="s">
        <v>205</v>
      </c>
    </row>
    <row r="24" customFormat="false" ht="30" hidden="false" customHeight="true" outlineLevel="0" collapsed="false">
      <c r="A24" s="31"/>
      <c r="B24" s="32" t="n">
        <f aca="false">IF($J24="","",ROW()-8)</f>
        <v>16</v>
      </c>
      <c r="C24" s="33" t="str">
        <f aca="false">IF($J24="","",$D24&amp;"-"&amp;TEXT($E24,"000")&amp;IF(N($F24)&gt;0,"."&amp;TEXT($F24,"00"),""))</f>
        <v>28 13 00-015</v>
      </c>
      <c r="D24" s="43" t="s">
        <v>206</v>
      </c>
      <c r="E24" s="44" t="n">
        <v>15</v>
      </c>
      <c r="F24" s="44" t="n">
        <v>0</v>
      </c>
      <c r="G24" s="43" t="s">
        <v>207</v>
      </c>
      <c r="H24" s="43" t="s">
        <v>208</v>
      </c>
      <c r="I24" s="43" t="s">
        <v>193</v>
      </c>
      <c r="J24" s="43" t="s">
        <v>209</v>
      </c>
      <c r="K24" s="43" t="s">
        <v>137</v>
      </c>
      <c r="L24" s="36" t="str">
        <f aca="false">IF($K24="","",IFERROR(INDEX(Reference!$D$53:$D$67,MATCH($K24,Reference!$B$53:$B$67,0)),""))</f>
        <v>Action</v>
      </c>
      <c r="M24" s="43" t="s">
        <v>210</v>
      </c>
      <c r="N24" s="45" t="n">
        <v>46226</v>
      </c>
      <c r="O24" s="45" t="n">
        <v>46227</v>
      </c>
      <c r="P24" s="43" t="s">
        <v>185</v>
      </c>
      <c r="Q24" s="44" t="s">
        <v>117</v>
      </c>
      <c r="R24" s="38" t="n">
        <f aca="false">IF($O24="","",$O24+IF(N($F24)&gt;0,Setup!$D$21,IF($Q24="Sequential",Setup!$D$20,Setup!$D$19)))</f>
        <v>46242</v>
      </c>
      <c r="S24" s="45"/>
      <c r="T24" s="44"/>
      <c r="U24" s="39" t="n">
        <f aca="true">IF($O24="","",IF($S24&lt;&gt;"",$S24-$O24,TODAY()-$O24))</f>
        <v>19</v>
      </c>
      <c r="V24" s="36" t="str">
        <f aca="true">IF($J24="","",IF($AD24="Yes","Void",IF(COUNTIFS($D$9:$D$208,$D24,$E$9:$E$208,$E24,$F$9:$F$208,"&gt;"&amp;N($F24))&gt;0,"Superseded",IF($N24="","Not submitted",IF($S24="",IF(AND($R24&lt;&gt;"",$R24&lt;TODAY()),"Overdue with reviewer","In review"),IF(COUNTIF(Reference!$B$70:$B$80,$T24)&gt;0,"Closed","Resubmittal required"))))))</f>
        <v>Overdue with reviewer</v>
      </c>
      <c r="W24" s="36" t="str">
        <f aca="false">IF($J24="","",IF(OR($V24="Closed",$V24="Superseded",$V24="Void"),"Closed",IF(OR($V24="Not submitted",$V24="Resubmittal required"),"Contractor","Reviewer")))</f>
        <v>Reviewer</v>
      </c>
      <c r="X24" s="44" t="n">
        <v>10</v>
      </c>
      <c r="Y24" s="45" t="n">
        <v>46325</v>
      </c>
      <c r="Z24" s="38" t="n">
        <f aca="false">IF(OR($J24="",$Y24="",$X24="",$V24="Void",$V24="Superseded"),"",$Y24-N($X24)*7-IF($Q24="Sequential",Setup!$D$20,Setup!$D$19)-Setup!$D$22)</f>
        <v>46235</v>
      </c>
      <c r="AA24" s="39" t="n">
        <f aca="true">IF($Z24="","",IF($N24&lt;&gt;"",$Z24-$N24,$Z24-TODAY()))</f>
        <v>9</v>
      </c>
      <c r="AB24" s="36" t="str">
        <f aca="false">IF(OR($X24="",$V24="Void",$V24="Superseded"),"",IF(N($X24)&gt;=Setup!$D$23,"Long lead",""))</f>
        <v/>
      </c>
      <c r="AC24" s="46" t="s">
        <v>119</v>
      </c>
      <c r="AD24" s="47"/>
      <c r="AE24" s="48" t="s">
        <v>153</v>
      </c>
    </row>
    <row r="25" customFormat="false" ht="30" hidden="false" customHeight="true" outlineLevel="0" collapsed="false">
      <c r="A25" s="31"/>
      <c r="B25" s="32" t="n">
        <f aca="false">IF($J25="","",ROW()-8)</f>
        <v>17</v>
      </c>
      <c r="C25" s="33" t="str">
        <f aca="false">IF($J25="","",$D25&amp;"-"&amp;TEXT($E25,"000")&amp;IF(N($F25)&gt;0,"."&amp;TEXT($F25,"00"),""))</f>
        <v>31 20 00-016</v>
      </c>
      <c r="D25" s="34" t="s">
        <v>211</v>
      </c>
      <c r="E25" s="35" t="n">
        <v>16</v>
      </c>
      <c r="F25" s="35" t="n">
        <v>0</v>
      </c>
      <c r="G25" s="34" t="s">
        <v>212</v>
      </c>
      <c r="H25" s="34" t="s">
        <v>213</v>
      </c>
      <c r="I25" s="34" t="s">
        <v>214</v>
      </c>
      <c r="J25" s="34" t="s">
        <v>215</v>
      </c>
      <c r="K25" s="34" t="s">
        <v>216</v>
      </c>
      <c r="L25" s="36" t="str">
        <f aca="false">IF($K25="","",IFERROR(INDEX(Reference!$D$53:$D$67,MATCH($K25,Reference!$B$53:$B$67,0)),""))</f>
        <v>Informational</v>
      </c>
      <c r="M25" s="34" t="s">
        <v>217</v>
      </c>
      <c r="N25" s="37" t="n">
        <v>46153</v>
      </c>
      <c r="O25" s="37" t="n">
        <v>46154</v>
      </c>
      <c r="P25" s="34" t="s">
        <v>218</v>
      </c>
      <c r="Q25" s="35" t="s">
        <v>117</v>
      </c>
      <c r="R25" s="38" t="n">
        <f aca="false">IF($O25="","",$O25+IF(N($F25)&gt;0,Setup!$D$21,IF($Q25="Sequential",Setup!$D$20,Setup!$D$19)))</f>
        <v>46169</v>
      </c>
      <c r="S25" s="37" t="n">
        <v>46162</v>
      </c>
      <c r="T25" s="35" t="s">
        <v>204</v>
      </c>
      <c r="U25" s="39" t="n">
        <f aca="true">IF($O25="","",IF($S25&lt;&gt;"",$S25-$O25,TODAY()-$O25))</f>
        <v>8</v>
      </c>
      <c r="V25" s="36" t="str">
        <f aca="true">IF($J25="","",IF($AD25="Yes","Void",IF(COUNTIFS($D$9:$D$208,$D25,$E$9:$E$208,$E25,$F$9:$F$208,"&gt;"&amp;N($F25))&gt;0,"Superseded",IF($N25="","Not submitted",IF($S25="",IF(AND($R25&lt;&gt;"",$R25&lt;TODAY()),"Overdue with reviewer","In review"),IF(COUNTIF(Reference!$B$70:$B$80,$T25)&gt;0,"Closed","Resubmittal required"))))))</f>
        <v>Closed</v>
      </c>
      <c r="W25" s="36" t="str">
        <f aca="false">IF($J25="","",IF(OR($V25="Closed",$V25="Superseded",$V25="Void"),"Closed",IF(OR($V25="Not submitted",$V25="Resubmittal required"),"Contractor","Reviewer")))</f>
        <v>Closed</v>
      </c>
      <c r="X25" s="35" t="n">
        <v>0</v>
      </c>
      <c r="Y25" s="37"/>
      <c r="Z25" s="38" t="str">
        <f aca="false">IF(OR($J25="",$Y25="",$X25="",$V25="Void",$V25="Superseded"),"",$Y25-N($X25)*7-IF($Q25="Sequential",Setup!$D$20,Setup!$D$19)-Setup!$D$22)</f>
        <v/>
      </c>
      <c r="AA25" s="39" t="str">
        <f aca="true">IF($Z25="","",IF($N25&lt;&gt;"",$Z25-$N25,$Z25-TODAY()))</f>
        <v/>
      </c>
      <c r="AB25" s="36" t="str">
        <f aca="false">IF(OR($X25="",$V25="Void",$V25="Superseded"),"",IF(N($X25)&gt;=Setup!$D$23,"Long lead",""))</f>
        <v/>
      </c>
      <c r="AC25" s="40" t="s">
        <v>119</v>
      </c>
      <c r="AD25" s="41"/>
      <c r="AE25" s="42" t="s">
        <v>205</v>
      </c>
    </row>
    <row r="26" customFormat="false" ht="30" hidden="false" customHeight="true" outlineLevel="0" collapsed="false">
      <c r="A26" s="31"/>
      <c r="B26" s="32" t="n">
        <f aca="false">IF($J26="","",ROW()-8)</f>
        <v>18</v>
      </c>
      <c r="C26" s="33" t="str">
        <f aca="false">IF($J26="","",$D26&amp;"-"&amp;TEXT($E26,"000")&amp;IF(N($F26)&gt;0,"."&amp;TEXT($F26,"00"),""))</f>
        <v>32 12 16-017</v>
      </c>
      <c r="D26" s="43" t="s">
        <v>219</v>
      </c>
      <c r="E26" s="44" t="n">
        <v>17</v>
      </c>
      <c r="F26" s="44" t="n">
        <v>0</v>
      </c>
      <c r="G26" s="43" t="s">
        <v>220</v>
      </c>
      <c r="H26" s="43" t="s">
        <v>221</v>
      </c>
      <c r="I26" s="43" t="s">
        <v>214</v>
      </c>
      <c r="J26" s="43" t="s">
        <v>222</v>
      </c>
      <c r="K26" s="43" t="s">
        <v>114</v>
      </c>
      <c r="L26" s="36" t="str">
        <f aca="false">IF($K26="","",IFERROR(INDEX(Reference!$D$53:$D$67,MATCH($K26,Reference!$B$53:$B$67,0)),""))</f>
        <v>Action</v>
      </c>
      <c r="M26" s="43" t="s">
        <v>217</v>
      </c>
      <c r="N26" s="45" t="n">
        <v>46220</v>
      </c>
      <c r="O26" s="45" t="n">
        <v>46223</v>
      </c>
      <c r="P26" s="43" t="s">
        <v>223</v>
      </c>
      <c r="Q26" s="44" t="s">
        <v>117</v>
      </c>
      <c r="R26" s="38" t="n">
        <f aca="false">IF($O26="","",$O26+IF(N($F26)&gt;0,Setup!$D$21,IF($Q26="Sequential",Setup!$D$20,Setup!$D$19)))</f>
        <v>46238</v>
      </c>
      <c r="S26" s="45" t="n">
        <v>46237</v>
      </c>
      <c r="T26" s="44" t="s">
        <v>118</v>
      </c>
      <c r="U26" s="39" t="n">
        <f aca="true">IF($O26="","",IF($S26&lt;&gt;"",$S26-$O26,TODAY()-$O26))</f>
        <v>14</v>
      </c>
      <c r="V26" s="36" t="str">
        <f aca="true">IF($J26="","",IF($AD26="Yes","Void",IF(COUNTIFS($D$9:$D$208,$D26,$E$9:$E$208,$E26,$F$9:$F$208,"&gt;"&amp;N($F26))&gt;0,"Superseded",IF($N26="","Not submitted",IF($S26="",IF(AND($R26&lt;&gt;"",$R26&lt;TODAY()),"Overdue with reviewer","In review"),IF(COUNTIF(Reference!$B$70:$B$80,$T26)&gt;0,"Closed","Resubmittal required"))))))</f>
        <v>Closed</v>
      </c>
      <c r="W26" s="36" t="str">
        <f aca="false">IF($J26="","",IF(OR($V26="Closed",$V26="Superseded",$V26="Void"),"Closed",IF(OR($V26="Not submitted",$V26="Resubmittal required"),"Contractor","Reviewer")))</f>
        <v>Closed</v>
      </c>
      <c r="X26" s="44" t="n">
        <v>3</v>
      </c>
      <c r="Y26" s="45" t="n">
        <v>46304</v>
      </c>
      <c r="Z26" s="38" t="n">
        <f aca="false">IF(OR($J26="",$Y26="",$X26="",$V26="Void",$V26="Superseded"),"",$Y26-N($X26)*7-IF($Q26="Sequential",Setup!$D$20,Setup!$D$19)-Setup!$D$22)</f>
        <v>46263</v>
      </c>
      <c r="AA26" s="39" t="n">
        <f aca="true">IF($Z26="","",IF($N26&lt;&gt;"",$Z26-$N26,$Z26-TODAY()))</f>
        <v>43</v>
      </c>
      <c r="AB26" s="36" t="str">
        <f aca="false">IF(OR($X26="",$V26="Void",$V26="Superseded"),"",IF(N($X26)&gt;=Setup!$D$23,"Long lead",""))</f>
        <v/>
      </c>
      <c r="AC26" s="46" t="s">
        <v>119</v>
      </c>
      <c r="AD26" s="47"/>
      <c r="AE26" s="48" t="s">
        <v>129</v>
      </c>
    </row>
    <row r="27" customFormat="false" ht="30" hidden="false" customHeight="true" outlineLevel="0" collapsed="false">
      <c r="A27" s="31"/>
      <c r="B27" s="32" t="n">
        <f aca="false">IF($J27="","",ROW()-8)</f>
        <v>19</v>
      </c>
      <c r="C27" s="33" t="str">
        <f aca="false">IF($J27="","",$D27&amp;"-"&amp;TEXT($E27,"000")&amp;IF(N($F27)&gt;0,"."&amp;TEXT($F27,"00"),""))</f>
        <v>32 90 00-018</v>
      </c>
      <c r="D27" s="34" t="s">
        <v>224</v>
      </c>
      <c r="E27" s="35" t="n">
        <v>18</v>
      </c>
      <c r="F27" s="35" t="n">
        <v>0</v>
      </c>
      <c r="G27" s="34" t="s">
        <v>225</v>
      </c>
      <c r="H27" s="34" t="s">
        <v>221</v>
      </c>
      <c r="I27" s="34" t="s">
        <v>226</v>
      </c>
      <c r="J27" s="34" t="s">
        <v>227</v>
      </c>
      <c r="K27" s="34" t="s">
        <v>137</v>
      </c>
      <c r="L27" s="36" t="str">
        <f aca="false">IF($K27="","",IFERROR(INDEX(Reference!$D$53:$D$67,MATCH($K27,Reference!$B$53:$B$67,0)),""))</f>
        <v>Action</v>
      </c>
      <c r="M27" s="34" t="s">
        <v>228</v>
      </c>
      <c r="N27" s="37"/>
      <c r="O27" s="37"/>
      <c r="P27" s="34" t="s">
        <v>229</v>
      </c>
      <c r="Q27" s="35" t="s">
        <v>117</v>
      </c>
      <c r="R27" s="38" t="str">
        <f aca="false">IF($O27="","",$O27+IF(N($F27)&gt;0,Setup!$D$21,IF($Q27="Sequential",Setup!$D$20,Setup!$D$19)))</f>
        <v/>
      </c>
      <c r="S27" s="37"/>
      <c r="T27" s="35"/>
      <c r="U27" s="39" t="str">
        <f aca="true">IF($O27="","",IF($S27&lt;&gt;"",$S27-$O27,TODAY()-$O27))</f>
        <v/>
      </c>
      <c r="V27" s="36" t="str">
        <f aca="true">IF($J27="","",IF($AD27="Yes","Void",IF(COUNTIFS($D$9:$D$208,$D27,$E$9:$E$208,$E27,$F$9:$F$208,"&gt;"&amp;N($F27))&gt;0,"Superseded",IF($N27="","Not submitted",IF($S27="",IF(AND($R27&lt;&gt;"",$R27&lt;TODAY()),"Overdue with reviewer","In review"),IF(COUNTIF(Reference!$B$70:$B$80,$T27)&gt;0,"Closed","Resubmittal required"))))))</f>
        <v>Not submitted</v>
      </c>
      <c r="W27" s="36" t="str">
        <f aca="false">IF($J27="","",IF(OR($V27="Closed",$V27="Superseded",$V27="Void"),"Closed",IF(OR($V27="Not submitted",$V27="Resubmittal required"),"Contractor","Reviewer")))</f>
        <v>Contractor</v>
      </c>
      <c r="X27" s="35" t="n">
        <v>20</v>
      </c>
      <c r="Y27" s="37" t="n">
        <v>46353</v>
      </c>
      <c r="Z27" s="38" t="n">
        <f aca="false">IF(OR($J27="",$Y27="",$X27="",$V27="Void",$V27="Superseded"),"",$Y27-N($X27)*7-IF($Q27="Sequential",Setup!$D$20,Setup!$D$19)-Setup!$D$22)</f>
        <v>46193</v>
      </c>
      <c r="AA27" s="39" t="n">
        <f aca="true">IF($Z27="","",IF($N27&lt;&gt;"",$Z27-$N27,$Z27-TODAY()))</f>
        <v>-53</v>
      </c>
      <c r="AB27" s="36" t="str">
        <f aca="false">IF(OR($X27="",$V27="Void",$V27="Superseded"),"",IF(N($X27)&gt;=Setup!$D$23,"Long lead",""))</f>
        <v>Long lead</v>
      </c>
      <c r="AC27" s="40" t="s">
        <v>119</v>
      </c>
      <c r="AD27" s="41"/>
      <c r="AE27" s="42" t="s">
        <v>230</v>
      </c>
    </row>
    <row r="28" customFormat="false" ht="30" hidden="false" customHeight="true" outlineLevel="0" collapsed="false">
      <c r="A28" s="31"/>
      <c r="B28" s="32" t="n">
        <f aca="false">IF($J28="","",ROW()-8)</f>
        <v>20</v>
      </c>
      <c r="C28" s="33" t="str">
        <f aca="false">IF($J28="","",$D28&amp;"-"&amp;TEXT($E28,"000")&amp;IF(N($F28)&gt;0,"."&amp;TEXT($F28,"00"),""))</f>
        <v>33 11 00-019</v>
      </c>
      <c r="D28" s="43" t="s">
        <v>231</v>
      </c>
      <c r="E28" s="44" t="n">
        <v>19</v>
      </c>
      <c r="F28" s="44" t="n">
        <v>0</v>
      </c>
      <c r="G28" s="43" t="s">
        <v>232</v>
      </c>
      <c r="H28" s="43" t="s">
        <v>233</v>
      </c>
      <c r="I28" s="43" t="s">
        <v>214</v>
      </c>
      <c r="J28" s="43" t="s">
        <v>234</v>
      </c>
      <c r="K28" s="43" t="s">
        <v>137</v>
      </c>
      <c r="L28" s="36" t="str">
        <f aca="false">IF($K28="","",IFERROR(INDEX(Reference!$D$53:$D$67,MATCH($K28,Reference!$B$53:$B$67,0)),""))</f>
        <v>Action</v>
      </c>
      <c r="M28" s="43" t="s">
        <v>217</v>
      </c>
      <c r="N28" s="45" t="n">
        <v>46197</v>
      </c>
      <c r="O28" s="45" t="n">
        <v>46198</v>
      </c>
      <c r="P28" s="43" t="s">
        <v>223</v>
      </c>
      <c r="Q28" s="44" t="s">
        <v>117</v>
      </c>
      <c r="R28" s="38" t="n">
        <f aca="false">IF($O28="","",$O28+IF(N($F28)&gt;0,Setup!$D$21,IF($Q28="Sequential",Setup!$D$20,Setup!$D$19)))</f>
        <v>46213</v>
      </c>
      <c r="S28" s="45" t="n">
        <v>46211</v>
      </c>
      <c r="T28" s="44" t="s">
        <v>131</v>
      </c>
      <c r="U28" s="39" t="n">
        <f aca="true">IF($O28="","",IF($S28&lt;&gt;"",$S28-$O28,TODAY()-$O28))</f>
        <v>13</v>
      </c>
      <c r="V28" s="36" t="str">
        <f aca="true">IF($J28="","",IF($AD28="Yes","Void",IF(COUNTIFS($D$9:$D$208,$D28,$E$9:$E$208,$E28,$F$9:$F$208,"&gt;"&amp;N($F28))&gt;0,"Superseded",IF($N28="","Not submitted",IF($S28="",IF(AND($R28&lt;&gt;"",$R28&lt;TODAY()),"Overdue with reviewer","In review"),IF(COUNTIF(Reference!$B$70:$B$80,$T28)&gt;0,"Closed","Resubmittal required"))))))</f>
        <v>Closed</v>
      </c>
      <c r="W28" s="36" t="str">
        <f aca="false">IF($J28="","",IF(OR($V28="Closed",$V28="Superseded",$V28="Void"),"Closed",IF(OR($V28="Not submitted",$V28="Resubmittal required"),"Contractor","Reviewer")))</f>
        <v>Closed</v>
      </c>
      <c r="X28" s="44" t="n">
        <v>6</v>
      </c>
      <c r="Y28" s="45" t="n">
        <v>46290</v>
      </c>
      <c r="Z28" s="38" t="n">
        <f aca="false">IF(OR($J28="",$Y28="",$X28="",$V28="Void",$V28="Superseded"),"",$Y28-N($X28)*7-IF($Q28="Sequential",Setup!$D$20,Setup!$D$19)-Setup!$D$22)</f>
        <v>46228</v>
      </c>
      <c r="AA28" s="39" t="n">
        <f aca="true">IF($Z28="","",IF($N28&lt;&gt;"",$Z28-$N28,$Z28-TODAY()))</f>
        <v>31</v>
      </c>
      <c r="AB28" s="36" t="str">
        <f aca="false">IF(OR($X28="",$V28="Void",$V28="Superseded"),"",IF(N($X28)&gt;=Setup!$D$23,"Long lead",""))</f>
        <v/>
      </c>
      <c r="AC28" s="46" t="s">
        <v>119</v>
      </c>
      <c r="AD28" s="47"/>
      <c r="AE28" s="48" t="s">
        <v>129</v>
      </c>
    </row>
    <row r="29" customFormat="false" ht="30" hidden="false" customHeight="true" outlineLevel="0" collapsed="false">
      <c r="A29" s="31"/>
      <c r="B29" s="32" t="n">
        <f aca="false">IF($J29="","",ROW()-8)</f>
        <v>21</v>
      </c>
      <c r="C29" s="33" t="str">
        <f aca="false">IF($J29="","",$D29&amp;"-"&amp;TEXT($E29,"000")&amp;IF(N($F29)&gt;0,"."&amp;TEXT($F29,"00"),""))</f>
        <v>08 71 00-020</v>
      </c>
      <c r="D29" s="34" t="s">
        <v>235</v>
      </c>
      <c r="E29" s="35" t="n">
        <v>20</v>
      </c>
      <c r="F29" s="35" t="n">
        <v>0</v>
      </c>
      <c r="G29" s="34" t="s">
        <v>236</v>
      </c>
      <c r="H29" s="34" t="s">
        <v>142</v>
      </c>
      <c r="I29" s="34" t="s">
        <v>149</v>
      </c>
      <c r="J29" s="34" t="s">
        <v>237</v>
      </c>
      <c r="K29" s="34" t="s">
        <v>137</v>
      </c>
      <c r="L29" s="36" t="str">
        <f aca="false">IF($K29="","",IFERROR(INDEX(Reference!$D$53:$D$67,MATCH($K29,Reference!$B$53:$B$67,0)),""))</f>
        <v>Action</v>
      </c>
      <c r="M29" s="34" t="s">
        <v>210</v>
      </c>
      <c r="N29" s="37" t="n">
        <v>46209</v>
      </c>
      <c r="O29" s="37" t="n">
        <v>46210</v>
      </c>
      <c r="P29" s="34" t="s">
        <v>139</v>
      </c>
      <c r="Q29" s="35" t="s">
        <v>127</v>
      </c>
      <c r="R29" s="38" t="n">
        <f aca="false">IF($O29="","",$O29+IF(N($F29)&gt;0,Setup!$D$21,IF($Q29="Sequential",Setup!$D$20,Setup!$D$19)))</f>
        <v>46231</v>
      </c>
      <c r="S29" s="37" t="n">
        <v>46237</v>
      </c>
      <c r="T29" s="35" t="s">
        <v>238</v>
      </c>
      <c r="U29" s="39" t="n">
        <f aca="true">IF($O29="","",IF($S29&lt;&gt;"",$S29-$O29,TODAY()-$O29))</f>
        <v>27</v>
      </c>
      <c r="V29" s="36" t="str">
        <f aca="true">IF($J29="","",IF($AD29="Yes","Void",IF(COUNTIFS($D$9:$D$208,$D29,$E$9:$E$208,$E29,$F$9:$F$208,"&gt;"&amp;N($F29))&gt;0,"Superseded",IF($N29="","Not submitted",IF($S29="",IF(AND($R29&lt;&gt;"",$R29&lt;TODAY()),"Overdue with reviewer","In review"),IF(COUNTIF(Reference!$B$70:$B$80,$T29)&gt;0,"Closed","Resubmittal required"))))))</f>
        <v>Resubmittal required</v>
      </c>
      <c r="W29" s="36" t="str">
        <f aca="false">IF($J29="","",IF(OR($V29="Closed",$V29="Superseded",$V29="Void"),"Closed",IF(OR($V29="Not submitted",$V29="Resubmittal required"),"Contractor","Reviewer")))</f>
        <v>Contractor</v>
      </c>
      <c r="X29" s="35" t="n">
        <v>12</v>
      </c>
      <c r="Y29" s="37" t="n">
        <v>46332</v>
      </c>
      <c r="Z29" s="38" t="n">
        <f aca="false">IF(OR($J29="",$Y29="",$X29="",$V29="Void",$V29="Superseded"),"",$Y29-N($X29)*7-IF($Q29="Sequential",Setup!$D$20,Setup!$D$19)-Setup!$D$22)</f>
        <v>46222</v>
      </c>
      <c r="AA29" s="39" t="n">
        <f aca="true">IF($Z29="","",IF($N29&lt;&gt;"",$Z29-$N29,$Z29-TODAY()))</f>
        <v>13</v>
      </c>
      <c r="AB29" s="36" t="str">
        <f aca="false">IF(OR($X29="",$V29="Void",$V29="Superseded"),"",IF(N($X29)&gt;=Setup!$D$23,"Long lead",""))</f>
        <v>Long lead</v>
      </c>
      <c r="AC29" s="40" t="s">
        <v>119</v>
      </c>
      <c r="AD29" s="41"/>
      <c r="AE29" s="42" t="s">
        <v>239</v>
      </c>
    </row>
    <row r="30" customFormat="false" ht="30" hidden="false" customHeight="true" outlineLevel="0" collapsed="false">
      <c r="A30" s="31"/>
      <c r="B30" s="32" t="n">
        <f aca="false">IF($J30="","",ROW()-8)</f>
        <v>22</v>
      </c>
      <c r="C30" s="33" t="str">
        <f aca="false">IF($J30="","",$D30&amp;"-"&amp;TEXT($E30,"000")&amp;IF(N($F30)&gt;0,"."&amp;TEXT($F30,"00"),""))</f>
        <v>09 30 00-021</v>
      </c>
      <c r="D30" s="43" t="s">
        <v>240</v>
      </c>
      <c r="E30" s="44" t="n">
        <v>21</v>
      </c>
      <c r="F30" s="44" t="n">
        <v>0</v>
      </c>
      <c r="G30" s="43" t="s">
        <v>241</v>
      </c>
      <c r="H30" s="43" t="s">
        <v>148</v>
      </c>
      <c r="I30" s="43" t="s">
        <v>149</v>
      </c>
      <c r="J30" s="43" t="s">
        <v>242</v>
      </c>
      <c r="K30" s="43" t="s">
        <v>151</v>
      </c>
      <c r="L30" s="36" t="str">
        <f aca="false">IF($K30="","",IFERROR(INDEX(Reference!$D$53:$D$67,MATCH($K30,Reference!$B$53:$B$67,0)),""))</f>
        <v>Action</v>
      </c>
      <c r="M30" s="43" t="s">
        <v>243</v>
      </c>
      <c r="N30" s="45" t="n">
        <v>46237</v>
      </c>
      <c r="O30" s="45" t="n">
        <v>46238</v>
      </c>
      <c r="P30" s="43" t="s">
        <v>139</v>
      </c>
      <c r="Q30" s="44" t="s">
        <v>117</v>
      </c>
      <c r="R30" s="38" t="n">
        <f aca="false">IF($O30="","",$O30+IF(N($F30)&gt;0,Setup!$D$21,IF($Q30="Sequential",Setup!$D$20,Setup!$D$19)))</f>
        <v>46253</v>
      </c>
      <c r="S30" s="45"/>
      <c r="T30" s="44"/>
      <c r="U30" s="39" t="n">
        <f aca="true">IF($O30="","",IF($S30&lt;&gt;"",$S30-$O30,TODAY()-$O30))</f>
        <v>8</v>
      </c>
      <c r="V30" s="36" t="str">
        <f aca="true">IF($J30="","",IF($AD30="Yes","Void",IF(COUNTIFS($D$9:$D$208,$D30,$E$9:$E$208,$E30,$F$9:$F$208,"&gt;"&amp;N($F30))&gt;0,"Superseded",IF($N30="","Not submitted",IF($S30="",IF(AND($R30&lt;&gt;"",$R30&lt;TODAY()),"Overdue with reviewer","In review"),IF(COUNTIF(Reference!$B$70:$B$80,$T30)&gt;0,"Closed","Resubmittal required"))))))</f>
        <v>In review</v>
      </c>
      <c r="W30" s="36" t="str">
        <f aca="false">IF($J30="","",IF(OR($V30="Closed",$V30="Superseded",$V30="Void"),"Closed",IF(OR($V30="Not submitted",$V30="Resubmittal required"),"Contractor","Reviewer")))</f>
        <v>Reviewer</v>
      </c>
      <c r="X30" s="44" t="n">
        <v>5</v>
      </c>
      <c r="Y30" s="45" t="n">
        <v>46339</v>
      </c>
      <c r="Z30" s="38" t="n">
        <f aca="false">IF(OR($J30="",$Y30="",$X30="",$V30="Void",$V30="Superseded"),"",$Y30-N($X30)*7-IF($Q30="Sequential",Setup!$D$20,Setup!$D$19)-Setup!$D$22)</f>
        <v>46284</v>
      </c>
      <c r="AA30" s="39" t="n">
        <f aca="true">IF($Z30="","",IF($N30&lt;&gt;"",$Z30-$N30,$Z30-TODAY()))</f>
        <v>47</v>
      </c>
      <c r="AB30" s="36" t="str">
        <f aca="false">IF(OR($X30="",$V30="Void",$V30="Superseded"),"",IF(N($X30)&gt;=Setup!$D$23,"Long lead",""))</f>
        <v/>
      </c>
      <c r="AC30" s="46" t="s">
        <v>119</v>
      </c>
      <c r="AD30" s="47"/>
      <c r="AE30" s="48" t="s">
        <v>153</v>
      </c>
    </row>
    <row r="31" customFormat="false" ht="30" hidden="false" customHeight="true" outlineLevel="0" collapsed="false">
      <c r="A31" s="31"/>
      <c r="B31" s="32" t="n">
        <f aca="false">IF($J31="","",ROW()-8)</f>
        <v>23</v>
      </c>
      <c r="C31" s="33" t="str">
        <f aca="false">IF($J31="","",$D31&amp;"-"&amp;TEXT($E31,"000")&amp;IF(N($F31)&gt;0,"."&amp;TEXT($F31,"00"),""))</f>
        <v>10 28 00-022</v>
      </c>
      <c r="D31" s="34" t="s">
        <v>244</v>
      </c>
      <c r="E31" s="35" t="n">
        <v>22</v>
      </c>
      <c r="F31" s="35" t="n">
        <v>0</v>
      </c>
      <c r="G31" s="34" t="s">
        <v>245</v>
      </c>
      <c r="H31" s="34" t="s">
        <v>246</v>
      </c>
      <c r="I31" s="34" t="s">
        <v>149</v>
      </c>
      <c r="J31" s="34" t="s">
        <v>247</v>
      </c>
      <c r="K31" s="34" t="s">
        <v>137</v>
      </c>
      <c r="L31" s="36" t="str">
        <f aca="false">IF($K31="","",IFERROR(INDEX(Reference!$D$53:$D$67,MATCH($K31,Reference!$B$53:$B$67,0)),""))</f>
        <v>Action</v>
      </c>
      <c r="M31" s="34" t="s">
        <v>152</v>
      </c>
      <c r="N31" s="37" t="n">
        <v>46230</v>
      </c>
      <c r="O31" s="37" t="n">
        <v>46231</v>
      </c>
      <c r="P31" s="34" t="s">
        <v>139</v>
      </c>
      <c r="Q31" s="35" t="s">
        <v>117</v>
      </c>
      <c r="R31" s="38" t="n">
        <f aca="false">IF($O31="","",$O31+IF(N($F31)&gt;0,Setup!$D$21,IF($Q31="Sequential",Setup!$D$20,Setup!$D$19)))</f>
        <v>46246</v>
      </c>
      <c r="S31" s="37" t="n">
        <v>46240</v>
      </c>
      <c r="T31" s="35" t="s">
        <v>131</v>
      </c>
      <c r="U31" s="39" t="n">
        <f aca="true">IF($O31="","",IF($S31&lt;&gt;"",$S31-$O31,TODAY()-$O31))</f>
        <v>9</v>
      </c>
      <c r="V31" s="36" t="str">
        <f aca="true">IF($J31="","",IF($AD31="Yes","Void",IF(COUNTIFS($D$9:$D$208,$D31,$E$9:$E$208,$E31,$F$9:$F$208,"&gt;"&amp;N($F31))&gt;0,"Superseded",IF($N31="","Not submitted",IF($S31="",IF(AND($R31&lt;&gt;"",$R31&lt;TODAY()),"Overdue with reviewer","In review"),IF(COUNTIF(Reference!$B$70:$B$80,$T31)&gt;0,"Closed","Resubmittal required"))))))</f>
        <v>Closed</v>
      </c>
      <c r="W31" s="36" t="str">
        <f aca="false">IF($J31="","",IF(OR($V31="Closed",$V31="Superseded",$V31="Void"),"Closed",IF(OR($V31="Not submitted",$V31="Resubmittal required"),"Contractor","Reviewer")))</f>
        <v>Closed</v>
      </c>
      <c r="X31" s="35" t="n">
        <v>4</v>
      </c>
      <c r="Y31" s="37" t="n">
        <v>46346</v>
      </c>
      <c r="Z31" s="38" t="n">
        <f aca="false">IF(OR($J31="",$Y31="",$X31="",$V31="Void",$V31="Superseded"),"",$Y31-N($X31)*7-IF($Q31="Sequential",Setup!$D$20,Setup!$D$19)-Setup!$D$22)</f>
        <v>46298</v>
      </c>
      <c r="AA31" s="39" t="n">
        <f aca="true">IF($Z31="","",IF($N31&lt;&gt;"",$Z31-$N31,$Z31-TODAY()))</f>
        <v>68</v>
      </c>
      <c r="AB31" s="36" t="str">
        <f aca="false">IF(OR($X31="",$V31="Void",$V31="Superseded"),"",IF(N($X31)&gt;=Setup!$D$23,"Long lead",""))</f>
        <v/>
      </c>
      <c r="AC31" s="40" t="s">
        <v>119</v>
      </c>
      <c r="AD31" s="41"/>
      <c r="AE31" s="42" t="s">
        <v>129</v>
      </c>
    </row>
    <row r="32" customFormat="false" ht="30" hidden="false" customHeight="true" outlineLevel="0" collapsed="false">
      <c r="A32" s="31"/>
      <c r="B32" s="32" t="n">
        <f aca="false">IF($J32="","",ROW()-8)</f>
        <v>24</v>
      </c>
      <c r="C32" s="33" t="str">
        <f aca="false">IF($J32="","",$D32&amp;"-"&amp;TEXT($E32,"000")&amp;IF(N($F32)&gt;0,"."&amp;TEXT($F32,"00"),""))</f>
        <v>01 78 23-023</v>
      </c>
      <c r="D32" s="43" t="s">
        <v>248</v>
      </c>
      <c r="E32" s="44" t="n">
        <v>23</v>
      </c>
      <c r="F32" s="44" t="n">
        <v>0</v>
      </c>
      <c r="G32" s="43" t="s">
        <v>249</v>
      </c>
      <c r="H32" s="43" t="s">
        <v>250</v>
      </c>
      <c r="I32" s="43" t="s">
        <v>251</v>
      </c>
      <c r="J32" s="43" t="s">
        <v>252</v>
      </c>
      <c r="K32" s="43" t="s">
        <v>253</v>
      </c>
      <c r="L32" s="36" t="str">
        <f aca="false">IF($K32="","",IFERROR(INDEX(Reference!$D$53:$D$67,MATCH($K32,Reference!$B$53:$B$67,0)),""))</f>
        <v>Closeout</v>
      </c>
      <c r="M32" s="43" t="s">
        <v>254</v>
      </c>
      <c r="N32" s="45"/>
      <c r="O32" s="45"/>
      <c r="P32" s="43" t="s">
        <v>203</v>
      </c>
      <c r="Q32" s="44" t="s">
        <v>117</v>
      </c>
      <c r="R32" s="38" t="str">
        <f aca="false">IF($O32="","",$O32+IF(N($F32)&gt;0,Setup!$D$21,IF($Q32="Sequential",Setup!$D$20,Setup!$D$19)))</f>
        <v/>
      </c>
      <c r="S32" s="45"/>
      <c r="T32" s="44"/>
      <c r="U32" s="39" t="str">
        <f aca="true">IF($O32="","",IF($S32&lt;&gt;"",$S32-$O32,TODAY()-$O32))</f>
        <v/>
      </c>
      <c r="V32" s="36" t="str">
        <f aca="true">IF($J32="","",IF($AD32="Yes","Void",IF(COUNTIFS($D$9:$D$208,$D32,$E$9:$E$208,$E32,$F$9:$F$208,"&gt;"&amp;N($F32))&gt;0,"Superseded",IF($N32="","Not submitted",IF($S32="",IF(AND($R32&lt;&gt;"",$R32&lt;TODAY()),"Overdue with reviewer","In review"),IF(COUNTIF(Reference!$B$70:$B$80,$T32)&gt;0,"Closed","Resubmittal required"))))))</f>
        <v>Not submitted</v>
      </c>
      <c r="W32" s="36" t="str">
        <f aca="false">IF($J32="","",IF(OR($V32="Closed",$V32="Superseded",$V32="Void"),"Closed",IF(OR($V32="Not submitted",$V32="Resubmittal required"),"Contractor","Reviewer")))</f>
        <v>Contractor</v>
      </c>
      <c r="X32" s="44" t="n">
        <v>0</v>
      </c>
      <c r="Y32" s="45"/>
      <c r="Z32" s="38" t="str">
        <f aca="false">IF(OR($J32="",$Y32="",$X32="",$V32="Void",$V32="Superseded"),"",$Y32-N($X32)*7-IF($Q32="Sequential",Setup!$D$20,Setup!$D$19)-Setup!$D$22)</f>
        <v/>
      </c>
      <c r="AA32" s="39" t="str">
        <f aca="true">IF($Z32="","",IF($N32&lt;&gt;"",$Z32-$N32,$Z32-TODAY()))</f>
        <v/>
      </c>
      <c r="AB32" s="36" t="str">
        <f aca="false">IF(OR($X32="",$V32="Void",$V32="Superseded"),"",IF(N($X32)&gt;=Setup!$D$23,"Long lead",""))</f>
        <v/>
      </c>
      <c r="AC32" s="46" t="s">
        <v>119</v>
      </c>
      <c r="AD32" s="47"/>
      <c r="AE32" s="48" t="s">
        <v>255</v>
      </c>
    </row>
    <row r="33" customFormat="false" ht="30" hidden="false" customHeight="true" outlineLevel="0" collapsed="false">
      <c r="A33" s="31"/>
      <c r="B33" s="32" t="n">
        <f aca="false">IF($J33="","",ROW()-8)</f>
        <v>25</v>
      </c>
      <c r="C33" s="33" t="str">
        <f aca="false">IF($J33="","",$D33&amp;"-"&amp;TEXT($E33,"000")&amp;IF(N($F33)&gt;0,"."&amp;TEXT($F33,"00"),""))</f>
        <v>01 78 36-024</v>
      </c>
      <c r="D33" s="34" t="s">
        <v>256</v>
      </c>
      <c r="E33" s="35" t="n">
        <v>24</v>
      </c>
      <c r="F33" s="35" t="n">
        <v>0</v>
      </c>
      <c r="G33" s="34" t="s">
        <v>257</v>
      </c>
      <c r="H33" s="34" t="s">
        <v>250</v>
      </c>
      <c r="I33" s="34" t="s">
        <v>251</v>
      </c>
      <c r="J33" s="34" t="s">
        <v>258</v>
      </c>
      <c r="K33" s="34" t="s">
        <v>259</v>
      </c>
      <c r="L33" s="36" t="str">
        <f aca="false">IF($K33="","",IFERROR(INDEX(Reference!$D$53:$D$67,MATCH($K33,Reference!$B$53:$B$67,0)),""))</f>
        <v>Closeout</v>
      </c>
      <c r="M33" s="34" t="s">
        <v>254</v>
      </c>
      <c r="N33" s="37"/>
      <c r="O33" s="37"/>
      <c r="P33" s="34" t="s">
        <v>203</v>
      </c>
      <c r="Q33" s="35" t="s">
        <v>117</v>
      </c>
      <c r="R33" s="38" t="str">
        <f aca="false">IF($O33="","",$O33+IF(N($F33)&gt;0,Setup!$D$21,IF($Q33="Sequential",Setup!$D$20,Setup!$D$19)))</f>
        <v/>
      </c>
      <c r="S33" s="37"/>
      <c r="T33" s="35"/>
      <c r="U33" s="39" t="str">
        <f aca="true">IF($O33="","",IF($S33&lt;&gt;"",$S33-$O33,TODAY()-$O33))</f>
        <v/>
      </c>
      <c r="V33" s="36" t="str">
        <f aca="true">IF($J33="","",IF($AD33="Yes","Void",IF(COUNTIFS($D$9:$D$208,$D33,$E$9:$E$208,$E33,$F$9:$F$208,"&gt;"&amp;N($F33))&gt;0,"Superseded",IF($N33="","Not submitted",IF($S33="",IF(AND($R33&lt;&gt;"",$R33&lt;TODAY()),"Overdue with reviewer","In review"),IF(COUNTIF(Reference!$B$70:$B$80,$T33)&gt;0,"Closed","Resubmittal required"))))))</f>
        <v>Not submitted</v>
      </c>
      <c r="W33" s="36" t="str">
        <f aca="false">IF($J33="","",IF(OR($V33="Closed",$V33="Superseded",$V33="Void"),"Closed",IF(OR($V33="Not submitted",$V33="Resubmittal required"),"Contractor","Reviewer")))</f>
        <v>Contractor</v>
      </c>
      <c r="X33" s="35" t="n">
        <v>0</v>
      </c>
      <c r="Y33" s="37"/>
      <c r="Z33" s="38" t="str">
        <f aca="false">IF(OR($J33="",$Y33="",$X33="",$V33="Void",$V33="Superseded"),"",$Y33-N($X33)*7-IF($Q33="Sequential",Setup!$D$20,Setup!$D$19)-Setup!$D$22)</f>
        <v/>
      </c>
      <c r="AA33" s="39" t="str">
        <f aca="true">IF($Z33="","",IF($N33&lt;&gt;"",$Z33-$N33,$Z33-TODAY()))</f>
        <v/>
      </c>
      <c r="AB33" s="36" t="str">
        <f aca="false">IF(OR($X33="",$V33="Void",$V33="Superseded"),"",IF(N($X33)&gt;=Setup!$D$23,"Long lead",""))</f>
        <v/>
      </c>
      <c r="AC33" s="40" t="s">
        <v>119</v>
      </c>
      <c r="AD33" s="41"/>
      <c r="AE33" s="42" t="s">
        <v>255</v>
      </c>
    </row>
    <row r="34" customFormat="false" ht="30" hidden="false" customHeight="true" outlineLevel="0" collapsed="false">
      <c r="A34" s="31"/>
      <c r="B34" s="32" t="n">
        <f aca="false">IF($J34="","",ROW()-8)</f>
        <v>26</v>
      </c>
      <c r="C34" s="33" t="str">
        <f aca="false">IF($J34="","",$D34&amp;"-"&amp;TEXT($E34,"000")&amp;IF(N($F34)&gt;0,"."&amp;TEXT($F34,"00"),""))</f>
        <v>11 53 00-025</v>
      </c>
      <c r="D34" s="43" t="s">
        <v>260</v>
      </c>
      <c r="E34" s="44" t="n">
        <v>25</v>
      </c>
      <c r="F34" s="44" t="n">
        <v>0</v>
      </c>
      <c r="G34" s="43" t="s">
        <v>261</v>
      </c>
      <c r="H34" s="43" t="s">
        <v>262</v>
      </c>
      <c r="I34" s="43" t="s">
        <v>263</v>
      </c>
      <c r="J34" s="43" t="s">
        <v>264</v>
      </c>
      <c r="K34" s="43" t="s">
        <v>137</v>
      </c>
      <c r="L34" s="36" t="str">
        <f aca="false">IF($K34="","",IFERROR(INDEX(Reference!$D$53:$D$67,MATCH($K34,Reference!$B$53:$B$67,0)),""))</f>
        <v>Action</v>
      </c>
      <c r="M34" s="43" t="s">
        <v>265</v>
      </c>
      <c r="N34" s="45"/>
      <c r="O34" s="45"/>
      <c r="P34" s="43" t="s">
        <v>139</v>
      </c>
      <c r="Q34" s="44" t="s">
        <v>117</v>
      </c>
      <c r="R34" s="38" t="str">
        <f aca="false">IF($O34="","",$O34+IF(N($F34)&gt;0,Setup!$D$21,IF($Q34="Sequential",Setup!$D$20,Setup!$D$19)))</f>
        <v/>
      </c>
      <c r="S34" s="45"/>
      <c r="T34" s="44"/>
      <c r="U34" s="39" t="str">
        <f aca="true">IF($O34="","",IF($S34&lt;&gt;"",$S34-$O34,TODAY()-$O34))</f>
        <v/>
      </c>
      <c r="V34" s="36" t="str">
        <f aca="true">IF($J34="","",IF($AD34="Yes","Void",IF(COUNTIFS($D$9:$D$208,$D34,$E$9:$E$208,$E34,$F$9:$F$208,"&gt;"&amp;N($F34))&gt;0,"Superseded",IF($N34="","Not submitted",IF($S34="",IF(AND($R34&lt;&gt;"",$R34&lt;TODAY()),"Overdue with reviewer","In review"),IF(COUNTIF(Reference!$B$70:$B$80,$T34)&gt;0,"Closed","Resubmittal required"))))))</f>
        <v>Void</v>
      </c>
      <c r="W34" s="36" t="str">
        <f aca="false">IF($J34="","",IF(OR($V34="Closed",$V34="Superseded",$V34="Void"),"Closed",IF(OR($V34="Not submitted",$V34="Resubmittal required"),"Contractor","Reviewer")))</f>
        <v>Closed</v>
      </c>
      <c r="X34" s="44" t="n">
        <v>16</v>
      </c>
      <c r="Y34" s="45" t="n">
        <v>46346</v>
      </c>
      <c r="Z34" s="38" t="str">
        <f aca="false">IF(OR($J34="",$Y34="",$X34="",$V34="Void",$V34="Superseded"),"",$Y34-N($X34)*7-IF($Q34="Sequential",Setup!$D$20,Setup!$D$19)-Setup!$D$22)</f>
        <v/>
      </c>
      <c r="AA34" s="39" t="str">
        <f aca="true">IF($Z34="","",IF($N34&lt;&gt;"",$Z34-$N34,$Z34-TODAY()))</f>
        <v/>
      </c>
      <c r="AB34" s="36" t="str">
        <f aca="false">IF(OR($X34="",$V34="Void",$V34="Superseded"),"",IF(N($X34)&gt;=Setup!$D$23,"Long lead",""))</f>
        <v/>
      </c>
      <c r="AC34" s="46" t="s">
        <v>119</v>
      </c>
      <c r="AD34" s="47" t="s">
        <v>144</v>
      </c>
      <c r="AE34" s="48" t="s">
        <v>266</v>
      </c>
    </row>
    <row r="35" customFormat="false" ht="30" hidden="false" customHeight="true" outlineLevel="0" collapsed="false">
      <c r="A35" s="31"/>
      <c r="B35" s="32" t="str">
        <f aca="false">IF($J35="","",ROW()-8)</f>
        <v/>
      </c>
      <c r="C35" s="33" t="str">
        <f aca="false">IF($J35="","",$D35&amp;"-"&amp;TEXT($E35,"000")&amp;IF(N($F35)&gt;0,"."&amp;TEXT($F35,"00"),""))</f>
        <v/>
      </c>
      <c r="D35" s="34"/>
      <c r="E35" s="35"/>
      <c r="F35" s="35"/>
      <c r="G35" s="34"/>
      <c r="H35" s="34"/>
      <c r="I35" s="34"/>
      <c r="J35" s="34"/>
      <c r="K35" s="34"/>
      <c r="L35" s="36" t="str">
        <f aca="false">IF($K35="","",IFERROR(INDEX(Reference!$D$53:$D$67,MATCH($K35,Reference!$B$53:$B$67,0)),""))</f>
        <v/>
      </c>
      <c r="M35" s="34"/>
      <c r="N35" s="37"/>
      <c r="O35" s="37"/>
      <c r="P35" s="34"/>
      <c r="Q35" s="35"/>
      <c r="R35" s="38" t="str">
        <f aca="false">IF($O35="","",$O35+IF(N($F35)&gt;0,Setup!$D$21,IF($Q35="Sequential",Setup!$D$20,Setup!$D$19)))</f>
        <v/>
      </c>
      <c r="S35" s="37"/>
      <c r="T35" s="35"/>
      <c r="U35" s="39" t="str">
        <f aca="true">IF($O35="","",IF($S35&lt;&gt;"",$S35-$O35,TODAY()-$O35))</f>
        <v/>
      </c>
      <c r="V35" s="36" t="str">
        <f aca="true">IF($J35="","",IF($AD35="Yes","Void",IF(COUNTIFS($D$9:$D$208,$D35,$E$9:$E$208,$E35,$F$9:$F$208,"&gt;"&amp;N($F35))&gt;0,"Superseded",IF($N35="","Not submitted",IF($S35="",IF(AND($R35&lt;&gt;"",$R35&lt;TODAY()),"Overdue with reviewer","In review"),IF(COUNTIF(Reference!$B$70:$B$80,$T35)&gt;0,"Closed","Resubmittal required"))))))</f>
        <v/>
      </c>
      <c r="W35" s="36" t="str">
        <f aca="false">IF($J35="","",IF(OR($V35="Closed",$V35="Superseded",$V35="Void"),"Closed",IF(OR($V35="Not submitted",$V35="Resubmittal required"),"Contractor","Reviewer")))</f>
        <v/>
      </c>
      <c r="X35" s="35"/>
      <c r="Y35" s="37"/>
      <c r="Z35" s="38" t="str">
        <f aca="false">IF(OR($J35="",$Y35="",$X35="",$V35="Void",$V35="Superseded"),"",$Y35-N($X35)*7-IF($Q35="Sequential",Setup!$D$20,Setup!$D$19)-Setup!$D$22)</f>
        <v/>
      </c>
      <c r="AA35" s="39" t="str">
        <f aca="true">IF($Z35="","",IF($N35&lt;&gt;"",$Z35-$N35,$Z35-TODAY()))</f>
        <v/>
      </c>
      <c r="AB35" s="36" t="str">
        <f aca="false">IF(OR($X35="",$V35="Void",$V35="Superseded"),"",IF(N($X35)&gt;=Setup!$D$23,"Long lead",""))</f>
        <v/>
      </c>
      <c r="AC35" s="40"/>
      <c r="AD35" s="41"/>
      <c r="AE35" s="41"/>
    </row>
    <row r="36" customFormat="false" ht="30" hidden="false" customHeight="true" outlineLevel="0" collapsed="false">
      <c r="A36" s="31"/>
      <c r="B36" s="32" t="str">
        <f aca="false">IF($J36="","",ROW()-8)</f>
        <v/>
      </c>
      <c r="C36" s="33" t="str">
        <f aca="false">IF($J36="","",$D36&amp;"-"&amp;TEXT($E36,"000")&amp;IF(N($F36)&gt;0,"."&amp;TEXT($F36,"00"),""))</f>
        <v/>
      </c>
      <c r="D36" s="43"/>
      <c r="E36" s="44"/>
      <c r="F36" s="44"/>
      <c r="G36" s="43"/>
      <c r="H36" s="43"/>
      <c r="I36" s="43"/>
      <c r="J36" s="43"/>
      <c r="K36" s="43"/>
      <c r="L36" s="36" t="str">
        <f aca="false">IF($K36="","",IFERROR(INDEX(Reference!$D$53:$D$67,MATCH($K36,Reference!$B$53:$B$67,0)),""))</f>
        <v/>
      </c>
      <c r="M36" s="43"/>
      <c r="N36" s="45"/>
      <c r="O36" s="45"/>
      <c r="P36" s="43"/>
      <c r="Q36" s="44"/>
      <c r="R36" s="38" t="str">
        <f aca="false">IF($O36="","",$O36+IF(N($F36)&gt;0,Setup!$D$21,IF($Q36="Sequential",Setup!$D$20,Setup!$D$19)))</f>
        <v/>
      </c>
      <c r="S36" s="45"/>
      <c r="T36" s="44"/>
      <c r="U36" s="39" t="str">
        <f aca="true">IF($O36="","",IF($S36&lt;&gt;"",$S36-$O36,TODAY()-$O36))</f>
        <v/>
      </c>
      <c r="V36" s="36" t="str">
        <f aca="true">IF($J36="","",IF($AD36="Yes","Void",IF(COUNTIFS($D$9:$D$208,$D36,$E$9:$E$208,$E36,$F$9:$F$208,"&gt;"&amp;N($F36))&gt;0,"Superseded",IF($N36="","Not submitted",IF($S36="",IF(AND($R36&lt;&gt;"",$R36&lt;TODAY()),"Overdue with reviewer","In review"),IF(COUNTIF(Reference!$B$70:$B$80,$T36)&gt;0,"Closed","Resubmittal required"))))))</f>
        <v/>
      </c>
      <c r="W36" s="36" t="str">
        <f aca="false">IF($J36="","",IF(OR($V36="Closed",$V36="Superseded",$V36="Void"),"Closed",IF(OR($V36="Not submitted",$V36="Resubmittal required"),"Contractor","Reviewer")))</f>
        <v/>
      </c>
      <c r="X36" s="44"/>
      <c r="Y36" s="45"/>
      <c r="Z36" s="38" t="str">
        <f aca="false">IF(OR($J36="",$Y36="",$X36="",$V36="Void",$V36="Superseded"),"",$Y36-N($X36)*7-IF($Q36="Sequential",Setup!$D$20,Setup!$D$19)-Setup!$D$22)</f>
        <v/>
      </c>
      <c r="AA36" s="39" t="str">
        <f aca="true">IF($Z36="","",IF($N36&lt;&gt;"",$Z36-$N36,$Z36-TODAY()))</f>
        <v/>
      </c>
      <c r="AB36" s="36" t="str">
        <f aca="false">IF(OR($X36="",$V36="Void",$V36="Superseded"),"",IF(N($X36)&gt;=Setup!$D$23,"Long lead",""))</f>
        <v/>
      </c>
      <c r="AC36" s="46"/>
      <c r="AD36" s="47"/>
      <c r="AE36" s="47"/>
    </row>
    <row r="37" customFormat="false" ht="30" hidden="false" customHeight="true" outlineLevel="0" collapsed="false">
      <c r="A37" s="31"/>
      <c r="B37" s="32" t="str">
        <f aca="false">IF($J37="","",ROW()-8)</f>
        <v/>
      </c>
      <c r="C37" s="33" t="str">
        <f aca="false">IF($J37="","",$D37&amp;"-"&amp;TEXT($E37,"000")&amp;IF(N($F37)&gt;0,"."&amp;TEXT($F37,"00"),""))</f>
        <v/>
      </c>
      <c r="D37" s="34"/>
      <c r="E37" s="35"/>
      <c r="F37" s="35"/>
      <c r="G37" s="34"/>
      <c r="H37" s="34"/>
      <c r="I37" s="34"/>
      <c r="J37" s="34"/>
      <c r="K37" s="34"/>
      <c r="L37" s="36" t="str">
        <f aca="false">IF($K37="","",IFERROR(INDEX(Reference!$D$53:$D$67,MATCH($K37,Reference!$B$53:$B$67,0)),""))</f>
        <v/>
      </c>
      <c r="M37" s="34"/>
      <c r="N37" s="37"/>
      <c r="O37" s="37"/>
      <c r="P37" s="34"/>
      <c r="Q37" s="35"/>
      <c r="R37" s="38" t="str">
        <f aca="false">IF($O37="","",$O37+IF(N($F37)&gt;0,Setup!$D$21,IF($Q37="Sequential",Setup!$D$20,Setup!$D$19)))</f>
        <v/>
      </c>
      <c r="S37" s="37"/>
      <c r="T37" s="35"/>
      <c r="U37" s="39" t="str">
        <f aca="true">IF($O37="","",IF($S37&lt;&gt;"",$S37-$O37,TODAY()-$O37))</f>
        <v/>
      </c>
      <c r="V37" s="36" t="str">
        <f aca="true">IF($J37="","",IF($AD37="Yes","Void",IF(COUNTIFS($D$9:$D$208,$D37,$E$9:$E$208,$E37,$F$9:$F$208,"&gt;"&amp;N($F37))&gt;0,"Superseded",IF($N37="","Not submitted",IF($S37="",IF(AND($R37&lt;&gt;"",$R37&lt;TODAY()),"Overdue with reviewer","In review"),IF(COUNTIF(Reference!$B$70:$B$80,$T37)&gt;0,"Closed","Resubmittal required"))))))</f>
        <v/>
      </c>
      <c r="W37" s="36" t="str">
        <f aca="false">IF($J37="","",IF(OR($V37="Closed",$V37="Superseded",$V37="Void"),"Closed",IF(OR($V37="Not submitted",$V37="Resubmittal required"),"Contractor","Reviewer")))</f>
        <v/>
      </c>
      <c r="X37" s="35"/>
      <c r="Y37" s="37"/>
      <c r="Z37" s="38" t="str">
        <f aca="false">IF(OR($J37="",$Y37="",$X37="",$V37="Void",$V37="Superseded"),"",$Y37-N($X37)*7-IF($Q37="Sequential",Setup!$D$20,Setup!$D$19)-Setup!$D$22)</f>
        <v/>
      </c>
      <c r="AA37" s="39" t="str">
        <f aca="true">IF($Z37="","",IF($N37&lt;&gt;"",$Z37-$N37,$Z37-TODAY()))</f>
        <v/>
      </c>
      <c r="AB37" s="36" t="str">
        <f aca="false">IF(OR($X37="",$V37="Void",$V37="Superseded"),"",IF(N($X37)&gt;=Setup!$D$23,"Long lead",""))</f>
        <v/>
      </c>
      <c r="AC37" s="40"/>
      <c r="AD37" s="41"/>
      <c r="AE37" s="41"/>
    </row>
    <row r="38" customFormat="false" ht="30" hidden="false" customHeight="true" outlineLevel="0" collapsed="false">
      <c r="A38" s="31"/>
      <c r="B38" s="32" t="str">
        <f aca="false">IF($J38="","",ROW()-8)</f>
        <v/>
      </c>
      <c r="C38" s="33" t="str">
        <f aca="false">IF($J38="","",$D38&amp;"-"&amp;TEXT($E38,"000")&amp;IF(N($F38)&gt;0,"."&amp;TEXT($F38,"00"),""))</f>
        <v/>
      </c>
      <c r="D38" s="43"/>
      <c r="E38" s="44"/>
      <c r="F38" s="44"/>
      <c r="G38" s="43"/>
      <c r="H38" s="43"/>
      <c r="I38" s="43"/>
      <c r="J38" s="43"/>
      <c r="K38" s="43"/>
      <c r="L38" s="36" t="str">
        <f aca="false">IF($K38="","",IFERROR(INDEX(Reference!$D$53:$D$67,MATCH($K38,Reference!$B$53:$B$67,0)),""))</f>
        <v/>
      </c>
      <c r="M38" s="43"/>
      <c r="N38" s="45"/>
      <c r="O38" s="45"/>
      <c r="P38" s="43"/>
      <c r="Q38" s="44"/>
      <c r="R38" s="38" t="str">
        <f aca="false">IF($O38="","",$O38+IF(N($F38)&gt;0,Setup!$D$21,IF($Q38="Sequential",Setup!$D$20,Setup!$D$19)))</f>
        <v/>
      </c>
      <c r="S38" s="45"/>
      <c r="T38" s="44"/>
      <c r="U38" s="39" t="str">
        <f aca="true">IF($O38="","",IF($S38&lt;&gt;"",$S38-$O38,TODAY()-$O38))</f>
        <v/>
      </c>
      <c r="V38" s="36" t="str">
        <f aca="true">IF($J38="","",IF($AD38="Yes","Void",IF(COUNTIFS($D$9:$D$208,$D38,$E$9:$E$208,$E38,$F$9:$F$208,"&gt;"&amp;N($F38))&gt;0,"Superseded",IF($N38="","Not submitted",IF($S38="",IF(AND($R38&lt;&gt;"",$R38&lt;TODAY()),"Overdue with reviewer","In review"),IF(COUNTIF(Reference!$B$70:$B$80,$T38)&gt;0,"Closed","Resubmittal required"))))))</f>
        <v/>
      </c>
      <c r="W38" s="36" t="str">
        <f aca="false">IF($J38="","",IF(OR($V38="Closed",$V38="Superseded",$V38="Void"),"Closed",IF(OR($V38="Not submitted",$V38="Resubmittal required"),"Contractor","Reviewer")))</f>
        <v/>
      </c>
      <c r="X38" s="44"/>
      <c r="Y38" s="45"/>
      <c r="Z38" s="38" t="str">
        <f aca="false">IF(OR($J38="",$Y38="",$X38="",$V38="Void",$V38="Superseded"),"",$Y38-N($X38)*7-IF($Q38="Sequential",Setup!$D$20,Setup!$D$19)-Setup!$D$22)</f>
        <v/>
      </c>
      <c r="AA38" s="39" t="str">
        <f aca="true">IF($Z38="","",IF($N38&lt;&gt;"",$Z38-$N38,$Z38-TODAY()))</f>
        <v/>
      </c>
      <c r="AB38" s="36" t="str">
        <f aca="false">IF(OR($X38="",$V38="Void",$V38="Superseded"),"",IF(N($X38)&gt;=Setup!$D$23,"Long lead",""))</f>
        <v/>
      </c>
      <c r="AC38" s="46"/>
      <c r="AD38" s="47"/>
      <c r="AE38" s="47"/>
    </row>
    <row r="39" customFormat="false" ht="30" hidden="false" customHeight="true" outlineLevel="0" collapsed="false">
      <c r="A39" s="31"/>
      <c r="B39" s="32" t="str">
        <f aca="false">IF($J39="","",ROW()-8)</f>
        <v/>
      </c>
      <c r="C39" s="33" t="str">
        <f aca="false">IF($J39="","",$D39&amp;"-"&amp;TEXT($E39,"000")&amp;IF(N($F39)&gt;0,"."&amp;TEXT($F39,"00"),""))</f>
        <v/>
      </c>
      <c r="D39" s="34"/>
      <c r="E39" s="35"/>
      <c r="F39" s="35"/>
      <c r="G39" s="34"/>
      <c r="H39" s="34"/>
      <c r="I39" s="34"/>
      <c r="J39" s="34"/>
      <c r="K39" s="34"/>
      <c r="L39" s="36" t="str">
        <f aca="false">IF($K39="","",IFERROR(INDEX(Reference!$D$53:$D$67,MATCH($K39,Reference!$B$53:$B$67,0)),""))</f>
        <v/>
      </c>
      <c r="M39" s="34"/>
      <c r="N39" s="37"/>
      <c r="O39" s="37"/>
      <c r="P39" s="34"/>
      <c r="Q39" s="35"/>
      <c r="R39" s="38" t="str">
        <f aca="false">IF($O39="","",$O39+IF(N($F39)&gt;0,Setup!$D$21,IF($Q39="Sequential",Setup!$D$20,Setup!$D$19)))</f>
        <v/>
      </c>
      <c r="S39" s="37"/>
      <c r="T39" s="35"/>
      <c r="U39" s="39" t="str">
        <f aca="true">IF($O39="","",IF($S39&lt;&gt;"",$S39-$O39,TODAY()-$O39))</f>
        <v/>
      </c>
      <c r="V39" s="36" t="str">
        <f aca="true">IF($J39="","",IF($AD39="Yes","Void",IF(COUNTIFS($D$9:$D$208,$D39,$E$9:$E$208,$E39,$F$9:$F$208,"&gt;"&amp;N($F39))&gt;0,"Superseded",IF($N39="","Not submitted",IF($S39="",IF(AND($R39&lt;&gt;"",$R39&lt;TODAY()),"Overdue with reviewer","In review"),IF(COUNTIF(Reference!$B$70:$B$80,$T39)&gt;0,"Closed","Resubmittal required"))))))</f>
        <v/>
      </c>
      <c r="W39" s="36" t="str">
        <f aca="false">IF($J39="","",IF(OR($V39="Closed",$V39="Superseded",$V39="Void"),"Closed",IF(OR($V39="Not submitted",$V39="Resubmittal required"),"Contractor","Reviewer")))</f>
        <v/>
      </c>
      <c r="X39" s="35"/>
      <c r="Y39" s="37"/>
      <c r="Z39" s="38" t="str">
        <f aca="false">IF(OR($J39="",$Y39="",$X39="",$V39="Void",$V39="Superseded"),"",$Y39-N($X39)*7-IF($Q39="Sequential",Setup!$D$20,Setup!$D$19)-Setup!$D$22)</f>
        <v/>
      </c>
      <c r="AA39" s="39" t="str">
        <f aca="true">IF($Z39="","",IF($N39&lt;&gt;"",$Z39-$N39,$Z39-TODAY()))</f>
        <v/>
      </c>
      <c r="AB39" s="36" t="str">
        <f aca="false">IF(OR($X39="",$V39="Void",$V39="Superseded"),"",IF(N($X39)&gt;=Setup!$D$23,"Long lead",""))</f>
        <v/>
      </c>
      <c r="AC39" s="40"/>
      <c r="AD39" s="41"/>
      <c r="AE39" s="41"/>
    </row>
    <row r="40" customFormat="false" ht="30" hidden="false" customHeight="true" outlineLevel="0" collapsed="false">
      <c r="A40" s="31"/>
      <c r="B40" s="32" t="str">
        <f aca="false">IF($J40="","",ROW()-8)</f>
        <v/>
      </c>
      <c r="C40" s="33" t="str">
        <f aca="false">IF($J40="","",$D40&amp;"-"&amp;TEXT($E40,"000")&amp;IF(N($F40)&gt;0,"."&amp;TEXT($F40,"00"),""))</f>
        <v/>
      </c>
      <c r="D40" s="43"/>
      <c r="E40" s="44"/>
      <c r="F40" s="44"/>
      <c r="G40" s="43"/>
      <c r="H40" s="43"/>
      <c r="I40" s="43"/>
      <c r="J40" s="43"/>
      <c r="K40" s="43"/>
      <c r="L40" s="36" t="str">
        <f aca="false">IF($K40="","",IFERROR(INDEX(Reference!$D$53:$D$67,MATCH($K40,Reference!$B$53:$B$67,0)),""))</f>
        <v/>
      </c>
      <c r="M40" s="43"/>
      <c r="N40" s="45"/>
      <c r="O40" s="45"/>
      <c r="P40" s="43"/>
      <c r="Q40" s="44"/>
      <c r="R40" s="38" t="str">
        <f aca="false">IF($O40="","",$O40+IF(N($F40)&gt;0,Setup!$D$21,IF($Q40="Sequential",Setup!$D$20,Setup!$D$19)))</f>
        <v/>
      </c>
      <c r="S40" s="45"/>
      <c r="T40" s="44"/>
      <c r="U40" s="39" t="str">
        <f aca="true">IF($O40="","",IF($S40&lt;&gt;"",$S40-$O40,TODAY()-$O40))</f>
        <v/>
      </c>
      <c r="V40" s="36" t="str">
        <f aca="true">IF($J40="","",IF($AD40="Yes","Void",IF(COUNTIFS($D$9:$D$208,$D40,$E$9:$E$208,$E40,$F$9:$F$208,"&gt;"&amp;N($F40))&gt;0,"Superseded",IF($N40="","Not submitted",IF($S40="",IF(AND($R40&lt;&gt;"",$R40&lt;TODAY()),"Overdue with reviewer","In review"),IF(COUNTIF(Reference!$B$70:$B$80,$T40)&gt;0,"Closed","Resubmittal required"))))))</f>
        <v/>
      </c>
      <c r="W40" s="36" t="str">
        <f aca="false">IF($J40="","",IF(OR($V40="Closed",$V40="Superseded",$V40="Void"),"Closed",IF(OR($V40="Not submitted",$V40="Resubmittal required"),"Contractor","Reviewer")))</f>
        <v/>
      </c>
      <c r="X40" s="44"/>
      <c r="Y40" s="45"/>
      <c r="Z40" s="38" t="str">
        <f aca="false">IF(OR($J40="",$Y40="",$X40="",$V40="Void",$V40="Superseded"),"",$Y40-N($X40)*7-IF($Q40="Sequential",Setup!$D$20,Setup!$D$19)-Setup!$D$22)</f>
        <v/>
      </c>
      <c r="AA40" s="39" t="str">
        <f aca="true">IF($Z40="","",IF($N40&lt;&gt;"",$Z40-$N40,$Z40-TODAY()))</f>
        <v/>
      </c>
      <c r="AB40" s="36" t="str">
        <f aca="false">IF(OR($X40="",$V40="Void",$V40="Superseded"),"",IF(N($X40)&gt;=Setup!$D$23,"Long lead",""))</f>
        <v/>
      </c>
      <c r="AC40" s="46"/>
      <c r="AD40" s="47"/>
      <c r="AE40" s="47"/>
    </row>
    <row r="41" customFormat="false" ht="30" hidden="false" customHeight="true" outlineLevel="0" collapsed="false">
      <c r="A41" s="31"/>
      <c r="B41" s="32" t="str">
        <f aca="false">IF($J41="","",ROW()-8)</f>
        <v/>
      </c>
      <c r="C41" s="33" t="str">
        <f aca="false">IF($J41="","",$D41&amp;"-"&amp;TEXT($E41,"000")&amp;IF(N($F41)&gt;0,"."&amp;TEXT($F41,"00"),""))</f>
        <v/>
      </c>
      <c r="D41" s="34"/>
      <c r="E41" s="35"/>
      <c r="F41" s="35"/>
      <c r="G41" s="34"/>
      <c r="H41" s="34"/>
      <c r="I41" s="34"/>
      <c r="J41" s="34"/>
      <c r="K41" s="34"/>
      <c r="L41" s="36" t="str">
        <f aca="false">IF($K41="","",IFERROR(INDEX(Reference!$D$53:$D$67,MATCH($K41,Reference!$B$53:$B$67,0)),""))</f>
        <v/>
      </c>
      <c r="M41" s="34"/>
      <c r="N41" s="37"/>
      <c r="O41" s="37"/>
      <c r="P41" s="34"/>
      <c r="Q41" s="35"/>
      <c r="R41" s="38" t="str">
        <f aca="false">IF($O41="","",$O41+IF(N($F41)&gt;0,Setup!$D$21,IF($Q41="Sequential",Setup!$D$20,Setup!$D$19)))</f>
        <v/>
      </c>
      <c r="S41" s="37"/>
      <c r="T41" s="35"/>
      <c r="U41" s="39" t="str">
        <f aca="true">IF($O41="","",IF($S41&lt;&gt;"",$S41-$O41,TODAY()-$O41))</f>
        <v/>
      </c>
      <c r="V41" s="36" t="str">
        <f aca="true">IF($J41="","",IF($AD41="Yes","Void",IF(COUNTIFS($D$9:$D$208,$D41,$E$9:$E$208,$E41,$F$9:$F$208,"&gt;"&amp;N($F41))&gt;0,"Superseded",IF($N41="","Not submitted",IF($S41="",IF(AND($R41&lt;&gt;"",$R41&lt;TODAY()),"Overdue with reviewer","In review"),IF(COUNTIF(Reference!$B$70:$B$80,$T41)&gt;0,"Closed","Resubmittal required"))))))</f>
        <v/>
      </c>
      <c r="W41" s="36" t="str">
        <f aca="false">IF($J41="","",IF(OR($V41="Closed",$V41="Superseded",$V41="Void"),"Closed",IF(OR($V41="Not submitted",$V41="Resubmittal required"),"Contractor","Reviewer")))</f>
        <v/>
      </c>
      <c r="X41" s="35"/>
      <c r="Y41" s="37"/>
      <c r="Z41" s="38" t="str">
        <f aca="false">IF(OR($J41="",$Y41="",$X41="",$V41="Void",$V41="Superseded"),"",$Y41-N($X41)*7-IF($Q41="Sequential",Setup!$D$20,Setup!$D$19)-Setup!$D$22)</f>
        <v/>
      </c>
      <c r="AA41" s="39" t="str">
        <f aca="true">IF($Z41="","",IF($N41&lt;&gt;"",$Z41-$N41,$Z41-TODAY()))</f>
        <v/>
      </c>
      <c r="AB41" s="36" t="str">
        <f aca="false">IF(OR($X41="",$V41="Void",$V41="Superseded"),"",IF(N($X41)&gt;=Setup!$D$23,"Long lead",""))</f>
        <v/>
      </c>
      <c r="AC41" s="40"/>
      <c r="AD41" s="41"/>
      <c r="AE41" s="41"/>
    </row>
    <row r="42" customFormat="false" ht="30" hidden="false" customHeight="true" outlineLevel="0" collapsed="false">
      <c r="A42" s="31"/>
      <c r="B42" s="32" t="str">
        <f aca="false">IF($J42="","",ROW()-8)</f>
        <v/>
      </c>
      <c r="C42" s="33" t="str">
        <f aca="false">IF($J42="","",$D42&amp;"-"&amp;TEXT($E42,"000")&amp;IF(N($F42)&gt;0,"."&amp;TEXT($F42,"00"),""))</f>
        <v/>
      </c>
      <c r="D42" s="43"/>
      <c r="E42" s="44"/>
      <c r="F42" s="44"/>
      <c r="G42" s="43"/>
      <c r="H42" s="43"/>
      <c r="I42" s="43"/>
      <c r="J42" s="43"/>
      <c r="K42" s="43"/>
      <c r="L42" s="36" t="str">
        <f aca="false">IF($K42="","",IFERROR(INDEX(Reference!$D$53:$D$67,MATCH($K42,Reference!$B$53:$B$67,0)),""))</f>
        <v/>
      </c>
      <c r="M42" s="43"/>
      <c r="N42" s="45"/>
      <c r="O42" s="45"/>
      <c r="P42" s="43"/>
      <c r="Q42" s="44"/>
      <c r="R42" s="38" t="str">
        <f aca="false">IF($O42="","",$O42+IF(N($F42)&gt;0,Setup!$D$21,IF($Q42="Sequential",Setup!$D$20,Setup!$D$19)))</f>
        <v/>
      </c>
      <c r="S42" s="45"/>
      <c r="T42" s="44"/>
      <c r="U42" s="39" t="str">
        <f aca="true">IF($O42="","",IF($S42&lt;&gt;"",$S42-$O42,TODAY()-$O42))</f>
        <v/>
      </c>
      <c r="V42" s="36" t="str">
        <f aca="true">IF($J42="","",IF($AD42="Yes","Void",IF(COUNTIFS($D$9:$D$208,$D42,$E$9:$E$208,$E42,$F$9:$F$208,"&gt;"&amp;N($F42))&gt;0,"Superseded",IF($N42="","Not submitted",IF($S42="",IF(AND($R42&lt;&gt;"",$R42&lt;TODAY()),"Overdue with reviewer","In review"),IF(COUNTIF(Reference!$B$70:$B$80,$T42)&gt;0,"Closed","Resubmittal required"))))))</f>
        <v/>
      </c>
      <c r="W42" s="36" t="str">
        <f aca="false">IF($J42="","",IF(OR($V42="Closed",$V42="Superseded",$V42="Void"),"Closed",IF(OR($V42="Not submitted",$V42="Resubmittal required"),"Contractor","Reviewer")))</f>
        <v/>
      </c>
      <c r="X42" s="44"/>
      <c r="Y42" s="45"/>
      <c r="Z42" s="38" t="str">
        <f aca="false">IF(OR($J42="",$Y42="",$X42="",$V42="Void",$V42="Superseded"),"",$Y42-N($X42)*7-IF($Q42="Sequential",Setup!$D$20,Setup!$D$19)-Setup!$D$22)</f>
        <v/>
      </c>
      <c r="AA42" s="39" t="str">
        <f aca="true">IF($Z42="","",IF($N42&lt;&gt;"",$Z42-$N42,$Z42-TODAY()))</f>
        <v/>
      </c>
      <c r="AB42" s="36" t="str">
        <f aca="false">IF(OR($X42="",$V42="Void",$V42="Superseded"),"",IF(N($X42)&gt;=Setup!$D$23,"Long lead",""))</f>
        <v/>
      </c>
      <c r="AC42" s="46"/>
      <c r="AD42" s="47"/>
      <c r="AE42" s="47"/>
    </row>
    <row r="43" customFormat="false" ht="30" hidden="false" customHeight="true" outlineLevel="0" collapsed="false">
      <c r="A43" s="31"/>
      <c r="B43" s="32" t="str">
        <f aca="false">IF($J43="","",ROW()-8)</f>
        <v/>
      </c>
      <c r="C43" s="33" t="str">
        <f aca="false">IF($J43="","",$D43&amp;"-"&amp;TEXT($E43,"000")&amp;IF(N($F43)&gt;0,"."&amp;TEXT($F43,"00"),""))</f>
        <v/>
      </c>
      <c r="D43" s="34"/>
      <c r="E43" s="35"/>
      <c r="F43" s="35"/>
      <c r="G43" s="34"/>
      <c r="H43" s="34"/>
      <c r="I43" s="34"/>
      <c r="J43" s="34"/>
      <c r="K43" s="34"/>
      <c r="L43" s="36" t="str">
        <f aca="false">IF($K43="","",IFERROR(INDEX(Reference!$D$53:$D$67,MATCH($K43,Reference!$B$53:$B$67,0)),""))</f>
        <v/>
      </c>
      <c r="M43" s="34"/>
      <c r="N43" s="37"/>
      <c r="O43" s="37"/>
      <c r="P43" s="34"/>
      <c r="Q43" s="35"/>
      <c r="R43" s="38" t="str">
        <f aca="false">IF($O43="","",$O43+IF(N($F43)&gt;0,Setup!$D$21,IF($Q43="Sequential",Setup!$D$20,Setup!$D$19)))</f>
        <v/>
      </c>
      <c r="S43" s="37"/>
      <c r="T43" s="35"/>
      <c r="U43" s="39" t="str">
        <f aca="true">IF($O43="","",IF($S43&lt;&gt;"",$S43-$O43,TODAY()-$O43))</f>
        <v/>
      </c>
      <c r="V43" s="36" t="str">
        <f aca="true">IF($J43="","",IF($AD43="Yes","Void",IF(COUNTIFS($D$9:$D$208,$D43,$E$9:$E$208,$E43,$F$9:$F$208,"&gt;"&amp;N($F43))&gt;0,"Superseded",IF($N43="","Not submitted",IF($S43="",IF(AND($R43&lt;&gt;"",$R43&lt;TODAY()),"Overdue with reviewer","In review"),IF(COUNTIF(Reference!$B$70:$B$80,$T43)&gt;0,"Closed","Resubmittal required"))))))</f>
        <v/>
      </c>
      <c r="W43" s="36" t="str">
        <f aca="false">IF($J43="","",IF(OR($V43="Closed",$V43="Superseded",$V43="Void"),"Closed",IF(OR($V43="Not submitted",$V43="Resubmittal required"),"Contractor","Reviewer")))</f>
        <v/>
      </c>
      <c r="X43" s="35"/>
      <c r="Y43" s="37"/>
      <c r="Z43" s="38" t="str">
        <f aca="false">IF(OR($J43="",$Y43="",$X43="",$V43="Void",$V43="Superseded"),"",$Y43-N($X43)*7-IF($Q43="Sequential",Setup!$D$20,Setup!$D$19)-Setup!$D$22)</f>
        <v/>
      </c>
      <c r="AA43" s="39" t="str">
        <f aca="true">IF($Z43="","",IF($N43&lt;&gt;"",$Z43-$N43,$Z43-TODAY()))</f>
        <v/>
      </c>
      <c r="AB43" s="36" t="str">
        <f aca="false">IF(OR($X43="",$V43="Void",$V43="Superseded"),"",IF(N($X43)&gt;=Setup!$D$23,"Long lead",""))</f>
        <v/>
      </c>
      <c r="AC43" s="40"/>
      <c r="AD43" s="41"/>
      <c r="AE43" s="41"/>
    </row>
    <row r="44" customFormat="false" ht="30" hidden="false" customHeight="true" outlineLevel="0" collapsed="false">
      <c r="A44" s="31"/>
      <c r="B44" s="32" t="str">
        <f aca="false">IF($J44="","",ROW()-8)</f>
        <v/>
      </c>
      <c r="C44" s="33" t="str">
        <f aca="false">IF($J44="","",$D44&amp;"-"&amp;TEXT($E44,"000")&amp;IF(N($F44)&gt;0,"."&amp;TEXT($F44,"00"),""))</f>
        <v/>
      </c>
      <c r="D44" s="43"/>
      <c r="E44" s="44"/>
      <c r="F44" s="44"/>
      <c r="G44" s="43"/>
      <c r="H44" s="43"/>
      <c r="I44" s="43"/>
      <c r="J44" s="43"/>
      <c r="K44" s="43"/>
      <c r="L44" s="36" t="str">
        <f aca="false">IF($K44="","",IFERROR(INDEX(Reference!$D$53:$D$67,MATCH($K44,Reference!$B$53:$B$67,0)),""))</f>
        <v/>
      </c>
      <c r="M44" s="43"/>
      <c r="N44" s="45"/>
      <c r="O44" s="45"/>
      <c r="P44" s="43"/>
      <c r="Q44" s="44"/>
      <c r="R44" s="38" t="str">
        <f aca="false">IF($O44="","",$O44+IF(N($F44)&gt;0,Setup!$D$21,IF($Q44="Sequential",Setup!$D$20,Setup!$D$19)))</f>
        <v/>
      </c>
      <c r="S44" s="45"/>
      <c r="T44" s="44"/>
      <c r="U44" s="39" t="str">
        <f aca="true">IF($O44="","",IF($S44&lt;&gt;"",$S44-$O44,TODAY()-$O44))</f>
        <v/>
      </c>
      <c r="V44" s="36" t="str">
        <f aca="true">IF($J44="","",IF($AD44="Yes","Void",IF(COUNTIFS($D$9:$D$208,$D44,$E$9:$E$208,$E44,$F$9:$F$208,"&gt;"&amp;N($F44))&gt;0,"Superseded",IF($N44="","Not submitted",IF($S44="",IF(AND($R44&lt;&gt;"",$R44&lt;TODAY()),"Overdue with reviewer","In review"),IF(COUNTIF(Reference!$B$70:$B$80,$T44)&gt;0,"Closed","Resubmittal required"))))))</f>
        <v/>
      </c>
      <c r="W44" s="36" t="str">
        <f aca="false">IF($J44="","",IF(OR($V44="Closed",$V44="Superseded",$V44="Void"),"Closed",IF(OR($V44="Not submitted",$V44="Resubmittal required"),"Contractor","Reviewer")))</f>
        <v/>
      </c>
      <c r="X44" s="44"/>
      <c r="Y44" s="45"/>
      <c r="Z44" s="38" t="str">
        <f aca="false">IF(OR($J44="",$Y44="",$X44="",$V44="Void",$V44="Superseded"),"",$Y44-N($X44)*7-IF($Q44="Sequential",Setup!$D$20,Setup!$D$19)-Setup!$D$22)</f>
        <v/>
      </c>
      <c r="AA44" s="39" t="str">
        <f aca="true">IF($Z44="","",IF($N44&lt;&gt;"",$Z44-$N44,$Z44-TODAY()))</f>
        <v/>
      </c>
      <c r="AB44" s="36" t="str">
        <f aca="false">IF(OR($X44="",$V44="Void",$V44="Superseded"),"",IF(N($X44)&gt;=Setup!$D$23,"Long lead",""))</f>
        <v/>
      </c>
      <c r="AC44" s="46"/>
      <c r="AD44" s="47"/>
      <c r="AE44" s="47"/>
    </row>
    <row r="45" customFormat="false" ht="30" hidden="false" customHeight="true" outlineLevel="0" collapsed="false">
      <c r="A45" s="31"/>
      <c r="B45" s="32" t="str">
        <f aca="false">IF($J45="","",ROW()-8)</f>
        <v/>
      </c>
      <c r="C45" s="33" t="str">
        <f aca="false">IF($J45="","",$D45&amp;"-"&amp;TEXT($E45,"000")&amp;IF(N($F45)&gt;0,"."&amp;TEXT($F45,"00"),""))</f>
        <v/>
      </c>
      <c r="D45" s="34"/>
      <c r="E45" s="35"/>
      <c r="F45" s="35"/>
      <c r="G45" s="34"/>
      <c r="H45" s="34"/>
      <c r="I45" s="34"/>
      <c r="J45" s="34"/>
      <c r="K45" s="34"/>
      <c r="L45" s="36" t="str">
        <f aca="false">IF($K45="","",IFERROR(INDEX(Reference!$D$53:$D$67,MATCH($K45,Reference!$B$53:$B$67,0)),""))</f>
        <v/>
      </c>
      <c r="M45" s="34"/>
      <c r="N45" s="37"/>
      <c r="O45" s="37"/>
      <c r="P45" s="34"/>
      <c r="Q45" s="35"/>
      <c r="R45" s="38" t="str">
        <f aca="false">IF($O45="","",$O45+IF(N($F45)&gt;0,Setup!$D$21,IF($Q45="Sequential",Setup!$D$20,Setup!$D$19)))</f>
        <v/>
      </c>
      <c r="S45" s="37"/>
      <c r="T45" s="35"/>
      <c r="U45" s="39" t="str">
        <f aca="true">IF($O45="","",IF($S45&lt;&gt;"",$S45-$O45,TODAY()-$O45))</f>
        <v/>
      </c>
      <c r="V45" s="36" t="str">
        <f aca="true">IF($J45="","",IF($AD45="Yes","Void",IF(COUNTIFS($D$9:$D$208,$D45,$E$9:$E$208,$E45,$F$9:$F$208,"&gt;"&amp;N($F45))&gt;0,"Superseded",IF($N45="","Not submitted",IF($S45="",IF(AND($R45&lt;&gt;"",$R45&lt;TODAY()),"Overdue with reviewer","In review"),IF(COUNTIF(Reference!$B$70:$B$80,$T45)&gt;0,"Closed","Resubmittal required"))))))</f>
        <v/>
      </c>
      <c r="W45" s="36" t="str">
        <f aca="false">IF($J45="","",IF(OR($V45="Closed",$V45="Superseded",$V45="Void"),"Closed",IF(OR($V45="Not submitted",$V45="Resubmittal required"),"Contractor","Reviewer")))</f>
        <v/>
      </c>
      <c r="X45" s="35"/>
      <c r="Y45" s="37"/>
      <c r="Z45" s="38" t="str">
        <f aca="false">IF(OR($J45="",$Y45="",$X45="",$V45="Void",$V45="Superseded"),"",$Y45-N($X45)*7-IF($Q45="Sequential",Setup!$D$20,Setup!$D$19)-Setup!$D$22)</f>
        <v/>
      </c>
      <c r="AA45" s="39" t="str">
        <f aca="true">IF($Z45="","",IF($N45&lt;&gt;"",$Z45-$N45,$Z45-TODAY()))</f>
        <v/>
      </c>
      <c r="AB45" s="36" t="str">
        <f aca="false">IF(OR($X45="",$V45="Void",$V45="Superseded"),"",IF(N($X45)&gt;=Setup!$D$23,"Long lead",""))</f>
        <v/>
      </c>
      <c r="AC45" s="40"/>
      <c r="AD45" s="41"/>
      <c r="AE45" s="41"/>
    </row>
    <row r="46" customFormat="false" ht="30" hidden="false" customHeight="true" outlineLevel="0" collapsed="false">
      <c r="A46" s="31"/>
      <c r="B46" s="32" t="str">
        <f aca="false">IF($J46="","",ROW()-8)</f>
        <v/>
      </c>
      <c r="C46" s="33" t="str">
        <f aca="false">IF($J46="","",$D46&amp;"-"&amp;TEXT($E46,"000")&amp;IF(N($F46)&gt;0,"."&amp;TEXT($F46,"00"),""))</f>
        <v/>
      </c>
      <c r="D46" s="43"/>
      <c r="E46" s="44"/>
      <c r="F46" s="44"/>
      <c r="G46" s="43"/>
      <c r="H46" s="43"/>
      <c r="I46" s="43"/>
      <c r="J46" s="43"/>
      <c r="K46" s="43"/>
      <c r="L46" s="36" t="str">
        <f aca="false">IF($K46="","",IFERROR(INDEX(Reference!$D$53:$D$67,MATCH($K46,Reference!$B$53:$B$67,0)),""))</f>
        <v/>
      </c>
      <c r="M46" s="43"/>
      <c r="N46" s="45"/>
      <c r="O46" s="45"/>
      <c r="P46" s="43"/>
      <c r="Q46" s="44"/>
      <c r="R46" s="38" t="str">
        <f aca="false">IF($O46="","",$O46+IF(N($F46)&gt;0,Setup!$D$21,IF($Q46="Sequential",Setup!$D$20,Setup!$D$19)))</f>
        <v/>
      </c>
      <c r="S46" s="45"/>
      <c r="T46" s="44"/>
      <c r="U46" s="39" t="str">
        <f aca="true">IF($O46="","",IF($S46&lt;&gt;"",$S46-$O46,TODAY()-$O46))</f>
        <v/>
      </c>
      <c r="V46" s="36" t="str">
        <f aca="true">IF($J46="","",IF($AD46="Yes","Void",IF(COUNTIFS($D$9:$D$208,$D46,$E$9:$E$208,$E46,$F$9:$F$208,"&gt;"&amp;N($F46))&gt;0,"Superseded",IF($N46="","Not submitted",IF($S46="",IF(AND($R46&lt;&gt;"",$R46&lt;TODAY()),"Overdue with reviewer","In review"),IF(COUNTIF(Reference!$B$70:$B$80,$T46)&gt;0,"Closed","Resubmittal required"))))))</f>
        <v/>
      </c>
      <c r="W46" s="36" t="str">
        <f aca="false">IF($J46="","",IF(OR($V46="Closed",$V46="Superseded",$V46="Void"),"Closed",IF(OR($V46="Not submitted",$V46="Resubmittal required"),"Contractor","Reviewer")))</f>
        <v/>
      </c>
      <c r="X46" s="44"/>
      <c r="Y46" s="45"/>
      <c r="Z46" s="38" t="str">
        <f aca="false">IF(OR($J46="",$Y46="",$X46="",$V46="Void",$V46="Superseded"),"",$Y46-N($X46)*7-IF($Q46="Sequential",Setup!$D$20,Setup!$D$19)-Setup!$D$22)</f>
        <v/>
      </c>
      <c r="AA46" s="39" t="str">
        <f aca="true">IF($Z46="","",IF($N46&lt;&gt;"",$Z46-$N46,$Z46-TODAY()))</f>
        <v/>
      </c>
      <c r="AB46" s="36" t="str">
        <f aca="false">IF(OR($X46="",$V46="Void",$V46="Superseded"),"",IF(N($X46)&gt;=Setup!$D$23,"Long lead",""))</f>
        <v/>
      </c>
      <c r="AC46" s="46"/>
      <c r="AD46" s="47"/>
      <c r="AE46" s="47"/>
    </row>
    <row r="47" customFormat="false" ht="30" hidden="false" customHeight="true" outlineLevel="0" collapsed="false">
      <c r="A47" s="31"/>
      <c r="B47" s="32" t="str">
        <f aca="false">IF($J47="","",ROW()-8)</f>
        <v/>
      </c>
      <c r="C47" s="33" t="str">
        <f aca="false">IF($J47="","",$D47&amp;"-"&amp;TEXT($E47,"000")&amp;IF(N($F47)&gt;0,"."&amp;TEXT($F47,"00"),""))</f>
        <v/>
      </c>
      <c r="D47" s="34"/>
      <c r="E47" s="35"/>
      <c r="F47" s="35"/>
      <c r="G47" s="34"/>
      <c r="H47" s="34"/>
      <c r="I47" s="34"/>
      <c r="J47" s="34"/>
      <c r="K47" s="34"/>
      <c r="L47" s="36" t="str">
        <f aca="false">IF($K47="","",IFERROR(INDEX(Reference!$D$53:$D$67,MATCH($K47,Reference!$B$53:$B$67,0)),""))</f>
        <v/>
      </c>
      <c r="M47" s="34"/>
      <c r="N47" s="37"/>
      <c r="O47" s="37"/>
      <c r="P47" s="34"/>
      <c r="Q47" s="35"/>
      <c r="R47" s="38" t="str">
        <f aca="false">IF($O47="","",$O47+IF(N($F47)&gt;0,Setup!$D$21,IF($Q47="Sequential",Setup!$D$20,Setup!$D$19)))</f>
        <v/>
      </c>
      <c r="S47" s="37"/>
      <c r="T47" s="35"/>
      <c r="U47" s="39" t="str">
        <f aca="true">IF($O47="","",IF($S47&lt;&gt;"",$S47-$O47,TODAY()-$O47))</f>
        <v/>
      </c>
      <c r="V47" s="36" t="str">
        <f aca="true">IF($J47="","",IF($AD47="Yes","Void",IF(COUNTIFS($D$9:$D$208,$D47,$E$9:$E$208,$E47,$F$9:$F$208,"&gt;"&amp;N($F47))&gt;0,"Superseded",IF($N47="","Not submitted",IF($S47="",IF(AND($R47&lt;&gt;"",$R47&lt;TODAY()),"Overdue with reviewer","In review"),IF(COUNTIF(Reference!$B$70:$B$80,$T47)&gt;0,"Closed","Resubmittal required"))))))</f>
        <v/>
      </c>
      <c r="W47" s="36" t="str">
        <f aca="false">IF($J47="","",IF(OR($V47="Closed",$V47="Superseded",$V47="Void"),"Closed",IF(OR($V47="Not submitted",$V47="Resubmittal required"),"Contractor","Reviewer")))</f>
        <v/>
      </c>
      <c r="X47" s="35"/>
      <c r="Y47" s="37"/>
      <c r="Z47" s="38" t="str">
        <f aca="false">IF(OR($J47="",$Y47="",$X47="",$V47="Void",$V47="Superseded"),"",$Y47-N($X47)*7-IF($Q47="Sequential",Setup!$D$20,Setup!$D$19)-Setup!$D$22)</f>
        <v/>
      </c>
      <c r="AA47" s="39" t="str">
        <f aca="true">IF($Z47="","",IF($N47&lt;&gt;"",$Z47-$N47,$Z47-TODAY()))</f>
        <v/>
      </c>
      <c r="AB47" s="36" t="str">
        <f aca="false">IF(OR($X47="",$V47="Void",$V47="Superseded"),"",IF(N($X47)&gt;=Setup!$D$23,"Long lead",""))</f>
        <v/>
      </c>
      <c r="AC47" s="40"/>
      <c r="AD47" s="41"/>
      <c r="AE47" s="41"/>
    </row>
    <row r="48" customFormat="false" ht="30" hidden="false" customHeight="true" outlineLevel="0" collapsed="false">
      <c r="A48" s="31"/>
      <c r="B48" s="32" t="str">
        <f aca="false">IF($J48="","",ROW()-8)</f>
        <v/>
      </c>
      <c r="C48" s="33" t="str">
        <f aca="false">IF($J48="","",$D48&amp;"-"&amp;TEXT($E48,"000")&amp;IF(N($F48)&gt;0,"."&amp;TEXT($F48,"00"),""))</f>
        <v/>
      </c>
      <c r="D48" s="43"/>
      <c r="E48" s="44"/>
      <c r="F48" s="44"/>
      <c r="G48" s="43"/>
      <c r="H48" s="43"/>
      <c r="I48" s="43"/>
      <c r="J48" s="43"/>
      <c r="K48" s="43"/>
      <c r="L48" s="36" t="str">
        <f aca="false">IF($K48="","",IFERROR(INDEX(Reference!$D$53:$D$67,MATCH($K48,Reference!$B$53:$B$67,0)),""))</f>
        <v/>
      </c>
      <c r="M48" s="43"/>
      <c r="N48" s="45"/>
      <c r="O48" s="45"/>
      <c r="P48" s="43"/>
      <c r="Q48" s="44"/>
      <c r="R48" s="38" t="str">
        <f aca="false">IF($O48="","",$O48+IF(N($F48)&gt;0,Setup!$D$21,IF($Q48="Sequential",Setup!$D$20,Setup!$D$19)))</f>
        <v/>
      </c>
      <c r="S48" s="45"/>
      <c r="T48" s="44"/>
      <c r="U48" s="39" t="str">
        <f aca="true">IF($O48="","",IF($S48&lt;&gt;"",$S48-$O48,TODAY()-$O48))</f>
        <v/>
      </c>
      <c r="V48" s="36" t="str">
        <f aca="true">IF($J48="","",IF($AD48="Yes","Void",IF(COUNTIFS($D$9:$D$208,$D48,$E$9:$E$208,$E48,$F$9:$F$208,"&gt;"&amp;N($F48))&gt;0,"Superseded",IF($N48="","Not submitted",IF($S48="",IF(AND($R48&lt;&gt;"",$R48&lt;TODAY()),"Overdue with reviewer","In review"),IF(COUNTIF(Reference!$B$70:$B$80,$T48)&gt;0,"Closed","Resubmittal required"))))))</f>
        <v/>
      </c>
      <c r="W48" s="36" t="str">
        <f aca="false">IF($J48="","",IF(OR($V48="Closed",$V48="Superseded",$V48="Void"),"Closed",IF(OR($V48="Not submitted",$V48="Resubmittal required"),"Contractor","Reviewer")))</f>
        <v/>
      </c>
      <c r="X48" s="44"/>
      <c r="Y48" s="45"/>
      <c r="Z48" s="38" t="str">
        <f aca="false">IF(OR($J48="",$Y48="",$X48="",$V48="Void",$V48="Superseded"),"",$Y48-N($X48)*7-IF($Q48="Sequential",Setup!$D$20,Setup!$D$19)-Setup!$D$22)</f>
        <v/>
      </c>
      <c r="AA48" s="39" t="str">
        <f aca="true">IF($Z48="","",IF($N48&lt;&gt;"",$Z48-$N48,$Z48-TODAY()))</f>
        <v/>
      </c>
      <c r="AB48" s="36" t="str">
        <f aca="false">IF(OR($X48="",$V48="Void",$V48="Superseded"),"",IF(N($X48)&gt;=Setup!$D$23,"Long lead",""))</f>
        <v/>
      </c>
      <c r="AC48" s="46"/>
      <c r="AD48" s="47"/>
      <c r="AE48" s="47"/>
    </row>
    <row r="49" customFormat="false" ht="30" hidden="false" customHeight="true" outlineLevel="0" collapsed="false">
      <c r="A49" s="31"/>
      <c r="B49" s="32" t="str">
        <f aca="false">IF($J49="","",ROW()-8)</f>
        <v/>
      </c>
      <c r="C49" s="33" t="str">
        <f aca="false">IF($J49="","",$D49&amp;"-"&amp;TEXT($E49,"000")&amp;IF(N($F49)&gt;0,"."&amp;TEXT($F49,"00"),""))</f>
        <v/>
      </c>
      <c r="D49" s="34"/>
      <c r="E49" s="35"/>
      <c r="F49" s="35"/>
      <c r="G49" s="34"/>
      <c r="H49" s="34"/>
      <c r="I49" s="34"/>
      <c r="J49" s="34"/>
      <c r="K49" s="34"/>
      <c r="L49" s="36" t="str">
        <f aca="false">IF($K49="","",IFERROR(INDEX(Reference!$D$53:$D$67,MATCH($K49,Reference!$B$53:$B$67,0)),""))</f>
        <v/>
      </c>
      <c r="M49" s="34"/>
      <c r="N49" s="37"/>
      <c r="O49" s="37"/>
      <c r="P49" s="34"/>
      <c r="Q49" s="35"/>
      <c r="R49" s="38" t="str">
        <f aca="false">IF($O49="","",$O49+IF(N($F49)&gt;0,Setup!$D$21,IF($Q49="Sequential",Setup!$D$20,Setup!$D$19)))</f>
        <v/>
      </c>
      <c r="S49" s="37"/>
      <c r="T49" s="35"/>
      <c r="U49" s="39" t="str">
        <f aca="true">IF($O49="","",IF($S49&lt;&gt;"",$S49-$O49,TODAY()-$O49))</f>
        <v/>
      </c>
      <c r="V49" s="36" t="str">
        <f aca="true">IF($J49="","",IF($AD49="Yes","Void",IF(COUNTIFS($D$9:$D$208,$D49,$E$9:$E$208,$E49,$F$9:$F$208,"&gt;"&amp;N($F49))&gt;0,"Superseded",IF($N49="","Not submitted",IF($S49="",IF(AND($R49&lt;&gt;"",$R49&lt;TODAY()),"Overdue with reviewer","In review"),IF(COUNTIF(Reference!$B$70:$B$80,$T49)&gt;0,"Closed","Resubmittal required"))))))</f>
        <v/>
      </c>
      <c r="W49" s="36" t="str">
        <f aca="false">IF($J49="","",IF(OR($V49="Closed",$V49="Superseded",$V49="Void"),"Closed",IF(OR($V49="Not submitted",$V49="Resubmittal required"),"Contractor","Reviewer")))</f>
        <v/>
      </c>
      <c r="X49" s="35"/>
      <c r="Y49" s="37"/>
      <c r="Z49" s="38" t="str">
        <f aca="false">IF(OR($J49="",$Y49="",$X49="",$V49="Void",$V49="Superseded"),"",$Y49-N($X49)*7-IF($Q49="Sequential",Setup!$D$20,Setup!$D$19)-Setup!$D$22)</f>
        <v/>
      </c>
      <c r="AA49" s="39" t="str">
        <f aca="true">IF($Z49="","",IF($N49&lt;&gt;"",$Z49-$N49,$Z49-TODAY()))</f>
        <v/>
      </c>
      <c r="AB49" s="36" t="str">
        <f aca="false">IF(OR($X49="",$V49="Void",$V49="Superseded"),"",IF(N($X49)&gt;=Setup!$D$23,"Long lead",""))</f>
        <v/>
      </c>
      <c r="AC49" s="40"/>
      <c r="AD49" s="41"/>
      <c r="AE49" s="41"/>
    </row>
    <row r="50" customFormat="false" ht="30" hidden="false" customHeight="true" outlineLevel="0" collapsed="false">
      <c r="A50" s="31"/>
      <c r="B50" s="32" t="str">
        <f aca="false">IF($J50="","",ROW()-8)</f>
        <v/>
      </c>
      <c r="C50" s="33" t="str">
        <f aca="false">IF($J50="","",$D50&amp;"-"&amp;TEXT($E50,"000")&amp;IF(N($F50)&gt;0,"."&amp;TEXT($F50,"00"),""))</f>
        <v/>
      </c>
      <c r="D50" s="43"/>
      <c r="E50" s="44"/>
      <c r="F50" s="44"/>
      <c r="G50" s="43"/>
      <c r="H50" s="43"/>
      <c r="I50" s="43"/>
      <c r="J50" s="43"/>
      <c r="K50" s="43"/>
      <c r="L50" s="36" t="str">
        <f aca="false">IF($K50="","",IFERROR(INDEX(Reference!$D$53:$D$67,MATCH($K50,Reference!$B$53:$B$67,0)),""))</f>
        <v/>
      </c>
      <c r="M50" s="43"/>
      <c r="N50" s="45"/>
      <c r="O50" s="45"/>
      <c r="P50" s="43"/>
      <c r="Q50" s="44"/>
      <c r="R50" s="38" t="str">
        <f aca="false">IF($O50="","",$O50+IF(N($F50)&gt;0,Setup!$D$21,IF($Q50="Sequential",Setup!$D$20,Setup!$D$19)))</f>
        <v/>
      </c>
      <c r="S50" s="45"/>
      <c r="T50" s="44"/>
      <c r="U50" s="39" t="str">
        <f aca="true">IF($O50="","",IF($S50&lt;&gt;"",$S50-$O50,TODAY()-$O50))</f>
        <v/>
      </c>
      <c r="V50" s="36" t="str">
        <f aca="true">IF($J50="","",IF($AD50="Yes","Void",IF(COUNTIFS($D$9:$D$208,$D50,$E$9:$E$208,$E50,$F$9:$F$208,"&gt;"&amp;N($F50))&gt;0,"Superseded",IF($N50="","Not submitted",IF($S50="",IF(AND($R50&lt;&gt;"",$R50&lt;TODAY()),"Overdue with reviewer","In review"),IF(COUNTIF(Reference!$B$70:$B$80,$T50)&gt;0,"Closed","Resubmittal required"))))))</f>
        <v/>
      </c>
      <c r="W50" s="36" t="str">
        <f aca="false">IF($J50="","",IF(OR($V50="Closed",$V50="Superseded",$V50="Void"),"Closed",IF(OR($V50="Not submitted",$V50="Resubmittal required"),"Contractor","Reviewer")))</f>
        <v/>
      </c>
      <c r="X50" s="44"/>
      <c r="Y50" s="45"/>
      <c r="Z50" s="38" t="str">
        <f aca="false">IF(OR($J50="",$Y50="",$X50="",$V50="Void",$V50="Superseded"),"",$Y50-N($X50)*7-IF($Q50="Sequential",Setup!$D$20,Setup!$D$19)-Setup!$D$22)</f>
        <v/>
      </c>
      <c r="AA50" s="39" t="str">
        <f aca="true">IF($Z50="","",IF($N50&lt;&gt;"",$Z50-$N50,$Z50-TODAY()))</f>
        <v/>
      </c>
      <c r="AB50" s="36" t="str">
        <f aca="false">IF(OR($X50="",$V50="Void",$V50="Superseded"),"",IF(N($X50)&gt;=Setup!$D$23,"Long lead",""))</f>
        <v/>
      </c>
      <c r="AC50" s="46"/>
      <c r="AD50" s="47"/>
      <c r="AE50" s="47"/>
    </row>
    <row r="51" customFormat="false" ht="30" hidden="false" customHeight="true" outlineLevel="0" collapsed="false">
      <c r="A51" s="31"/>
      <c r="B51" s="32" t="str">
        <f aca="false">IF($J51="","",ROW()-8)</f>
        <v/>
      </c>
      <c r="C51" s="33" t="str">
        <f aca="false">IF($J51="","",$D51&amp;"-"&amp;TEXT($E51,"000")&amp;IF(N($F51)&gt;0,"."&amp;TEXT($F51,"00"),""))</f>
        <v/>
      </c>
      <c r="D51" s="34"/>
      <c r="E51" s="35"/>
      <c r="F51" s="35"/>
      <c r="G51" s="34"/>
      <c r="H51" s="34"/>
      <c r="I51" s="34"/>
      <c r="J51" s="34"/>
      <c r="K51" s="34"/>
      <c r="L51" s="36" t="str">
        <f aca="false">IF($K51="","",IFERROR(INDEX(Reference!$D$53:$D$67,MATCH($K51,Reference!$B$53:$B$67,0)),""))</f>
        <v/>
      </c>
      <c r="M51" s="34"/>
      <c r="N51" s="37"/>
      <c r="O51" s="37"/>
      <c r="P51" s="34"/>
      <c r="Q51" s="35"/>
      <c r="R51" s="38" t="str">
        <f aca="false">IF($O51="","",$O51+IF(N($F51)&gt;0,Setup!$D$21,IF($Q51="Sequential",Setup!$D$20,Setup!$D$19)))</f>
        <v/>
      </c>
      <c r="S51" s="37"/>
      <c r="T51" s="35"/>
      <c r="U51" s="39" t="str">
        <f aca="true">IF($O51="","",IF($S51&lt;&gt;"",$S51-$O51,TODAY()-$O51))</f>
        <v/>
      </c>
      <c r="V51" s="36" t="str">
        <f aca="true">IF($J51="","",IF($AD51="Yes","Void",IF(COUNTIFS($D$9:$D$208,$D51,$E$9:$E$208,$E51,$F$9:$F$208,"&gt;"&amp;N($F51))&gt;0,"Superseded",IF($N51="","Not submitted",IF($S51="",IF(AND($R51&lt;&gt;"",$R51&lt;TODAY()),"Overdue with reviewer","In review"),IF(COUNTIF(Reference!$B$70:$B$80,$T51)&gt;0,"Closed","Resubmittal required"))))))</f>
        <v/>
      </c>
      <c r="W51" s="36" t="str">
        <f aca="false">IF($J51="","",IF(OR($V51="Closed",$V51="Superseded",$V51="Void"),"Closed",IF(OR($V51="Not submitted",$V51="Resubmittal required"),"Contractor","Reviewer")))</f>
        <v/>
      </c>
      <c r="X51" s="35"/>
      <c r="Y51" s="37"/>
      <c r="Z51" s="38" t="str">
        <f aca="false">IF(OR($J51="",$Y51="",$X51="",$V51="Void",$V51="Superseded"),"",$Y51-N($X51)*7-IF($Q51="Sequential",Setup!$D$20,Setup!$D$19)-Setup!$D$22)</f>
        <v/>
      </c>
      <c r="AA51" s="39" t="str">
        <f aca="true">IF($Z51="","",IF($N51&lt;&gt;"",$Z51-$N51,$Z51-TODAY()))</f>
        <v/>
      </c>
      <c r="AB51" s="36" t="str">
        <f aca="false">IF(OR($X51="",$V51="Void",$V51="Superseded"),"",IF(N($X51)&gt;=Setup!$D$23,"Long lead",""))</f>
        <v/>
      </c>
      <c r="AC51" s="40"/>
      <c r="AD51" s="41"/>
      <c r="AE51" s="41"/>
    </row>
    <row r="52" customFormat="false" ht="30" hidden="false" customHeight="true" outlineLevel="0" collapsed="false">
      <c r="A52" s="31"/>
      <c r="B52" s="32" t="str">
        <f aca="false">IF($J52="","",ROW()-8)</f>
        <v/>
      </c>
      <c r="C52" s="33" t="str">
        <f aca="false">IF($J52="","",$D52&amp;"-"&amp;TEXT($E52,"000")&amp;IF(N($F52)&gt;0,"."&amp;TEXT($F52,"00"),""))</f>
        <v/>
      </c>
      <c r="D52" s="43"/>
      <c r="E52" s="44"/>
      <c r="F52" s="44"/>
      <c r="G52" s="43"/>
      <c r="H52" s="43"/>
      <c r="I52" s="43"/>
      <c r="J52" s="43"/>
      <c r="K52" s="43"/>
      <c r="L52" s="36" t="str">
        <f aca="false">IF($K52="","",IFERROR(INDEX(Reference!$D$53:$D$67,MATCH($K52,Reference!$B$53:$B$67,0)),""))</f>
        <v/>
      </c>
      <c r="M52" s="43"/>
      <c r="N52" s="45"/>
      <c r="O52" s="45"/>
      <c r="P52" s="43"/>
      <c r="Q52" s="44"/>
      <c r="R52" s="38" t="str">
        <f aca="false">IF($O52="","",$O52+IF(N($F52)&gt;0,Setup!$D$21,IF($Q52="Sequential",Setup!$D$20,Setup!$D$19)))</f>
        <v/>
      </c>
      <c r="S52" s="45"/>
      <c r="T52" s="44"/>
      <c r="U52" s="39" t="str">
        <f aca="true">IF($O52="","",IF($S52&lt;&gt;"",$S52-$O52,TODAY()-$O52))</f>
        <v/>
      </c>
      <c r="V52" s="36" t="str">
        <f aca="true">IF($J52="","",IF($AD52="Yes","Void",IF(COUNTIFS($D$9:$D$208,$D52,$E$9:$E$208,$E52,$F$9:$F$208,"&gt;"&amp;N($F52))&gt;0,"Superseded",IF($N52="","Not submitted",IF($S52="",IF(AND($R52&lt;&gt;"",$R52&lt;TODAY()),"Overdue with reviewer","In review"),IF(COUNTIF(Reference!$B$70:$B$80,$T52)&gt;0,"Closed","Resubmittal required"))))))</f>
        <v/>
      </c>
      <c r="W52" s="36" t="str">
        <f aca="false">IF($J52="","",IF(OR($V52="Closed",$V52="Superseded",$V52="Void"),"Closed",IF(OR($V52="Not submitted",$V52="Resubmittal required"),"Contractor","Reviewer")))</f>
        <v/>
      </c>
      <c r="X52" s="44"/>
      <c r="Y52" s="45"/>
      <c r="Z52" s="38" t="str">
        <f aca="false">IF(OR($J52="",$Y52="",$X52="",$V52="Void",$V52="Superseded"),"",$Y52-N($X52)*7-IF($Q52="Sequential",Setup!$D$20,Setup!$D$19)-Setup!$D$22)</f>
        <v/>
      </c>
      <c r="AA52" s="39" t="str">
        <f aca="true">IF($Z52="","",IF($N52&lt;&gt;"",$Z52-$N52,$Z52-TODAY()))</f>
        <v/>
      </c>
      <c r="AB52" s="36" t="str">
        <f aca="false">IF(OR($X52="",$V52="Void",$V52="Superseded"),"",IF(N($X52)&gt;=Setup!$D$23,"Long lead",""))</f>
        <v/>
      </c>
      <c r="AC52" s="46"/>
      <c r="AD52" s="47"/>
      <c r="AE52" s="47"/>
    </row>
    <row r="53" customFormat="false" ht="30" hidden="false" customHeight="true" outlineLevel="0" collapsed="false">
      <c r="A53" s="31"/>
      <c r="B53" s="32" t="str">
        <f aca="false">IF($J53="","",ROW()-8)</f>
        <v/>
      </c>
      <c r="C53" s="33" t="str">
        <f aca="false">IF($J53="","",$D53&amp;"-"&amp;TEXT($E53,"000")&amp;IF(N($F53)&gt;0,"."&amp;TEXT($F53,"00"),""))</f>
        <v/>
      </c>
      <c r="D53" s="34"/>
      <c r="E53" s="35"/>
      <c r="F53" s="35"/>
      <c r="G53" s="34"/>
      <c r="H53" s="34"/>
      <c r="I53" s="34"/>
      <c r="J53" s="34"/>
      <c r="K53" s="34"/>
      <c r="L53" s="36" t="str">
        <f aca="false">IF($K53="","",IFERROR(INDEX(Reference!$D$53:$D$67,MATCH($K53,Reference!$B$53:$B$67,0)),""))</f>
        <v/>
      </c>
      <c r="M53" s="34"/>
      <c r="N53" s="37"/>
      <c r="O53" s="37"/>
      <c r="P53" s="34"/>
      <c r="Q53" s="35"/>
      <c r="R53" s="38" t="str">
        <f aca="false">IF($O53="","",$O53+IF(N($F53)&gt;0,Setup!$D$21,IF($Q53="Sequential",Setup!$D$20,Setup!$D$19)))</f>
        <v/>
      </c>
      <c r="S53" s="37"/>
      <c r="T53" s="35"/>
      <c r="U53" s="39" t="str">
        <f aca="true">IF($O53="","",IF($S53&lt;&gt;"",$S53-$O53,TODAY()-$O53))</f>
        <v/>
      </c>
      <c r="V53" s="36" t="str">
        <f aca="true">IF($J53="","",IF($AD53="Yes","Void",IF(COUNTIFS($D$9:$D$208,$D53,$E$9:$E$208,$E53,$F$9:$F$208,"&gt;"&amp;N($F53))&gt;0,"Superseded",IF($N53="","Not submitted",IF($S53="",IF(AND($R53&lt;&gt;"",$R53&lt;TODAY()),"Overdue with reviewer","In review"),IF(COUNTIF(Reference!$B$70:$B$80,$T53)&gt;0,"Closed","Resubmittal required"))))))</f>
        <v/>
      </c>
      <c r="W53" s="36" t="str">
        <f aca="false">IF($J53="","",IF(OR($V53="Closed",$V53="Superseded",$V53="Void"),"Closed",IF(OR($V53="Not submitted",$V53="Resubmittal required"),"Contractor","Reviewer")))</f>
        <v/>
      </c>
      <c r="X53" s="35"/>
      <c r="Y53" s="37"/>
      <c r="Z53" s="38" t="str">
        <f aca="false">IF(OR($J53="",$Y53="",$X53="",$V53="Void",$V53="Superseded"),"",$Y53-N($X53)*7-IF($Q53="Sequential",Setup!$D$20,Setup!$D$19)-Setup!$D$22)</f>
        <v/>
      </c>
      <c r="AA53" s="39" t="str">
        <f aca="true">IF($Z53="","",IF($N53&lt;&gt;"",$Z53-$N53,$Z53-TODAY()))</f>
        <v/>
      </c>
      <c r="AB53" s="36" t="str">
        <f aca="false">IF(OR($X53="",$V53="Void",$V53="Superseded"),"",IF(N($X53)&gt;=Setup!$D$23,"Long lead",""))</f>
        <v/>
      </c>
      <c r="AC53" s="40"/>
      <c r="AD53" s="41"/>
      <c r="AE53" s="41"/>
    </row>
    <row r="54" customFormat="false" ht="30" hidden="false" customHeight="true" outlineLevel="0" collapsed="false">
      <c r="A54" s="31"/>
      <c r="B54" s="32" t="str">
        <f aca="false">IF($J54="","",ROW()-8)</f>
        <v/>
      </c>
      <c r="C54" s="33" t="str">
        <f aca="false">IF($J54="","",$D54&amp;"-"&amp;TEXT($E54,"000")&amp;IF(N($F54)&gt;0,"."&amp;TEXT($F54,"00"),""))</f>
        <v/>
      </c>
      <c r="D54" s="43"/>
      <c r="E54" s="44"/>
      <c r="F54" s="44"/>
      <c r="G54" s="43"/>
      <c r="H54" s="43"/>
      <c r="I54" s="43"/>
      <c r="J54" s="43"/>
      <c r="K54" s="43"/>
      <c r="L54" s="36" t="str">
        <f aca="false">IF($K54="","",IFERROR(INDEX(Reference!$D$53:$D$67,MATCH($K54,Reference!$B$53:$B$67,0)),""))</f>
        <v/>
      </c>
      <c r="M54" s="43"/>
      <c r="N54" s="45"/>
      <c r="O54" s="45"/>
      <c r="P54" s="43"/>
      <c r="Q54" s="44"/>
      <c r="R54" s="38" t="str">
        <f aca="false">IF($O54="","",$O54+IF(N($F54)&gt;0,Setup!$D$21,IF($Q54="Sequential",Setup!$D$20,Setup!$D$19)))</f>
        <v/>
      </c>
      <c r="S54" s="45"/>
      <c r="T54" s="44"/>
      <c r="U54" s="39" t="str">
        <f aca="true">IF($O54="","",IF($S54&lt;&gt;"",$S54-$O54,TODAY()-$O54))</f>
        <v/>
      </c>
      <c r="V54" s="36" t="str">
        <f aca="true">IF($J54="","",IF($AD54="Yes","Void",IF(COUNTIFS($D$9:$D$208,$D54,$E$9:$E$208,$E54,$F$9:$F$208,"&gt;"&amp;N($F54))&gt;0,"Superseded",IF($N54="","Not submitted",IF($S54="",IF(AND($R54&lt;&gt;"",$R54&lt;TODAY()),"Overdue with reviewer","In review"),IF(COUNTIF(Reference!$B$70:$B$80,$T54)&gt;0,"Closed","Resubmittal required"))))))</f>
        <v/>
      </c>
      <c r="W54" s="36" t="str">
        <f aca="false">IF($J54="","",IF(OR($V54="Closed",$V54="Superseded",$V54="Void"),"Closed",IF(OR($V54="Not submitted",$V54="Resubmittal required"),"Contractor","Reviewer")))</f>
        <v/>
      </c>
      <c r="X54" s="44"/>
      <c r="Y54" s="45"/>
      <c r="Z54" s="38" t="str">
        <f aca="false">IF(OR($J54="",$Y54="",$X54="",$V54="Void",$V54="Superseded"),"",$Y54-N($X54)*7-IF($Q54="Sequential",Setup!$D$20,Setup!$D$19)-Setup!$D$22)</f>
        <v/>
      </c>
      <c r="AA54" s="39" t="str">
        <f aca="true">IF($Z54="","",IF($N54&lt;&gt;"",$Z54-$N54,$Z54-TODAY()))</f>
        <v/>
      </c>
      <c r="AB54" s="36" t="str">
        <f aca="false">IF(OR($X54="",$V54="Void",$V54="Superseded"),"",IF(N($X54)&gt;=Setup!$D$23,"Long lead",""))</f>
        <v/>
      </c>
      <c r="AC54" s="46"/>
      <c r="AD54" s="47"/>
      <c r="AE54" s="47"/>
    </row>
    <row r="55" customFormat="false" ht="30" hidden="false" customHeight="true" outlineLevel="0" collapsed="false">
      <c r="A55" s="31"/>
      <c r="B55" s="32" t="str">
        <f aca="false">IF($J55="","",ROW()-8)</f>
        <v/>
      </c>
      <c r="C55" s="33" t="str">
        <f aca="false">IF($J55="","",$D55&amp;"-"&amp;TEXT($E55,"000")&amp;IF(N($F55)&gt;0,"."&amp;TEXT($F55,"00"),""))</f>
        <v/>
      </c>
      <c r="D55" s="34"/>
      <c r="E55" s="35"/>
      <c r="F55" s="35"/>
      <c r="G55" s="34"/>
      <c r="H55" s="34"/>
      <c r="I55" s="34"/>
      <c r="J55" s="34"/>
      <c r="K55" s="34"/>
      <c r="L55" s="36" t="str">
        <f aca="false">IF($K55="","",IFERROR(INDEX(Reference!$D$53:$D$67,MATCH($K55,Reference!$B$53:$B$67,0)),""))</f>
        <v/>
      </c>
      <c r="M55" s="34"/>
      <c r="N55" s="37"/>
      <c r="O55" s="37"/>
      <c r="P55" s="34"/>
      <c r="Q55" s="35"/>
      <c r="R55" s="38" t="str">
        <f aca="false">IF($O55="","",$O55+IF(N($F55)&gt;0,Setup!$D$21,IF($Q55="Sequential",Setup!$D$20,Setup!$D$19)))</f>
        <v/>
      </c>
      <c r="S55" s="37"/>
      <c r="T55" s="35"/>
      <c r="U55" s="39" t="str">
        <f aca="true">IF($O55="","",IF($S55&lt;&gt;"",$S55-$O55,TODAY()-$O55))</f>
        <v/>
      </c>
      <c r="V55" s="36" t="str">
        <f aca="true">IF($J55="","",IF($AD55="Yes","Void",IF(COUNTIFS($D$9:$D$208,$D55,$E$9:$E$208,$E55,$F$9:$F$208,"&gt;"&amp;N($F55))&gt;0,"Superseded",IF($N55="","Not submitted",IF($S55="",IF(AND($R55&lt;&gt;"",$R55&lt;TODAY()),"Overdue with reviewer","In review"),IF(COUNTIF(Reference!$B$70:$B$80,$T55)&gt;0,"Closed","Resubmittal required"))))))</f>
        <v/>
      </c>
      <c r="W55" s="36" t="str">
        <f aca="false">IF($J55="","",IF(OR($V55="Closed",$V55="Superseded",$V55="Void"),"Closed",IF(OR($V55="Not submitted",$V55="Resubmittal required"),"Contractor","Reviewer")))</f>
        <v/>
      </c>
      <c r="X55" s="35"/>
      <c r="Y55" s="37"/>
      <c r="Z55" s="38" t="str">
        <f aca="false">IF(OR($J55="",$Y55="",$X55="",$V55="Void",$V55="Superseded"),"",$Y55-N($X55)*7-IF($Q55="Sequential",Setup!$D$20,Setup!$D$19)-Setup!$D$22)</f>
        <v/>
      </c>
      <c r="AA55" s="39" t="str">
        <f aca="true">IF($Z55="","",IF($N55&lt;&gt;"",$Z55-$N55,$Z55-TODAY()))</f>
        <v/>
      </c>
      <c r="AB55" s="36" t="str">
        <f aca="false">IF(OR($X55="",$V55="Void",$V55="Superseded"),"",IF(N($X55)&gt;=Setup!$D$23,"Long lead",""))</f>
        <v/>
      </c>
      <c r="AC55" s="40"/>
      <c r="AD55" s="41"/>
      <c r="AE55" s="41"/>
    </row>
    <row r="56" customFormat="false" ht="30" hidden="false" customHeight="true" outlineLevel="0" collapsed="false">
      <c r="A56" s="31"/>
      <c r="B56" s="32" t="str">
        <f aca="false">IF($J56="","",ROW()-8)</f>
        <v/>
      </c>
      <c r="C56" s="33" t="str">
        <f aca="false">IF($J56="","",$D56&amp;"-"&amp;TEXT($E56,"000")&amp;IF(N($F56)&gt;0,"."&amp;TEXT($F56,"00"),""))</f>
        <v/>
      </c>
      <c r="D56" s="43"/>
      <c r="E56" s="44"/>
      <c r="F56" s="44"/>
      <c r="G56" s="43"/>
      <c r="H56" s="43"/>
      <c r="I56" s="43"/>
      <c r="J56" s="43"/>
      <c r="K56" s="43"/>
      <c r="L56" s="36" t="str">
        <f aca="false">IF($K56="","",IFERROR(INDEX(Reference!$D$53:$D$67,MATCH($K56,Reference!$B$53:$B$67,0)),""))</f>
        <v/>
      </c>
      <c r="M56" s="43"/>
      <c r="N56" s="45"/>
      <c r="O56" s="45"/>
      <c r="P56" s="43"/>
      <c r="Q56" s="44"/>
      <c r="R56" s="38" t="str">
        <f aca="false">IF($O56="","",$O56+IF(N($F56)&gt;0,Setup!$D$21,IF($Q56="Sequential",Setup!$D$20,Setup!$D$19)))</f>
        <v/>
      </c>
      <c r="S56" s="45"/>
      <c r="T56" s="44"/>
      <c r="U56" s="39" t="str">
        <f aca="true">IF($O56="","",IF($S56&lt;&gt;"",$S56-$O56,TODAY()-$O56))</f>
        <v/>
      </c>
      <c r="V56" s="36" t="str">
        <f aca="true">IF($J56="","",IF($AD56="Yes","Void",IF(COUNTIFS($D$9:$D$208,$D56,$E$9:$E$208,$E56,$F$9:$F$208,"&gt;"&amp;N($F56))&gt;0,"Superseded",IF($N56="","Not submitted",IF($S56="",IF(AND($R56&lt;&gt;"",$R56&lt;TODAY()),"Overdue with reviewer","In review"),IF(COUNTIF(Reference!$B$70:$B$80,$T56)&gt;0,"Closed","Resubmittal required"))))))</f>
        <v/>
      </c>
      <c r="W56" s="36" t="str">
        <f aca="false">IF($J56="","",IF(OR($V56="Closed",$V56="Superseded",$V56="Void"),"Closed",IF(OR($V56="Not submitted",$V56="Resubmittal required"),"Contractor","Reviewer")))</f>
        <v/>
      </c>
      <c r="X56" s="44"/>
      <c r="Y56" s="45"/>
      <c r="Z56" s="38" t="str">
        <f aca="false">IF(OR($J56="",$Y56="",$X56="",$V56="Void",$V56="Superseded"),"",$Y56-N($X56)*7-IF($Q56="Sequential",Setup!$D$20,Setup!$D$19)-Setup!$D$22)</f>
        <v/>
      </c>
      <c r="AA56" s="39" t="str">
        <f aca="true">IF($Z56="","",IF($N56&lt;&gt;"",$Z56-$N56,$Z56-TODAY()))</f>
        <v/>
      </c>
      <c r="AB56" s="36" t="str">
        <f aca="false">IF(OR($X56="",$V56="Void",$V56="Superseded"),"",IF(N($X56)&gt;=Setup!$D$23,"Long lead",""))</f>
        <v/>
      </c>
      <c r="AC56" s="46"/>
      <c r="AD56" s="47"/>
      <c r="AE56" s="47"/>
    </row>
    <row r="57" customFormat="false" ht="30" hidden="false" customHeight="true" outlineLevel="0" collapsed="false">
      <c r="A57" s="31"/>
      <c r="B57" s="32" t="str">
        <f aca="false">IF($J57="","",ROW()-8)</f>
        <v/>
      </c>
      <c r="C57" s="33" t="str">
        <f aca="false">IF($J57="","",$D57&amp;"-"&amp;TEXT($E57,"000")&amp;IF(N($F57)&gt;0,"."&amp;TEXT($F57,"00"),""))</f>
        <v/>
      </c>
      <c r="D57" s="34"/>
      <c r="E57" s="35"/>
      <c r="F57" s="35"/>
      <c r="G57" s="34"/>
      <c r="H57" s="34"/>
      <c r="I57" s="34"/>
      <c r="J57" s="34"/>
      <c r="K57" s="34"/>
      <c r="L57" s="36" t="str">
        <f aca="false">IF($K57="","",IFERROR(INDEX(Reference!$D$53:$D$67,MATCH($K57,Reference!$B$53:$B$67,0)),""))</f>
        <v/>
      </c>
      <c r="M57" s="34"/>
      <c r="N57" s="37"/>
      <c r="O57" s="37"/>
      <c r="P57" s="34"/>
      <c r="Q57" s="35"/>
      <c r="R57" s="38" t="str">
        <f aca="false">IF($O57="","",$O57+IF(N($F57)&gt;0,Setup!$D$21,IF($Q57="Sequential",Setup!$D$20,Setup!$D$19)))</f>
        <v/>
      </c>
      <c r="S57" s="37"/>
      <c r="T57" s="35"/>
      <c r="U57" s="39" t="str">
        <f aca="true">IF($O57="","",IF($S57&lt;&gt;"",$S57-$O57,TODAY()-$O57))</f>
        <v/>
      </c>
      <c r="V57" s="36" t="str">
        <f aca="true">IF($J57="","",IF($AD57="Yes","Void",IF(COUNTIFS($D$9:$D$208,$D57,$E$9:$E$208,$E57,$F$9:$F$208,"&gt;"&amp;N($F57))&gt;0,"Superseded",IF($N57="","Not submitted",IF($S57="",IF(AND($R57&lt;&gt;"",$R57&lt;TODAY()),"Overdue with reviewer","In review"),IF(COUNTIF(Reference!$B$70:$B$80,$T57)&gt;0,"Closed","Resubmittal required"))))))</f>
        <v/>
      </c>
      <c r="W57" s="36" t="str">
        <f aca="false">IF($J57="","",IF(OR($V57="Closed",$V57="Superseded",$V57="Void"),"Closed",IF(OR($V57="Not submitted",$V57="Resubmittal required"),"Contractor","Reviewer")))</f>
        <v/>
      </c>
      <c r="X57" s="35"/>
      <c r="Y57" s="37"/>
      <c r="Z57" s="38" t="str">
        <f aca="false">IF(OR($J57="",$Y57="",$X57="",$V57="Void",$V57="Superseded"),"",$Y57-N($X57)*7-IF($Q57="Sequential",Setup!$D$20,Setup!$D$19)-Setup!$D$22)</f>
        <v/>
      </c>
      <c r="AA57" s="39" t="str">
        <f aca="true">IF($Z57="","",IF($N57&lt;&gt;"",$Z57-$N57,$Z57-TODAY()))</f>
        <v/>
      </c>
      <c r="AB57" s="36" t="str">
        <f aca="false">IF(OR($X57="",$V57="Void",$V57="Superseded"),"",IF(N($X57)&gt;=Setup!$D$23,"Long lead",""))</f>
        <v/>
      </c>
      <c r="AC57" s="40"/>
      <c r="AD57" s="41"/>
      <c r="AE57" s="41"/>
    </row>
    <row r="58" customFormat="false" ht="30" hidden="false" customHeight="true" outlineLevel="0" collapsed="false">
      <c r="A58" s="31"/>
      <c r="B58" s="32" t="str">
        <f aca="false">IF($J58="","",ROW()-8)</f>
        <v/>
      </c>
      <c r="C58" s="33" t="str">
        <f aca="false">IF($J58="","",$D58&amp;"-"&amp;TEXT($E58,"000")&amp;IF(N($F58)&gt;0,"."&amp;TEXT($F58,"00"),""))</f>
        <v/>
      </c>
      <c r="D58" s="43"/>
      <c r="E58" s="44"/>
      <c r="F58" s="44"/>
      <c r="G58" s="43"/>
      <c r="H58" s="43"/>
      <c r="I58" s="43"/>
      <c r="J58" s="43"/>
      <c r="K58" s="43"/>
      <c r="L58" s="36" t="str">
        <f aca="false">IF($K58="","",IFERROR(INDEX(Reference!$D$53:$D$67,MATCH($K58,Reference!$B$53:$B$67,0)),""))</f>
        <v/>
      </c>
      <c r="M58" s="43"/>
      <c r="N58" s="45"/>
      <c r="O58" s="45"/>
      <c r="P58" s="43"/>
      <c r="Q58" s="44"/>
      <c r="R58" s="38" t="str">
        <f aca="false">IF($O58="","",$O58+IF(N($F58)&gt;0,Setup!$D$21,IF($Q58="Sequential",Setup!$D$20,Setup!$D$19)))</f>
        <v/>
      </c>
      <c r="S58" s="45"/>
      <c r="T58" s="44"/>
      <c r="U58" s="39" t="str">
        <f aca="true">IF($O58="","",IF($S58&lt;&gt;"",$S58-$O58,TODAY()-$O58))</f>
        <v/>
      </c>
      <c r="V58" s="36" t="str">
        <f aca="true">IF($J58="","",IF($AD58="Yes","Void",IF(COUNTIFS($D$9:$D$208,$D58,$E$9:$E$208,$E58,$F$9:$F$208,"&gt;"&amp;N($F58))&gt;0,"Superseded",IF($N58="","Not submitted",IF($S58="",IF(AND($R58&lt;&gt;"",$R58&lt;TODAY()),"Overdue with reviewer","In review"),IF(COUNTIF(Reference!$B$70:$B$80,$T58)&gt;0,"Closed","Resubmittal required"))))))</f>
        <v/>
      </c>
      <c r="W58" s="36" t="str">
        <f aca="false">IF($J58="","",IF(OR($V58="Closed",$V58="Superseded",$V58="Void"),"Closed",IF(OR($V58="Not submitted",$V58="Resubmittal required"),"Contractor","Reviewer")))</f>
        <v/>
      </c>
      <c r="X58" s="44"/>
      <c r="Y58" s="45"/>
      <c r="Z58" s="38" t="str">
        <f aca="false">IF(OR($J58="",$Y58="",$X58="",$V58="Void",$V58="Superseded"),"",$Y58-N($X58)*7-IF($Q58="Sequential",Setup!$D$20,Setup!$D$19)-Setup!$D$22)</f>
        <v/>
      </c>
      <c r="AA58" s="39" t="str">
        <f aca="true">IF($Z58="","",IF($N58&lt;&gt;"",$Z58-$N58,$Z58-TODAY()))</f>
        <v/>
      </c>
      <c r="AB58" s="36" t="str">
        <f aca="false">IF(OR($X58="",$V58="Void",$V58="Superseded"),"",IF(N($X58)&gt;=Setup!$D$23,"Long lead",""))</f>
        <v/>
      </c>
      <c r="AC58" s="46"/>
      <c r="AD58" s="47"/>
      <c r="AE58" s="47"/>
    </row>
    <row r="59" customFormat="false" ht="30" hidden="false" customHeight="true" outlineLevel="0" collapsed="false">
      <c r="A59" s="31"/>
      <c r="B59" s="32" t="str">
        <f aca="false">IF($J59="","",ROW()-8)</f>
        <v/>
      </c>
      <c r="C59" s="33" t="str">
        <f aca="false">IF($J59="","",$D59&amp;"-"&amp;TEXT($E59,"000")&amp;IF(N($F59)&gt;0,"."&amp;TEXT($F59,"00"),""))</f>
        <v/>
      </c>
      <c r="D59" s="34"/>
      <c r="E59" s="35"/>
      <c r="F59" s="35"/>
      <c r="G59" s="34"/>
      <c r="H59" s="34"/>
      <c r="I59" s="34"/>
      <c r="J59" s="34"/>
      <c r="K59" s="34"/>
      <c r="L59" s="36" t="str">
        <f aca="false">IF($K59="","",IFERROR(INDEX(Reference!$D$53:$D$67,MATCH($K59,Reference!$B$53:$B$67,0)),""))</f>
        <v/>
      </c>
      <c r="M59" s="34"/>
      <c r="N59" s="37"/>
      <c r="O59" s="37"/>
      <c r="P59" s="34"/>
      <c r="Q59" s="35"/>
      <c r="R59" s="38" t="str">
        <f aca="false">IF($O59="","",$O59+IF(N($F59)&gt;0,Setup!$D$21,IF($Q59="Sequential",Setup!$D$20,Setup!$D$19)))</f>
        <v/>
      </c>
      <c r="S59" s="37"/>
      <c r="T59" s="35"/>
      <c r="U59" s="39" t="str">
        <f aca="true">IF($O59="","",IF($S59&lt;&gt;"",$S59-$O59,TODAY()-$O59))</f>
        <v/>
      </c>
      <c r="V59" s="36" t="str">
        <f aca="true">IF($J59="","",IF($AD59="Yes","Void",IF(COUNTIFS($D$9:$D$208,$D59,$E$9:$E$208,$E59,$F$9:$F$208,"&gt;"&amp;N($F59))&gt;0,"Superseded",IF($N59="","Not submitted",IF($S59="",IF(AND($R59&lt;&gt;"",$R59&lt;TODAY()),"Overdue with reviewer","In review"),IF(COUNTIF(Reference!$B$70:$B$80,$T59)&gt;0,"Closed","Resubmittal required"))))))</f>
        <v/>
      </c>
      <c r="W59" s="36" t="str">
        <f aca="false">IF($J59="","",IF(OR($V59="Closed",$V59="Superseded",$V59="Void"),"Closed",IF(OR($V59="Not submitted",$V59="Resubmittal required"),"Contractor","Reviewer")))</f>
        <v/>
      </c>
      <c r="X59" s="35"/>
      <c r="Y59" s="37"/>
      <c r="Z59" s="38" t="str">
        <f aca="false">IF(OR($J59="",$Y59="",$X59="",$V59="Void",$V59="Superseded"),"",$Y59-N($X59)*7-IF($Q59="Sequential",Setup!$D$20,Setup!$D$19)-Setup!$D$22)</f>
        <v/>
      </c>
      <c r="AA59" s="39" t="str">
        <f aca="true">IF($Z59="","",IF($N59&lt;&gt;"",$Z59-$N59,$Z59-TODAY()))</f>
        <v/>
      </c>
      <c r="AB59" s="36" t="str">
        <f aca="false">IF(OR($X59="",$V59="Void",$V59="Superseded"),"",IF(N($X59)&gt;=Setup!$D$23,"Long lead",""))</f>
        <v/>
      </c>
      <c r="AC59" s="40"/>
      <c r="AD59" s="41"/>
      <c r="AE59" s="41"/>
    </row>
    <row r="60" customFormat="false" ht="30" hidden="false" customHeight="true" outlineLevel="0" collapsed="false">
      <c r="A60" s="31"/>
      <c r="B60" s="32" t="str">
        <f aca="false">IF($J60="","",ROW()-8)</f>
        <v/>
      </c>
      <c r="C60" s="33" t="str">
        <f aca="false">IF($J60="","",$D60&amp;"-"&amp;TEXT($E60,"000")&amp;IF(N($F60)&gt;0,"."&amp;TEXT($F60,"00"),""))</f>
        <v/>
      </c>
      <c r="D60" s="43"/>
      <c r="E60" s="44"/>
      <c r="F60" s="44"/>
      <c r="G60" s="43"/>
      <c r="H60" s="43"/>
      <c r="I60" s="43"/>
      <c r="J60" s="43"/>
      <c r="K60" s="43"/>
      <c r="L60" s="36" t="str">
        <f aca="false">IF($K60="","",IFERROR(INDEX(Reference!$D$53:$D$67,MATCH($K60,Reference!$B$53:$B$67,0)),""))</f>
        <v/>
      </c>
      <c r="M60" s="43"/>
      <c r="N60" s="45"/>
      <c r="O60" s="45"/>
      <c r="P60" s="43"/>
      <c r="Q60" s="44"/>
      <c r="R60" s="38" t="str">
        <f aca="false">IF($O60="","",$O60+IF(N($F60)&gt;0,Setup!$D$21,IF($Q60="Sequential",Setup!$D$20,Setup!$D$19)))</f>
        <v/>
      </c>
      <c r="S60" s="45"/>
      <c r="T60" s="44"/>
      <c r="U60" s="39" t="str">
        <f aca="true">IF($O60="","",IF($S60&lt;&gt;"",$S60-$O60,TODAY()-$O60))</f>
        <v/>
      </c>
      <c r="V60" s="36" t="str">
        <f aca="true">IF($J60="","",IF($AD60="Yes","Void",IF(COUNTIFS($D$9:$D$208,$D60,$E$9:$E$208,$E60,$F$9:$F$208,"&gt;"&amp;N($F60))&gt;0,"Superseded",IF($N60="","Not submitted",IF($S60="",IF(AND($R60&lt;&gt;"",$R60&lt;TODAY()),"Overdue with reviewer","In review"),IF(COUNTIF(Reference!$B$70:$B$80,$T60)&gt;0,"Closed","Resubmittal required"))))))</f>
        <v/>
      </c>
      <c r="W60" s="36" t="str">
        <f aca="false">IF($J60="","",IF(OR($V60="Closed",$V60="Superseded",$V60="Void"),"Closed",IF(OR($V60="Not submitted",$V60="Resubmittal required"),"Contractor","Reviewer")))</f>
        <v/>
      </c>
      <c r="X60" s="44"/>
      <c r="Y60" s="45"/>
      <c r="Z60" s="38" t="str">
        <f aca="false">IF(OR($J60="",$Y60="",$X60="",$V60="Void",$V60="Superseded"),"",$Y60-N($X60)*7-IF($Q60="Sequential",Setup!$D$20,Setup!$D$19)-Setup!$D$22)</f>
        <v/>
      </c>
      <c r="AA60" s="39" t="str">
        <f aca="true">IF($Z60="","",IF($N60&lt;&gt;"",$Z60-$N60,$Z60-TODAY()))</f>
        <v/>
      </c>
      <c r="AB60" s="36" t="str">
        <f aca="false">IF(OR($X60="",$V60="Void",$V60="Superseded"),"",IF(N($X60)&gt;=Setup!$D$23,"Long lead",""))</f>
        <v/>
      </c>
      <c r="AC60" s="46"/>
      <c r="AD60" s="47"/>
      <c r="AE60" s="47"/>
    </row>
    <row r="61" customFormat="false" ht="30" hidden="false" customHeight="true" outlineLevel="0" collapsed="false">
      <c r="A61" s="31"/>
      <c r="B61" s="32" t="str">
        <f aca="false">IF($J61="","",ROW()-8)</f>
        <v/>
      </c>
      <c r="C61" s="33" t="str">
        <f aca="false">IF($J61="","",$D61&amp;"-"&amp;TEXT($E61,"000")&amp;IF(N($F61)&gt;0,"."&amp;TEXT($F61,"00"),""))</f>
        <v/>
      </c>
      <c r="D61" s="34"/>
      <c r="E61" s="35"/>
      <c r="F61" s="35"/>
      <c r="G61" s="34"/>
      <c r="H61" s="34"/>
      <c r="I61" s="34"/>
      <c r="J61" s="34"/>
      <c r="K61" s="34"/>
      <c r="L61" s="36" t="str">
        <f aca="false">IF($K61="","",IFERROR(INDEX(Reference!$D$53:$D$67,MATCH($K61,Reference!$B$53:$B$67,0)),""))</f>
        <v/>
      </c>
      <c r="M61" s="34"/>
      <c r="N61" s="37"/>
      <c r="O61" s="37"/>
      <c r="P61" s="34"/>
      <c r="Q61" s="35"/>
      <c r="R61" s="38" t="str">
        <f aca="false">IF($O61="","",$O61+IF(N($F61)&gt;0,Setup!$D$21,IF($Q61="Sequential",Setup!$D$20,Setup!$D$19)))</f>
        <v/>
      </c>
      <c r="S61" s="37"/>
      <c r="T61" s="35"/>
      <c r="U61" s="39" t="str">
        <f aca="true">IF($O61="","",IF($S61&lt;&gt;"",$S61-$O61,TODAY()-$O61))</f>
        <v/>
      </c>
      <c r="V61" s="36" t="str">
        <f aca="true">IF($J61="","",IF($AD61="Yes","Void",IF(COUNTIFS($D$9:$D$208,$D61,$E$9:$E$208,$E61,$F$9:$F$208,"&gt;"&amp;N($F61))&gt;0,"Superseded",IF($N61="","Not submitted",IF($S61="",IF(AND($R61&lt;&gt;"",$R61&lt;TODAY()),"Overdue with reviewer","In review"),IF(COUNTIF(Reference!$B$70:$B$80,$T61)&gt;0,"Closed","Resubmittal required"))))))</f>
        <v/>
      </c>
      <c r="W61" s="36" t="str">
        <f aca="false">IF($J61="","",IF(OR($V61="Closed",$V61="Superseded",$V61="Void"),"Closed",IF(OR($V61="Not submitted",$V61="Resubmittal required"),"Contractor","Reviewer")))</f>
        <v/>
      </c>
      <c r="X61" s="35"/>
      <c r="Y61" s="37"/>
      <c r="Z61" s="38" t="str">
        <f aca="false">IF(OR($J61="",$Y61="",$X61="",$V61="Void",$V61="Superseded"),"",$Y61-N($X61)*7-IF($Q61="Sequential",Setup!$D$20,Setup!$D$19)-Setup!$D$22)</f>
        <v/>
      </c>
      <c r="AA61" s="39" t="str">
        <f aca="true">IF($Z61="","",IF($N61&lt;&gt;"",$Z61-$N61,$Z61-TODAY()))</f>
        <v/>
      </c>
      <c r="AB61" s="36" t="str">
        <f aca="false">IF(OR($X61="",$V61="Void",$V61="Superseded"),"",IF(N($X61)&gt;=Setup!$D$23,"Long lead",""))</f>
        <v/>
      </c>
      <c r="AC61" s="40"/>
      <c r="AD61" s="41"/>
      <c r="AE61" s="41"/>
    </row>
    <row r="62" customFormat="false" ht="30" hidden="false" customHeight="true" outlineLevel="0" collapsed="false">
      <c r="A62" s="31"/>
      <c r="B62" s="32" t="str">
        <f aca="false">IF($J62="","",ROW()-8)</f>
        <v/>
      </c>
      <c r="C62" s="33" t="str">
        <f aca="false">IF($J62="","",$D62&amp;"-"&amp;TEXT($E62,"000")&amp;IF(N($F62)&gt;0,"."&amp;TEXT($F62,"00"),""))</f>
        <v/>
      </c>
      <c r="D62" s="43"/>
      <c r="E62" s="44"/>
      <c r="F62" s="44"/>
      <c r="G62" s="43"/>
      <c r="H62" s="43"/>
      <c r="I62" s="43"/>
      <c r="J62" s="43"/>
      <c r="K62" s="43"/>
      <c r="L62" s="36" t="str">
        <f aca="false">IF($K62="","",IFERROR(INDEX(Reference!$D$53:$D$67,MATCH($K62,Reference!$B$53:$B$67,0)),""))</f>
        <v/>
      </c>
      <c r="M62" s="43"/>
      <c r="N62" s="45"/>
      <c r="O62" s="45"/>
      <c r="P62" s="43"/>
      <c r="Q62" s="44"/>
      <c r="R62" s="38" t="str">
        <f aca="false">IF($O62="","",$O62+IF(N($F62)&gt;0,Setup!$D$21,IF($Q62="Sequential",Setup!$D$20,Setup!$D$19)))</f>
        <v/>
      </c>
      <c r="S62" s="45"/>
      <c r="T62" s="44"/>
      <c r="U62" s="39" t="str">
        <f aca="true">IF($O62="","",IF($S62&lt;&gt;"",$S62-$O62,TODAY()-$O62))</f>
        <v/>
      </c>
      <c r="V62" s="36" t="str">
        <f aca="true">IF($J62="","",IF($AD62="Yes","Void",IF(COUNTIFS($D$9:$D$208,$D62,$E$9:$E$208,$E62,$F$9:$F$208,"&gt;"&amp;N($F62))&gt;0,"Superseded",IF($N62="","Not submitted",IF($S62="",IF(AND($R62&lt;&gt;"",$R62&lt;TODAY()),"Overdue with reviewer","In review"),IF(COUNTIF(Reference!$B$70:$B$80,$T62)&gt;0,"Closed","Resubmittal required"))))))</f>
        <v/>
      </c>
      <c r="W62" s="36" t="str">
        <f aca="false">IF($J62="","",IF(OR($V62="Closed",$V62="Superseded",$V62="Void"),"Closed",IF(OR($V62="Not submitted",$V62="Resubmittal required"),"Contractor","Reviewer")))</f>
        <v/>
      </c>
      <c r="X62" s="44"/>
      <c r="Y62" s="45"/>
      <c r="Z62" s="38" t="str">
        <f aca="false">IF(OR($J62="",$Y62="",$X62="",$V62="Void",$V62="Superseded"),"",$Y62-N($X62)*7-IF($Q62="Sequential",Setup!$D$20,Setup!$D$19)-Setup!$D$22)</f>
        <v/>
      </c>
      <c r="AA62" s="39" t="str">
        <f aca="true">IF($Z62="","",IF($N62&lt;&gt;"",$Z62-$N62,$Z62-TODAY()))</f>
        <v/>
      </c>
      <c r="AB62" s="36" t="str">
        <f aca="false">IF(OR($X62="",$V62="Void",$V62="Superseded"),"",IF(N($X62)&gt;=Setup!$D$23,"Long lead",""))</f>
        <v/>
      </c>
      <c r="AC62" s="46"/>
      <c r="AD62" s="47"/>
      <c r="AE62" s="47"/>
    </row>
    <row r="63" customFormat="false" ht="30" hidden="false" customHeight="true" outlineLevel="0" collapsed="false">
      <c r="A63" s="31"/>
      <c r="B63" s="32" t="str">
        <f aca="false">IF($J63="","",ROW()-8)</f>
        <v/>
      </c>
      <c r="C63" s="33" t="str">
        <f aca="false">IF($J63="","",$D63&amp;"-"&amp;TEXT($E63,"000")&amp;IF(N($F63)&gt;0,"."&amp;TEXT($F63,"00"),""))</f>
        <v/>
      </c>
      <c r="D63" s="34"/>
      <c r="E63" s="35"/>
      <c r="F63" s="35"/>
      <c r="G63" s="34"/>
      <c r="H63" s="34"/>
      <c r="I63" s="34"/>
      <c r="J63" s="34"/>
      <c r="K63" s="34"/>
      <c r="L63" s="36" t="str">
        <f aca="false">IF($K63="","",IFERROR(INDEX(Reference!$D$53:$D$67,MATCH($K63,Reference!$B$53:$B$67,0)),""))</f>
        <v/>
      </c>
      <c r="M63" s="34"/>
      <c r="N63" s="37"/>
      <c r="O63" s="37"/>
      <c r="P63" s="34"/>
      <c r="Q63" s="35"/>
      <c r="R63" s="38" t="str">
        <f aca="false">IF($O63="","",$O63+IF(N($F63)&gt;0,Setup!$D$21,IF($Q63="Sequential",Setup!$D$20,Setup!$D$19)))</f>
        <v/>
      </c>
      <c r="S63" s="37"/>
      <c r="T63" s="35"/>
      <c r="U63" s="39" t="str">
        <f aca="true">IF($O63="","",IF($S63&lt;&gt;"",$S63-$O63,TODAY()-$O63))</f>
        <v/>
      </c>
      <c r="V63" s="36" t="str">
        <f aca="true">IF($J63="","",IF($AD63="Yes","Void",IF(COUNTIFS($D$9:$D$208,$D63,$E$9:$E$208,$E63,$F$9:$F$208,"&gt;"&amp;N($F63))&gt;0,"Superseded",IF($N63="","Not submitted",IF($S63="",IF(AND($R63&lt;&gt;"",$R63&lt;TODAY()),"Overdue with reviewer","In review"),IF(COUNTIF(Reference!$B$70:$B$80,$T63)&gt;0,"Closed","Resubmittal required"))))))</f>
        <v/>
      </c>
      <c r="W63" s="36" t="str">
        <f aca="false">IF($J63="","",IF(OR($V63="Closed",$V63="Superseded",$V63="Void"),"Closed",IF(OR($V63="Not submitted",$V63="Resubmittal required"),"Contractor","Reviewer")))</f>
        <v/>
      </c>
      <c r="X63" s="35"/>
      <c r="Y63" s="37"/>
      <c r="Z63" s="38" t="str">
        <f aca="false">IF(OR($J63="",$Y63="",$X63="",$V63="Void",$V63="Superseded"),"",$Y63-N($X63)*7-IF($Q63="Sequential",Setup!$D$20,Setup!$D$19)-Setup!$D$22)</f>
        <v/>
      </c>
      <c r="AA63" s="39" t="str">
        <f aca="true">IF($Z63="","",IF($N63&lt;&gt;"",$Z63-$N63,$Z63-TODAY()))</f>
        <v/>
      </c>
      <c r="AB63" s="36" t="str">
        <f aca="false">IF(OR($X63="",$V63="Void",$V63="Superseded"),"",IF(N($X63)&gt;=Setup!$D$23,"Long lead",""))</f>
        <v/>
      </c>
      <c r="AC63" s="40"/>
      <c r="AD63" s="41"/>
      <c r="AE63" s="41"/>
    </row>
    <row r="64" customFormat="false" ht="30" hidden="false" customHeight="true" outlineLevel="0" collapsed="false">
      <c r="A64" s="31"/>
      <c r="B64" s="32" t="str">
        <f aca="false">IF($J64="","",ROW()-8)</f>
        <v/>
      </c>
      <c r="C64" s="33" t="str">
        <f aca="false">IF($J64="","",$D64&amp;"-"&amp;TEXT($E64,"000")&amp;IF(N($F64)&gt;0,"."&amp;TEXT($F64,"00"),""))</f>
        <v/>
      </c>
      <c r="D64" s="43"/>
      <c r="E64" s="44"/>
      <c r="F64" s="44"/>
      <c r="G64" s="43"/>
      <c r="H64" s="43"/>
      <c r="I64" s="43"/>
      <c r="J64" s="43"/>
      <c r="K64" s="43"/>
      <c r="L64" s="36" t="str">
        <f aca="false">IF($K64="","",IFERROR(INDEX(Reference!$D$53:$D$67,MATCH($K64,Reference!$B$53:$B$67,0)),""))</f>
        <v/>
      </c>
      <c r="M64" s="43"/>
      <c r="N64" s="45"/>
      <c r="O64" s="45"/>
      <c r="P64" s="43"/>
      <c r="Q64" s="44"/>
      <c r="R64" s="38" t="str">
        <f aca="false">IF($O64="","",$O64+IF(N($F64)&gt;0,Setup!$D$21,IF($Q64="Sequential",Setup!$D$20,Setup!$D$19)))</f>
        <v/>
      </c>
      <c r="S64" s="45"/>
      <c r="T64" s="44"/>
      <c r="U64" s="39" t="str">
        <f aca="true">IF($O64="","",IF($S64&lt;&gt;"",$S64-$O64,TODAY()-$O64))</f>
        <v/>
      </c>
      <c r="V64" s="36" t="str">
        <f aca="true">IF($J64="","",IF($AD64="Yes","Void",IF(COUNTIFS($D$9:$D$208,$D64,$E$9:$E$208,$E64,$F$9:$F$208,"&gt;"&amp;N($F64))&gt;0,"Superseded",IF($N64="","Not submitted",IF($S64="",IF(AND($R64&lt;&gt;"",$R64&lt;TODAY()),"Overdue with reviewer","In review"),IF(COUNTIF(Reference!$B$70:$B$80,$T64)&gt;0,"Closed","Resubmittal required"))))))</f>
        <v/>
      </c>
      <c r="W64" s="36" t="str">
        <f aca="false">IF($J64="","",IF(OR($V64="Closed",$V64="Superseded",$V64="Void"),"Closed",IF(OR($V64="Not submitted",$V64="Resubmittal required"),"Contractor","Reviewer")))</f>
        <v/>
      </c>
      <c r="X64" s="44"/>
      <c r="Y64" s="45"/>
      <c r="Z64" s="38" t="str">
        <f aca="false">IF(OR($J64="",$Y64="",$X64="",$V64="Void",$V64="Superseded"),"",$Y64-N($X64)*7-IF($Q64="Sequential",Setup!$D$20,Setup!$D$19)-Setup!$D$22)</f>
        <v/>
      </c>
      <c r="AA64" s="39" t="str">
        <f aca="true">IF($Z64="","",IF($N64&lt;&gt;"",$Z64-$N64,$Z64-TODAY()))</f>
        <v/>
      </c>
      <c r="AB64" s="36" t="str">
        <f aca="false">IF(OR($X64="",$V64="Void",$V64="Superseded"),"",IF(N($X64)&gt;=Setup!$D$23,"Long lead",""))</f>
        <v/>
      </c>
      <c r="AC64" s="46"/>
      <c r="AD64" s="47"/>
      <c r="AE64" s="47"/>
    </row>
    <row r="65" customFormat="false" ht="30" hidden="false" customHeight="true" outlineLevel="0" collapsed="false">
      <c r="A65" s="31"/>
      <c r="B65" s="32" t="str">
        <f aca="false">IF($J65="","",ROW()-8)</f>
        <v/>
      </c>
      <c r="C65" s="33" t="str">
        <f aca="false">IF($J65="","",$D65&amp;"-"&amp;TEXT($E65,"000")&amp;IF(N($F65)&gt;0,"."&amp;TEXT($F65,"00"),""))</f>
        <v/>
      </c>
      <c r="D65" s="34"/>
      <c r="E65" s="35"/>
      <c r="F65" s="35"/>
      <c r="G65" s="34"/>
      <c r="H65" s="34"/>
      <c r="I65" s="34"/>
      <c r="J65" s="34"/>
      <c r="K65" s="34"/>
      <c r="L65" s="36" t="str">
        <f aca="false">IF($K65="","",IFERROR(INDEX(Reference!$D$53:$D$67,MATCH($K65,Reference!$B$53:$B$67,0)),""))</f>
        <v/>
      </c>
      <c r="M65" s="34"/>
      <c r="N65" s="37"/>
      <c r="O65" s="37"/>
      <c r="P65" s="34"/>
      <c r="Q65" s="35"/>
      <c r="R65" s="38" t="str">
        <f aca="false">IF($O65="","",$O65+IF(N($F65)&gt;0,Setup!$D$21,IF($Q65="Sequential",Setup!$D$20,Setup!$D$19)))</f>
        <v/>
      </c>
      <c r="S65" s="37"/>
      <c r="T65" s="35"/>
      <c r="U65" s="39" t="str">
        <f aca="true">IF($O65="","",IF($S65&lt;&gt;"",$S65-$O65,TODAY()-$O65))</f>
        <v/>
      </c>
      <c r="V65" s="36" t="str">
        <f aca="true">IF($J65="","",IF($AD65="Yes","Void",IF(COUNTIFS($D$9:$D$208,$D65,$E$9:$E$208,$E65,$F$9:$F$208,"&gt;"&amp;N($F65))&gt;0,"Superseded",IF($N65="","Not submitted",IF($S65="",IF(AND($R65&lt;&gt;"",$R65&lt;TODAY()),"Overdue with reviewer","In review"),IF(COUNTIF(Reference!$B$70:$B$80,$T65)&gt;0,"Closed","Resubmittal required"))))))</f>
        <v/>
      </c>
      <c r="W65" s="36" t="str">
        <f aca="false">IF($J65="","",IF(OR($V65="Closed",$V65="Superseded",$V65="Void"),"Closed",IF(OR($V65="Not submitted",$V65="Resubmittal required"),"Contractor","Reviewer")))</f>
        <v/>
      </c>
      <c r="X65" s="35"/>
      <c r="Y65" s="37"/>
      <c r="Z65" s="38" t="str">
        <f aca="false">IF(OR($J65="",$Y65="",$X65="",$V65="Void",$V65="Superseded"),"",$Y65-N($X65)*7-IF($Q65="Sequential",Setup!$D$20,Setup!$D$19)-Setup!$D$22)</f>
        <v/>
      </c>
      <c r="AA65" s="39" t="str">
        <f aca="true">IF($Z65="","",IF($N65&lt;&gt;"",$Z65-$N65,$Z65-TODAY()))</f>
        <v/>
      </c>
      <c r="AB65" s="36" t="str">
        <f aca="false">IF(OR($X65="",$V65="Void",$V65="Superseded"),"",IF(N($X65)&gt;=Setup!$D$23,"Long lead",""))</f>
        <v/>
      </c>
      <c r="AC65" s="40"/>
      <c r="AD65" s="41"/>
      <c r="AE65" s="41"/>
    </row>
    <row r="66" customFormat="false" ht="30" hidden="false" customHeight="true" outlineLevel="0" collapsed="false">
      <c r="A66" s="31"/>
      <c r="B66" s="32" t="str">
        <f aca="false">IF($J66="","",ROW()-8)</f>
        <v/>
      </c>
      <c r="C66" s="33" t="str">
        <f aca="false">IF($J66="","",$D66&amp;"-"&amp;TEXT($E66,"000")&amp;IF(N($F66)&gt;0,"."&amp;TEXT($F66,"00"),""))</f>
        <v/>
      </c>
      <c r="D66" s="43"/>
      <c r="E66" s="44"/>
      <c r="F66" s="44"/>
      <c r="G66" s="43"/>
      <c r="H66" s="43"/>
      <c r="I66" s="43"/>
      <c r="J66" s="43"/>
      <c r="K66" s="43"/>
      <c r="L66" s="36" t="str">
        <f aca="false">IF($K66="","",IFERROR(INDEX(Reference!$D$53:$D$67,MATCH($K66,Reference!$B$53:$B$67,0)),""))</f>
        <v/>
      </c>
      <c r="M66" s="43"/>
      <c r="N66" s="45"/>
      <c r="O66" s="45"/>
      <c r="P66" s="43"/>
      <c r="Q66" s="44"/>
      <c r="R66" s="38" t="str">
        <f aca="false">IF($O66="","",$O66+IF(N($F66)&gt;0,Setup!$D$21,IF($Q66="Sequential",Setup!$D$20,Setup!$D$19)))</f>
        <v/>
      </c>
      <c r="S66" s="45"/>
      <c r="T66" s="44"/>
      <c r="U66" s="39" t="str">
        <f aca="true">IF($O66="","",IF($S66&lt;&gt;"",$S66-$O66,TODAY()-$O66))</f>
        <v/>
      </c>
      <c r="V66" s="36" t="str">
        <f aca="true">IF($J66="","",IF($AD66="Yes","Void",IF(COUNTIFS($D$9:$D$208,$D66,$E$9:$E$208,$E66,$F$9:$F$208,"&gt;"&amp;N($F66))&gt;0,"Superseded",IF($N66="","Not submitted",IF($S66="",IF(AND($R66&lt;&gt;"",$R66&lt;TODAY()),"Overdue with reviewer","In review"),IF(COUNTIF(Reference!$B$70:$B$80,$T66)&gt;0,"Closed","Resubmittal required"))))))</f>
        <v/>
      </c>
      <c r="W66" s="36" t="str">
        <f aca="false">IF($J66="","",IF(OR($V66="Closed",$V66="Superseded",$V66="Void"),"Closed",IF(OR($V66="Not submitted",$V66="Resubmittal required"),"Contractor","Reviewer")))</f>
        <v/>
      </c>
      <c r="X66" s="44"/>
      <c r="Y66" s="45"/>
      <c r="Z66" s="38" t="str">
        <f aca="false">IF(OR($J66="",$Y66="",$X66="",$V66="Void",$V66="Superseded"),"",$Y66-N($X66)*7-IF($Q66="Sequential",Setup!$D$20,Setup!$D$19)-Setup!$D$22)</f>
        <v/>
      </c>
      <c r="AA66" s="39" t="str">
        <f aca="true">IF($Z66="","",IF($N66&lt;&gt;"",$Z66-$N66,$Z66-TODAY()))</f>
        <v/>
      </c>
      <c r="AB66" s="36" t="str">
        <f aca="false">IF(OR($X66="",$V66="Void",$V66="Superseded"),"",IF(N($X66)&gt;=Setup!$D$23,"Long lead",""))</f>
        <v/>
      </c>
      <c r="AC66" s="46"/>
      <c r="AD66" s="47"/>
      <c r="AE66" s="47"/>
    </row>
    <row r="67" customFormat="false" ht="30" hidden="false" customHeight="true" outlineLevel="0" collapsed="false">
      <c r="A67" s="31"/>
      <c r="B67" s="32" t="str">
        <f aca="false">IF($J67="","",ROW()-8)</f>
        <v/>
      </c>
      <c r="C67" s="33" t="str">
        <f aca="false">IF($J67="","",$D67&amp;"-"&amp;TEXT($E67,"000")&amp;IF(N($F67)&gt;0,"."&amp;TEXT($F67,"00"),""))</f>
        <v/>
      </c>
      <c r="D67" s="34"/>
      <c r="E67" s="35"/>
      <c r="F67" s="35"/>
      <c r="G67" s="34"/>
      <c r="H67" s="34"/>
      <c r="I67" s="34"/>
      <c r="J67" s="34"/>
      <c r="K67" s="34"/>
      <c r="L67" s="36" t="str">
        <f aca="false">IF($K67="","",IFERROR(INDEX(Reference!$D$53:$D$67,MATCH($K67,Reference!$B$53:$B$67,0)),""))</f>
        <v/>
      </c>
      <c r="M67" s="34"/>
      <c r="N67" s="37"/>
      <c r="O67" s="37"/>
      <c r="P67" s="34"/>
      <c r="Q67" s="35"/>
      <c r="R67" s="38" t="str">
        <f aca="false">IF($O67="","",$O67+IF(N($F67)&gt;0,Setup!$D$21,IF($Q67="Sequential",Setup!$D$20,Setup!$D$19)))</f>
        <v/>
      </c>
      <c r="S67" s="37"/>
      <c r="T67" s="35"/>
      <c r="U67" s="39" t="str">
        <f aca="true">IF($O67="","",IF($S67&lt;&gt;"",$S67-$O67,TODAY()-$O67))</f>
        <v/>
      </c>
      <c r="V67" s="36" t="str">
        <f aca="true">IF($J67="","",IF($AD67="Yes","Void",IF(COUNTIFS($D$9:$D$208,$D67,$E$9:$E$208,$E67,$F$9:$F$208,"&gt;"&amp;N($F67))&gt;0,"Superseded",IF($N67="","Not submitted",IF($S67="",IF(AND($R67&lt;&gt;"",$R67&lt;TODAY()),"Overdue with reviewer","In review"),IF(COUNTIF(Reference!$B$70:$B$80,$T67)&gt;0,"Closed","Resubmittal required"))))))</f>
        <v/>
      </c>
      <c r="W67" s="36" t="str">
        <f aca="false">IF($J67="","",IF(OR($V67="Closed",$V67="Superseded",$V67="Void"),"Closed",IF(OR($V67="Not submitted",$V67="Resubmittal required"),"Contractor","Reviewer")))</f>
        <v/>
      </c>
      <c r="X67" s="35"/>
      <c r="Y67" s="37"/>
      <c r="Z67" s="38" t="str">
        <f aca="false">IF(OR($J67="",$Y67="",$X67="",$V67="Void",$V67="Superseded"),"",$Y67-N($X67)*7-IF($Q67="Sequential",Setup!$D$20,Setup!$D$19)-Setup!$D$22)</f>
        <v/>
      </c>
      <c r="AA67" s="39" t="str">
        <f aca="true">IF($Z67="","",IF($N67&lt;&gt;"",$Z67-$N67,$Z67-TODAY()))</f>
        <v/>
      </c>
      <c r="AB67" s="36" t="str">
        <f aca="false">IF(OR($X67="",$V67="Void",$V67="Superseded"),"",IF(N($X67)&gt;=Setup!$D$23,"Long lead",""))</f>
        <v/>
      </c>
      <c r="AC67" s="40"/>
      <c r="AD67" s="41"/>
      <c r="AE67" s="41"/>
    </row>
    <row r="68" customFormat="false" ht="30" hidden="false" customHeight="true" outlineLevel="0" collapsed="false">
      <c r="A68" s="31"/>
      <c r="B68" s="32" t="str">
        <f aca="false">IF($J68="","",ROW()-8)</f>
        <v/>
      </c>
      <c r="C68" s="33" t="str">
        <f aca="false">IF($J68="","",$D68&amp;"-"&amp;TEXT($E68,"000")&amp;IF(N($F68)&gt;0,"."&amp;TEXT($F68,"00"),""))</f>
        <v/>
      </c>
      <c r="D68" s="43"/>
      <c r="E68" s="44"/>
      <c r="F68" s="44"/>
      <c r="G68" s="43"/>
      <c r="H68" s="43"/>
      <c r="I68" s="43"/>
      <c r="J68" s="43"/>
      <c r="K68" s="43"/>
      <c r="L68" s="36" t="str">
        <f aca="false">IF($K68="","",IFERROR(INDEX(Reference!$D$53:$D$67,MATCH($K68,Reference!$B$53:$B$67,0)),""))</f>
        <v/>
      </c>
      <c r="M68" s="43"/>
      <c r="N68" s="45"/>
      <c r="O68" s="45"/>
      <c r="P68" s="43"/>
      <c r="Q68" s="44"/>
      <c r="R68" s="38" t="str">
        <f aca="false">IF($O68="","",$O68+IF(N($F68)&gt;0,Setup!$D$21,IF($Q68="Sequential",Setup!$D$20,Setup!$D$19)))</f>
        <v/>
      </c>
      <c r="S68" s="45"/>
      <c r="T68" s="44"/>
      <c r="U68" s="39" t="str">
        <f aca="true">IF($O68="","",IF($S68&lt;&gt;"",$S68-$O68,TODAY()-$O68))</f>
        <v/>
      </c>
      <c r="V68" s="36" t="str">
        <f aca="true">IF($J68="","",IF($AD68="Yes","Void",IF(COUNTIFS($D$9:$D$208,$D68,$E$9:$E$208,$E68,$F$9:$F$208,"&gt;"&amp;N($F68))&gt;0,"Superseded",IF($N68="","Not submitted",IF($S68="",IF(AND($R68&lt;&gt;"",$R68&lt;TODAY()),"Overdue with reviewer","In review"),IF(COUNTIF(Reference!$B$70:$B$80,$T68)&gt;0,"Closed","Resubmittal required"))))))</f>
        <v/>
      </c>
      <c r="W68" s="36" t="str">
        <f aca="false">IF($J68="","",IF(OR($V68="Closed",$V68="Superseded",$V68="Void"),"Closed",IF(OR($V68="Not submitted",$V68="Resubmittal required"),"Contractor","Reviewer")))</f>
        <v/>
      </c>
      <c r="X68" s="44"/>
      <c r="Y68" s="45"/>
      <c r="Z68" s="38" t="str">
        <f aca="false">IF(OR($J68="",$Y68="",$X68="",$V68="Void",$V68="Superseded"),"",$Y68-N($X68)*7-IF($Q68="Sequential",Setup!$D$20,Setup!$D$19)-Setup!$D$22)</f>
        <v/>
      </c>
      <c r="AA68" s="39" t="str">
        <f aca="true">IF($Z68="","",IF($N68&lt;&gt;"",$Z68-$N68,$Z68-TODAY()))</f>
        <v/>
      </c>
      <c r="AB68" s="36" t="str">
        <f aca="false">IF(OR($X68="",$V68="Void",$V68="Superseded"),"",IF(N($X68)&gt;=Setup!$D$23,"Long lead",""))</f>
        <v/>
      </c>
      <c r="AC68" s="46"/>
      <c r="AD68" s="47"/>
      <c r="AE68" s="47"/>
    </row>
    <row r="69" customFormat="false" ht="30" hidden="false" customHeight="true" outlineLevel="0" collapsed="false">
      <c r="A69" s="31"/>
      <c r="B69" s="32" t="str">
        <f aca="false">IF($J69="","",ROW()-8)</f>
        <v/>
      </c>
      <c r="C69" s="33" t="str">
        <f aca="false">IF($J69="","",$D69&amp;"-"&amp;TEXT($E69,"000")&amp;IF(N($F69)&gt;0,"."&amp;TEXT($F69,"00"),""))</f>
        <v/>
      </c>
      <c r="D69" s="34"/>
      <c r="E69" s="35"/>
      <c r="F69" s="35"/>
      <c r="G69" s="34"/>
      <c r="H69" s="34"/>
      <c r="I69" s="34"/>
      <c r="J69" s="34"/>
      <c r="K69" s="34"/>
      <c r="L69" s="36" t="str">
        <f aca="false">IF($K69="","",IFERROR(INDEX(Reference!$D$53:$D$67,MATCH($K69,Reference!$B$53:$B$67,0)),""))</f>
        <v/>
      </c>
      <c r="M69" s="34"/>
      <c r="N69" s="37"/>
      <c r="O69" s="37"/>
      <c r="P69" s="34"/>
      <c r="Q69" s="35"/>
      <c r="R69" s="38" t="str">
        <f aca="false">IF($O69="","",$O69+IF(N($F69)&gt;0,Setup!$D$21,IF($Q69="Sequential",Setup!$D$20,Setup!$D$19)))</f>
        <v/>
      </c>
      <c r="S69" s="37"/>
      <c r="T69" s="35"/>
      <c r="U69" s="39" t="str">
        <f aca="true">IF($O69="","",IF($S69&lt;&gt;"",$S69-$O69,TODAY()-$O69))</f>
        <v/>
      </c>
      <c r="V69" s="36" t="str">
        <f aca="true">IF($J69="","",IF($AD69="Yes","Void",IF(COUNTIFS($D$9:$D$208,$D69,$E$9:$E$208,$E69,$F$9:$F$208,"&gt;"&amp;N($F69))&gt;0,"Superseded",IF($N69="","Not submitted",IF($S69="",IF(AND($R69&lt;&gt;"",$R69&lt;TODAY()),"Overdue with reviewer","In review"),IF(COUNTIF(Reference!$B$70:$B$80,$T69)&gt;0,"Closed","Resubmittal required"))))))</f>
        <v/>
      </c>
      <c r="W69" s="36" t="str">
        <f aca="false">IF($J69="","",IF(OR($V69="Closed",$V69="Superseded",$V69="Void"),"Closed",IF(OR($V69="Not submitted",$V69="Resubmittal required"),"Contractor","Reviewer")))</f>
        <v/>
      </c>
      <c r="X69" s="35"/>
      <c r="Y69" s="37"/>
      <c r="Z69" s="38" t="str">
        <f aca="false">IF(OR($J69="",$Y69="",$X69="",$V69="Void",$V69="Superseded"),"",$Y69-N($X69)*7-IF($Q69="Sequential",Setup!$D$20,Setup!$D$19)-Setup!$D$22)</f>
        <v/>
      </c>
      <c r="AA69" s="39" t="str">
        <f aca="true">IF($Z69="","",IF($N69&lt;&gt;"",$Z69-$N69,$Z69-TODAY()))</f>
        <v/>
      </c>
      <c r="AB69" s="36" t="str">
        <f aca="false">IF(OR($X69="",$V69="Void",$V69="Superseded"),"",IF(N($X69)&gt;=Setup!$D$23,"Long lead",""))</f>
        <v/>
      </c>
      <c r="AC69" s="40"/>
      <c r="AD69" s="41"/>
      <c r="AE69" s="41"/>
    </row>
    <row r="70" customFormat="false" ht="30" hidden="false" customHeight="true" outlineLevel="0" collapsed="false">
      <c r="A70" s="31"/>
      <c r="B70" s="32" t="str">
        <f aca="false">IF($J70="","",ROW()-8)</f>
        <v/>
      </c>
      <c r="C70" s="33" t="str">
        <f aca="false">IF($J70="","",$D70&amp;"-"&amp;TEXT($E70,"000")&amp;IF(N($F70)&gt;0,"."&amp;TEXT($F70,"00"),""))</f>
        <v/>
      </c>
      <c r="D70" s="43"/>
      <c r="E70" s="44"/>
      <c r="F70" s="44"/>
      <c r="G70" s="43"/>
      <c r="H70" s="43"/>
      <c r="I70" s="43"/>
      <c r="J70" s="43"/>
      <c r="K70" s="43"/>
      <c r="L70" s="36" t="str">
        <f aca="false">IF($K70="","",IFERROR(INDEX(Reference!$D$53:$D$67,MATCH($K70,Reference!$B$53:$B$67,0)),""))</f>
        <v/>
      </c>
      <c r="M70" s="43"/>
      <c r="N70" s="45"/>
      <c r="O70" s="45"/>
      <c r="P70" s="43"/>
      <c r="Q70" s="44"/>
      <c r="R70" s="38" t="str">
        <f aca="false">IF($O70="","",$O70+IF(N($F70)&gt;0,Setup!$D$21,IF($Q70="Sequential",Setup!$D$20,Setup!$D$19)))</f>
        <v/>
      </c>
      <c r="S70" s="45"/>
      <c r="T70" s="44"/>
      <c r="U70" s="39" t="str">
        <f aca="true">IF($O70="","",IF($S70&lt;&gt;"",$S70-$O70,TODAY()-$O70))</f>
        <v/>
      </c>
      <c r="V70" s="36" t="str">
        <f aca="true">IF($J70="","",IF($AD70="Yes","Void",IF(COUNTIFS($D$9:$D$208,$D70,$E$9:$E$208,$E70,$F$9:$F$208,"&gt;"&amp;N($F70))&gt;0,"Superseded",IF($N70="","Not submitted",IF($S70="",IF(AND($R70&lt;&gt;"",$R70&lt;TODAY()),"Overdue with reviewer","In review"),IF(COUNTIF(Reference!$B$70:$B$80,$T70)&gt;0,"Closed","Resubmittal required"))))))</f>
        <v/>
      </c>
      <c r="W70" s="36" t="str">
        <f aca="false">IF($J70="","",IF(OR($V70="Closed",$V70="Superseded",$V70="Void"),"Closed",IF(OR($V70="Not submitted",$V70="Resubmittal required"),"Contractor","Reviewer")))</f>
        <v/>
      </c>
      <c r="X70" s="44"/>
      <c r="Y70" s="45"/>
      <c r="Z70" s="38" t="str">
        <f aca="false">IF(OR($J70="",$Y70="",$X70="",$V70="Void",$V70="Superseded"),"",$Y70-N($X70)*7-IF($Q70="Sequential",Setup!$D$20,Setup!$D$19)-Setup!$D$22)</f>
        <v/>
      </c>
      <c r="AA70" s="39" t="str">
        <f aca="true">IF($Z70="","",IF($N70&lt;&gt;"",$Z70-$N70,$Z70-TODAY()))</f>
        <v/>
      </c>
      <c r="AB70" s="36" t="str">
        <f aca="false">IF(OR($X70="",$V70="Void",$V70="Superseded"),"",IF(N($X70)&gt;=Setup!$D$23,"Long lead",""))</f>
        <v/>
      </c>
      <c r="AC70" s="46"/>
      <c r="AD70" s="47"/>
      <c r="AE70" s="47"/>
    </row>
    <row r="71" customFormat="false" ht="30" hidden="false" customHeight="true" outlineLevel="0" collapsed="false">
      <c r="A71" s="31"/>
      <c r="B71" s="32" t="str">
        <f aca="false">IF($J71="","",ROW()-8)</f>
        <v/>
      </c>
      <c r="C71" s="33" t="str">
        <f aca="false">IF($J71="","",$D71&amp;"-"&amp;TEXT($E71,"000")&amp;IF(N($F71)&gt;0,"."&amp;TEXT($F71,"00"),""))</f>
        <v/>
      </c>
      <c r="D71" s="34"/>
      <c r="E71" s="35"/>
      <c r="F71" s="35"/>
      <c r="G71" s="34"/>
      <c r="H71" s="34"/>
      <c r="I71" s="34"/>
      <c r="J71" s="34"/>
      <c r="K71" s="34"/>
      <c r="L71" s="36" t="str">
        <f aca="false">IF($K71="","",IFERROR(INDEX(Reference!$D$53:$D$67,MATCH($K71,Reference!$B$53:$B$67,0)),""))</f>
        <v/>
      </c>
      <c r="M71" s="34"/>
      <c r="N71" s="37"/>
      <c r="O71" s="37"/>
      <c r="P71" s="34"/>
      <c r="Q71" s="35"/>
      <c r="R71" s="38" t="str">
        <f aca="false">IF($O71="","",$O71+IF(N($F71)&gt;0,Setup!$D$21,IF($Q71="Sequential",Setup!$D$20,Setup!$D$19)))</f>
        <v/>
      </c>
      <c r="S71" s="37"/>
      <c r="T71" s="35"/>
      <c r="U71" s="39" t="str">
        <f aca="true">IF($O71="","",IF($S71&lt;&gt;"",$S71-$O71,TODAY()-$O71))</f>
        <v/>
      </c>
      <c r="V71" s="36" t="str">
        <f aca="true">IF($J71="","",IF($AD71="Yes","Void",IF(COUNTIFS($D$9:$D$208,$D71,$E$9:$E$208,$E71,$F$9:$F$208,"&gt;"&amp;N($F71))&gt;0,"Superseded",IF($N71="","Not submitted",IF($S71="",IF(AND($R71&lt;&gt;"",$R71&lt;TODAY()),"Overdue with reviewer","In review"),IF(COUNTIF(Reference!$B$70:$B$80,$T71)&gt;0,"Closed","Resubmittal required"))))))</f>
        <v/>
      </c>
      <c r="W71" s="36" t="str">
        <f aca="false">IF($J71="","",IF(OR($V71="Closed",$V71="Superseded",$V71="Void"),"Closed",IF(OR($V71="Not submitted",$V71="Resubmittal required"),"Contractor","Reviewer")))</f>
        <v/>
      </c>
      <c r="X71" s="35"/>
      <c r="Y71" s="37"/>
      <c r="Z71" s="38" t="str">
        <f aca="false">IF(OR($J71="",$Y71="",$X71="",$V71="Void",$V71="Superseded"),"",$Y71-N($X71)*7-IF($Q71="Sequential",Setup!$D$20,Setup!$D$19)-Setup!$D$22)</f>
        <v/>
      </c>
      <c r="AA71" s="39" t="str">
        <f aca="true">IF($Z71="","",IF($N71&lt;&gt;"",$Z71-$N71,$Z71-TODAY()))</f>
        <v/>
      </c>
      <c r="AB71" s="36" t="str">
        <f aca="false">IF(OR($X71="",$V71="Void",$V71="Superseded"),"",IF(N($X71)&gt;=Setup!$D$23,"Long lead",""))</f>
        <v/>
      </c>
      <c r="AC71" s="40"/>
      <c r="AD71" s="41"/>
      <c r="AE71" s="41"/>
    </row>
    <row r="72" customFormat="false" ht="30" hidden="false" customHeight="true" outlineLevel="0" collapsed="false">
      <c r="A72" s="31"/>
      <c r="B72" s="32" t="str">
        <f aca="false">IF($J72="","",ROW()-8)</f>
        <v/>
      </c>
      <c r="C72" s="33" t="str">
        <f aca="false">IF($J72="","",$D72&amp;"-"&amp;TEXT($E72,"000")&amp;IF(N($F72)&gt;0,"."&amp;TEXT($F72,"00"),""))</f>
        <v/>
      </c>
      <c r="D72" s="43"/>
      <c r="E72" s="44"/>
      <c r="F72" s="44"/>
      <c r="G72" s="43"/>
      <c r="H72" s="43"/>
      <c r="I72" s="43"/>
      <c r="J72" s="43"/>
      <c r="K72" s="43"/>
      <c r="L72" s="36" t="str">
        <f aca="false">IF($K72="","",IFERROR(INDEX(Reference!$D$53:$D$67,MATCH($K72,Reference!$B$53:$B$67,0)),""))</f>
        <v/>
      </c>
      <c r="M72" s="43"/>
      <c r="N72" s="45"/>
      <c r="O72" s="45"/>
      <c r="P72" s="43"/>
      <c r="Q72" s="44"/>
      <c r="R72" s="38" t="str">
        <f aca="false">IF($O72="","",$O72+IF(N($F72)&gt;0,Setup!$D$21,IF($Q72="Sequential",Setup!$D$20,Setup!$D$19)))</f>
        <v/>
      </c>
      <c r="S72" s="45"/>
      <c r="T72" s="44"/>
      <c r="U72" s="39" t="str">
        <f aca="true">IF($O72="","",IF($S72&lt;&gt;"",$S72-$O72,TODAY()-$O72))</f>
        <v/>
      </c>
      <c r="V72" s="36" t="str">
        <f aca="true">IF($J72="","",IF($AD72="Yes","Void",IF(COUNTIFS($D$9:$D$208,$D72,$E$9:$E$208,$E72,$F$9:$F$208,"&gt;"&amp;N($F72))&gt;0,"Superseded",IF($N72="","Not submitted",IF($S72="",IF(AND($R72&lt;&gt;"",$R72&lt;TODAY()),"Overdue with reviewer","In review"),IF(COUNTIF(Reference!$B$70:$B$80,$T72)&gt;0,"Closed","Resubmittal required"))))))</f>
        <v/>
      </c>
      <c r="W72" s="36" t="str">
        <f aca="false">IF($J72="","",IF(OR($V72="Closed",$V72="Superseded",$V72="Void"),"Closed",IF(OR($V72="Not submitted",$V72="Resubmittal required"),"Contractor","Reviewer")))</f>
        <v/>
      </c>
      <c r="X72" s="44"/>
      <c r="Y72" s="45"/>
      <c r="Z72" s="38" t="str">
        <f aca="false">IF(OR($J72="",$Y72="",$X72="",$V72="Void",$V72="Superseded"),"",$Y72-N($X72)*7-IF($Q72="Sequential",Setup!$D$20,Setup!$D$19)-Setup!$D$22)</f>
        <v/>
      </c>
      <c r="AA72" s="39" t="str">
        <f aca="true">IF($Z72="","",IF($N72&lt;&gt;"",$Z72-$N72,$Z72-TODAY()))</f>
        <v/>
      </c>
      <c r="AB72" s="36" t="str">
        <f aca="false">IF(OR($X72="",$V72="Void",$V72="Superseded"),"",IF(N($X72)&gt;=Setup!$D$23,"Long lead",""))</f>
        <v/>
      </c>
      <c r="AC72" s="46"/>
      <c r="AD72" s="47"/>
      <c r="AE72" s="47"/>
    </row>
    <row r="73" customFormat="false" ht="30" hidden="false" customHeight="true" outlineLevel="0" collapsed="false">
      <c r="A73" s="31"/>
      <c r="B73" s="32" t="str">
        <f aca="false">IF($J73="","",ROW()-8)</f>
        <v/>
      </c>
      <c r="C73" s="33" t="str">
        <f aca="false">IF($J73="","",$D73&amp;"-"&amp;TEXT($E73,"000")&amp;IF(N($F73)&gt;0,"."&amp;TEXT($F73,"00"),""))</f>
        <v/>
      </c>
      <c r="D73" s="34"/>
      <c r="E73" s="35"/>
      <c r="F73" s="35"/>
      <c r="G73" s="34"/>
      <c r="H73" s="34"/>
      <c r="I73" s="34"/>
      <c r="J73" s="34"/>
      <c r="K73" s="34"/>
      <c r="L73" s="36" t="str">
        <f aca="false">IF($K73="","",IFERROR(INDEX(Reference!$D$53:$D$67,MATCH($K73,Reference!$B$53:$B$67,0)),""))</f>
        <v/>
      </c>
      <c r="M73" s="34"/>
      <c r="N73" s="37"/>
      <c r="O73" s="37"/>
      <c r="P73" s="34"/>
      <c r="Q73" s="35"/>
      <c r="R73" s="38" t="str">
        <f aca="false">IF($O73="","",$O73+IF(N($F73)&gt;0,Setup!$D$21,IF($Q73="Sequential",Setup!$D$20,Setup!$D$19)))</f>
        <v/>
      </c>
      <c r="S73" s="37"/>
      <c r="T73" s="35"/>
      <c r="U73" s="39" t="str">
        <f aca="true">IF($O73="","",IF($S73&lt;&gt;"",$S73-$O73,TODAY()-$O73))</f>
        <v/>
      </c>
      <c r="V73" s="36" t="str">
        <f aca="true">IF($J73="","",IF($AD73="Yes","Void",IF(COUNTIFS($D$9:$D$208,$D73,$E$9:$E$208,$E73,$F$9:$F$208,"&gt;"&amp;N($F73))&gt;0,"Superseded",IF($N73="","Not submitted",IF($S73="",IF(AND($R73&lt;&gt;"",$R73&lt;TODAY()),"Overdue with reviewer","In review"),IF(COUNTIF(Reference!$B$70:$B$80,$T73)&gt;0,"Closed","Resubmittal required"))))))</f>
        <v/>
      </c>
      <c r="W73" s="36" t="str">
        <f aca="false">IF($J73="","",IF(OR($V73="Closed",$V73="Superseded",$V73="Void"),"Closed",IF(OR($V73="Not submitted",$V73="Resubmittal required"),"Contractor","Reviewer")))</f>
        <v/>
      </c>
      <c r="X73" s="35"/>
      <c r="Y73" s="37"/>
      <c r="Z73" s="38" t="str">
        <f aca="false">IF(OR($J73="",$Y73="",$X73="",$V73="Void",$V73="Superseded"),"",$Y73-N($X73)*7-IF($Q73="Sequential",Setup!$D$20,Setup!$D$19)-Setup!$D$22)</f>
        <v/>
      </c>
      <c r="AA73" s="39" t="str">
        <f aca="true">IF($Z73="","",IF($N73&lt;&gt;"",$Z73-$N73,$Z73-TODAY()))</f>
        <v/>
      </c>
      <c r="AB73" s="36" t="str">
        <f aca="false">IF(OR($X73="",$V73="Void",$V73="Superseded"),"",IF(N($X73)&gt;=Setup!$D$23,"Long lead",""))</f>
        <v/>
      </c>
      <c r="AC73" s="40"/>
      <c r="AD73" s="41"/>
      <c r="AE73" s="41"/>
    </row>
    <row r="74" customFormat="false" ht="30" hidden="false" customHeight="true" outlineLevel="0" collapsed="false">
      <c r="A74" s="31"/>
      <c r="B74" s="32" t="str">
        <f aca="false">IF($J74="","",ROW()-8)</f>
        <v/>
      </c>
      <c r="C74" s="33" t="str">
        <f aca="false">IF($J74="","",$D74&amp;"-"&amp;TEXT($E74,"000")&amp;IF(N($F74)&gt;0,"."&amp;TEXT($F74,"00"),""))</f>
        <v/>
      </c>
      <c r="D74" s="43"/>
      <c r="E74" s="44"/>
      <c r="F74" s="44"/>
      <c r="G74" s="43"/>
      <c r="H74" s="43"/>
      <c r="I74" s="43"/>
      <c r="J74" s="43"/>
      <c r="K74" s="43"/>
      <c r="L74" s="36" t="str">
        <f aca="false">IF($K74="","",IFERROR(INDEX(Reference!$D$53:$D$67,MATCH($K74,Reference!$B$53:$B$67,0)),""))</f>
        <v/>
      </c>
      <c r="M74" s="43"/>
      <c r="N74" s="45"/>
      <c r="O74" s="45"/>
      <c r="P74" s="43"/>
      <c r="Q74" s="44"/>
      <c r="R74" s="38" t="str">
        <f aca="false">IF($O74="","",$O74+IF(N($F74)&gt;0,Setup!$D$21,IF($Q74="Sequential",Setup!$D$20,Setup!$D$19)))</f>
        <v/>
      </c>
      <c r="S74" s="45"/>
      <c r="T74" s="44"/>
      <c r="U74" s="39" t="str">
        <f aca="true">IF($O74="","",IF($S74&lt;&gt;"",$S74-$O74,TODAY()-$O74))</f>
        <v/>
      </c>
      <c r="V74" s="36" t="str">
        <f aca="true">IF($J74="","",IF($AD74="Yes","Void",IF(COUNTIFS($D$9:$D$208,$D74,$E$9:$E$208,$E74,$F$9:$F$208,"&gt;"&amp;N($F74))&gt;0,"Superseded",IF($N74="","Not submitted",IF($S74="",IF(AND($R74&lt;&gt;"",$R74&lt;TODAY()),"Overdue with reviewer","In review"),IF(COUNTIF(Reference!$B$70:$B$80,$T74)&gt;0,"Closed","Resubmittal required"))))))</f>
        <v/>
      </c>
      <c r="W74" s="36" t="str">
        <f aca="false">IF($J74="","",IF(OR($V74="Closed",$V74="Superseded",$V74="Void"),"Closed",IF(OR($V74="Not submitted",$V74="Resubmittal required"),"Contractor","Reviewer")))</f>
        <v/>
      </c>
      <c r="X74" s="44"/>
      <c r="Y74" s="45"/>
      <c r="Z74" s="38" t="str">
        <f aca="false">IF(OR($J74="",$Y74="",$X74="",$V74="Void",$V74="Superseded"),"",$Y74-N($X74)*7-IF($Q74="Sequential",Setup!$D$20,Setup!$D$19)-Setup!$D$22)</f>
        <v/>
      </c>
      <c r="AA74" s="39" t="str">
        <f aca="true">IF($Z74="","",IF($N74&lt;&gt;"",$Z74-$N74,$Z74-TODAY()))</f>
        <v/>
      </c>
      <c r="AB74" s="36" t="str">
        <f aca="false">IF(OR($X74="",$V74="Void",$V74="Superseded"),"",IF(N($X74)&gt;=Setup!$D$23,"Long lead",""))</f>
        <v/>
      </c>
      <c r="AC74" s="46"/>
      <c r="AD74" s="47"/>
      <c r="AE74" s="47"/>
    </row>
    <row r="75" customFormat="false" ht="30" hidden="false" customHeight="true" outlineLevel="0" collapsed="false">
      <c r="A75" s="31"/>
      <c r="B75" s="32" t="str">
        <f aca="false">IF($J75="","",ROW()-8)</f>
        <v/>
      </c>
      <c r="C75" s="33" t="str">
        <f aca="false">IF($J75="","",$D75&amp;"-"&amp;TEXT($E75,"000")&amp;IF(N($F75)&gt;0,"."&amp;TEXT($F75,"00"),""))</f>
        <v/>
      </c>
      <c r="D75" s="34"/>
      <c r="E75" s="35"/>
      <c r="F75" s="35"/>
      <c r="G75" s="34"/>
      <c r="H75" s="34"/>
      <c r="I75" s="34"/>
      <c r="J75" s="34"/>
      <c r="K75" s="34"/>
      <c r="L75" s="36" t="str">
        <f aca="false">IF($K75="","",IFERROR(INDEX(Reference!$D$53:$D$67,MATCH($K75,Reference!$B$53:$B$67,0)),""))</f>
        <v/>
      </c>
      <c r="M75" s="34"/>
      <c r="N75" s="37"/>
      <c r="O75" s="37"/>
      <c r="P75" s="34"/>
      <c r="Q75" s="35"/>
      <c r="R75" s="38" t="str">
        <f aca="false">IF($O75="","",$O75+IF(N($F75)&gt;0,Setup!$D$21,IF($Q75="Sequential",Setup!$D$20,Setup!$D$19)))</f>
        <v/>
      </c>
      <c r="S75" s="37"/>
      <c r="T75" s="35"/>
      <c r="U75" s="39" t="str">
        <f aca="true">IF($O75="","",IF($S75&lt;&gt;"",$S75-$O75,TODAY()-$O75))</f>
        <v/>
      </c>
      <c r="V75" s="36" t="str">
        <f aca="true">IF($J75="","",IF($AD75="Yes","Void",IF(COUNTIFS($D$9:$D$208,$D75,$E$9:$E$208,$E75,$F$9:$F$208,"&gt;"&amp;N($F75))&gt;0,"Superseded",IF($N75="","Not submitted",IF($S75="",IF(AND($R75&lt;&gt;"",$R75&lt;TODAY()),"Overdue with reviewer","In review"),IF(COUNTIF(Reference!$B$70:$B$80,$T75)&gt;0,"Closed","Resubmittal required"))))))</f>
        <v/>
      </c>
      <c r="W75" s="36" t="str">
        <f aca="false">IF($J75="","",IF(OR($V75="Closed",$V75="Superseded",$V75="Void"),"Closed",IF(OR($V75="Not submitted",$V75="Resubmittal required"),"Contractor","Reviewer")))</f>
        <v/>
      </c>
      <c r="X75" s="35"/>
      <c r="Y75" s="37"/>
      <c r="Z75" s="38" t="str">
        <f aca="false">IF(OR($J75="",$Y75="",$X75="",$V75="Void",$V75="Superseded"),"",$Y75-N($X75)*7-IF($Q75="Sequential",Setup!$D$20,Setup!$D$19)-Setup!$D$22)</f>
        <v/>
      </c>
      <c r="AA75" s="39" t="str">
        <f aca="true">IF($Z75="","",IF($N75&lt;&gt;"",$Z75-$N75,$Z75-TODAY()))</f>
        <v/>
      </c>
      <c r="AB75" s="36" t="str">
        <f aca="false">IF(OR($X75="",$V75="Void",$V75="Superseded"),"",IF(N($X75)&gt;=Setup!$D$23,"Long lead",""))</f>
        <v/>
      </c>
      <c r="AC75" s="40"/>
      <c r="AD75" s="41"/>
      <c r="AE75" s="41"/>
    </row>
    <row r="76" customFormat="false" ht="30" hidden="false" customHeight="true" outlineLevel="0" collapsed="false">
      <c r="A76" s="31"/>
      <c r="B76" s="32" t="str">
        <f aca="false">IF($J76="","",ROW()-8)</f>
        <v/>
      </c>
      <c r="C76" s="33" t="str">
        <f aca="false">IF($J76="","",$D76&amp;"-"&amp;TEXT($E76,"000")&amp;IF(N($F76)&gt;0,"."&amp;TEXT($F76,"00"),""))</f>
        <v/>
      </c>
      <c r="D76" s="43"/>
      <c r="E76" s="44"/>
      <c r="F76" s="44"/>
      <c r="G76" s="43"/>
      <c r="H76" s="43"/>
      <c r="I76" s="43"/>
      <c r="J76" s="43"/>
      <c r="K76" s="43"/>
      <c r="L76" s="36" t="str">
        <f aca="false">IF($K76="","",IFERROR(INDEX(Reference!$D$53:$D$67,MATCH($K76,Reference!$B$53:$B$67,0)),""))</f>
        <v/>
      </c>
      <c r="M76" s="43"/>
      <c r="N76" s="45"/>
      <c r="O76" s="45"/>
      <c r="P76" s="43"/>
      <c r="Q76" s="44"/>
      <c r="R76" s="38" t="str">
        <f aca="false">IF($O76="","",$O76+IF(N($F76)&gt;0,Setup!$D$21,IF($Q76="Sequential",Setup!$D$20,Setup!$D$19)))</f>
        <v/>
      </c>
      <c r="S76" s="45"/>
      <c r="T76" s="44"/>
      <c r="U76" s="39" t="str">
        <f aca="true">IF($O76="","",IF($S76&lt;&gt;"",$S76-$O76,TODAY()-$O76))</f>
        <v/>
      </c>
      <c r="V76" s="36" t="str">
        <f aca="true">IF($J76="","",IF($AD76="Yes","Void",IF(COUNTIFS($D$9:$D$208,$D76,$E$9:$E$208,$E76,$F$9:$F$208,"&gt;"&amp;N($F76))&gt;0,"Superseded",IF($N76="","Not submitted",IF($S76="",IF(AND($R76&lt;&gt;"",$R76&lt;TODAY()),"Overdue with reviewer","In review"),IF(COUNTIF(Reference!$B$70:$B$80,$T76)&gt;0,"Closed","Resubmittal required"))))))</f>
        <v/>
      </c>
      <c r="W76" s="36" t="str">
        <f aca="false">IF($J76="","",IF(OR($V76="Closed",$V76="Superseded",$V76="Void"),"Closed",IF(OR($V76="Not submitted",$V76="Resubmittal required"),"Contractor","Reviewer")))</f>
        <v/>
      </c>
      <c r="X76" s="44"/>
      <c r="Y76" s="45"/>
      <c r="Z76" s="38" t="str">
        <f aca="false">IF(OR($J76="",$Y76="",$X76="",$V76="Void",$V76="Superseded"),"",$Y76-N($X76)*7-IF($Q76="Sequential",Setup!$D$20,Setup!$D$19)-Setup!$D$22)</f>
        <v/>
      </c>
      <c r="AA76" s="39" t="str">
        <f aca="true">IF($Z76="","",IF($N76&lt;&gt;"",$Z76-$N76,$Z76-TODAY()))</f>
        <v/>
      </c>
      <c r="AB76" s="36" t="str">
        <f aca="false">IF(OR($X76="",$V76="Void",$V76="Superseded"),"",IF(N($X76)&gt;=Setup!$D$23,"Long lead",""))</f>
        <v/>
      </c>
      <c r="AC76" s="46"/>
      <c r="AD76" s="47"/>
      <c r="AE76" s="47"/>
    </row>
    <row r="77" customFormat="false" ht="30" hidden="false" customHeight="true" outlineLevel="0" collapsed="false">
      <c r="A77" s="31"/>
      <c r="B77" s="32" t="str">
        <f aca="false">IF($J77="","",ROW()-8)</f>
        <v/>
      </c>
      <c r="C77" s="33" t="str">
        <f aca="false">IF($J77="","",$D77&amp;"-"&amp;TEXT($E77,"000")&amp;IF(N($F77)&gt;0,"."&amp;TEXT($F77,"00"),""))</f>
        <v/>
      </c>
      <c r="D77" s="34"/>
      <c r="E77" s="35"/>
      <c r="F77" s="35"/>
      <c r="G77" s="34"/>
      <c r="H77" s="34"/>
      <c r="I77" s="34"/>
      <c r="J77" s="34"/>
      <c r="K77" s="34"/>
      <c r="L77" s="36" t="str">
        <f aca="false">IF($K77="","",IFERROR(INDEX(Reference!$D$53:$D$67,MATCH($K77,Reference!$B$53:$B$67,0)),""))</f>
        <v/>
      </c>
      <c r="M77" s="34"/>
      <c r="N77" s="37"/>
      <c r="O77" s="37"/>
      <c r="P77" s="34"/>
      <c r="Q77" s="35"/>
      <c r="R77" s="38" t="str">
        <f aca="false">IF($O77="","",$O77+IF(N($F77)&gt;0,Setup!$D$21,IF($Q77="Sequential",Setup!$D$20,Setup!$D$19)))</f>
        <v/>
      </c>
      <c r="S77" s="37"/>
      <c r="T77" s="35"/>
      <c r="U77" s="39" t="str">
        <f aca="true">IF($O77="","",IF($S77&lt;&gt;"",$S77-$O77,TODAY()-$O77))</f>
        <v/>
      </c>
      <c r="V77" s="36" t="str">
        <f aca="true">IF($J77="","",IF($AD77="Yes","Void",IF(COUNTIFS($D$9:$D$208,$D77,$E$9:$E$208,$E77,$F$9:$F$208,"&gt;"&amp;N($F77))&gt;0,"Superseded",IF($N77="","Not submitted",IF($S77="",IF(AND($R77&lt;&gt;"",$R77&lt;TODAY()),"Overdue with reviewer","In review"),IF(COUNTIF(Reference!$B$70:$B$80,$T77)&gt;0,"Closed","Resubmittal required"))))))</f>
        <v/>
      </c>
      <c r="W77" s="36" t="str">
        <f aca="false">IF($J77="","",IF(OR($V77="Closed",$V77="Superseded",$V77="Void"),"Closed",IF(OR($V77="Not submitted",$V77="Resubmittal required"),"Contractor","Reviewer")))</f>
        <v/>
      </c>
      <c r="X77" s="35"/>
      <c r="Y77" s="37"/>
      <c r="Z77" s="38" t="str">
        <f aca="false">IF(OR($J77="",$Y77="",$X77="",$V77="Void",$V77="Superseded"),"",$Y77-N($X77)*7-IF($Q77="Sequential",Setup!$D$20,Setup!$D$19)-Setup!$D$22)</f>
        <v/>
      </c>
      <c r="AA77" s="39" t="str">
        <f aca="true">IF($Z77="","",IF($N77&lt;&gt;"",$Z77-$N77,$Z77-TODAY()))</f>
        <v/>
      </c>
      <c r="AB77" s="36" t="str">
        <f aca="false">IF(OR($X77="",$V77="Void",$V77="Superseded"),"",IF(N($X77)&gt;=Setup!$D$23,"Long lead",""))</f>
        <v/>
      </c>
      <c r="AC77" s="40"/>
      <c r="AD77" s="41"/>
      <c r="AE77" s="41"/>
    </row>
    <row r="78" customFormat="false" ht="30" hidden="false" customHeight="true" outlineLevel="0" collapsed="false">
      <c r="A78" s="31"/>
      <c r="B78" s="32" t="str">
        <f aca="false">IF($J78="","",ROW()-8)</f>
        <v/>
      </c>
      <c r="C78" s="33" t="str">
        <f aca="false">IF($J78="","",$D78&amp;"-"&amp;TEXT($E78,"000")&amp;IF(N($F78)&gt;0,"."&amp;TEXT($F78,"00"),""))</f>
        <v/>
      </c>
      <c r="D78" s="43"/>
      <c r="E78" s="44"/>
      <c r="F78" s="44"/>
      <c r="G78" s="43"/>
      <c r="H78" s="43"/>
      <c r="I78" s="43"/>
      <c r="J78" s="43"/>
      <c r="K78" s="43"/>
      <c r="L78" s="36" t="str">
        <f aca="false">IF($K78="","",IFERROR(INDEX(Reference!$D$53:$D$67,MATCH($K78,Reference!$B$53:$B$67,0)),""))</f>
        <v/>
      </c>
      <c r="M78" s="43"/>
      <c r="N78" s="45"/>
      <c r="O78" s="45"/>
      <c r="P78" s="43"/>
      <c r="Q78" s="44"/>
      <c r="R78" s="38" t="str">
        <f aca="false">IF($O78="","",$O78+IF(N($F78)&gt;0,Setup!$D$21,IF($Q78="Sequential",Setup!$D$20,Setup!$D$19)))</f>
        <v/>
      </c>
      <c r="S78" s="45"/>
      <c r="T78" s="44"/>
      <c r="U78" s="39" t="str">
        <f aca="true">IF($O78="","",IF($S78&lt;&gt;"",$S78-$O78,TODAY()-$O78))</f>
        <v/>
      </c>
      <c r="V78" s="36" t="str">
        <f aca="true">IF($J78="","",IF($AD78="Yes","Void",IF(COUNTIFS($D$9:$D$208,$D78,$E$9:$E$208,$E78,$F$9:$F$208,"&gt;"&amp;N($F78))&gt;0,"Superseded",IF($N78="","Not submitted",IF($S78="",IF(AND($R78&lt;&gt;"",$R78&lt;TODAY()),"Overdue with reviewer","In review"),IF(COUNTIF(Reference!$B$70:$B$80,$T78)&gt;0,"Closed","Resubmittal required"))))))</f>
        <v/>
      </c>
      <c r="W78" s="36" t="str">
        <f aca="false">IF($J78="","",IF(OR($V78="Closed",$V78="Superseded",$V78="Void"),"Closed",IF(OR($V78="Not submitted",$V78="Resubmittal required"),"Contractor","Reviewer")))</f>
        <v/>
      </c>
      <c r="X78" s="44"/>
      <c r="Y78" s="45"/>
      <c r="Z78" s="38" t="str">
        <f aca="false">IF(OR($J78="",$Y78="",$X78="",$V78="Void",$V78="Superseded"),"",$Y78-N($X78)*7-IF($Q78="Sequential",Setup!$D$20,Setup!$D$19)-Setup!$D$22)</f>
        <v/>
      </c>
      <c r="AA78" s="39" t="str">
        <f aca="true">IF($Z78="","",IF($N78&lt;&gt;"",$Z78-$N78,$Z78-TODAY()))</f>
        <v/>
      </c>
      <c r="AB78" s="36" t="str">
        <f aca="false">IF(OR($X78="",$V78="Void",$V78="Superseded"),"",IF(N($X78)&gt;=Setup!$D$23,"Long lead",""))</f>
        <v/>
      </c>
      <c r="AC78" s="46"/>
      <c r="AD78" s="47"/>
      <c r="AE78" s="47"/>
    </row>
    <row r="79" customFormat="false" ht="30" hidden="false" customHeight="true" outlineLevel="0" collapsed="false">
      <c r="A79" s="31"/>
      <c r="B79" s="32" t="str">
        <f aca="false">IF($J79="","",ROW()-8)</f>
        <v/>
      </c>
      <c r="C79" s="33" t="str">
        <f aca="false">IF($J79="","",$D79&amp;"-"&amp;TEXT($E79,"000")&amp;IF(N($F79)&gt;0,"."&amp;TEXT($F79,"00"),""))</f>
        <v/>
      </c>
      <c r="D79" s="34"/>
      <c r="E79" s="35"/>
      <c r="F79" s="35"/>
      <c r="G79" s="34"/>
      <c r="H79" s="34"/>
      <c r="I79" s="34"/>
      <c r="J79" s="34"/>
      <c r="K79" s="34"/>
      <c r="L79" s="36" t="str">
        <f aca="false">IF($K79="","",IFERROR(INDEX(Reference!$D$53:$D$67,MATCH($K79,Reference!$B$53:$B$67,0)),""))</f>
        <v/>
      </c>
      <c r="M79" s="34"/>
      <c r="N79" s="37"/>
      <c r="O79" s="37"/>
      <c r="P79" s="34"/>
      <c r="Q79" s="35"/>
      <c r="R79" s="38" t="str">
        <f aca="false">IF($O79="","",$O79+IF(N($F79)&gt;0,Setup!$D$21,IF($Q79="Sequential",Setup!$D$20,Setup!$D$19)))</f>
        <v/>
      </c>
      <c r="S79" s="37"/>
      <c r="T79" s="35"/>
      <c r="U79" s="39" t="str">
        <f aca="true">IF($O79="","",IF($S79&lt;&gt;"",$S79-$O79,TODAY()-$O79))</f>
        <v/>
      </c>
      <c r="V79" s="36" t="str">
        <f aca="true">IF($J79="","",IF($AD79="Yes","Void",IF(COUNTIFS($D$9:$D$208,$D79,$E$9:$E$208,$E79,$F$9:$F$208,"&gt;"&amp;N($F79))&gt;0,"Superseded",IF($N79="","Not submitted",IF($S79="",IF(AND($R79&lt;&gt;"",$R79&lt;TODAY()),"Overdue with reviewer","In review"),IF(COUNTIF(Reference!$B$70:$B$80,$T79)&gt;0,"Closed","Resubmittal required"))))))</f>
        <v/>
      </c>
      <c r="W79" s="36" t="str">
        <f aca="false">IF($J79="","",IF(OR($V79="Closed",$V79="Superseded",$V79="Void"),"Closed",IF(OR($V79="Not submitted",$V79="Resubmittal required"),"Contractor","Reviewer")))</f>
        <v/>
      </c>
      <c r="X79" s="35"/>
      <c r="Y79" s="37"/>
      <c r="Z79" s="38" t="str">
        <f aca="false">IF(OR($J79="",$Y79="",$X79="",$V79="Void",$V79="Superseded"),"",$Y79-N($X79)*7-IF($Q79="Sequential",Setup!$D$20,Setup!$D$19)-Setup!$D$22)</f>
        <v/>
      </c>
      <c r="AA79" s="39" t="str">
        <f aca="true">IF($Z79="","",IF($N79&lt;&gt;"",$Z79-$N79,$Z79-TODAY()))</f>
        <v/>
      </c>
      <c r="AB79" s="36" t="str">
        <f aca="false">IF(OR($X79="",$V79="Void",$V79="Superseded"),"",IF(N($X79)&gt;=Setup!$D$23,"Long lead",""))</f>
        <v/>
      </c>
      <c r="AC79" s="40"/>
      <c r="AD79" s="41"/>
      <c r="AE79" s="41"/>
    </row>
    <row r="80" customFormat="false" ht="30" hidden="false" customHeight="true" outlineLevel="0" collapsed="false">
      <c r="A80" s="31"/>
      <c r="B80" s="32" t="str">
        <f aca="false">IF($J80="","",ROW()-8)</f>
        <v/>
      </c>
      <c r="C80" s="33" t="str">
        <f aca="false">IF($J80="","",$D80&amp;"-"&amp;TEXT($E80,"000")&amp;IF(N($F80)&gt;0,"."&amp;TEXT($F80,"00"),""))</f>
        <v/>
      </c>
      <c r="D80" s="43"/>
      <c r="E80" s="44"/>
      <c r="F80" s="44"/>
      <c r="G80" s="43"/>
      <c r="H80" s="43"/>
      <c r="I80" s="43"/>
      <c r="J80" s="43"/>
      <c r="K80" s="43"/>
      <c r="L80" s="36" t="str">
        <f aca="false">IF($K80="","",IFERROR(INDEX(Reference!$D$53:$D$67,MATCH($K80,Reference!$B$53:$B$67,0)),""))</f>
        <v/>
      </c>
      <c r="M80" s="43"/>
      <c r="N80" s="45"/>
      <c r="O80" s="45"/>
      <c r="P80" s="43"/>
      <c r="Q80" s="44"/>
      <c r="R80" s="38" t="str">
        <f aca="false">IF($O80="","",$O80+IF(N($F80)&gt;0,Setup!$D$21,IF($Q80="Sequential",Setup!$D$20,Setup!$D$19)))</f>
        <v/>
      </c>
      <c r="S80" s="45"/>
      <c r="T80" s="44"/>
      <c r="U80" s="39" t="str">
        <f aca="true">IF($O80="","",IF($S80&lt;&gt;"",$S80-$O80,TODAY()-$O80))</f>
        <v/>
      </c>
      <c r="V80" s="36" t="str">
        <f aca="true">IF($J80="","",IF($AD80="Yes","Void",IF(COUNTIFS($D$9:$D$208,$D80,$E$9:$E$208,$E80,$F$9:$F$208,"&gt;"&amp;N($F80))&gt;0,"Superseded",IF($N80="","Not submitted",IF($S80="",IF(AND($R80&lt;&gt;"",$R80&lt;TODAY()),"Overdue with reviewer","In review"),IF(COUNTIF(Reference!$B$70:$B$80,$T80)&gt;0,"Closed","Resubmittal required"))))))</f>
        <v/>
      </c>
      <c r="W80" s="36" t="str">
        <f aca="false">IF($J80="","",IF(OR($V80="Closed",$V80="Superseded",$V80="Void"),"Closed",IF(OR($V80="Not submitted",$V80="Resubmittal required"),"Contractor","Reviewer")))</f>
        <v/>
      </c>
      <c r="X80" s="44"/>
      <c r="Y80" s="45"/>
      <c r="Z80" s="38" t="str">
        <f aca="false">IF(OR($J80="",$Y80="",$X80="",$V80="Void",$V80="Superseded"),"",$Y80-N($X80)*7-IF($Q80="Sequential",Setup!$D$20,Setup!$D$19)-Setup!$D$22)</f>
        <v/>
      </c>
      <c r="AA80" s="39" t="str">
        <f aca="true">IF($Z80="","",IF($N80&lt;&gt;"",$Z80-$N80,$Z80-TODAY()))</f>
        <v/>
      </c>
      <c r="AB80" s="36" t="str">
        <f aca="false">IF(OR($X80="",$V80="Void",$V80="Superseded"),"",IF(N($X80)&gt;=Setup!$D$23,"Long lead",""))</f>
        <v/>
      </c>
      <c r="AC80" s="46"/>
      <c r="AD80" s="47"/>
      <c r="AE80" s="47"/>
    </row>
    <row r="81" customFormat="false" ht="30" hidden="false" customHeight="true" outlineLevel="0" collapsed="false">
      <c r="A81" s="31"/>
      <c r="B81" s="32" t="str">
        <f aca="false">IF($J81="","",ROW()-8)</f>
        <v/>
      </c>
      <c r="C81" s="33" t="str">
        <f aca="false">IF($J81="","",$D81&amp;"-"&amp;TEXT($E81,"000")&amp;IF(N($F81)&gt;0,"."&amp;TEXT($F81,"00"),""))</f>
        <v/>
      </c>
      <c r="D81" s="34"/>
      <c r="E81" s="35"/>
      <c r="F81" s="35"/>
      <c r="G81" s="34"/>
      <c r="H81" s="34"/>
      <c r="I81" s="34"/>
      <c r="J81" s="34"/>
      <c r="K81" s="34"/>
      <c r="L81" s="36" t="str">
        <f aca="false">IF($K81="","",IFERROR(INDEX(Reference!$D$53:$D$67,MATCH($K81,Reference!$B$53:$B$67,0)),""))</f>
        <v/>
      </c>
      <c r="M81" s="34"/>
      <c r="N81" s="37"/>
      <c r="O81" s="37"/>
      <c r="P81" s="34"/>
      <c r="Q81" s="35"/>
      <c r="R81" s="38" t="str">
        <f aca="false">IF($O81="","",$O81+IF(N($F81)&gt;0,Setup!$D$21,IF($Q81="Sequential",Setup!$D$20,Setup!$D$19)))</f>
        <v/>
      </c>
      <c r="S81" s="37"/>
      <c r="T81" s="35"/>
      <c r="U81" s="39" t="str">
        <f aca="true">IF($O81="","",IF($S81&lt;&gt;"",$S81-$O81,TODAY()-$O81))</f>
        <v/>
      </c>
      <c r="V81" s="36" t="str">
        <f aca="true">IF($J81="","",IF($AD81="Yes","Void",IF(COUNTIFS($D$9:$D$208,$D81,$E$9:$E$208,$E81,$F$9:$F$208,"&gt;"&amp;N($F81))&gt;0,"Superseded",IF($N81="","Not submitted",IF($S81="",IF(AND($R81&lt;&gt;"",$R81&lt;TODAY()),"Overdue with reviewer","In review"),IF(COUNTIF(Reference!$B$70:$B$80,$T81)&gt;0,"Closed","Resubmittal required"))))))</f>
        <v/>
      </c>
      <c r="W81" s="36" t="str">
        <f aca="false">IF($J81="","",IF(OR($V81="Closed",$V81="Superseded",$V81="Void"),"Closed",IF(OR($V81="Not submitted",$V81="Resubmittal required"),"Contractor","Reviewer")))</f>
        <v/>
      </c>
      <c r="X81" s="35"/>
      <c r="Y81" s="37"/>
      <c r="Z81" s="38" t="str">
        <f aca="false">IF(OR($J81="",$Y81="",$X81="",$V81="Void",$V81="Superseded"),"",$Y81-N($X81)*7-IF($Q81="Sequential",Setup!$D$20,Setup!$D$19)-Setup!$D$22)</f>
        <v/>
      </c>
      <c r="AA81" s="39" t="str">
        <f aca="true">IF($Z81="","",IF($N81&lt;&gt;"",$Z81-$N81,$Z81-TODAY()))</f>
        <v/>
      </c>
      <c r="AB81" s="36" t="str">
        <f aca="false">IF(OR($X81="",$V81="Void",$V81="Superseded"),"",IF(N($X81)&gt;=Setup!$D$23,"Long lead",""))</f>
        <v/>
      </c>
      <c r="AC81" s="40"/>
      <c r="AD81" s="41"/>
      <c r="AE81" s="41"/>
    </row>
    <row r="82" customFormat="false" ht="30" hidden="false" customHeight="true" outlineLevel="0" collapsed="false">
      <c r="A82" s="31"/>
      <c r="B82" s="32" t="str">
        <f aca="false">IF($J82="","",ROW()-8)</f>
        <v/>
      </c>
      <c r="C82" s="33" t="str">
        <f aca="false">IF($J82="","",$D82&amp;"-"&amp;TEXT($E82,"000")&amp;IF(N($F82)&gt;0,"."&amp;TEXT($F82,"00"),""))</f>
        <v/>
      </c>
      <c r="D82" s="43"/>
      <c r="E82" s="44"/>
      <c r="F82" s="44"/>
      <c r="G82" s="43"/>
      <c r="H82" s="43"/>
      <c r="I82" s="43"/>
      <c r="J82" s="43"/>
      <c r="K82" s="43"/>
      <c r="L82" s="36" t="str">
        <f aca="false">IF($K82="","",IFERROR(INDEX(Reference!$D$53:$D$67,MATCH($K82,Reference!$B$53:$B$67,0)),""))</f>
        <v/>
      </c>
      <c r="M82" s="43"/>
      <c r="N82" s="45"/>
      <c r="O82" s="45"/>
      <c r="P82" s="43"/>
      <c r="Q82" s="44"/>
      <c r="R82" s="38" t="str">
        <f aca="false">IF($O82="","",$O82+IF(N($F82)&gt;0,Setup!$D$21,IF($Q82="Sequential",Setup!$D$20,Setup!$D$19)))</f>
        <v/>
      </c>
      <c r="S82" s="45"/>
      <c r="T82" s="44"/>
      <c r="U82" s="39" t="str">
        <f aca="true">IF($O82="","",IF($S82&lt;&gt;"",$S82-$O82,TODAY()-$O82))</f>
        <v/>
      </c>
      <c r="V82" s="36" t="str">
        <f aca="true">IF($J82="","",IF($AD82="Yes","Void",IF(COUNTIFS($D$9:$D$208,$D82,$E$9:$E$208,$E82,$F$9:$F$208,"&gt;"&amp;N($F82))&gt;0,"Superseded",IF($N82="","Not submitted",IF($S82="",IF(AND($R82&lt;&gt;"",$R82&lt;TODAY()),"Overdue with reviewer","In review"),IF(COUNTIF(Reference!$B$70:$B$80,$T82)&gt;0,"Closed","Resubmittal required"))))))</f>
        <v/>
      </c>
      <c r="W82" s="36" t="str">
        <f aca="false">IF($J82="","",IF(OR($V82="Closed",$V82="Superseded",$V82="Void"),"Closed",IF(OR($V82="Not submitted",$V82="Resubmittal required"),"Contractor","Reviewer")))</f>
        <v/>
      </c>
      <c r="X82" s="44"/>
      <c r="Y82" s="45"/>
      <c r="Z82" s="38" t="str">
        <f aca="false">IF(OR($J82="",$Y82="",$X82="",$V82="Void",$V82="Superseded"),"",$Y82-N($X82)*7-IF($Q82="Sequential",Setup!$D$20,Setup!$D$19)-Setup!$D$22)</f>
        <v/>
      </c>
      <c r="AA82" s="39" t="str">
        <f aca="true">IF($Z82="","",IF($N82&lt;&gt;"",$Z82-$N82,$Z82-TODAY()))</f>
        <v/>
      </c>
      <c r="AB82" s="36" t="str">
        <f aca="false">IF(OR($X82="",$V82="Void",$V82="Superseded"),"",IF(N($X82)&gt;=Setup!$D$23,"Long lead",""))</f>
        <v/>
      </c>
      <c r="AC82" s="46"/>
      <c r="AD82" s="47"/>
      <c r="AE82" s="47"/>
    </row>
    <row r="83" customFormat="false" ht="30" hidden="false" customHeight="true" outlineLevel="0" collapsed="false">
      <c r="A83" s="31"/>
      <c r="B83" s="32" t="str">
        <f aca="false">IF($J83="","",ROW()-8)</f>
        <v/>
      </c>
      <c r="C83" s="33" t="str">
        <f aca="false">IF($J83="","",$D83&amp;"-"&amp;TEXT($E83,"000")&amp;IF(N($F83)&gt;0,"."&amp;TEXT($F83,"00"),""))</f>
        <v/>
      </c>
      <c r="D83" s="34"/>
      <c r="E83" s="35"/>
      <c r="F83" s="35"/>
      <c r="G83" s="34"/>
      <c r="H83" s="34"/>
      <c r="I83" s="34"/>
      <c r="J83" s="34"/>
      <c r="K83" s="34"/>
      <c r="L83" s="36" t="str">
        <f aca="false">IF($K83="","",IFERROR(INDEX(Reference!$D$53:$D$67,MATCH($K83,Reference!$B$53:$B$67,0)),""))</f>
        <v/>
      </c>
      <c r="M83" s="34"/>
      <c r="N83" s="37"/>
      <c r="O83" s="37"/>
      <c r="P83" s="34"/>
      <c r="Q83" s="35"/>
      <c r="R83" s="38" t="str">
        <f aca="false">IF($O83="","",$O83+IF(N($F83)&gt;0,Setup!$D$21,IF($Q83="Sequential",Setup!$D$20,Setup!$D$19)))</f>
        <v/>
      </c>
      <c r="S83" s="37"/>
      <c r="T83" s="35"/>
      <c r="U83" s="39" t="str">
        <f aca="true">IF($O83="","",IF($S83&lt;&gt;"",$S83-$O83,TODAY()-$O83))</f>
        <v/>
      </c>
      <c r="V83" s="36" t="str">
        <f aca="true">IF($J83="","",IF($AD83="Yes","Void",IF(COUNTIFS($D$9:$D$208,$D83,$E$9:$E$208,$E83,$F$9:$F$208,"&gt;"&amp;N($F83))&gt;0,"Superseded",IF($N83="","Not submitted",IF($S83="",IF(AND($R83&lt;&gt;"",$R83&lt;TODAY()),"Overdue with reviewer","In review"),IF(COUNTIF(Reference!$B$70:$B$80,$T83)&gt;0,"Closed","Resubmittal required"))))))</f>
        <v/>
      </c>
      <c r="W83" s="36" t="str">
        <f aca="false">IF($J83="","",IF(OR($V83="Closed",$V83="Superseded",$V83="Void"),"Closed",IF(OR($V83="Not submitted",$V83="Resubmittal required"),"Contractor","Reviewer")))</f>
        <v/>
      </c>
      <c r="X83" s="35"/>
      <c r="Y83" s="37"/>
      <c r="Z83" s="38" t="str">
        <f aca="false">IF(OR($J83="",$Y83="",$X83="",$V83="Void",$V83="Superseded"),"",$Y83-N($X83)*7-IF($Q83="Sequential",Setup!$D$20,Setup!$D$19)-Setup!$D$22)</f>
        <v/>
      </c>
      <c r="AA83" s="39" t="str">
        <f aca="true">IF($Z83="","",IF($N83&lt;&gt;"",$Z83-$N83,$Z83-TODAY()))</f>
        <v/>
      </c>
      <c r="AB83" s="36" t="str">
        <f aca="false">IF(OR($X83="",$V83="Void",$V83="Superseded"),"",IF(N($X83)&gt;=Setup!$D$23,"Long lead",""))</f>
        <v/>
      </c>
      <c r="AC83" s="40"/>
      <c r="AD83" s="41"/>
      <c r="AE83" s="41"/>
    </row>
    <row r="84" customFormat="false" ht="30" hidden="false" customHeight="true" outlineLevel="0" collapsed="false">
      <c r="A84" s="31"/>
      <c r="B84" s="32" t="str">
        <f aca="false">IF($J84="","",ROW()-8)</f>
        <v/>
      </c>
      <c r="C84" s="33" t="str">
        <f aca="false">IF($J84="","",$D84&amp;"-"&amp;TEXT($E84,"000")&amp;IF(N($F84)&gt;0,"."&amp;TEXT($F84,"00"),""))</f>
        <v/>
      </c>
      <c r="D84" s="43"/>
      <c r="E84" s="44"/>
      <c r="F84" s="44"/>
      <c r="G84" s="43"/>
      <c r="H84" s="43"/>
      <c r="I84" s="43"/>
      <c r="J84" s="43"/>
      <c r="K84" s="43"/>
      <c r="L84" s="36" t="str">
        <f aca="false">IF($K84="","",IFERROR(INDEX(Reference!$D$53:$D$67,MATCH($K84,Reference!$B$53:$B$67,0)),""))</f>
        <v/>
      </c>
      <c r="M84" s="43"/>
      <c r="N84" s="45"/>
      <c r="O84" s="45"/>
      <c r="P84" s="43"/>
      <c r="Q84" s="44"/>
      <c r="R84" s="38" t="str">
        <f aca="false">IF($O84="","",$O84+IF(N($F84)&gt;0,Setup!$D$21,IF($Q84="Sequential",Setup!$D$20,Setup!$D$19)))</f>
        <v/>
      </c>
      <c r="S84" s="45"/>
      <c r="T84" s="44"/>
      <c r="U84" s="39" t="str">
        <f aca="true">IF($O84="","",IF($S84&lt;&gt;"",$S84-$O84,TODAY()-$O84))</f>
        <v/>
      </c>
      <c r="V84" s="36" t="str">
        <f aca="true">IF($J84="","",IF($AD84="Yes","Void",IF(COUNTIFS($D$9:$D$208,$D84,$E$9:$E$208,$E84,$F$9:$F$208,"&gt;"&amp;N($F84))&gt;0,"Superseded",IF($N84="","Not submitted",IF($S84="",IF(AND($R84&lt;&gt;"",$R84&lt;TODAY()),"Overdue with reviewer","In review"),IF(COUNTIF(Reference!$B$70:$B$80,$T84)&gt;0,"Closed","Resubmittal required"))))))</f>
        <v/>
      </c>
      <c r="W84" s="36" t="str">
        <f aca="false">IF($J84="","",IF(OR($V84="Closed",$V84="Superseded",$V84="Void"),"Closed",IF(OR($V84="Not submitted",$V84="Resubmittal required"),"Contractor","Reviewer")))</f>
        <v/>
      </c>
      <c r="X84" s="44"/>
      <c r="Y84" s="45"/>
      <c r="Z84" s="38" t="str">
        <f aca="false">IF(OR($J84="",$Y84="",$X84="",$V84="Void",$V84="Superseded"),"",$Y84-N($X84)*7-IF($Q84="Sequential",Setup!$D$20,Setup!$D$19)-Setup!$D$22)</f>
        <v/>
      </c>
      <c r="AA84" s="39" t="str">
        <f aca="true">IF($Z84="","",IF($N84&lt;&gt;"",$Z84-$N84,$Z84-TODAY()))</f>
        <v/>
      </c>
      <c r="AB84" s="36" t="str">
        <f aca="false">IF(OR($X84="",$V84="Void",$V84="Superseded"),"",IF(N($X84)&gt;=Setup!$D$23,"Long lead",""))</f>
        <v/>
      </c>
      <c r="AC84" s="46"/>
      <c r="AD84" s="47"/>
      <c r="AE84" s="47"/>
    </row>
    <row r="85" customFormat="false" ht="30" hidden="false" customHeight="true" outlineLevel="0" collapsed="false">
      <c r="A85" s="31"/>
      <c r="B85" s="32" t="str">
        <f aca="false">IF($J85="","",ROW()-8)</f>
        <v/>
      </c>
      <c r="C85" s="33" t="str">
        <f aca="false">IF($J85="","",$D85&amp;"-"&amp;TEXT($E85,"000")&amp;IF(N($F85)&gt;0,"."&amp;TEXT($F85,"00"),""))</f>
        <v/>
      </c>
      <c r="D85" s="34"/>
      <c r="E85" s="35"/>
      <c r="F85" s="35"/>
      <c r="G85" s="34"/>
      <c r="H85" s="34"/>
      <c r="I85" s="34"/>
      <c r="J85" s="34"/>
      <c r="K85" s="34"/>
      <c r="L85" s="36" t="str">
        <f aca="false">IF($K85="","",IFERROR(INDEX(Reference!$D$53:$D$67,MATCH($K85,Reference!$B$53:$B$67,0)),""))</f>
        <v/>
      </c>
      <c r="M85" s="34"/>
      <c r="N85" s="37"/>
      <c r="O85" s="37"/>
      <c r="P85" s="34"/>
      <c r="Q85" s="35"/>
      <c r="R85" s="38" t="str">
        <f aca="false">IF($O85="","",$O85+IF(N($F85)&gt;0,Setup!$D$21,IF($Q85="Sequential",Setup!$D$20,Setup!$D$19)))</f>
        <v/>
      </c>
      <c r="S85" s="37"/>
      <c r="T85" s="35"/>
      <c r="U85" s="39" t="str">
        <f aca="true">IF($O85="","",IF($S85&lt;&gt;"",$S85-$O85,TODAY()-$O85))</f>
        <v/>
      </c>
      <c r="V85" s="36" t="str">
        <f aca="true">IF($J85="","",IF($AD85="Yes","Void",IF(COUNTIFS($D$9:$D$208,$D85,$E$9:$E$208,$E85,$F$9:$F$208,"&gt;"&amp;N($F85))&gt;0,"Superseded",IF($N85="","Not submitted",IF($S85="",IF(AND($R85&lt;&gt;"",$R85&lt;TODAY()),"Overdue with reviewer","In review"),IF(COUNTIF(Reference!$B$70:$B$80,$T85)&gt;0,"Closed","Resubmittal required"))))))</f>
        <v/>
      </c>
      <c r="W85" s="36" t="str">
        <f aca="false">IF($J85="","",IF(OR($V85="Closed",$V85="Superseded",$V85="Void"),"Closed",IF(OR($V85="Not submitted",$V85="Resubmittal required"),"Contractor","Reviewer")))</f>
        <v/>
      </c>
      <c r="X85" s="35"/>
      <c r="Y85" s="37"/>
      <c r="Z85" s="38" t="str">
        <f aca="false">IF(OR($J85="",$Y85="",$X85="",$V85="Void",$V85="Superseded"),"",$Y85-N($X85)*7-IF($Q85="Sequential",Setup!$D$20,Setup!$D$19)-Setup!$D$22)</f>
        <v/>
      </c>
      <c r="AA85" s="39" t="str">
        <f aca="true">IF($Z85="","",IF($N85&lt;&gt;"",$Z85-$N85,$Z85-TODAY()))</f>
        <v/>
      </c>
      <c r="AB85" s="36" t="str">
        <f aca="false">IF(OR($X85="",$V85="Void",$V85="Superseded"),"",IF(N($X85)&gt;=Setup!$D$23,"Long lead",""))</f>
        <v/>
      </c>
      <c r="AC85" s="40"/>
      <c r="AD85" s="41"/>
      <c r="AE85" s="41"/>
    </row>
    <row r="86" customFormat="false" ht="30" hidden="false" customHeight="true" outlineLevel="0" collapsed="false">
      <c r="A86" s="31"/>
      <c r="B86" s="32" t="str">
        <f aca="false">IF($J86="","",ROW()-8)</f>
        <v/>
      </c>
      <c r="C86" s="33" t="str">
        <f aca="false">IF($J86="","",$D86&amp;"-"&amp;TEXT($E86,"000")&amp;IF(N($F86)&gt;0,"."&amp;TEXT($F86,"00"),""))</f>
        <v/>
      </c>
      <c r="D86" s="43"/>
      <c r="E86" s="44"/>
      <c r="F86" s="44"/>
      <c r="G86" s="43"/>
      <c r="H86" s="43"/>
      <c r="I86" s="43"/>
      <c r="J86" s="43"/>
      <c r="K86" s="43"/>
      <c r="L86" s="36" t="str">
        <f aca="false">IF($K86="","",IFERROR(INDEX(Reference!$D$53:$D$67,MATCH($K86,Reference!$B$53:$B$67,0)),""))</f>
        <v/>
      </c>
      <c r="M86" s="43"/>
      <c r="N86" s="45"/>
      <c r="O86" s="45"/>
      <c r="P86" s="43"/>
      <c r="Q86" s="44"/>
      <c r="R86" s="38" t="str">
        <f aca="false">IF($O86="","",$O86+IF(N($F86)&gt;0,Setup!$D$21,IF($Q86="Sequential",Setup!$D$20,Setup!$D$19)))</f>
        <v/>
      </c>
      <c r="S86" s="45"/>
      <c r="T86" s="44"/>
      <c r="U86" s="39" t="str">
        <f aca="true">IF($O86="","",IF($S86&lt;&gt;"",$S86-$O86,TODAY()-$O86))</f>
        <v/>
      </c>
      <c r="V86" s="36" t="str">
        <f aca="true">IF($J86="","",IF($AD86="Yes","Void",IF(COUNTIFS($D$9:$D$208,$D86,$E$9:$E$208,$E86,$F$9:$F$208,"&gt;"&amp;N($F86))&gt;0,"Superseded",IF($N86="","Not submitted",IF($S86="",IF(AND($R86&lt;&gt;"",$R86&lt;TODAY()),"Overdue with reviewer","In review"),IF(COUNTIF(Reference!$B$70:$B$80,$T86)&gt;0,"Closed","Resubmittal required"))))))</f>
        <v/>
      </c>
      <c r="W86" s="36" t="str">
        <f aca="false">IF($J86="","",IF(OR($V86="Closed",$V86="Superseded",$V86="Void"),"Closed",IF(OR($V86="Not submitted",$V86="Resubmittal required"),"Contractor","Reviewer")))</f>
        <v/>
      </c>
      <c r="X86" s="44"/>
      <c r="Y86" s="45"/>
      <c r="Z86" s="38" t="str">
        <f aca="false">IF(OR($J86="",$Y86="",$X86="",$V86="Void",$V86="Superseded"),"",$Y86-N($X86)*7-IF($Q86="Sequential",Setup!$D$20,Setup!$D$19)-Setup!$D$22)</f>
        <v/>
      </c>
      <c r="AA86" s="39" t="str">
        <f aca="true">IF($Z86="","",IF($N86&lt;&gt;"",$Z86-$N86,$Z86-TODAY()))</f>
        <v/>
      </c>
      <c r="AB86" s="36" t="str">
        <f aca="false">IF(OR($X86="",$V86="Void",$V86="Superseded"),"",IF(N($X86)&gt;=Setup!$D$23,"Long lead",""))</f>
        <v/>
      </c>
      <c r="AC86" s="46"/>
      <c r="AD86" s="47"/>
      <c r="AE86" s="47"/>
    </row>
    <row r="87" customFormat="false" ht="30" hidden="false" customHeight="true" outlineLevel="0" collapsed="false">
      <c r="A87" s="31"/>
      <c r="B87" s="32" t="str">
        <f aca="false">IF($J87="","",ROW()-8)</f>
        <v/>
      </c>
      <c r="C87" s="33" t="str">
        <f aca="false">IF($J87="","",$D87&amp;"-"&amp;TEXT($E87,"000")&amp;IF(N($F87)&gt;0,"."&amp;TEXT($F87,"00"),""))</f>
        <v/>
      </c>
      <c r="D87" s="34"/>
      <c r="E87" s="35"/>
      <c r="F87" s="35"/>
      <c r="G87" s="34"/>
      <c r="H87" s="34"/>
      <c r="I87" s="34"/>
      <c r="J87" s="34"/>
      <c r="K87" s="34"/>
      <c r="L87" s="36" t="str">
        <f aca="false">IF($K87="","",IFERROR(INDEX(Reference!$D$53:$D$67,MATCH($K87,Reference!$B$53:$B$67,0)),""))</f>
        <v/>
      </c>
      <c r="M87" s="34"/>
      <c r="N87" s="37"/>
      <c r="O87" s="37"/>
      <c r="P87" s="34"/>
      <c r="Q87" s="35"/>
      <c r="R87" s="38" t="str">
        <f aca="false">IF($O87="","",$O87+IF(N($F87)&gt;0,Setup!$D$21,IF($Q87="Sequential",Setup!$D$20,Setup!$D$19)))</f>
        <v/>
      </c>
      <c r="S87" s="37"/>
      <c r="T87" s="35"/>
      <c r="U87" s="39" t="str">
        <f aca="true">IF($O87="","",IF($S87&lt;&gt;"",$S87-$O87,TODAY()-$O87))</f>
        <v/>
      </c>
      <c r="V87" s="36" t="str">
        <f aca="true">IF($J87="","",IF($AD87="Yes","Void",IF(COUNTIFS($D$9:$D$208,$D87,$E$9:$E$208,$E87,$F$9:$F$208,"&gt;"&amp;N($F87))&gt;0,"Superseded",IF($N87="","Not submitted",IF($S87="",IF(AND($R87&lt;&gt;"",$R87&lt;TODAY()),"Overdue with reviewer","In review"),IF(COUNTIF(Reference!$B$70:$B$80,$T87)&gt;0,"Closed","Resubmittal required"))))))</f>
        <v/>
      </c>
      <c r="W87" s="36" t="str">
        <f aca="false">IF($J87="","",IF(OR($V87="Closed",$V87="Superseded",$V87="Void"),"Closed",IF(OR($V87="Not submitted",$V87="Resubmittal required"),"Contractor","Reviewer")))</f>
        <v/>
      </c>
      <c r="X87" s="35"/>
      <c r="Y87" s="37"/>
      <c r="Z87" s="38" t="str">
        <f aca="false">IF(OR($J87="",$Y87="",$X87="",$V87="Void",$V87="Superseded"),"",$Y87-N($X87)*7-IF($Q87="Sequential",Setup!$D$20,Setup!$D$19)-Setup!$D$22)</f>
        <v/>
      </c>
      <c r="AA87" s="39" t="str">
        <f aca="true">IF($Z87="","",IF($N87&lt;&gt;"",$Z87-$N87,$Z87-TODAY()))</f>
        <v/>
      </c>
      <c r="AB87" s="36" t="str">
        <f aca="false">IF(OR($X87="",$V87="Void",$V87="Superseded"),"",IF(N($X87)&gt;=Setup!$D$23,"Long lead",""))</f>
        <v/>
      </c>
      <c r="AC87" s="40"/>
      <c r="AD87" s="41"/>
      <c r="AE87" s="41"/>
    </row>
    <row r="88" customFormat="false" ht="30" hidden="false" customHeight="true" outlineLevel="0" collapsed="false">
      <c r="A88" s="31"/>
      <c r="B88" s="32" t="str">
        <f aca="false">IF($J88="","",ROW()-8)</f>
        <v/>
      </c>
      <c r="C88" s="33" t="str">
        <f aca="false">IF($J88="","",$D88&amp;"-"&amp;TEXT($E88,"000")&amp;IF(N($F88)&gt;0,"."&amp;TEXT($F88,"00"),""))</f>
        <v/>
      </c>
      <c r="D88" s="43"/>
      <c r="E88" s="44"/>
      <c r="F88" s="44"/>
      <c r="G88" s="43"/>
      <c r="H88" s="43"/>
      <c r="I88" s="43"/>
      <c r="J88" s="43"/>
      <c r="K88" s="43"/>
      <c r="L88" s="36" t="str">
        <f aca="false">IF($K88="","",IFERROR(INDEX(Reference!$D$53:$D$67,MATCH($K88,Reference!$B$53:$B$67,0)),""))</f>
        <v/>
      </c>
      <c r="M88" s="43"/>
      <c r="N88" s="45"/>
      <c r="O88" s="45"/>
      <c r="P88" s="43"/>
      <c r="Q88" s="44"/>
      <c r="R88" s="38" t="str">
        <f aca="false">IF($O88="","",$O88+IF(N($F88)&gt;0,Setup!$D$21,IF($Q88="Sequential",Setup!$D$20,Setup!$D$19)))</f>
        <v/>
      </c>
      <c r="S88" s="45"/>
      <c r="T88" s="44"/>
      <c r="U88" s="39" t="str">
        <f aca="true">IF($O88="","",IF($S88&lt;&gt;"",$S88-$O88,TODAY()-$O88))</f>
        <v/>
      </c>
      <c r="V88" s="36" t="str">
        <f aca="true">IF($J88="","",IF($AD88="Yes","Void",IF(COUNTIFS($D$9:$D$208,$D88,$E$9:$E$208,$E88,$F$9:$F$208,"&gt;"&amp;N($F88))&gt;0,"Superseded",IF($N88="","Not submitted",IF($S88="",IF(AND($R88&lt;&gt;"",$R88&lt;TODAY()),"Overdue with reviewer","In review"),IF(COUNTIF(Reference!$B$70:$B$80,$T88)&gt;0,"Closed","Resubmittal required"))))))</f>
        <v/>
      </c>
      <c r="W88" s="36" t="str">
        <f aca="false">IF($J88="","",IF(OR($V88="Closed",$V88="Superseded",$V88="Void"),"Closed",IF(OR($V88="Not submitted",$V88="Resubmittal required"),"Contractor","Reviewer")))</f>
        <v/>
      </c>
      <c r="X88" s="44"/>
      <c r="Y88" s="45"/>
      <c r="Z88" s="38" t="str">
        <f aca="false">IF(OR($J88="",$Y88="",$X88="",$V88="Void",$V88="Superseded"),"",$Y88-N($X88)*7-IF($Q88="Sequential",Setup!$D$20,Setup!$D$19)-Setup!$D$22)</f>
        <v/>
      </c>
      <c r="AA88" s="39" t="str">
        <f aca="true">IF($Z88="","",IF($N88&lt;&gt;"",$Z88-$N88,$Z88-TODAY()))</f>
        <v/>
      </c>
      <c r="AB88" s="36" t="str">
        <f aca="false">IF(OR($X88="",$V88="Void",$V88="Superseded"),"",IF(N($X88)&gt;=Setup!$D$23,"Long lead",""))</f>
        <v/>
      </c>
      <c r="AC88" s="46"/>
      <c r="AD88" s="47"/>
      <c r="AE88" s="47"/>
    </row>
    <row r="89" customFormat="false" ht="30" hidden="false" customHeight="true" outlineLevel="0" collapsed="false">
      <c r="A89" s="31"/>
      <c r="B89" s="32" t="str">
        <f aca="false">IF($J89="","",ROW()-8)</f>
        <v/>
      </c>
      <c r="C89" s="33" t="str">
        <f aca="false">IF($J89="","",$D89&amp;"-"&amp;TEXT($E89,"000")&amp;IF(N($F89)&gt;0,"."&amp;TEXT($F89,"00"),""))</f>
        <v/>
      </c>
      <c r="D89" s="34"/>
      <c r="E89" s="35"/>
      <c r="F89" s="35"/>
      <c r="G89" s="34"/>
      <c r="H89" s="34"/>
      <c r="I89" s="34"/>
      <c r="J89" s="34"/>
      <c r="K89" s="34"/>
      <c r="L89" s="36" t="str">
        <f aca="false">IF($K89="","",IFERROR(INDEX(Reference!$D$53:$D$67,MATCH($K89,Reference!$B$53:$B$67,0)),""))</f>
        <v/>
      </c>
      <c r="M89" s="34"/>
      <c r="N89" s="37"/>
      <c r="O89" s="37"/>
      <c r="P89" s="34"/>
      <c r="Q89" s="35"/>
      <c r="R89" s="38" t="str">
        <f aca="false">IF($O89="","",$O89+IF(N($F89)&gt;0,Setup!$D$21,IF($Q89="Sequential",Setup!$D$20,Setup!$D$19)))</f>
        <v/>
      </c>
      <c r="S89" s="37"/>
      <c r="T89" s="35"/>
      <c r="U89" s="39" t="str">
        <f aca="true">IF($O89="","",IF($S89&lt;&gt;"",$S89-$O89,TODAY()-$O89))</f>
        <v/>
      </c>
      <c r="V89" s="36" t="str">
        <f aca="true">IF($J89="","",IF($AD89="Yes","Void",IF(COUNTIFS($D$9:$D$208,$D89,$E$9:$E$208,$E89,$F$9:$F$208,"&gt;"&amp;N($F89))&gt;0,"Superseded",IF($N89="","Not submitted",IF($S89="",IF(AND($R89&lt;&gt;"",$R89&lt;TODAY()),"Overdue with reviewer","In review"),IF(COUNTIF(Reference!$B$70:$B$80,$T89)&gt;0,"Closed","Resubmittal required"))))))</f>
        <v/>
      </c>
      <c r="W89" s="36" t="str">
        <f aca="false">IF($J89="","",IF(OR($V89="Closed",$V89="Superseded",$V89="Void"),"Closed",IF(OR($V89="Not submitted",$V89="Resubmittal required"),"Contractor","Reviewer")))</f>
        <v/>
      </c>
      <c r="X89" s="35"/>
      <c r="Y89" s="37"/>
      <c r="Z89" s="38" t="str">
        <f aca="false">IF(OR($J89="",$Y89="",$X89="",$V89="Void",$V89="Superseded"),"",$Y89-N($X89)*7-IF($Q89="Sequential",Setup!$D$20,Setup!$D$19)-Setup!$D$22)</f>
        <v/>
      </c>
      <c r="AA89" s="39" t="str">
        <f aca="true">IF($Z89="","",IF($N89&lt;&gt;"",$Z89-$N89,$Z89-TODAY()))</f>
        <v/>
      </c>
      <c r="AB89" s="36" t="str">
        <f aca="false">IF(OR($X89="",$V89="Void",$V89="Superseded"),"",IF(N($X89)&gt;=Setup!$D$23,"Long lead",""))</f>
        <v/>
      </c>
      <c r="AC89" s="40"/>
      <c r="AD89" s="41"/>
      <c r="AE89" s="41"/>
    </row>
    <row r="90" customFormat="false" ht="30" hidden="false" customHeight="true" outlineLevel="0" collapsed="false">
      <c r="A90" s="31"/>
      <c r="B90" s="32" t="str">
        <f aca="false">IF($J90="","",ROW()-8)</f>
        <v/>
      </c>
      <c r="C90" s="33" t="str">
        <f aca="false">IF($J90="","",$D90&amp;"-"&amp;TEXT($E90,"000")&amp;IF(N($F90)&gt;0,"."&amp;TEXT($F90,"00"),""))</f>
        <v/>
      </c>
      <c r="D90" s="43"/>
      <c r="E90" s="44"/>
      <c r="F90" s="44"/>
      <c r="G90" s="43"/>
      <c r="H90" s="43"/>
      <c r="I90" s="43"/>
      <c r="J90" s="43"/>
      <c r="K90" s="43"/>
      <c r="L90" s="36" t="str">
        <f aca="false">IF($K90="","",IFERROR(INDEX(Reference!$D$53:$D$67,MATCH($K90,Reference!$B$53:$B$67,0)),""))</f>
        <v/>
      </c>
      <c r="M90" s="43"/>
      <c r="N90" s="45"/>
      <c r="O90" s="45"/>
      <c r="P90" s="43"/>
      <c r="Q90" s="44"/>
      <c r="R90" s="38" t="str">
        <f aca="false">IF($O90="","",$O90+IF(N($F90)&gt;0,Setup!$D$21,IF($Q90="Sequential",Setup!$D$20,Setup!$D$19)))</f>
        <v/>
      </c>
      <c r="S90" s="45"/>
      <c r="T90" s="44"/>
      <c r="U90" s="39" t="str">
        <f aca="true">IF($O90="","",IF($S90&lt;&gt;"",$S90-$O90,TODAY()-$O90))</f>
        <v/>
      </c>
      <c r="V90" s="36" t="str">
        <f aca="true">IF($J90="","",IF($AD90="Yes","Void",IF(COUNTIFS($D$9:$D$208,$D90,$E$9:$E$208,$E90,$F$9:$F$208,"&gt;"&amp;N($F90))&gt;0,"Superseded",IF($N90="","Not submitted",IF($S90="",IF(AND($R90&lt;&gt;"",$R90&lt;TODAY()),"Overdue with reviewer","In review"),IF(COUNTIF(Reference!$B$70:$B$80,$T90)&gt;0,"Closed","Resubmittal required"))))))</f>
        <v/>
      </c>
      <c r="W90" s="36" t="str">
        <f aca="false">IF($J90="","",IF(OR($V90="Closed",$V90="Superseded",$V90="Void"),"Closed",IF(OR($V90="Not submitted",$V90="Resubmittal required"),"Contractor","Reviewer")))</f>
        <v/>
      </c>
      <c r="X90" s="44"/>
      <c r="Y90" s="45"/>
      <c r="Z90" s="38" t="str">
        <f aca="false">IF(OR($J90="",$Y90="",$X90="",$V90="Void",$V90="Superseded"),"",$Y90-N($X90)*7-IF($Q90="Sequential",Setup!$D$20,Setup!$D$19)-Setup!$D$22)</f>
        <v/>
      </c>
      <c r="AA90" s="39" t="str">
        <f aca="true">IF($Z90="","",IF($N90&lt;&gt;"",$Z90-$N90,$Z90-TODAY()))</f>
        <v/>
      </c>
      <c r="AB90" s="36" t="str">
        <f aca="false">IF(OR($X90="",$V90="Void",$V90="Superseded"),"",IF(N($X90)&gt;=Setup!$D$23,"Long lead",""))</f>
        <v/>
      </c>
      <c r="AC90" s="46"/>
      <c r="AD90" s="47"/>
      <c r="AE90" s="47"/>
    </row>
    <row r="91" customFormat="false" ht="30" hidden="false" customHeight="true" outlineLevel="0" collapsed="false">
      <c r="A91" s="31"/>
      <c r="B91" s="32" t="str">
        <f aca="false">IF($J91="","",ROW()-8)</f>
        <v/>
      </c>
      <c r="C91" s="33" t="str">
        <f aca="false">IF($J91="","",$D91&amp;"-"&amp;TEXT($E91,"000")&amp;IF(N($F91)&gt;0,"."&amp;TEXT($F91,"00"),""))</f>
        <v/>
      </c>
      <c r="D91" s="34"/>
      <c r="E91" s="35"/>
      <c r="F91" s="35"/>
      <c r="G91" s="34"/>
      <c r="H91" s="34"/>
      <c r="I91" s="34"/>
      <c r="J91" s="34"/>
      <c r="K91" s="34"/>
      <c r="L91" s="36" t="str">
        <f aca="false">IF($K91="","",IFERROR(INDEX(Reference!$D$53:$D$67,MATCH($K91,Reference!$B$53:$B$67,0)),""))</f>
        <v/>
      </c>
      <c r="M91" s="34"/>
      <c r="N91" s="37"/>
      <c r="O91" s="37"/>
      <c r="P91" s="34"/>
      <c r="Q91" s="35"/>
      <c r="R91" s="38" t="str">
        <f aca="false">IF($O91="","",$O91+IF(N($F91)&gt;0,Setup!$D$21,IF($Q91="Sequential",Setup!$D$20,Setup!$D$19)))</f>
        <v/>
      </c>
      <c r="S91" s="37"/>
      <c r="T91" s="35"/>
      <c r="U91" s="39" t="str">
        <f aca="true">IF($O91="","",IF($S91&lt;&gt;"",$S91-$O91,TODAY()-$O91))</f>
        <v/>
      </c>
      <c r="V91" s="36" t="str">
        <f aca="true">IF($J91="","",IF($AD91="Yes","Void",IF(COUNTIFS($D$9:$D$208,$D91,$E$9:$E$208,$E91,$F$9:$F$208,"&gt;"&amp;N($F91))&gt;0,"Superseded",IF($N91="","Not submitted",IF($S91="",IF(AND($R91&lt;&gt;"",$R91&lt;TODAY()),"Overdue with reviewer","In review"),IF(COUNTIF(Reference!$B$70:$B$80,$T91)&gt;0,"Closed","Resubmittal required"))))))</f>
        <v/>
      </c>
      <c r="W91" s="36" t="str">
        <f aca="false">IF($J91="","",IF(OR($V91="Closed",$V91="Superseded",$V91="Void"),"Closed",IF(OR($V91="Not submitted",$V91="Resubmittal required"),"Contractor","Reviewer")))</f>
        <v/>
      </c>
      <c r="X91" s="35"/>
      <c r="Y91" s="37"/>
      <c r="Z91" s="38" t="str">
        <f aca="false">IF(OR($J91="",$Y91="",$X91="",$V91="Void",$V91="Superseded"),"",$Y91-N($X91)*7-IF($Q91="Sequential",Setup!$D$20,Setup!$D$19)-Setup!$D$22)</f>
        <v/>
      </c>
      <c r="AA91" s="39" t="str">
        <f aca="true">IF($Z91="","",IF($N91&lt;&gt;"",$Z91-$N91,$Z91-TODAY()))</f>
        <v/>
      </c>
      <c r="AB91" s="36" t="str">
        <f aca="false">IF(OR($X91="",$V91="Void",$V91="Superseded"),"",IF(N($X91)&gt;=Setup!$D$23,"Long lead",""))</f>
        <v/>
      </c>
      <c r="AC91" s="40"/>
      <c r="AD91" s="41"/>
      <c r="AE91" s="41"/>
    </row>
    <row r="92" customFormat="false" ht="30" hidden="false" customHeight="true" outlineLevel="0" collapsed="false">
      <c r="A92" s="31"/>
      <c r="B92" s="32" t="str">
        <f aca="false">IF($J92="","",ROW()-8)</f>
        <v/>
      </c>
      <c r="C92" s="33" t="str">
        <f aca="false">IF($J92="","",$D92&amp;"-"&amp;TEXT($E92,"000")&amp;IF(N($F92)&gt;0,"."&amp;TEXT($F92,"00"),""))</f>
        <v/>
      </c>
      <c r="D92" s="43"/>
      <c r="E92" s="44"/>
      <c r="F92" s="44"/>
      <c r="G92" s="43"/>
      <c r="H92" s="43"/>
      <c r="I92" s="43"/>
      <c r="J92" s="43"/>
      <c r="K92" s="43"/>
      <c r="L92" s="36" t="str">
        <f aca="false">IF($K92="","",IFERROR(INDEX(Reference!$D$53:$D$67,MATCH($K92,Reference!$B$53:$B$67,0)),""))</f>
        <v/>
      </c>
      <c r="M92" s="43"/>
      <c r="N92" s="45"/>
      <c r="O92" s="45"/>
      <c r="P92" s="43"/>
      <c r="Q92" s="44"/>
      <c r="R92" s="38" t="str">
        <f aca="false">IF($O92="","",$O92+IF(N($F92)&gt;0,Setup!$D$21,IF($Q92="Sequential",Setup!$D$20,Setup!$D$19)))</f>
        <v/>
      </c>
      <c r="S92" s="45"/>
      <c r="T92" s="44"/>
      <c r="U92" s="39" t="str">
        <f aca="true">IF($O92="","",IF($S92&lt;&gt;"",$S92-$O92,TODAY()-$O92))</f>
        <v/>
      </c>
      <c r="V92" s="36" t="str">
        <f aca="true">IF($J92="","",IF($AD92="Yes","Void",IF(COUNTIFS($D$9:$D$208,$D92,$E$9:$E$208,$E92,$F$9:$F$208,"&gt;"&amp;N($F92))&gt;0,"Superseded",IF($N92="","Not submitted",IF($S92="",IF(AND($R92&lt;&gt;"",$R92&lt;TODAY()),"Overdue with reviewer","In review"),IF(COUNTIF(Reference!$B$70:$B$80,$T92)&gt;0,"Closed","Resubmittal required"))))))</f>
        <v/>
      </c>
      <c r="W92" s="36" t="str">
        <f aca="false">IF($J92="","",IF(OR($V92="Closed",$V92="Superseded",$V92="Void"),"Closed",IF(OR($V92="Not submitted",$V92="Resubmittal required"),"Contractor","Reviewer")))</f>
        <v/>
      </c>
      <c r="X92" s="44"/>
      <c r="Y92" s="45"/>
      <c r="Z92" s="38" t="str">
        <f aca="false">IF(OR($J92="",$Y92="",$X92="",$V92="Void",$V92="Superseded"),"",$Y92-N($X92)*7-IF($Q92="Sequential",Setup!$D$20,Setup!$D$19)-Setup!$D$22)</f>
        <v/>
      </c>
      <c r="AA92" s="39" t="str">
        <f aca="true">IF($Z92="","",IF($N92&lt;&gt;"",$Z92-$N92,$Z92-TODAY()))</f>
        <v/>
      </c>
      <c r="AB92" s="36" t="str">
        <f aca="false">IF(OR($X92="",$V92="Void",$V92="Superseded"),"",IF(N($X92)&gt;=Setup!$D$23,"Long lead",""))</f>
        <v/>
      </c>
      <c r="AC92" s="46"/>
      <c r="AD92" s="47"/>
      <c r="AE92" s="47"/>
    </row>
    <row r="93" customFormat="false" ht="30" hidden="false" customHeight="true" outlineLevel="0" collapsed="false">
      <c r="A93" s="31"/>
      <c r="B93" s="32" t="str">
        <f aca="false">IF($J93="","",ROW()-8)</f>
        <v/>
      </c>
      <c r="C93" s="33" t="str">
        <f aca="false">IF($J93="","",$D93&amp;"-"&amp;TEXT($E93,"000")&amp;IF(N($F93)&gt;0,"."&amp;TEXT($F93,"00"),""))</f>
        <v/>
      </c>
      <c r="D93" s="34"/>
      <c r="E93" s="35"/>
      <c r="F93" s="35"/>
      <c r="G93" s="34"/>
      <c r="H93" s="34"/>
      <c r="I93" s="34"/>
      <c r="J93" s="34"/>
      <c r="K93" s="34"/>
      <c r="L93" s="36" t="str">
        <f aca="false">IF($K93="","",IFERROR(INDEX(Reference!$D$53:$D$67,MATCH($K93,Reference!$B$53:$B$67,0)),""))</f>
        <v/>
      </c>
      <c r="M93" s="34"/>
      <c r="N93" s="37"/>
      <c r="O93" s="37"/>
      <c r="P93" s="34"/>
      <c r="Q93" s="35"/>
      <c r="R93" s="38" t="str">
        <f aca="false">IF($O93="","",$O93+IF(N($F93)&gt;0,Setup!$D$21,IF($Q93="Sequential",Setup!$D$20,Setup!$D$19)))</f>
        <v/>
      </c>
      <c r="S93" s="37"/>
      <c r="T93" s="35"/>
      <c r="U93" s="39" t="str">
        <f aca="true">IF($O93="","",IF($S93&lt;&gt;"",$S93-$O93,TODAY()-$O93))</f>
        <v/>
      </c>
      <c r="V93" s="36" t="str">
        <f aca="true">IF($J93="","",IF($AD93="Yes","Void",IF(COUNTIFS($D$9:$D$208,$D93,$E$9:$E$208,$E93,$F$9:$F$208,"&gt;"&amp;N($F93))&gt;0,"Superseded",IF($N93="","Not submitted",IF($S93="",IF(AND($R93&lt;&gt;"",$R93&lt;TODAY()),"Overdue with reviewer","In review"),IF(COUNTIF(Reference!$B$70:$B$80,$T93)&gt;0,"Closed","Resubmittal required"))))))</f>
        <v/>
      </c>
      <c r="W93" s="36" t="str">
        <f aca="false">IF($J93="","",IF(OR($V93="Closed",$V93="Superseded",$V93="Void"),"Closed",IF(OR($V93="Not submitted",$V93="Resubmittal required"),"Contractor","Reviewer")))</f>
        <v/>
      </c>
      <c r="X93" s="35"/>
      <c r="Y93" s="37"/>
      <c r="Z93" s="38" t="str">
        <f aca="false">IF(OR($J93="",$Y93="",$X93="",$V93="Void",$V93="Superseded"),"",$Y93-N($X93)*7-IF($Q93="Sequential",Setup!$D$20,Setup!$D$19)-Setup!$D$22)</f>
        <v/>
      </c>
      <c r="AA93" s="39" t="str">
        <f aca="true">IF($Z93="","",IF($N93&lt;&gt;"",$Z93-$N93,$Z93-TODAY()))</f>
        <v/>
      </c>
      <c r="AB93" s="36" t="str">
        <f aca="false">IF(OR($X93="",$V93="Void",$V93="Superseded"),"",IF(N($X93)&gt;=Setup!$D$23,"Long lead",""))</f>
        <v/>
      </c>
      <c r="AC93" s="40"/>
      <c r="AD93" s="41"/>
      <c r="AE93" s="41"/>
    </row>
    <row r="94" customFormat="false" ht="30" hidden="false" customHeight="true" outlineLevel="0" collapsed="false">
      <c r="A94" s="31"/>
      <c r="B94" s="32" t="str">
        <f aca="false">IF($J94="","",ROW()-8)</f>
        <v/>
      </c>
      <c r="C94" s="33" t="str">
        <f aca="false">IF($J94="","",$D94&amp;"-"&amp;TEXT($E94,"000")&amp;IF(N($F94)&gt;0,"."&amp;TEXT($F94,"00"),""))</f>
        <v/>
      </c>
      <c r="D94" s="43"/>
      <c r="E94" s="44"/>
      <c r="F94" s="44"/>
      <c r="G94" s="43"/>
      <c r="H94" s="43"/>
      <c r="I94" s="43"/>
      <c r="J94" s="43"/>
      <c r="K94" s="43"/>
      <c r="L94" s="36" t="str">
        <f aca="false">IF($K94="","",IFERROR(INDEX(Reference!$D$53:$D$67,MATCH($K94,Reference!$B$53:$B$67,0)),""))</f>
        <v/>
      </c>
      <c r="M94" s="43"/>
      <c r="N94" s="45"/>
      <c r="O94" s="45"/>
      <c r="P94" s="43"/>
      <c r="Q94" s="44"/>
      <c r="R94" s="38" t="str">
        <f aca="false">IF($O94="","",$O94+IF(N($F94)&gt;0,Setup!$D$21,IF($Q94="Sequential",Setup!$D$20,Setup!$D$19)))</f>
        <v/>
      </c>
      <c r="S94" s="45"/>
      <c r="T94" s="44"/>
      <c r="U94" s="39" t="str">
        <f aca="true">IF($O94="","",IF($S94&lt;&gt;"",$S94-$O94,TODAY()-$O94))</f>
        <v/>
      </c>
      <c r="V94" s="36" t="str">
        <f aca="true">IF($J94="","",IF($AD94="Yes","Void",IF(COUNTIFS($D$9:$D$208,$D94,$E$9:$E$208,$E94,$F$9:$F$208,"&gt;"&amp;N($F94))&gt;0,"Superseded",IF($N94="","Not submitted",IF($S94="",IF(AND($R94&lt;&gt;"",$R94&lt;TODAY()),"Overdue with reviewer","In review"),IF(COUNTIF(Reference!$B$70:$B$80,$T94)&gt;0,"Closed","Resubmittal required"))))))</f>
        <v/>
      </c>
      <c r="W94" s="36" t="str">
        <f aca="false">IF($J94="","",IF(OR($V94="Closed",$V94="Superseded",$V94="Void"),"Closed",IF(OR($V94="Not submitted",$V94="Resubmittal required"),"Contractor","Reviewer")))</f>
        <v/>
      </c>
      <c r="X94" s="44"/>
      <c r="Y94" s="45"/>
      <c r="Z94" s="38" t="str">
        <f aca="false">IF(OR($J94="",$Y94="",$X94="",$V94="Void",$V94="Superseded"),"",$Y94-N($X94)*7-IF($Q94="Sequential",Setup!$D$20,Setup!$D$19)-Setup!$D$22)</f>
        <v/>
      </c>
      <c r="AA94" s="39" t="str">
        <f aca="true">IF($Z94="","",IF($N94&lt;&gt;"",$Z94-$N94,$Z94-TODAY()))</f>
        <v/>
      </c>
      <c r="AB94" s="36" t="str">
        <f aca="false">IF(OR($X94="",$V94="Void",$V94="Superseded"),"",IF(N($X94)&gt;=Setup!$D$23,"Long lead",""))</f>
        <v/>
      </c>
      <c r="AC94" s="46"/>
      <c r="AD94" s="47"/>
      <c r="AE94" s="47"/>
    </row>
    <row r="95" customFormat="false" ht="30" hidden="false" customHeight="true" outlineLevel="0" collapsed="false">
      <c r="A95" s="31"/>
      <c r="B95" s="32" t="str">
        <f aca="false">IF($J95="","",ROW()-8)</f>
        <v/>
      </c>
      <c r="C95" s="33" t="str">
        <f aca="false">IF($J95="","",$D95&amp;"-"&amp;TEXT($E95,"000")&amp;IF(N($F95)&gt;0,"."&amp;TEXT($F95,"00"),""))</f>
        <v/>
      </c>
      <c r="D95" s="34"/>
      <c r="E95" s="35"/>
      <c r="F95" s="35"/>
      <c r="G95" s="34"/>
      <c r="H95" s="34"/>
      <c r="I95" s="34"/>
      <c r="J95" s="34"/>
      <c r="K95" s="34"/>
      <c r="L95" s="36" t="str">
        <f aca="false">IF($K95="","",IFERROR(INDEX(Reference!$D$53:$D$67,MATCH($K95,Reference!$B$53:$B$67,0)),""))</f>
        <v/>
      </c>
      <c r="M95" s="34"/>
      <c r="N95" s="37"/>
      <c r="O95" s="37"/>
      <c r="P95" s="34"/>
      <c r="Q95" s="35"/>
      <c r="R95" s="38" t="str">
        <f aca="false">IF($O95="","",$O95+IF(N($F95)&gt;0,Setup!$D$21,IF($Q95="Sequential",Setup!$D$20,Setup!$D$19)))</f>
        <v/>
      </c>
      <c r="S95" s="37"/>
      <c r="T95" s="35"/>
      <c r="U95" s="39" t="str">
        <f aca="true">IF($O95="","",IF($S95&lt;&gt;"",$S95-$O95,TODAY()-$O95))</f>
        <v/>
      </c>
      <c r="V95" s="36" t="str">
        <f aca="true">IF($J95="","",IF($AD95="Yes","Void",IF(COUNTIFS($D$9:$D$208,$D95,$E$9:$E$208,$E95,$F$9:$F$208,"&gt;"&amp;N($F95))&gt;0,"Superseded",IF($N95="","Not submitted",IF($S95="",IF(AND($R95&lt;&gt;"",$R95&lt;TODAY()),"Overdue with reviewer","In review"),IF(COUNTIF(Reference!$B$70:$B$80,$T95)&gt;0,"Closed","Resubmittal required"))))))</f>
        <v/>
      </c>
      <c r="W95" s="36" t="str">
        <f aca="false">IF($J95="","",IF(OR($V95="Closed",$V95="Superseded",$V95="Void"),"Closed",IF(OR($V95="Not submitted",$V95="Resubmittal required"),"Contractor","Reviewer")))</f>
        <v/>
      </c>
      <c r="X95" s="35"/>
      <c r="Y95" s="37"/>
      <c r="Z95" s="38" t="str">
        <f aca="false">IF(OR($J95="",$Y95="",$X95="",$V95="Void",$V95="Superseded"),"",$Y95-N($X95)*7-IF($Q95="Sequential",Setup!$D$20,Setup!$D$19)-Setup!$D$22)</f>
        <v/>
      </c>
      <c r="AA95" s="39" t="str">
        <f aca="true">IF($Z95="","",IF($N95&lt;&gt;"",$Z95-$N95,$Z95-TODAY()))</f>
        <v/>
      </c>
      <c r="AB95" s="36" t="str">
        <f aca="false">IF(OR($X95="",$V95="Void",$V95="Superseded"),"",IF(N($X95)&gt;=Setup!$D$23,"Long lead",""))</f>
        <v/>
      </c>
      <c r="AC95" s="40"/>
      <c r="AD95" s="41"/>
      <c r="AE95" s="41"/>
    </row>
    <row r="96" customFormat="false" ht="30" hidden="false" customHeight="true" outlineLevel="0" collapsed="false">
      <c r="A96" s="31"/>
      <c r="B96" s="32" t="str">
        <f aca="false">IF($J96="","",ROW()-8)</f>
        <v/>
      </c>
      <c r="C96" s="33" t="str">
        <f aca="false">IF($J96="","",$D96&amp;"-"&amp;TEXT($E96,"000")&amp;IF(N($F96)&gt;0,"."&amp;TEXT($F96,"00"),""))</f>
        <v/>
      </c>
      <c r="D96" s="43"/>
      <c r="E96" s="44"/>
      <c r="F96" s="44"/>
      <c r="G96" s="43"/>
      <c r="H96" s="43"/>
      <c r="I96" s="43"/>
      <c r="J96" s="43"/>
      <c r="K96" s="43"/>
      <c r="L96" s="36" t="str">
        <f aca="false">IF($K96="","",IFERROR(INDEX(Reference!$D$53:$D$67,MATCH($K96,Reference!$B$53:$B$67,0)),""))</f>
        <v/>
      </c>
      <c r="M96" s="43"/>
      <c r="N96" s="45"/>
      <c r="O96" s="45"/>
      <c r="P96" s="43"/>
      <c r="Q96" s="44"/>
      <c r="R96" s="38" t="str">
        <f aca="false">IF($O96="","",$O96+IF(N($F96)&gt;0,Setup!$D$21,IF($Q96="Sequential",Setup!$D$20,Setup!$D$19)))</f>
        <v/>
      </c>
      <c r="S96" s="45"/>
      <c r="T96" s="44"/>
      <c r="U96" s="39" t="str">
        <f aca="true">IF($O96="","",IF($S96&lt;&gt;"",$S96-$O96,TODAY()-$O96))</f>
        <v/>
      </c>
      <c r="V96" s="36" t="str">
        <f aca="true">IF($J96="","",IF($AD96="Yes","Void",IF(COUNTIFS($D$9:$D$208,$D96,$E$9:$E$208,$E96,$F$9:$F$208,"&gt;"&amp;N($F96))&gt;0,"Superseded",IF($N96="","Not submitted",IF($S96="",IF(AND($R96&lt;&gt;"",$R96&lt;TODAY()),"Overdue with reviewer","In review"),IF(COUNTIF(Reference!$B$70:$B$80,$T96)&gt;0,"Closed","Resubmittal required"))))))</f>
        <v/>
      </c>
      <c r="W96" s="36" t="str">
        <f aca="false">IF($J96="","",IF(OR($V96="Closed",$V96="Superseded",$V96="Void"),"Closed",IF(OR($V96="Not submitted",$V96="Resubmittal required"),"Contractor","Reviewer")))</f>
        <v/>
      </c>
      <c r="X96" s="44"/>
      <c r="Y96" s="45"/>
      <c r="Z96" s="38" t="str">
        <f aca="false">IF(OR($J96="",$Y96="",$X96="",$V96="Void",$V96="Superseded"),"",$Y96-N($X96)*7-IF($Q96="Sequential",Setup!$D$20,Setup!$D$19)-Setup!$D$22)</f>
        <v/>
      </c>
      <c r="AA96" s="39" t="str">
        <f aca="true">IF($Z96="","",IF($N96&lt;&gt;"",$Z96-$N96,$Z96-TODAY()))</f>
        <v/>
      </c>
      <c r="AB96" s="36" t="str">
        <f aca="false">IF(OR($X96="",$V96="Void",$V96="Superseded"),"",IF(N($X96)&gt;=Setup!$D$23,"Long lead",""))</f>
        <v/>
      </c>
      <c r="AC96" s="46"/>
      <c r="AD96" s="47"/>
      <c r="AE96" s="47"/>
    </row>
    <row r="97" customFormat="false" ht="30" hidden="false" customHeight="true" outlineLevel="0" collapsed="false">
      <c r="A97" s="31"/>
      <c r="B97" s="32" t="str">
        <f aca="false">IF($J97="","",ROW()-8)</f>
        <v/>
      </c>
      <c r="C97" s="33" t="str">
        <f aca="false">IF($J97="","",$D97&amp;"-"&amp;TEXT($E97,"000")&amp;IF(N($F97)&gt;0,"."&amp;TEXT($F97,"00"),""))</f>
        <v/>
      </c>
      <c r="D97" s="34"/>
      <c r="E97" s="35"/>
      <c r="F97" s="35"/>
      <c r="G97" s="34"/>
      <c r="H97" s="34"/>
      <c r="I97" s="34"/>
      <c r="J97" s="34"/>
      <c r="K97" s="34"/>
      <c r="L97" s="36" t="str">
        <f aca="false">IF($K97="","",IFERROR(INDEX(Reference!$D$53:$D$67,MATCH($K97,Reference!$B$53:$B$67,0)),""))</f>
        <v/>
      </c>
      <c r="M97" s="34"/>
      <c r="N97" s="37"/>
      <c r="O97" s="37"/>
      <c r="P97" s="34"/>
      <c r="Q97" s="35"/>
      <c r="R97" s="38" t="str">
        <f aca="false">IF($O97="","",$O97+IF(N($F97)&gt;0,Setup!$D$21,IF($Q97="Sequential",Setup!$D$20,Setup!$D$19)))</f>
        <v/>
      </c>
      <c r="S97" s="37"/>
      <c r="T97" s="35"/>
      <c r="U97" s="39" t="str">
        <f aca="true">IF($O97="","",IF($S97&lt;&gt;"",$S97-$O97,TODAY()-$O97))</f>
        <v/>
      </c>
      <c r="V97" s="36" t="str">
        <f aca="true">IF($J97="","",IF($AD97="Yes","Void",IF(COUNTIFS($D$9:$D$208,$D97,$E$9:$E$208,$E97,$F$9:$F$208,"&gt;"&amp;N($F97))&gt;0,"Superseded",IF($N97="","Not submitted",IF($S97="",IF(AND($R97&lt;&gt;"",$R97&lt;TODAY()),"Overdue with reviewer","In review"),IF(COUNTIF(Reference!$B$70:$B$80,$T97)&gt;0,"Closed","Resubmittal required"))))))</f>
        <v/>
      </c>
      <c r="W97" s="36" t="str">
        <f aca="false">IF($J97="","",IF(OR($V97="Closed",$V97="Superseded",$V97="Void"),"Closed",IF(OR($V97="Not submitted",$V97="Resubmittal required"),"Contractor","Reviewer")))</f>
        <v/>
      </c>
      <c r="X97" s="35"/>
      <c r="Y97" s="37"/>
      <c r="Z97" s="38" t="str">
        <f aca="false">IF(OR($J97="",$Y97="",$X97="",$V97="Void",$V97="Superseded"),"",$Y97-N($X97)*7-IF($Q97="Sequential",Setup!$D$20,Setup!$D$19)-Setup!$D$22)</f>
        <v/>
      </c>
      <c r="AA97" s="39" t="str">
        <f aca="true">IF($Z97="","",IF($N97&lt;&gt;"",$Z97-$N97,$Z97-TODAY()))</f>
        <v/>
      </c>
      <c r="AB97" s="36" t="str">
        <f aca="false">IF(OR($X97="",$V97="Void",$V97="Superseded"),"",IF(N($X97)&gt;=Setup!$D$23,"Long lead",""))</f>
        <v/>
      </c>
      <c r="AC97" s="40"/>
      <c r="AD97" s="41"/>
      <c r="AE97" s="41"/>
    </row>
    <row r="98" customFormat="false" ht="30" hidden="false" customHeight="true" outlineLevel="0" collapsed="false">
      <c r="A98" s="31"/>
      <c r="B98" s="32" t="str">
        <f aca="false">IF($J98="","",ROW()-8)</f>
        <v/>
      </c>
      <c r="C98" s="33" t="str">
        <f aca="false">IF($J98="","",$D98&amp;"-"&amp;TEXT($E98,"000")&amp;IF(N($F98)&gt;0,"."&amp;TEXT($F98,"00"),""))</f>
        <v/>
      </c>
      <c r="D98" s="43"/>
      <c r="E98" s="44"/>
      <c r="F98" s="44"/>
      <c r="G98" s="43"/>
      <c r="H98" s="43"/>
      <c r="I98" s="43"/>
      <c r="J98" s="43"/>
      <c r="K98" s="43"/>
      <c r="L98" s="36" t="str">
        <f aca="false">IF($K98="","",IFERROR(INDEX(Reference!$D$53:$D$67,MATCH($K98,Reference!$B$53:$B$67,0)),""))</f>
        <v/>
      </c>
      <c r="M98" s="43"/>
      <c r="N98" s="45"/>
      <c r="O98" s="45"/>
      <c r="P98" s="43"/>
      <c r="Q98" s="44"/>
      <c r="R98" s="38" t="str">
        <f aca="false">IF($O98="","",$O98+IF(N($F98)&gt;0,Setup!$D$21,IF($Q98="Sequential",Setup!$D$20,Setup!$D$19)))</f>
        <v/>
      </c>
      <c r="S98" s="45"/>
      <c r="T98" s="44"/>
      <c r="U98" s="39" t="str">
        <f aca="true">IF($O98="","",IF($S98&lt;&gt;"",$S98-$O98,TODAY()-$O98))</f>
        <v/>
      </c>
      <c r="V98" s="36" t="str">
        <f aca="true">IF($J98="","",IF($AD98="Yes","Void",IF(COUNTIFS($D$9:$D$208,$D98,$E$9:$E$208,$E98,$F$9:$F$208,"&gt;"&amp;N($F98))&gt;0,"Superseded",IF($N98="","Not submitted",IF($S98="",IF(AND($R98&lt;&gt;"",$R98&lt;TODAY()),"Overdue with reviewer","In review"),IF(COUNTIF(Reference!$B$70:$B$80,$T98)&gt;0,"Closed","Resubmittal required"))))))</f>
        <v/>
      </c>
      <c r="W98" s="36" t="str">
        <f aca="false">IF($J98="","",IF(OR($V98="Closed",$V98="Superseded",$V98="Void"),"Closed",IF(OR($V98="Not submitted",$V98="Resubmittal required"),"Contractor","Reviewer")))</f>
        <v/>
      </c>
      <c r="X98" s="44"/>
      <c r="Y98" s="45"/>
      <c r="Z98" s="38" t="str">
        <f aca="false">IF(OR($J98="",$Y98="",$X98="",$V98="Void",$V98="Superseded"),"",$Y98-N($X98)*7-IF($Q98="Sequential",Setup!$D$20,Setup!$D$19)-Setup!$D$22)</f>
        <v/>
      </c>
      <c r="AA98" s="39" t="str">
        <f aca="true">IF($Z98="","",IF($N98&lt;&gt;"",$Z98-$N98,$Z98-TODAY()))</f>
        <v/>
      </c>
      <c r="AB98" s="36" t="str">
        <f aca="false">IF(OR($X98="",$V98="Void",$V98="Superseded"),"",IF(N($X98)&gt;=Setup!$D$23,"Long lead",""))</f>
        <v/>
      </c>
      <c r="AC98" s="46"/>
      <c r="AD98" s="47"/>
      <c r="AE98" s="47"/>
    </row>
    <row r="99" customFormat="false" ht="30" hidden="false" customHeight="true" outlineLevel="0" collapsed="false">
      <c r="A99" s="31"/>
      <c r="B99" s="32" t="str">
        <f aca="false">IF($J99="","",ROW()-8)</f>
        <v/>
      </c>
      <c r="C99" s="33" t="str">
        <f aca="false">IF($J99="","",$D99&amp;"-"&amp;TEXT($E99,"000")&amp;IF(N($F99)&gt;0,"."&amp;TEXT($F99,"00"),""))</f>
        <v/>
      </c>
      <c r="D99" s="34"/>
      <c r="E99" s="35"/>
      <c r="F99" s="35"/>
      <c r="G99" s="34"/>
      <c r="H99" s="34"/>
      <c r="I99" s="34"/>
      <c r="J99" s="34"/>
      <c r="K99" s="34"/>
      <c r="L99" s="36" t="str">
        <f aca="false">IF($K99="","",IFERROR(INDEX(Reference!$D$53:$D$67,MATCH($K99,Reference!$B$53:$B$67,0)),""))</f>
        <v/>
      </c>
      <c r="M99" s="34"/>
      <c r="N99" s="37"/>
      <c r="O99" s="37"/>
      <c r="P99" s="34"/>
      <c r="Q99" s="35"/>
      <c r="R99" s="38" t="str">
        <f aca="false">IF($O99="","",$O99+IF(N($F99)&gt;0,Setup!$D$21,IF($Q99="Sequential",Setup!$D$20,Setup!$D$19)))</f>
        <v/>
      </c>
      <c r="S99" s="37"/>
      <c r="T99" s="35"/>
      <c r="U99" s="39" t="str">
        <f aca="true">IF($O99="","",IF($S99&lt;&gt;"",$S99-$O99,TODAY()-$O99))</f>
        <v/>
      </c>
      <c r="V99" s="36" t="str">
        <f aca="true">IF($J99="","",IF($AD99="Yes","Void",IF(COUNTIFS($D$9:$D$208,$D99,$E$9:$E$208,$E99,$F$9:$F$208,"&gt;"&amp;N($F99))&gt;0,"Superseded",IF($N99="","Not submitted",IF($S99="",IF(AND($R99&lt;&gt;"",$R99&lt;TODAY()),"Overdue with reviewer","In review"),IF(COUNTIF(Reference!$B$70:$B$80,$T99)&gt;0,"Closed","Resubmittal required"))))))</f>
        <v/>
      </c>
      <c r="W99" s="36" t="str">
        <f aca="false">IF($J99="","",IF(OR($V99="Closed",$V99="Superseded",$V99="Void"),"Closed",IF(OR($V99="Not submitted",$V99="Resubmittal required"),"Contractor","Reviewer")))</f>
        <v/>
      </c>
      <c r="X99" s="35"/>
      <c r="Y99" s="37"/>
      <c r="Z99" s="38" t="str">
        <f aca="false">IF(OR($J99="",$Y99="",$X99="",$V99="Void",$V99="Superseded"),"",$Y99-N($X99)*7-IF($Q99="Sequential",Setup!$D$20,Setup!$D$19)-Setup!$D$22)</f>
        <v/>
      </c>
      <c r="AA99" s="39" t="str">
        <f aca="true">IF($Z99="","",IF($N99&lt;&gt;"",$Z99-$N99,$Z99-TODAY()))</f>
        <v/>
      </c>
      <c r="AB99" s="36" t="str">
        <f aca="false">IF(OR($X99="",$V99="Void",$V99="Superseded"),"",IF(N($X99)&gt;=Setup!$D$23,"Long lead",""))</f>
        <v/>
      </c>
      <c r="AC99" s="40"/>
      <c r="AD99" s="41"/>
      <c r="AE99" s="41"/>
    </row>
    <row r="100" customFormat="false" ht="30" hidden="false" customHeight="true" outlineLevel="0" collapsed="false">
      <c r="A100" s="31"/>
      <c r="B100" s="32" t="str">
        <f aca="false">IF($J100="","",ROW()-8)</f>
        <v/>
      </c>
      <c r="C100" s="33" t="str">
        <f aca="false">IF($J100="","",$D100&amp;"-"&amp;TEXT($E100,"000")&amp;IF(N($F100)&gt;0,"."&amp;TEXT($F100,"00"),""))</f>
        <v/>
      </c>
      <c r="D100" s="43"/>
      <c r="E100" s="44"/>
      <c r="F100" s="44"/>
      <c r="G100" s="43"/>
      <c r="H100" s="43"/>
      <c r="I100" s="43"/>
      <c r="J100" s="43"/>
      <c r="K100" s="43"/>
      <c r="L100" s="36" t="str">
        <f aca="false">IF($K100="","",IFERROR(INDEX(Reference!$D$53:$D$67,MATCH($K100,Reference!$B$53:$B$67,0)),""))</f>
        <v/>
      </c>
      <c r="M100" s="43"/>
      <c r="N100" s="45"/>
      <c r="O100" s="45"/>
      <c r="P100" s="43"/>
      <c r="Q100" s="44"/>
      <c r="R100" s="38" t="str">
        <f aca="false">IF($O100="","",$O100+IF(N($F100)&gt;0,Setup!$D$21,IF($Q100="Sequential",Setup!$D$20,Setup!$D$19)))</f>
        <v/>
      </c>
      <c r="S100" s="45"/>
      <c r="T100" s="44"/>
      <c r="U100" s="39" t="str">
        <f aca="true">IF($O100="","",IF($S100&lt;&gt;"",$S100-$O100,TODAY()-$O100))</f>
        <v/>
      </c>
      <c r="V100" s="36" t="str">
        <f aca="true">IF($J100="","",IF($AD100="Yes","Void",IF(COUNTIFS($D$9:$D$208,$D100,$E$9:$E$208,$E100,$F$9:$F$208,"&gt;"&amp;N($F100))&gt;0,"Superseded",IF($N100="","Not submitted",IF($S100="",IF(AND($R100&lt;&gt;"",$R100&lt;TODAY()),"Overdue with reviewer","In review"),IF(COUNTIF(Reference!$B$70:$B$80,$T100)&gt;0,"Closed","Resubmittal required"))))))</f>
        <v/>
      </c>
      <c r="W100" s="36" t="str">
        <f aca="false">IF($J100="","",IF(OR($V100="Closed",$V100="Superseded",$V100="Void"),"Closed",IF(OR($V100="Not submitted",$V100="Resubmittal required"),"Contractor","Reviewer")))</f>
        <v/>
      </c>
      <c r="X100" s="44"/>
      <c r="Y100" s="45"/>
      <c r="Z100" s="38" t="str">
        <f aca="false">IF(OR($J100="",$Y100="",$X100="",$V100="Void",$V100="Superseded"),"",$Y100-N($X100)*7-IF($Q100="Sequential",Setup!$D$20,Setup!$D$19)-Setup!$D$22)</f>
        <v/>
      </c>
      <c r="AA100" s="39" t="str">
        <f aca="true">IF($Z100="","",IF($N100&lt;&gt;"",$Z100-$N100,$Z100-TODAY()))</f>
        <v/>
      </c>
      <c r="AB100" s="36" t="str">
        <f aca="false">IF(OR($X100="",$V100="Void",$V100="Superseded"),"",IF(N($X100)&gt;=Setup!$D$23,"Long lead",""))</f>
        <v/>
      </c>
      <c r="AC100" s="46"/>
      <c r="AD100" s="47"/>
      <c r="AE100" s="47"/>
    </row>
    <row r="101" customFormat="false" ht="30" hidden="false" customHeight="true" outlineLevel="0" collapsed="false">
      <c r="A101" s="31"/>
      <c r="B101" s="32" t="str">
        <f aca="false">IF($J101="","",ROW()-8)</f>
        <v/>
      </c>
      <c r="C101" s="33" t="str">
        <f aca="false">IF($J101="","",$D101&amp;"-"&amp;TEXT($E101,"000")&amp;IF(N($F101)&gt;0,"."&amp;TEXT($F101,"00"),""))</f>
        <v/>
      </c>
      <c r="D101" s="34"/>
      <c r="E101" s="35"/>
      <c r="F101" s="35"/>
      <c r="G101" s="34"/>
      <c r="H101" s="34"/>
      <c r="I101" s="34"/>
      <c r="J101" s="34"/>
      <c r="K101" s="34"/>
      <c r="L101" s="36" t="str">
        <f aca="false">IF($K101="","",IFERROR(INDEX(Reference!$D$53:$D$67,MATCH($K101,Reference!$B$53:$B$67,0)),""))</f>
        <v/>
      </c>
      <c r="M101" s="34"/>
      <c r="N101" s="37"/>
      <c r="O101" s="37"/>
      <c r="P101" s="34"/>
      <c r="Q101" s="35"/>
      <c r="R101" s="38" t="str">
        <f aca="false">IF($O101="","",$O101+IF(N($F101)&gt;0,Setup!$D$21,IF($Q101="Sequential",Setup!$D$20,Setup!$D$19)))</f>
        <v/>
      </c>
      <c r="S101" s="37"/>
      <c r="T101" s="35"/>
      <c r="U101" s="39" t="str">
        <f aca="true">IF($O101="","",IF($S101&lt;&gt;"",$S101-$O101,TODAY()-$O101))</f>
        <v/>
      </c>
      <c r="V101" s="36" t="str">
        <f aca="true">IF($J101="","",IF($AD101="Yes","Void",IF(COUNTIFS($D$9:$D$208,$D101,$E$9:$E$208,$E101,$F$9:$F$208,"&gt;"&amp;N($F101))&gt;0,"Superseded",IF($N101="","Not submitted",IF($S101="",IF(AND($R101&lt;&gt;"",$R101&lt;TODAY()),"Overdue with reviewer","In review"),IF(COUNTIF(Reference!$B$70:$B$80,$T101)&gt;0,"Closed","Resubmittal required"))))))</f>
        <v/>
      </c>
      <c r="W101" s="36" t="str">
        <f aca="false">IF($J101="","",IF(OR($V101="Closed",$V101="Superseded",$V101="Void"),"Closed",IF(OR($V101="Not submitted",$V101="Resubmittal required"),"Contractor","Reviewer")))</f>
        <v/>
      </c>
      <c r="X101" s="35"/>
      <c r="Y101" s="37"/>
      <c r="Z101" s="38" t="str">
        <f aca="false">IF(OR($J101="",$Y101="",$X101="",$V101="Void",$V101="Superseded"),"",$Y101-N($X101)*7-IF($Q101="Sequential",Setup!$D$20,Setup!$D$19)-Setup!$D$22)</f>
        <v/>
      </c>
      <c r="AA101" s="39" t="str">
        <f aca="true">IF($Z101="","",IF($N101&lt;&gt;"",$Z101-$N101,$Z101-TODAY()))</f>
        <v/>
      </c>
      <c r="AB101" s="36" t="str">
        <f aca="false">IF(OR($X101="",$V101="Void",$V101="Superseded"),"",IF(N($X101)&gt;=Setup!$D$23,"Long lead",""))</f>
        <v/>
      </c>
      <c r="AC101" s="40"/>
      <c r="AD101" s="41"/>
      <c r="AE101" s="41"/>
    </row>
    <row r="102" customFormat="false" ht="30" hidden="false" customHeight="true" outlineLevel="0" collapsed="false">
      <c r="A102" s="31"/>
      <c r="B102" s="32" t="str">
        <f aca="false">IF($J102="","",ROW()-8)</f>
        <v/>
      </c>
      <c r="C102" s="33" t="str">
        <f aca="false">IF($J102="","",$D102&amp;"-"&amp;TEXT($E102,"000")&amp;IF(N($F102)&gt;0,"."&amp;TEXT($F102,"00"),""))</f>
        <v/>
      </c>
      <c r="D102" s="43"/>
      <c r="E102" s="44"/>
      <c r="F102" s="44"/>
      <c r="G102" s="43"/>
      <c r="H102" s="43"/>
      <c r="I102" s="43"/>
      <c r="J102" s="43"/>
      <c r="K102" s="43"/>
      <c r="L102" s="36" t="str">
        <f aca="false">IF($K102="","",IFERROR(INDEX(Reference!$D$53:$D$67,MATCH($K102,Reference!$B$53:$B$67,0)),""))</f>
        <v/>
      </c>
      <c r="M102" s="43"/>
      <c r="N102" s="45"/>
      <c r="O102" s="45"/>
      <c r="P102" s="43"/>
      <c r="Q102" s="44"/>
      <c r="R102" s="38" t="str">
        <f aca="false">IF($O102="","",$O102+IF(N($F102)&gt;0,Setup!$D$21,IF($Q102="Sequential",Setup!$D$20,Setup!$D$19)))</f>
        <v/>
      </c>
      <c r="S102" s="45"/>
      <c r="T102" s="44"/>
      <c r="U102" s="39" t="str">
        <f aca="true">IF($O102="","",IF($S102&lt;&gt;"",$S102-$O102,TODAY()-$O102))</f>
        <v/>
      </c>
      <c r="V102" s="36" t="str">
        <f aca="true">IF($J102="","",IF($AD102="Yes","Void",IF(COUNTIFS($D$9:$D$208,$D102,$E$9:$E$208,$E102,$F$9:$F$208,"&gt;"&amp;N($F102))&gt;0,"Superseded",IF($N102="","Not submitted",IF($S102="",IF(AND($R102&lt;&gt;"",$R102&lt;TODAY()),"Overdue with reviewer","In review"),IF(COUNTIF(Reference!$B$70:$B$80,$T102)&gt;0,"Closed","Resubmittal required"))))))</f>
        <v/>
      </c>
      <c r="W102" s="36" t="str">
        <f aca="false">IF($J102="","",IF(OR($V102="Closed",$V102="Superseded",$V102="Void"),"Closed",IF(OR($V102="Not submitted",$V102="Resubmittal required"),"Contractor","Reviewer")))</f>
        <v/>
      </c>
      <c r="X102" s="44"/>
      <c r="Y102" s="45"/>
      <c r="Z102" s="38" t="str">
        <f aca="false">IF(OR($J102="",$Y102="",$X102="",$V102="Void",$V102="Superseded"),"",$Y102-N($X102)*7-IF($Q102="Sequential",Setup!$D$20,Setup!$D$19)-Setup!$D$22)</f>
        <v/>
      </c>
      <c r="AA102" s="39" t="str">
        <f aca="true">IF($Z102="","",IF($N102&lt;&gt;"",$Z102-$N102,$Z102-TODAY()))</f>
        <v/>
      </c>
      <c r="AB102" s="36" t="str">
        <f aca="false">IF(OR($X102="",$V102="Void",$V102="Superseded"),"",IF(N($X102)&gt;=Setup!$D$23,"Long lead",""))</f>
        <v/>
      </c>
      <c r="AC102" s="46"/>
      <c r="AD102" s="47"/>
      <c r="AE102" s="47"/>
    </row>
    <row r="103" customFormat="false" ht="30" hidden="false" customHeight="true" outlineLevel="0" collapsed="false">
      <c r="A103" s="31"/>
      <c r="B103" s="32" t="str">
        <f aca="false">IF($J103="","",ROW()-8)</f>
        <v/>
      </c>
      <c r="C103" s="33" t="str">
        <f aca="false">IF($J103="","",$D103&amp;"-"&amp;TEXT($E103,"000")&amp;IF(N($F103)&gt;0,"."&amp;TEXT($F103,"00"),""))</f>
        <v/>
      </c>
      <c r="D103" s="34"/>
      <c r="E103" s="35"/>
      <c r="F103" s="35"/>
      <c r="G103" s="34"/>
      <c r="H103" s="34"/>
      <c r="I103" s="34"/>
      <c r="J103" s="34"/>
      <c r="K103" s="34"/>
      <c r="L103" s="36" t="str">
        <f aca="false">IF($K103="","",IFERROR(INDEX(Reference!$D$53:$D$67,MATCH($K103,Reference!$B$53:$B$67,0)),""))</f>
        <v/>
      </c>
      <c r="M103" s="34"/>
      <c r="N103" s="37"/>
      <c r="O103" s="37"/>
      <c r="P103" s="34"/>
      <c r="Q103" s="35"/>
      <c r="R103" s="38" t="str">
        <f aca="false">IF($O103="","",$O103+IF(N($F103)&gt;0,Setup!$D$21,IF($Q103="Sequential",Setup!$D$20,Setup!$D$19)))</f>
        <v/>
      </c>
      <c r="S103" s="37"/>
      <c r="T103" s="35"/>
      <c r="U103" s="39" t="str">
        <f aca="true">IF($O103="","",IF($S103&lt;&gt;"",$S103-$O103,TODAY()-$O103))</f>
        <v/>
      </c>
      <c r="V103" s="36" t="str">
        <f aca="true">IF($J103="","",IF($AD103="Yes","Void",IF(COUNTIFS($D$9:$D$208,$D103,$E$9:$E$208,$E103,$F$9:$F$208,"&gt;"&amp;N($F103))&gt;0,"Superseded",IF($N103="","Not submitted",IF($S103="",IF(AND($R103&lt;&gt;"",$R103&lt;TODAY()),"Overdue with reviewer","In review"),IF(COUNTIF(Reference!$B$70:$B$80,$T103)&gt;0,"Closed","Resubmittal required"))))))</f>
        <v/>
      </c>
      <c r="W103" s="36" t="str">
        <f aca="false">IF($J103="","",IF(OR($V103="Closed",$V103="Superseded",$V103="Void"),"Closed",IF(OR($V103="Not submitted",$V103="Resubmittal required"),"Contractor","Reviewer")))</f>
        <v/>
      </c>
      <c r="X103" s="35"/>
      <c r="Y103" s="37"/>
      <c r="Z103" s="38" t="str">
        <f aca="false">IF(OR($J103="",$Y103="",$X103="",$V103="Void",$V103="Superseded"),"",$Y103-N($X103)*7-IF($Q103="Sequential",Setup!$D$20,Setup!$D$19)-Setup!$D$22)</f>
        <v/>
      </c>
      <c r="AA103" s="39" t="str">
        <f aca="true">IF($Z103="","",IF($N103&lt;&gt;"",$Z103-$N103,$Z103-TODAY()))</f>
        <v/>
      </c>
      <c r="AB103" s="36" t="str">
        <f aca="false">IF(OR($X103="",$V103="Void",$V103="Superseded"),"",IF(N($X103)&gt;=Setup!$D$23,"Long lead",""))</f>
        <v/>
      </c>
      <c r="AC103" s="40"/>
      <c r="AD103" s="41"/>
      <c r="AE103" s="41"/>
    </row>
    <row r="104" customFormat="false" ht="30" hidden="false" customHeight="true" outlineLevel="0" collapsed="false">
      <c r="A104" s="31"/>
      <c r="B104" s="32" t="str">
        <f aca="false">IF($J104="","",ROW()-8)</f>
        <v/>
      </c>
      <c r="C104" s="33" t="str">
        <f aca="false">IF($J104="","",$D104&amp;"-"&amp;TEXT($E104,"000")&amp;IF(N($F104)&gt;0,"."&amp;TEXT($F104,"00"),""))</f>
        <v/>
      </c>
      <c r="D104" s="43"/>
      <c r="E104" s="44"/>
      <c r="F104" s="44"/>
      <c r="G104" s="43"/>
      <c r="H104" s="43"/>
      <c r="I104" s="43"/>
      <c r="J104" s="43"/>
      <c r="K104" s="43"/>
      <c r="L104" s="36" t="str">
        <f aca="false">IF($K104="","",IFERROR(INDEX(Reference!$D$53:$D$67,MATCH($K104,Reference!$B$53:$B$67,0)),""))</f>
        <v/>
      </c>
      <c r="M104" s="43"/>
      <c r="N104" s="45"/>
      <c r="O104" s="45"/>
      <c r="P104" s="43"/>
      <c r="Q104" s="44"/>
      <c r="R104" s="38" t="str">
        <f aca="false">IF($O104="","",$O104+IF(N($F104)&gt;0,Setup!$D$21,IF($Q104="Sequential",Setup!$D$20,Setup!$D$19)))</f>
        <v/>
      </c>
      <c r="S104" s="45"/>
      <c r="T104" s="44"/>
      <c r="U104" s="39" t="str">
        <f aca="true">IF($O104="","",IF($S104&lt;&gt;"",$S104-$O104,TODAY()-$O104))</f>
        <v/>
      </c>
      <c r="V104" s="36" t="str">
        <f aca="true">IF($J104="","",IF($AD104="Yes","Void",IF(COUNTIFS($D$9:$D$208,$D104,$E$9:$E$208,$E104,$F$9:$F$208,"&gt;"&amp;N($F104))&gt;0,"Superseded",IF($N104="","Not submitted",IF($S104="",IF(AND($R104&lt;&gt;"",$R104&lt;TODAY()),"Overdue with reviewer","In review"),IF(COUNTIF(Reference!$B$70:$B$80,$T104)&gt;0,"Closed","Resubmittal required"))))))</f>
        <v/>
      </c>
      <c r="W104" s="36" t="str">
        <f aca="false">IF($J104="","",IF(OR($V104="Closed",$V104="Superseded",$V104="Void"),"Closed",IF(OR($V104="Not submitted",$V104="Resubmittal required"),"Contractor","Reviewer")))</f>
        <v/>
      </c>
      <c r="X104" s="44"/>
      <c r="Y104" s="45"/>
      <c r="Z104" s="38" t="str">
        <f aca="false">IF(OR($J104="",$Y104="",$X104="",$V104="Void",$V104="Superseded"),"",$Y104-N($X104)*7-IF($Q104="Sequential",Setup!$D$20,Setup!$D$19)-Setup!$D$22)</f>
        <v/>
      </c>
      <c r="AA104" s="39" t="str">
        <f aca="true">IF($Z104="","",IF($N104&lt;&gt;"",$Z104-$N104,$Z104-TODAY()))</f>
        <v/>
      </c>
      <c r="AB104" s="36" t="str">
        <f aca="false">IF(OR($X104="",$V104="Void",$V104="Superseded"),"",IF(N($X104)&gt;=Setup!$D$23,"Long lead",""))</f>
        <v/>
      </c>
      <c r="AC104" s="46"/>
      <c r="AD104" s="47"/>
      <c r="AE104" s="47"/>
    </row>
    <row r="105" customFormat="false" ht="30" hidden="false" customHeight="true" outlineLevel="0" collapsed="false">
      <c r="A105" s="31"/>
      <c r="B105" s="32" t="str">
        <f aca="false">IF($J105="","",ROW()-8)</f>
        <v/>
      </c>
      <c r="C105" s="33" t="str">
        <f aca="false">IF($J105="","",$D105&amp;"-"&amp;TEXT($E105,"000")&amp;IF(N($F105)&gt;0,"."&amp;TEXT($F105,"00"),""))</f>
        <v/>
      </c>
      <c r="D105" s="34"/>
      <c r="E105" s="35"/>
      <c r="F105" s="35"/>
      <c r="G105" s="34"/>
      <c r="H105" s="34"/>
      <c r="I105" s="34"/>
      <c r="J105" s="34"/>
      <c r="K105" s="34"/>
      <c r="L105" s="36" t="str">
        <f aca="false">IF($K105="","",IFERROR(INDEX(Reference!$D$53:$D$67,MATCH($K105,Reference!$B$53:$B$67,0)),""))</f>
        <v/>
      </c>
      <c r="M105" s="34"/>
      <c r="N105" s="37"/>
      <c r="O105" s="37"/>
      <c r="P105" s="34"/>
      <c r="Q105" s="35"/>
      <c r="R105" s="38" t="str">
        <f aca="false">IF($O105="","",$O105+IF(N($F105)&gt;0,Setup!$D$21,IF($Q105="Sequential",Setup!$D$20,Setup!$D$19)))</f>
        <v/>
      </c>
      <c r="S105" s="37"/>
      <c r="T105" s="35"/>
      <c r="U105" s="39" t="str">
        <f aca="true">IF($O105="","",IF($S105&lt;&gt;"",$S105-$O105,TODAY()-$O105))</f>
        <v/>
      </c>
      <c r="V105" s="36" t="str">
        <f aca="true">IF($J105="","",IF($AD105="Yes","Void",IF(COUNTIFS($D$9:$D$208,$D105,$E$9:$E$208,$E105,$F$9:$F$208,"&gt;"&amp;N($F105))&gt;0,"Superseded",IF($N105="","Not submitted",IF($S105="",IF(AND($R105&lt;&gt;"",$R105&lt;TODAY()),"Overdue with reviewer","In review"),IF(COUNTIF(Reference!$B$70:$B$80,$T105)&gt;0,"Closed","Resubmittal required"))))))</f>
        <v/>
      </c>
      <c r="W105" s="36" t="str">
        <f aca="false">IF($J105="","",IF(OR($V105="Closed",$V105="Superseded",$V105="Void"),"Closed",IF(OR($V105="Not submitted",$V105="Resubmittal required"),"Contractor","Reviewer")))</f>
        <v/>
      </c>
      <c r="X105" s="35"/>
      <c r="Y105" s="37"/>
      <c r="Z105" s="38" t="str">
        <f aca="false">IF(OR($J105="",$Y105="",$X105="",$V105="Void",$V105="Superseded"),"",$Y105-N($X105)*7-IF($Q105="Sequential",Setup!$D$20,Setup!$D$19)-Setup!$D$22)</f>
        <v/>
      </c>
      <c r="AA105" s="39" t="str">
        <f aca="true">IF($Z105="","",IF($N105&lt;&gt;"",$Z105-$N105,$Z105-TODAY()))</f>
        <v/>
      </c>
      <c r="AB105" s="36" t="str">
        <f aca="false">IF(OR($X105="",$V105="Void",$V105="Superseded"),"",IF(N($X105)&gt;=Setup!$D$23,"Long lead",""))</f>
        <v/>
      </c>
      <c r="AC105" s="40"/>
      <c r="AD105" s="41"/>
      <c r="AE105" s="41"/>
    </row>
    <row r="106" customFormat="false" ht="30" hidden="false" customHeight="true" outlineLevel="0" collapsed="false">
      <c r="A106" s="31"/>
      <c r="B106" s="32" t="str">
        <f aca="false">IF($J106="","",ROW()-8)</f>
        <v/>
      </c>
      <c r="C106" s="33" t="str">
        <f aca="false">IF($J106="","",$D106&amp;"-"&amp;TEXT($E106,"000")&amp;IF(N($F106)&gt;0,"."&amp;TEXT($F106,"00"),""))</f>
        <v/>
      </c>
      <c r="D106" s="43"/>
      <c r="E106" s="44"/>
      <c r="F106" s="44"/>
      <c r="G106" s="43"/>
      <c r="H106" s="43"/>
      <c r="I106" s="43"/>
      <c r="J106" s="43"/>
      <c r="K106" s="43"/>
      <c r="L106" s="36" t="str">
        <f aca="false">IF($K106="","",IFERROR(INDEX(Reference!$D$53:$D$67,MATCH($K106,Reference!$B$53:$B$67,0)),""))</f>
        <v/>
      </c>
      <c r="M106" s="43"/>
      <c r="N106" s="45"/>
      <c r="O106" s="45"/>
      <c r="P106" s="43"/>
      <c r="Q106" s="44"/>
      <c r="R106" s="38" t="str">
        <f aca="false">IF($O106="","",$O106+IF(N($F106)&gt;0,Setup!$D$21,IF($Q106="Sequential",Setup!$D$20,Setup!$D$19)))</f>
        <v/>
      </c>
      <c r="S106" s="45"/>
      <c r="T106" s="44"/>
      <c r="U106" s="39" t="str">
        <f aca="true">IF($O106="","",IF($S106&lt;&gt;"",$S106-$O106,TODAY()-$O106))</f>
        <v/>
      </c>
      <c r="V106" s="36" t="str">
        <f aca="true">IF($J106="","",IF($AD106="Yes","Void",IF(COUNTIFS($D$9:$D$208,$D106,$E$9:$E$208,$E106,$F$9:$F$208,"&gt;"&amp;N($F106))&gt;0,"Superseded",IF($N106="","Not submitted",IF($S106="",IF(AND($R106&lt;&gt;"",$R106&lt;TODAY()),"Overdue with reviewer","In review"),IF(COUNTIF(Reference!$B$70:$B$80,$T106)&gt;0,"Closed","Resubmittal required"))))))</f>
        <v/>
      </c>
      <c r="W106" s="36" t="str">
        <f aca="false">IF($J106="","",IF(OR($V106="Closed",$V106="Superseded",$V106="Void"),"Closed",IF(OR($V106="Not submitted",$V106="Resubmittal required"),"Contractor","Reviewer")))</f>
        <v/>
      </c>
      <c r="X106" s="44"/>
      <c r="Y106" s="45"/>
      <c r="Z106" s="38" t="str">
        <f aca="false">IF(OR($J106="",$Y106="",$X106="",$V106="Void",$V106="Superseded"),"",$Y106-N($X106)*7-IF($Q106="Sequential",Setup!$D$20,Setup!$D$19)-Setup!$D$22)</f>
        <v/>
      </c>
      <c r="AA106" s="39" t="str">
        <f aca="true">IF($Z106="","",IF($N106&lt;&gt;"",$Z106-$N106,$Z106-TODAY()))</f>
        <v/>
      </c>
      <c r="AB106" s="36" t="str">
        <f aca="false">IF(OR($X106="",$V106="Void",$V106="Superseded"),"",IF(N($X106)&gt;=Setup!$D$23,"Long lead",""))</f>
        <v/>
      </c>
      <c r="AC106" s="46"/>
      <c r="AD106" s="47"/>
      <c r="AE106" s="47"/>
    </row>
    <row r="107" customFormat="false" ht="30" hidden="false" customHeight="true" outlineLevel="0" collapsed="false">
      <c r="A107" s="31"/>
      <c r="B107" s="32" t="str">
        <f aca="false">IF($J107="","",ROW()-8)</f>
        <v/>
      </c>
      <c r="C107" s="33" t="str">
        <f aca="false">IF($J107="","",$D107&amp;"-"&amp;TEXT($E107,"000")&amp;IF(N($F107)&gt;0,"."&amp;TEXT($F107,"00"),""))</f>
        <v/>
      </c>
      <c r="D107" s="34"/>
      <c r="E107" s="35"/>
      <c r="F107" s="35"/>
      <c r="G107" s="34"/>
      <c r="H107" s="34"/>
      <c r="I107" s="34"/>
      <c r="J107" s="34"/>
      <c r="K107" s="34"/>
      <c r="L107" s="36" t="str">
        <f aca="false">IF($K107="","",IFERROR(INDEX(Reference!$D$53:$D$67,MATCH($K107,Reference!$B$53:$B$67,0)),""))</f>
        <v/>
      </c>
      <c r="M107" s="34"/>
      <c r="N107" s="37"/>
      <c r="O107" s="37"/>
      <c r="P107" s="34"/>
      <c r="Q107" s="35"/>
      <c r="R107" s="38" t="str">
        <f aca="false">IF($O107="","",$O107+IF(N($F107)&gt;0,Setup!$D$21,IF($Q107="Sequential",Setup!$D$20,Setup!$D$19)))</f>
        <v/>
      </c>
      <c r="S107" s="37"/>
      <c r="T107" s="35"/>
      <c r="U107" s="39" t="str">
        <f aca="true">IF($O107="","",IF($S107&lt;&gt;"",$S107-$O107,TODAY()-$O107))</f>
        <v/>
      </c>
      <c r="V107" s="36" t="str">
        <f aca="true">IF($J107="","",IF($AD107="Yes","Void",IF(COUNTIFS($D$9:$D$208,$D107,$E$9:$E$208,$E107,$F$9:$F$208,"&gt;"&amp;N($F107))&gt;0,"Superseded",IF($N107="","Not submitted",IF($S107="",IF(AND($R107&lt;&gt;"",$R107&lt;TODAY()),"Overdue with reviewer","In review"),IF(COUNTIF(Reference!$B$70:$B$80,$T107)&gt;0,"Closed","Resubmittal required"))))))</f>
        <v/>
      </c>
      <c r="W107" s="36" t="str">
        <f aca="false">IF($J107="","",IF(OR($V107="Closed",$V107="Superseded",$V107="Void"),"Closed",IF(OR($V107="Not submitted",$V107="Resubmittal required"),"Contractor","Reviewer")))</f>
        <v/>
      </c>
      <c r="X107" s="35"/>
      <c r="Y107" s="37"/>
      <c r="Z107" s="38" t="str">
        <f aca="false">IF(OR($J107="",$Y107="",$X107="",$V107="Void",$V107="Superseded"),"",$Y107-N($X107)*7-IF($Q107="Sequential",Setup!$D$20,Setup!$D$19)-Setup!$D$22)</f>
        <v/>
      </c>
      <c r="AA107" s="39" t="str">
        <f aca="true">IF($Z107="","",IF($N107&lt;&gt;"",$Z107-$N107,$Z107-TODAY()))</f>
        <v/>
      </c>
      <c r="AB107" s="36" t="str">
        <f aca="false">IF(OR($X107="",$V107="Void",$V107="Superseded"),"",IF(N($X107)&gt;=Setup!$D$23,"Long lead",""))</f>
        <v/>
      </c>
      <c r="AC107" s="40"/>
      <c r="AD107" s="41"/>
      <c r="AE107" s="41"/>
    </row>
    <row r="108" customFormat="false" ht="30" hidden="false" customHeight="true" outlineLevel="0" collapsed="false">
      <c r="A108" s="31"/>
      <c r="B108" s="32" t="str">
        <f aca="false">IF($J108="","",ROW()-8)</f>
        <v/>
      </c>
      <c r="C108" s="33" t="str">
        <f aca="false">IF($J108="","",$D108&amp;"-"&amp;TEXT($E108,"000")&amp;IF(N($F108)&gt;0,"."&amp;TEXT($F108,"00"),""))</f>
        <v/>
      </c>
      <c r="D108" s="43"/>
      <c r="E108" s="44"/>
      <c r="F108" s="44"/>
      <c r="G108" s="43"/>
      <c r="H108" s="43"/>
      <c r="I108" s="43"/>
      <c r="J108" s="43"/>
      <c r="K108" s="43"/>
      <c r="L108" s="36" t="str">
        <f aca="false">IF($K108="","",IFERROR(INDEX(Reference!$D$53:$D$67,MATCH($K108,Reference!$B$53:$B$67,0)),""))</f>
        <v/>
      </c>
      <c r="M108" s="43"/>
      <c r="N108" s="45"/>
      <c r="O108" s="45"/>
      <c r="P108" s="43"/>
      <c r="Q108" s="44"/>
      <c r="R108" s="38" t="str">
        <f aca="false">IF($O108="","",$O108+IF(N($F108)&gt;0,Setup!$D$21,IF($Q108="Sequential",Setup!$D$20,Setup!$D$19)))</f>
        <v/>
      </c>
      <c r="S108" s="45"/>
      <c r="T108" s="44"/>
      <c r="U108" s="39" t="str">
        <f aca="true">IF($O108="","",IF($S108&lt;&gt;"",$S108-$O108,TODAY()-$O108))</f>
        <v/>
      </c>
      <c r="V108" s="36" t="str">
        <f aca="true">IF($J108="","",IF($AD108="Yes","Void",IF(COUNTIFS($D$9:$D$208,$D108,$E$9:$E$208,$E108,$F$9:$F$208,"&gt;"&amp;N($F108))&gt;0,"Superseded",IF($N108="","Not submitted",IF($S108="",IF(AND($R108&lt;&gt;"",$R108&lt;TODAY()),"Overdue with reviewer","In review"),IF(COUNTIF(Reference!$B$70:$B$80,$T108)&gt;0,"Closed","Resubmittal required"))))))</f>
        <v/>
      </c>
      <c r="W108" s="36" t="str">
        <f aca="false">IF($J108="","",IF(OR($V108="Closed",$V108="Superseded",$V108="Void"),"Closed",IF(OR($V108="Not submitted",$V108="Resubmittal required"),"Contractor","Reviewer")))</f>
        <v/>
      </c>
      <c r="X108" s="44"/>
      <c r="Y108" s="45"/>
      <c r="Z108" s="38" t="str">
        <f aca="false">IF(OR($J108="",$Y108="",$X108="",$V108="Void",$V108="Superseded"),"",$Y108-N($X108)*7-IF($Q108="Sequential",Setup!$D$20,Setup!$D$19)-Setup!$D$22)</f>
        <v/>
      </c>
      <c r="AA108" s="39" t="str">
        <f aca="true">IF($Z108="","",IF($N108&lt;&gt;"",$Z108-$N108,$Z108-TODAY()))</f>
        <v/>
      </c>
      <c r="AB108" s="36" t="str">
        <f aca="false">IF(OR($X108="",$V108="Void",$V108="Superseded"),"",IF(N($X108)&gt;=Setup!$D$23,"Long lead",""))</f>
        <v/>
      </c>
      <c r="AC108" s="46"/>
      <c r="AD108" s="47"/>
      <c r="AE108" s="47"/>
    </row>
    <row r="109" customFormat="false" ht="30" hidden="false" customHeight="true" outlineLevel="0" collapsed="false">
      <c r="A109" s="31"/>
      <c r="B109" s="32" t="str">
        <f aca="false">IF($J109="","",ROW()-8)</f>
        <v/>
      </c>
      <c r="C109" s="33" t="str">
        <f aca="false">IF($J109="","",$D109&amp;"-"&amp;TEXT($E109,"000")&amp;IF(N($F109)&gt;0,"."&amp;TEXT($F109,"00"),""))</f>
        <v/>
      </c>
      <c r="D109" s="34"/>
      <c r="E109" s="35"/>
      <c r="F109" s="35"/>
      <c r="G109" s="34"/>
      <c r="H109" s="34"/>
      <c r="I109" s="34"/>
      <c r="J109" s="34"/>
      <c r="K109" s="34"/>
      <c r="L109" s="36" t="str">
        <f aca="false">IF($K109="","",IFERROR(INDEX(Reference!$D$53:$D$67,MATCH($K109,Reference!$B$53:$B$67,0)),""))</f>
        <v/>
      </c>
      <c r="M109" s="34"/>
      <c r="N109" s="37"/>
      <c r="O109" s="37"/>
      <c r="P109" s="34"/>
      <c r="Q109" s="35"/>
      <c r="R109" s="38" t="str">
        <f aca="false">IF($O109="","",$O109+IF(N($F109)&gt;0,Setup!$D$21,IF($Q109="Sequential",Setup!$D$20,Setup!$D$19)))</f>
        <v/>
      </c>
      <c r="S109" s="37"/>
      <c r="T109" s="35"/>
      <c r="U109" s="39" t="str">
        <f aca="true">IF($O109="","",IF($S109&lt;&gt;"",$S109-$O109,TODAY()-$O109))</f>
        <v/>
      </c>
      <c r="V109" s="36" t="str">
        <f aca="true">IF($J109="","",IF($AD109="Yes","Void",IF(COUNTIFS($D$9:$D$208,$D109,$E$9:$E$208,$E109,$F$9:$F$208,"&gt;"&amp;N($F109))&gt;0,"Superseded",IF($N109="","Not submitted",IF($S109="",IF(AND($R109&lt;&gt;"",$R109&lt;TODAY()),"Overdue with reviewer","In review"),IF(COUNTIF(Reference!$B$70:$B$80,$T109)&gt;0,"Closed","Resubmittal required"))))))</f>
        <v/>
      </c>
      <c r="W109" s="36" t="str">
        <f aca="false">IF($J109="","",IF(OR($V109="Closed",$V109="Superseded",$V109="Void"),"Closed",IF(OR($V109="Not submitted",$V109="Resubmittal required"),"Contractor","Reviewer")))</f>
        <v/>
      </c>
      <c r="X109" s="35"/>
      <c r="Y109" s="37"/>
      <c r="Z109" s="38" t="str">
        <f aca="false">IF(OR($J109="",$Y109="",$X109="",$V109="Void",$V109="Superseded"),"",$Y109-N($X109)*7-IF($Q109="Sequential",Setup!$D$20,Setup!$D$19)-Setup!$D$22)</f>
        <v/>
      </c>
      <c r="AA109" s="39" t="str">
        <f aca="true">IF($Z109="","",IF($N109&lt;&gt;"",$Z109-$N109,$Z109-TODAY()))</f>
        <v/>
      </c>
      <c r="AB109" s="36" t="str">
        <f aca="false">IF(OR($X109="",$V109="Void",$V109="Superseded"),"",IF(N($X109)&gt;=Setup!$D$23,"Long lead",""))</f>
        <v/>
      </c>
      <c r="AC109" s="40"/>
      <c r="AD109" s="41"/>
      <c r="AE109" s="41"/>
    </row>
    <row r="110" customFormat="false" ht="30" hidden="false" customHeight="true" outlineLevel="0" collapsed="false">
      <c r="A110" s="31"/>
      <c r="B110" s="32" t="str">
        <f aca="false">IF($J110="","",ROW()-8)</f>
        <v/>
      </c>
      <c r="C110" s="33" t="str">
        <f aca="false">IF($J110="","",$D110&amp;"-"&amp;TEXT($E110,"000")&amp;IF(N($F110)&gt;0,"."&amp;TEXT($F110,"00"),""))</f>
        <v/>
      </c>
      <c r="D110" s="43"/>
      <c r="E110" s="44"/>
      <c r="F110" s="44"/>
      <c r="G110" s="43"/>
      <c r="H110" s="43"/>
      <c r="I110" s="43"/>
      <c r="J110" s="43"/>
      <c r="K110" s="43"/>
      <c r="L110" s="36" t="str">
        <f aca="false">IF($K110="","",IFERROR(INDEX(Reference!$D$53:$D$67,MATCH($K110,Reference!$B$53:$B$67,0)),""))</f>
        <v/>
      </c>
      <c r="M110" s="43"/>
      <c r="N110" s="45"/>
      <c r="O110" s="45"/>
      <c r="P110" s="43"/>
      <c r="Q110" s="44"/>
      <c r="R110" s="38" t="str">
        <f aca="false">IF($O110="","",$O110+IF(N($F110)&gt;0,Setup!$D$21,IF($Q110="Sequential",Setup!$D$20,Setup!$D$19)))</f>
        <v/>
      </c>
      <c r="S110" s="45"/>
      <c r="T110" s="44"/>
      <c r="U110" s="39" t="str">
        <f aca="true">IF($O110="","",IF($S110&lt;&gt;"",$S110-$O110,TODAY()-$O110))</f>
        <v/>
      </c>
      <c r="V110" s="36" t="str">
        <f aca="true">IF($J110="","",IF($AD110="Yes","Void",IF(COUNTIFS($D$9:$D$208,$D110,$E$9:$E$208,$E110,$F$9:$F$208,"&gt;"&amp;N($F110))&gt;0,"Superseded",IF($N110="","Not submitted",IF($S110="",IF(AND($R110&lt;&gt;"",$R110&lt;TODAY()),"Overdue with reviewer","In review"),IF(COUNTIF(Reference!$B$70:$B$80,$T110)&gt;0,"Closed","Resubmittal required"))))))</f>
        <v/>
      </c>
      <c r="W110" s="36" t="str">
        <f aca="false">IF($J110="","",IF(OR($V110="Closed",$V110="Superseded",$V110="Void"),"Closed",IF(OR($V110="Not submitted",$V110="Resubmittal required"),"Contractor","Reviewer")))</f>
        <v/>
      </c>
      <c r="X110" s="44"/>
      <c r="Y110" s="45"/>
      <c r="Z110" s="38" t="str">
        <f aca="false">IF(OR($J110="",$Y110="",$X110="",$V110="Void",$V110="Superseded"),"",$Y110-N($X110)*7-IF($Q110="Sequential",Setup!$D$20,Setup!$D$19)-Setup!$D$22)</f>
        <v/>
      </c>
      <c r="AA110" s="39" t="str">
        <f aca="true">IF($Z110="","",IF($N110&lt;&gt;"",$Z110-$N110,$Z110-TODAY()))</f>
        <v/>
      </c>
      <c r="AB110" s="36" t="str">
        <f aca="false">IF(OR($X110="",$V110="Void",$V110="Superseded"),"",IF(N($X110)&gt;=Setup!$D$23,"Long lead",""))</f>
        <v/>
      </c>
      <c r="AC110" s="46"/>
      <c r="AD110" s="47"/>
      <c r="AE110" s="47"/>
    </row>
    <row r="111" customFormat="false" ht="30" hidden="false" customHeight="true" outlineLevel="0" collapsed="false">
      <c r="A111" s="31"/>
      <c r="B111" s="32" t="str">
        <f aca="false">IF($J111="","",ROW()-8)</f>
        <v/>
      </c>
      <c r="C111" s="33" t="str">
        <f aca="false">IF($J111="","",$D111&amp;"-"&amp;TEXT($E111,"000")&amp;IF(N($F111)&gt;0,"."&amp;TEXT($F111,"00"),""))</f>
        <v/>
      </c>
      <c r="D111" s="34"/>
      <c r="E111" s="35"/>
      <c r="F111" s="35"/>
      <c r="G111" s="34"/>
      <c r="H111" s="34"/>
      <c r="I111" s="34"/>
      <c r="J111" s="34"/>
      <c r="K111" s="34"/>
      <c r="L111" s="36" t="str">
        <f aca="false">IF($K111="","",IFERROR(INDEX(Reference!$D$53:$D$67,MATCH($K111,Reference!$B$53:$B$67,0)),""))</f>
        <v/>
      </c>
      <c r="M111" s="34"/>
      <c r="N111" s="37"/>
      <c r="O111" s="37"/>
      <c r="P111" s="34"/>
      <c r="Q111" s="35"/>
      <c r="R111" s="38" t="str">
        <f aca="false">IF($O111="","",$O111+IF(N($F111)&gt;0,Setup!$D$21,IF($Q111="Sequential",Setup!$D$20,Setup!$D$19)))</f>
        <v/>
      </c>
      <c r="S111" s="37"/>
      <c r="T111" s="35"/>
      <c r="U111" s="39" t="str">
        <f aca="true">IF($O111="","",IF($S111&lt;&gt;"",$S111-$O111,TODAY()-$O111))</f>
        <v/>
      </c>
      <c r="V111" s="36" t="str">
        <f aca="true">IF($J111="","",IF($AD111="Yes","Void",IF(COUNTIFS($D$9:$D$208,$D111,$E$9:$E$208,$E111,$F$9:$F$208,"&gt;"&amp;N($F111))&gt;0,"Superseded",IF($N111="","Not submitted",IF($S111="",IF(AND($R111&lt;&gt;"",$R111&lt;TODAY()),"Overdue with reviewer","In review"),IF(COUNTIF(Reference!$B$70:$B$80,$T111)&gt;0,"Closed","Resubmittal required"))))))</f>
        <v/>
      </c>
      <c r="W111" s="36" t="str">
        <f aca="false">IF($J111="","",IF(OR($V111="Closed",$V111="Superseded",$V111="Void"),"Closed",IF(OR($V111="Not submitted",$V111="Resubmittal required"),"Contractor","Reviewer")))</f>
        <v/>
      </c>
      <c r="X111" s="35"/>
      <c r="Y111" s="37"/>
      <c r="Z111" s="38" t="str">
        <f aca="false">IF(OR($J111="",$Y111="",$X111="",$V111="Void",$V111="Superseded"),"",$Y111-N($X111)*7-IF($Q111="Sequential",Setup!$D$20,Setup!$D$19)-Setup!$D$22)</f>
        <v/>
      </c>
      <c r="AA111" s="39" t="str">
        <f aca="true">IF($Z111="","",IF($N111&lt;&gt;"",$Z111-$N111,$Z111-TODAY()))</f>
        <v/>
      </c>
      <c r="AB111" s="36" t="str">
        <f aca="false">IF(OR($X111="",$V111="Void",$V111="Superseded"),"",IF(N($X111)&gt;=Setup!$D$23,"Long lead",""))</f>
        <v/>
      </c>
      <c r="AC111" s="40"/>
      <c r="AD111" s="41"/>
      <c r="AE111" s="41"/>
    </row>
    <row r="112" customFormat="false" ht="30" hidden="false" customHeight="true" outlineLevel="0" collapsed="false">
      <c r="A112" s="31"/>
      <c r="B112" s="32" t="str">
        <f aca="false">IF($J112="","",ROW()-8)</f>
        <v/>
      </c>
      <c r="C112" s="33" t="str">
        <f aca="false">IF($J112="","",$D112&amp;"-"&amp;TEXT($E112,"000")&amp;IF(N($F112)&gt;0,"."&amp;TEXT($F112,"00"),""))</f>
        <v/>
      </c>
      <c r="D112" s="43"/>
      <c r="E112" s="44"/>
      <c r="F112" s="44"/>
      <c r="G112" s="43"/>
      <c r="H112" s="43"/>
      <c r="I112" s="43"/>
      <c r="J112" s="43"/>
      <c r="K112" s="43"/>
      <c r="L112" s="36" t="str">
        <f aca="false">IF($K112="","",IFERROR(INDEX(Reference!$D$53:$D$67,MATCH($K112,Reference!$B$53:$B$67,0)),""))</f>
        <v/>
      </c>
      <c r="M112" s="43"/>
      <c r="N112" s="45"/>
      <c r="O112" s="45"/>
      <c r="P112" s="43"/>
      <c r="Q112" s="44"/>
      <c r="R112" s="38" t="str">
        <f aca="false">IF($O112="","",$O112+IF(N($F112)&gt;0,Setup!$D$21,IF($Q112="Sequential",Setup!$D$20,Setup!$D$19)))</f>
        <v/>
      </c>
      <c r="S112" s="45"/>
      <c r="T112" s="44"/>
      <c r="U112" s="39" t="str">
        <f aca="true">IF($O112="","",IF($S112&lt;&gt;"",$S112-$O112,TODAY()-$O112))</f>
        <v/>
      </c>
      <c r="V112" s="36" t="str">
        <f aca="true">IF($J112="","",IF($AD112="Yes","Void",IF(COUNTIFS($D$9:$D$208,$D112,$E$9:$E$208,$E112,$F$9:$F$208,"&gt;"&amp;N($F112))&gt;0,"Superseded",IF($N112="","Not submitted",IF($S112="",IF(AND($R112&lt;&gt;"",$R112&lt;TODAY()),"Overdue with reviewer","In review"),IF(COUNTIF(Reference!$B$70:$B$80,$T112)&gt;0,"Closed","Resubmittal required"))))))</f>
        <v/>
      </c>
      <c r="W112" s="36" t="str">
        <f aca="false">IF($J112="","",IF(OR($V112="Closed",$V112="Superseded",$V112="Void"),"Closed",IF(OR($V112="Not submitted",$V112="Resubmittal required"),"Contractor","Reviewer")))</f>
        <v/>
      </c>
      <c r="X112" s="44"/>
      <c r="Y112" s="45"/>
      <c r="Z112" s="38" t="str">
        <f aca="false">IF(OR($J112="",$Y112="",$X112="",$V112="Void",$V112="Superseded"),"",$Y112-N($X112)*7-IF($Q112="Sequential",Setup!$D$20,Setup!$D$19)-Setup!$D$22)</f>
        <v/>
      </c>
      <c r="AA112" s="39" t="str">
        <f aca="true">IF($Z112="","",IF($N112&lt;&gt;"",$Z112-$N112,$Z112-TODAY()))</f>
        <v/>
      </c>
      <c r="AB112" s="36" t="str">
        <f aca="false">IF(OR($X112="",$V112="Void",$V112="Superseded"),"",IF(N($X112)&gt;=Setup!$D$23,"Long lead",""))</f>
        <v/>
      </c>
      <c r="AC112" s="46"/>
      <c r="AD112" s="47"/>
      <c r="AE112" s="47"/>
    </row>
    <row r="113" customFormat="false" ht="30" hidden="false" customHeight="true" outlineLevel="0" collapsed="false">
      <c r="A113" s="31"/>
      <c r="B113" s="32" t="str">
        <f aca="false">IF($J113="","",ROW()-8)</f>
        <v/>
      </c>
      <c r="C113" s="33" t="str">
        <f aca="false">IF($J113="","",$D113&amp;"-"&amp;TEXT($E113,"000")&amp;IF(N($F113)&gt;0,"."&amp;TEXT($F113,"00"),""))</f>
        <v/>
      </c>
      <c r="D113" s="34"/>
      <c r="E113" s="35"/>
      <c r="F113" s="35"/>
      <c r="G113" s="34"/>
      <c r="H113" s="34"/>
      <c r="I113" s="34"/>
      <c r="J113" s="34"/>
      <c r="K113" s="34"/>
      <c r="L113" s="36" t="str">
        <f aca="false">IF($K113="","",IFERROR(INDEX(Reference!$D$53:$D$67,MATCH($K113,Reference!$B$53:$B$67,0)),""))</f>
        <v/>
      </c>
      <c r="M113" s="34"/>
      <c r="N113" s="37"/>
      <c r="O113" s="37"/>
      <c r="P113" s="34"/>
      <c r="Q113" s="35"/>
      <c r="R113" s="38" t="str">
        <f aca="false">IF($O113="","",$O113+IF(N($F113)&gt;0,Setup!$D$21,IF($Q113="Sequential",Setup!$D$20,Setup!$D$19)))</f>
        <v/>
      </c>
      <c r="S113" s="37"/>
      <c r="T113" s="35"/>
      <c r="U113" s="39" t="str">
        <f aca="true">IF($O113="","",IF($S113&lt;&gt;"",$S113-$O113,TODAY()-$O113))</f>
        <v/>
      </c>
      <c r="V113" s="36" t="str">
        <f aca="true">IF($J113="","",IF($AD113="Yes","Void",IF(COUNTIFS($D$9:$D$208,$D113,$E$9:$E$208,$E113,$F$9:$F$208,"&gt;"&amp;N($F113))&gt;0,"Superseded",IF($N113="","Not submitted",IF($S113="",IF(AND($R113&lt;&gt;"",$R113&lt;TODAY()),"Overdue with reviewer","In review"),IF(COUNTIF(Reference!$B$70:$B$80,$T113)&gt;0,"Closed","Resubmittal required"))))))</f>
        <v/>
      </c>
      <c r="W113" s="36" t="str">
        <f aca="false">IF($J113="","",IF(OR($V113="Closed",$V113="Superseded",$V113="Void"),"Closed",IF(OR($V113="Not submitted",$V113="Resubmittal required"),"Contractor","Reviewer")))</f>
        <v/>
      </c>
      <c r="X113" s="35"/>
      <c r="Y113" s="37"/>
      <c r="Z113" s="38" t="str">
        <f aca="false">IF(OR($J113="",$Y113="",$X113="",$V113="Void",$V113="Superseded"),"",$Y113-N($X113)*7-IF($Q113="Sequential",Setup!$D$20,Setup!$D$19)-Setup!$D$22)</f>
        <v/>
      </c>
      <c r="AA113" s="39" t="str">
        <f aca="true">IF($Z113="","",IF($N113&lt;&gt;"",$Z113-$N113,$Z113-TODAY()))</f>
        <v/>
      </c>
      <c r="AB113" s="36" t="str">
        <f aca="false">IF(OR($X113="",$V113="Void",$V113="Superseded"),"",IF(N($X113)&gt;=Setup!$D$23,"Long lead",""))</f>
        <v/>
      </c>
      <c r="AC113" s="40"/>
      <c r="AD113" s="41"/>
      <c r="AE113" s="41"/>
    </row>
    <row r="114" customFormat="false" ht="30" hidden="false" customHeight="true" outlineLevel="0" collapsed="false">
      <c r="A114" s="31"/>
      <c r="B114" s="32" t="str">
        <f aca="false">IF($J114="","",ROW()-8)</f>
        <v/>
      </c>
      <c r="C114" s="33" t="str">
        <f aca="false">IF($J114="","",$D114&amp;"-"&amp;TEXT($E114,"000")&amp;IF(N($F114)&gt;0,"."&amp;TEXT($F114,"00"),""))</f>
        <v/>
      </c>
      <c r="D114" s="43"/>
      <c r="E114" s="44"/>
      <c r="F114" s="44"/>
      <c r="G114" s="43"/>
      <c r="H114" s="43"/>
      <c r="I114" s="43"/>
      <c r="J114" s="43"/>
      <c r="K114" s="43"/>
      <c r="L114" s="36" t="str">
        <f aca="false">IF($K114="","",IFERROR(INDEX(Reference!$D$53:$D$67,MATCH($K114,Reference!$B$53:$B$67,0)),""))</f>
        <v/>
      </c>
      <c r="M114" s="43"/>
      <c r="N114" s="45"/>
      <c r="O114" s="45"/>
      <c r="P114" s="43"/>
      <c r="Q114" s="44"/>
      <c r="R114" s="38" t="str">
        <f aca="false">IF($O114="","",$O114+IF(N($F114)&gt;0,Setup!$D$21,IF($Q114="Sequential",Setup!$D$20,Setup!$D$19)))</f>
        <v/>
      </c>
      <c r="S114" s="45"/>
      <c r="T114" s="44"/>
      <c r="U114" s="39" t="str">
        <f aca="true">IF($O114="","",IF($S114&lt;&gt;"",$S114-$O114,TODAY()-$O114))</f>
        <v/>
      </c>
      <c r="V114" s="36" t="str">
        <f aca="true">IF($J114="","",IF($AD114="Yes","Void",IF(COUNTIFS($D$9:$D$208,$D114,$E$9:$E$208,$E114,$F$9:$F$208,"&gt;"&amp;N($F114))&gt;0,"Superseded",IF($N114="","Not submitted",IF($S114="",IF(AND($R114&lt;&gt;"",$R114&lt;TODAY()),"Overdue with reviewer","In review"),IF(COUNTIF(Reference!$B$70:$B$80,$T114)&gt;0,"Closed","Resubmittal required"))))))</f>
        <v/>
      </c>
      <c r="W114" s="36" t="str">
        <f aca="false">IF($J114="","",IF(OR($V114="Closed",$V114="Superseded",$V114="Void"),"Closed",IF(OR($V114="Not submitted",$V114="Resubmittal required"),"Contractor","Reviewer")))</f>
        <v/>
      </c>
      <c r="X114" s="44"/>
      <c r="Y114" s="45"/>
      <c r="Z114" s="38" t="str">
        <f aca="false">IF(OR($J114="",$Y114="",$X114="",$V114="Void",$V114="Superseded"),"",$Y114-N($X114)*7-IF($Q114="Sequential",Setup!$D$20,Setup!$D$19)-Setup!$D$22)</f>
        <v/>
      </c>
      <c r="AA114" s="39" t="str">
        <f aca="true">IF($Z114="","",IF($N114&lt;&gt;"",$Z114-$N114,$Z114-TODAY()))</f>
        <v/>
      </c>
      <c r="AB114" s="36" t="str">
        <f aca="false">IF(OR($X114="",$V114="Void",$V114="Superseded"),"",IF(N($X114)&gt;=Setup!$D$23,"Long lead",""))</f>
        <v/>
      </c>
      <c r="AC114" s="46"/>
      <c r="AD114" s="47"/>
      <c r="AE114" s="47"/>
    </row>
    <row r="115" customFormat="false" ht="30" hidden="false" customHeight="true" outlineLevel="0" collapsed="false">
      <c r="A115" s="31"/>
      <c r="B115" s="32" t="str">
        <f aca="false">IF($J115="","",ROW()-8)</f>
        <v/>
      </c>
      <c r="C115" s="33" t="str">
        <f aca="false">IF($J115="","",$D115&amp;"-"&amp;TEXT($E115,"000")&amp;IF(N($F115)&gt;0,"."&amp;TEXT($F115,"00"),""))</f>
        <v/>
      </c>
      <c r="D115" s="34"/>
      <c r="E115" s="35"/>
      <c r="F115" s="35"/>
      <c r="G115" s="34"/>
      <c r="H115" s="34"/>
      <c r="I115" s="34"/>
      <c r="J115" s="34"/>
      <c r="K115" s="34"/>
      <c r="L115" s="36" t="str">
        <f aca="false">IF($K115="","",IFERROR(INDEX(Reference!$D$53:$D$67,MATCH($K115,Reference!$B$53:$B$67,0)),""))</f>
        <v/>
      </c>
      <c r="M115" s="34"/>
      <c r="N115" s="37"/>
      <c r="O115" s="37"/>
      <c r="P115" s="34"/>
      <c r="Q115" s="35"/>
      <c r="R115" s="38" t="str">
        <f aca="false">IF($O115="","",$O115+IF(N($F115)&gt;0,Setup!$D$21,IF($Q115="Sequential",Setup!$D$20,Setup!$D$19)))</f>
        <v/>
      </c>
      <c r="S115" s="37"/>
      <c r="T115" s="35"/>
      <c r="U115" s="39" t="str">
        <f aca="true">IF($O115="","",IF($S115&lt;&gt;"",$S115-$O115,TODAY()-$O115))</f>
        <v/>
      </c>
      <c r="V115" s="36" t="str">
        <f aca="true">IF($J115="","",IF($AD115="Yes","Void",IF(COUNTIFS($D$9:$D$208,$D115,$E$9:$E$208,$E115,$F$9:$F$208,"&gt;"&amp;N($F115))&gt;0,"Superseded",IF($N115="","Not submitted",IF($S115="",IF(AND($R115&lt;&gt;"",$R115&lt;TODAY()),"Overdue with reviewer","In review"),IF(COUNTIF(Reference!$B$70:$B$80,$T115)&gt;0,"Closed","Resubmittal required"))))))</f>
        <v/>
      </c>
      <c r="W115" s="36" t="str">
        <f aca="false">IF($J115="","",IF(OR($V115="Closed",$V115="Superseded",$V115="Void"),"Closed",IF(OR($V115="Not submitted",$V115="Resubmittal required"),"Contractor","Reviewer")))</f>
        <v/>
      </c>
      <c r="X115" s="35"/>
      <c r="Y115" s="37"/>
      <c r="Z115" s="38" t="str">
        <f aca="false">IF(OR($J115="",$Y115="",$X115="",$V115="Void",$V115="Superseded"),"",$Y115-N($X115)*7-IF($Q115="Sequential",Setup!$D$20,Setup!$D$19)-Setup!$D$22)</f>
        <v/>
      </c>
      <c r="AA115" s="39" t="str">
        <f aca="true">IF($Z115="","",IF($N115&lt;&gt;"",$Z115-$N115,$Z115-TODAY()))</f>
        <v/>
      </c>
      <c r="AB115" s="36" t="str">
        <f aca="false">IF(OR($X115="",$V115="Void",$V115="Superseded"),"",IF(N($X115)&gt;=Setup!$D$23,"Long lead",""))</f>
        <v/>
      </c>
      <c r="AC115" s="40"/>
      <c r="AD115" s="41"/>
      <c r="AE115" s="41"/>
    </row>
    <row r="116" customFormat="false" ht="30" hidden="false" customHeight="true" outlineLevel="0" collapsed="false">
      <c r="A116" s="31"/>
      <c r="B116" s="32" t="str">
        <f aca="false">IF($J116="","",ROW()-8)</f>
        <v/>
      </c>
      <c r="C116" s="33" t="str">
        <f aca="false">IF($J116="","",$D116&amp;"-"&amp;TEXT($E116,"000")&amp;IF(N($F116)&gt;0,"."&amp;TEXT($F116,"00"),""))</f>
        <v/>
      </c>
      <c r="D116" s="43"/>
      <c r="E116" s="44"/>
      <c r="F116" s="44"/>
      <c r="G116" s="43"/>
      <c r="H116" s="43"/>
      <c r="I116" s="43"/>
      <c r="J116" s="43"/>
      <c r="K116" s="43"/>
      <c r="L116" s="36" t="str">
        <f aca="false">IF($K116="","",IFERROR(INDEX(Reference!$D$53:$D$67,MATCH($K116,Reference!$B$53:$B$67,0)),""))</f>
        <v/>
      </c>
      <c r="M116" s="43"/>
      <c r="N116" s="45"/>
      <c r="O116" s="45"/>
      <c r="P116" s="43"/>
      <c r="Q116" s="44"/>
      <c r="R116" s="38" t="str">
        <f aca="false">IF($O116="","",$O116+IF(N($F116)&gt;0,Setup!$D$21,IF($Q116="Sequential",Setup!$D$20,Setup!$D$19)))</f>
        <v/>
      </c>
      <c r="S116" s="45"/>
      <c r="T116" s="44"/>
      <c r="U116" s="39" t="str">
        <f aca="true">IF($O116="","",IF($S116&lt;&gt;"",$S116-$O116,TODAY()-$O116))</f>
        <v/>
      </c>
      <c r="V116" s="36" t="str">
        <f aca="true">IF($J116="","",IF($AD116="Yes","Void",IF(COUNTIFS($D$9:$D$208,$D116,$E$9:$E$208,$E116,$F$9:$F$208,"&gt;"&amp;N($F116))&gt;0,"Superseded",IF($N116="","Not submitted",IF($S116="",IF(AND($R116&lt;&gt;"",$R116&lt;TODAY()),"Overdue with reviewer","In review"),IF(COUNTIF(Reference!$B$70:$B$80,$T116)&gt;0,"Closed","Resubmittal required"))))))</f>
        <v/>
      </c>
      <c r="W116" s="36" t="str">
        <f aca="false">IF($J116="","",IF(OR($V116="Closed",$V116="Superseded",$V116="Void"),"Closed",IF(OR($V116="Not submitted",$V116="Resubmittal required"),"Contractor","Reviewer")))</f>
        <v/>
      </c>
      <c r="X116" s="44"/>
      <c r="Y116" s="45"/>
      <c r="Z116" s="38" t="str">
        <f aca="false">IF(OR($J116="",$Y116="",$X116="",$V116="Void",$V116="Superseded"),"",$Y116-N($X116)*7-IF($Q116="Sequential",Setup!$D$20,Setup!$D$19)-Setup!$D$22)</f>
        <v/>
      </c>
      <c r="AA116" s="39" t="str">
        <f aca="true">IF($Z116="","",IF($N116&lt;&gt;"",$Z116-$N116,$Z116-TODAY()))</f>
        <v/>
      </c>
      <c r="AB116" s="36" t="str">
        <f aca="false">IF(OR($X116="",$V116="Void",$V116="Superseded"),"",IF(N($X116)&gt;=Setup!$D$23,"Long lead",""))</f>
        <v/>
      </c>
      <c r="AC116" s="46"/>
      <c r="AD116" s="47"/>
      <c r="AE116" s="47"/>
    </row>
    <row r="117" customFormat="false" ht="30" hidden="false" customHeight="true" outlineLevel="0" collapsed="false">
      <c r="A117" s="31"/>
      <c r="B117" s="32" t="str">
        <f aca="false">IF($J117="","",ROW()-8)</f>
        <v/>
      </c>
      <c r="C117" s="33" t="str">
        <f aca="false">IF($J117="","",$D117&amp;"-"&amp;TEXT($E117,"000")&amp;IF(N($F117)&gt;0,"."&amp;TEXT($F117,"00"),""))</f>
        <v/>
      </c>
      <c r="D117" s="34"/>
      <c r="E117" s="35"/>
      <c r="F117" s="35"/>
      <c r="G117" s="34"/>
      <c r="H117" s="34"/>
      <c r="I117" s="34"/>
      <c r="J117" s="34"/>
      <c r="K117" s="34"/>
      <c r="L117" s="36" t="str">
        <f aca="false">IF($K117="","",IFERROR(INDEX(Reference!$D$53:$D$67,MATCH($K117,Reference!$B$53:$B$67,0)),""))</f>
        <v/>
      </c>
      <c r="M117" s="34"/>
      <c r="N117" s="37"/>
      <c r="O117" s="37"/>
      <c r="P117" s="34"/>
      <c r="Q117" s="35"/>
      <c r="R117" s="38" t="str">
        <f aca="false">IF($O117="","",$O117+IF(N($F117)&gt;0,Setup!$D$21,IF($Q117="Sequential",Setup!$D$20,Setup!$D$19)))</f>
        <v/>
      </c>
      <c r="S117" s="37"/>
      <c r="T117" s="35"/>
      <c r="U117" s="39" t="str">
        <f aca="true">IF($O117="","",IF($S117&lt;&gt;"",$S117-$O117,TODAY()-$O117))</f>
        <v/>
      </c>
      <c r="V117" s="36" t="str">
        <f aca="true">IF($J117="","",IF($AD117="Yes","Void",IF(COUNTIFS($D$9:$D$208,$D117,$E$9:$E$208,$E117,$F$9:$F$208,"&gt;"&amp;N($F117))&gt;0,"Superseded",IF($N117="","Not submitted",IF($S117="",IF(AND($R117&lt;&gt;"",$R117&lt;TODAY()),"Overdue with reviewer","In review"),IF(COUNTIF(Reference!$B$70:$B$80,$T117)&gt;0,"Closed","Resubmittal required"))))))</f>
        <v/>
      </c>
      <c r="W117" s="36" t="str">
        <f aca="false">IF($J117="","",IF(OR($V117="Closed",$V117="Superseded",$V117="Void"),"Closed",IF(OR($V117="Not submitted",$V117="Resubmittal required"),"Contractor","Reviewer")))</f>
        <v/>
      </c>
      <c r="X117" s="35"/>
      <c r="Y117" s="37"/>
      <c r="Z117" s="38" t="str">
        <f aca="false">IF(OR($J117="",$Y117="",$X117="",$V117="Void",$V117="Superseded"),"",$Y117-N($X117)*7-IF($Q117="Sequential",Setup!$D$20,Setup!$D$19)-Setup!$D$22)</f>
        <v/>
      </c>
      <c r="AA117" s="39" t="str">
        <f aca="true">IF($Z117="","",IF($N117&lt;&gt;"",$Z117-$N117,$Z117-TODAY()))</f>
        <v/>
      </c>
      <c r="AB117" s="36" t="str">
        <f aca="false">IF(OR($X117="",$V117="Void",$V117="Superseded"),"",IF(N($X117)&gt;=Setup!$D$23,"Long lead",""))</f>
        <v/>
      </c>
      <c r="AC117" s="40"/>
      <c r="AD117" s="41"/>
      <c r="AE117" s="41"/>
    </row>
    <row r="118" customFormat="false" ht="30" hidden="false" customHeight="true" outlineLevel="0" collapsed="false">
      <c r="A118" s="31"/>
      <c r="B118" s="32" t="str">
        <f aca="false">IF($J118="","",ROW()-8)</f>
        <v/>
      </c>
      <c r="C118" s="33" t="str">
        <f aca="false">IF($J118="","",$D118&amp;"-"&amp;TEXT($E118,"000")&amp;IF(N($F118)&gt;0,"."&amp;TEXT($F118,"00"),""))</f>
        <v/>
      </c>
      <c r="D118" s="43"/>
      <c r="E118" s="44"/>
      <c r="F118" s="44"/>
      <c r="G118" s="43"/>
      <c r="H118" s="43"/>
      <c r="I118" s="43"/>
      <c r="J118" s="43"/>
      <c r="K118" s="43"/>
      <c r="L118" s="36" t="str">
        <f aca="false">IF($K118="","",IFERROR(INDEX(Reference!$D$53:$D$67,MATCH($K118,Reference!$B$53:$B$67,0)),""))</f>
        <v/>
      </c>
      <c r="M118" s="43"/>
      <c r="N118" s="45"/>
      <c r="O118" s="45"/>
      <c r="P118" s="43"/>
      <c r="Q118" s="44"/>
      <c r="R118" s="38" t="str">
        <f aca="false">IF($O118="","",$O118+IF(N($F118)&gt;0,Setup!$D$21,IF($Q118="Sequential",Setup!$D$20,Setup!$D$19)))</f>
        <v/>
      </c>
      <c r="S118" s="45"/>
      <c r="T118" s="44"/>
      <c r="U118" s="39" t="str">
        <f aca="true">IF($O118="","",IF($S118&lt;&gt;"",$S118-$O118,TODAY()-$O118))</f>
        <v/>
      </c>
      <c r="V118" s="36" t="str">
        <f aca="true">IF($J118="","",IF($AD118="Yes","Void",IF(COUNTIFS($D$9:$D$208,$D118,$E$9:$E$208,$E118,$F$9:$F$208,"&gt;"&amp;N($F118))&gt;0,"Superseded",IF($N118="","Not submitted",IF($S118="",IF(AND($R118&lt;&gt;"",$R118&lt;TODAY()),"Overdue with reviewer","In review"),IF(COUNTIF(Reference!$B$70:$B$80,$T118)&gt;0,"Closed","Resubmittal required"))))))</f>
        <v/>
      </c>
      <c r="W118" s="36" t="str">
        <f aca="false">IF($J118="","",IF(OR($V118="Closed",$V118="Superseded",$V118="Void"),"Closed",IF(OR($V118="Not submitted",$V118="Resubmittal required"),"Contractor","Reviewer")))</f>
        <v/>
      </c>
      <c r="X118" s="44"/>
      <c r="Y118" s="45"/>
      <c r="Z118" s="38" t="str">
        <f aca="false">IF(OR($J118="",$Y118="",$X118="",$V118="Void",$V118="Superseded"),"",$Y118-N($X118)*7-IF($Q118="Sequential",Setup!$D$20,Setup!$D$19)-Setup!$D$22)</f>
        <v/>
      </c>
      <c r="AA118" s="39" t="str">
        <f aca="true">IF($Z118="","",IF($N118&lt;&gt;"",$Z118-$N118,$Z118-TODAY()))</f>
        <v/>
      </c>
      <c r="AB118" s="36" t="str">
        <f aca="false">IF(OR($X118="",$V118="Void",$V118="Superseded"),"",IF(N($X118)&gt;=Setup!$D$23,"Long lead",""))</f>
        <v/>
      </c>
      <c r="AC118" s="46"/>
      <c r="AD118" s="47"/>
      <c r="AE118" s="47"/>
    </row>
    <row r="119" customFormat="false" ht="30" hidden="false" customHeight="true" outlineLevel="0" collapsed="false">
      <c r="A119" s="31"/>
      <c r="B119" s="32" t="str">
        <f aca="false">IF($J119="","",ROW()-8)</f>
        <v/>
      </c>
      <c r="C119" s="33" t="str">
        <f aca="false">IF($J119="","",$D119&amp;"-"&amp;TEXT($E119,"000")&amp;IF(N($F119)&gt;0,"."&amp;TEXT($F119,"00"),""))</f>
        <v/>
      </c>
      <c r="D119" s="34"/>
      <c r="E119" s="35"/>
      <c r="F119" s="35"/>
      <c r="G119" s="34"/>
      <c r="H119" s="34"/>
      <c r="I119" s="34"/>
      <c r="J119" s="34"/>
      <c r="K119" s="34"/>
      <c r="L119" s="36" t="str">
        <f aca="false">IF($K119="","",IFERROR(INDEX(Reference!$D$53:$D$67,MATCH($K119,Reference!$B$53:$B$67,0)),""))</f>
        <v/>
      </c>
      <c r="M119" s="34"/>
      <c r="N119" s="37"/>
      <c r="O119" s="37"/>
      <c r="P119" s="34"/>
      <c r="Q119" s="35"/>
      <c r="R119" s="38" t="str">
        <f aca="false">IF($O119="","",$O119+IF(N($F119)&gt;0,Setup!$D$21,IF($Q119="Sequential",Setup!$D$20,Setup!$D$19)))</f>
        <v/>
      </c>
      <c r="S119" s="37"/>
      <c r="T119" s="35"/>
      <c r="U119" s="39" t="str">
        <f aca="true">IF($O119="","",IF($S119&lt;&gt;"",$S119-$O119,TODAY()-$O119))</f>
        <v/>
      </c>
      <c r="V119" s="36" t="str">
        <f aca="true">IF($J119="","",IF($AD119="Yes","Void",IF(COUNTIFS($D$9:$D$208,$D119,$E$9:$E$208,$E119,$F$9:$F$208,"&gt;"&amp;N($F119))&gt;0,"Superseded",IF($N119="","Not submitted",IF($S119="",IF(AND($R119&lt;&gt;"",$R119&lt;TODAY()),"Overdue with reviewer","In review"),IF(COUNTIF(Reference!$B$70:$B$80,$T119)&gt;0,"Closed","Resubmittal required"))))))</f>
        <v/>
      </c>
      <c r="W119" s="36" t="str">
        <f aca="false">IF($J119="","",IF(OR($V119="Closed",$V119="Superseded",$V119="Void"),"Closed",IF(OR($V119="Not submitted",$V119="Resubmittal required"),"Contractor","Reviewer")))</f>
        <v/>
      </c>
      <c r="X119" s="35"/>
      <c r="Y119" s="37"/>
      <c r="Z119" s="38" t="str">
        <f aca="false">IF(OR($J119="",$Y119="",$X119="",$V119="Void",$V119="Superseded"),"",$Y119-N($X119)*7-IF($Q119="Sequential",Setup!$D$20,Setup!$D$19)-Setup!$D$22)</f>
        <v/>
      </c>
      <c r="AA119" s="39" t="str">
        <f aca="true">IF($Z119="","",IF($N119&lt;&gt;"",$Z119-$N119,$Z119-TODAY()))</f>
        <v/>
      </c>
      <c r="AB119" s="36" t="str">
        <f aca="false">IF(OR($X119="",$V119="Void",$V119="Superseded"),"",IF(N($X119)&gt;=Setup!$D$23,"Long lead",""))</f>
        <v/>
      </c>
      <c r="AC119" s="40"/>
      <c r="AD119" s="41"/>
      <c r="AE119" s="41"/>
    </row>
    <row r="120" customFormat="false" ht="30" hidden="false" customHeight="true" outlineLevel="0" collapsed="false">
      <c r="A120" s="31"/>
      <c r="B120" s="32" t="str">
        <f aca="false">IF($J120="","",ROW()-8)</f>
        <v/>
      </c>
      <c r="C120" s="33" t="str">
        <f aca="false">IF($J120="","",$D120&amp;"-"&amp;TEXT($E120,"000")&amp;IF(N($F120)&gt;0,"."&amp;TEXT($F120,"00"),""))</f>
        <v/>
      </c>
      <c r="D120" s="43"/>
      <c r="E120" s="44"/>
      <c r="F120" s="44"/>
      <c r="G120" s="43"/>
      <c r="H120" s="43"/>
      <c r="I120" s="43"/>
      <c r="J120" s="43"/>
      <c r="K120" s="43"/>
      <c r="L120" s="36" t="str">
        <f aca="false">IF($K120="","",IFERROR(INDEX(Reference!$D$53:$D$67,MATCH($K120,Reference!$B$53:$B$67,0)),""))</f>
        <v/>
      </c>
      <c r="M120" s="43"/>
      <c r="N120" s="45"/>
      <c r="O120" s="45"/>
      <c r="P120" s="43"/>
      <c r="Q120" s="44"/>
      <c r="R120" s="38" t="str">
        <f aca="false">IF($O120="","",$O120+IF(N($F120)&gt;0,Setup!$D$21,IF($Q120="Sequential",Setup!$D$20,Setup!$D$19)))</f>
        <v/>
      </c>
      <c r="S120" s="45"/>
      <c r="T120" s="44"/>
      <c r="U120" s="39" t="str">
        <f aca="true">IF($O120="","",IF($S120&lt;&gt;"",$S120-$O120,TODAY()-$O120))</f>
        <v/>
      </c>
      <c r="V120" s="36" t="str">
        <f aca="true">IF($J120="","",IF($AD120="Yes","Void",IF(COUNTIFS($D$9:$D$208,$D120,$E$9:$E$208,$E120,$F$9:$F$208,"&gt;"&amp;N($F120))&gt;0,"Superseded",IF($N120="","Not submitted",IF($S120="",IF(AND($R120&lt;&gt;"",$R120&lt;TODAY()),"Overdue with reviewer","In review"),IF(COUNTIF(Reference!$B$70:$B$80,$T120)&gt;0,"Closed","Resubmittal required"))))))</f>
        <v/>
      </c>
      <c r="W120" s="36" t="str">
        <f aca="false">IF($J120="","",IF(OR($V120="Closed",$V120="Superseded",$V120="Void"),"Closed",IF(OR($V120="Not submitted",$V120="Resubmittal required"),"Contractor","Reviewer")))</f>
        <v/>
      </c>
      <c r="X120" s="44"/>
      <c r="Y120" s="45"/>
      <c r="Z120" s="38" t="str">
        <f aca="false">IF(OR($J120="",$Y120="",$X120="",$V120="Void",$V120="Superseded"),"",$Y120-N($X120)*7-IF($Q120="Sequential",Setup!$D$20,Setup!$D$19)-Setup!$D$22)</f>
        <v/>
      </c>
      <c r="AA120" s="39" t="str">
        <f aca="true">IF($Z120="","",IF($N120&lt;&gt;"",$Z120-$N120,$Z120-TODAY()))</f>
        <v/>
      </c>
      <c r="AB120" s="36" t="str">
        <f aca="false">IF(OR($X120="",$V120="Void",$V120="Superseded"),"",IF(N($X120)&gt;=Setup!$D$23,"Long lead",""))</f>
        <v/>
      </c>
      <c r="AC120" s="46"/>
      <c r="AD120" s="47"/>
      <c r="AE120" s="47"/>
    </row>
    <row r="121" customFormat="false" ht="30" hidden="false" customHeight="true" outlineLevel="0" collapsed="false">
      <c r="A121" s="31"/>
      <c r="B121" s="32" t="str">
        <f aca="false">IF($J121="","",ROW()-8)</f>
        <v/>
      </c>
      <c r="C121" s="33" t="str">
        <f aca="false">IF($J121="","",$D121&amp;"-"&amp;TEXT($E121,"000")&amp;IF(N($F121)&gt;0,"."&amp;TEXT($F121,"00"),""))</f>
        <v/>
      </c>
      <c r="D121" s="34"/>
      <c r="E121" s="35"/>
      <c r="F121" s="35"/>
      <c r="G121" s="34"/>
      <c r="H121" s="34"/>
      <c r="I121" s="34"/>
      <c r="J121" s="34"/>
      <c r="K121" s="34"/>
      <c r="L121" s="36" t="str">
        <f aca="false">IF($K121="","",IFERROR(INDEX(Reference!$D$53:$D$67,MATCH($K121,Reference!$B$53:$B$67,0)),""))</f>
        <v/>
      </c>
      <c r="M121" s="34"/>
      <c r="N121" s="37"/>
      <c r="O121" s="37"/>
      <c r="P121" s="34"/>
      <c r="Q121" s="35"/>
      <c r="R121" s="38" t="str">
        <f aca="false">IF($O121="","",$O121+IF(N($F121)&gt;0,Setup!$D$21,IF($Q121="Sequential",Setup!$D$20,Setup!$D$19)))</f>
        <v/>
      </c>
      <c r="S121" s="37"/>
      <c r="T121" s="35"/>
      <c r="U121" s="39" t="str">
        <f aca="true">IF($O121="","",IF($S121&lt;&gt;"",$S121-$O121,TODAY()-$O121))</f>
        <v/>
      </c>
      <c r="V121" s="36" t="str">
        <f aca="true">IF($J121="","",IF($AD121="Yes","Void",IF(COUNTIFS($D$9:$D$208,$D121,$E$9:$E$208,$E121,$F$9:$F$208,"&gt;"&amp;N($F121))&gt;0,"Superseded",IF($N121="","Not submitted",IF($S121="",IF(AND($R121&lt;&gt;"",$R121&lt;TODAY()),"Overdue with reviewer","In review"),IF(COUNTIF(Reference!$B$70:$B$80,$T121)&gt;0,"Closed","Resubmittal required"))))))</f>
        <v/>
      </c>
      <c r="W121" s="36" t="str">
        <f aca="false">IF($J121="","",IF(OR($V121="Closed",$V121="Superseded",$V121="Void"),"Closed",IF(OR($V121="Not submitted",$V121="Resubmittal required"),"Contractor","Reviewer")))</f>
        <v/>
      </c>
      <c r="X121" s="35"/>
      <c r="Y121" s="37"/>
      <c r="Z121" s="38" t="str">
        <f aca="false">IF(OR($J121="",$Y121="",$X121="",$V121="Void",$V121="Superseded"),"",$Y121-N($X121)*7-IF($Q121="Sequential",Setup!$D$20,Setup!$D$19)-Setup!$D$22)</f>
        <v/>
      </c>
      <c r="AA121" s="39" t="str">
        <f aca="true">IF($Z121="","",IF($N121&lt;&gt;"",$Z121-$N121,$Z121-TODAY()))</f>
        <v/>
      </c>
      <c r="AB121" s="36" t="str">
        <f aca="false">IF(OR($X121="",$V121="Void",$V121="Superseded"),"",IF(N($X121)&gt;=Setup!$D$23,"Long lead",""))</f>
        <v/>
      </c>
      <c r="AC121" s="40"/>
      <c r="AD121" s="41"/>
      <c r="AE121" s="41"/>
    </row>
    <row r="122" customFormat="false" ht="30" hidden="false" customHeight="true" outlineLevel="0" collapsed="false">
      <c r="A122" s="31"/>
      <c r="B122" s="32" t="str">
        <f aca="false">IF($J122="","",ROW()-8)</f>
        <v/>
      </c>
      <c r="C122" s="33" t="str">
        <f aca="false">IF($J122="","",$D122&amp;"-"&amp;TEXT($E122,"000")&amp;IF(N($F122)&gt;0,"."&amp;TEXT($F122,"00"),""))</f>
        <v/>
      </c>
      <c r="D122" s="43"/>
      <c r="E122" s="44"/>
      <c r="F122" s="44"/>
      <c r="G122" s="43"/>
      <c r="H122" s="43"/>
      <c r="I122" s="43"/>
      <c r="J122" s="43"/>
      <c r="K122" s="43"/>
      <c r="L122" s="36" t="str">
        <f aca="false">IF($K122="","",IFERROR(INDEX(Reference!$D$53:$D$67,MATCH($K122,Reference!$B$53:$B$67,0)),""))</f>
        <v/>
      </c>
      <c r="M122" s="43"/>
      <c r="N122" s="45"/>
      <c r="O122" s="45"/>
      <c r="P122" s="43"/>
      <c r="Q122" s="44"/>
      <c r="R122" s="38" t="str">
        <f aca="false">IF($O122="","",$O122+IF(N($F122)&gt;0,Setup!$D$21,IF($Q122="Sequential",Setup!$D$20,Setup!$D$19)))</f>
        <v/>
      </c>
      <c r="S122" s="45"/>
      <c r="T122" s="44"/>
      <c r="U122" s="39" t="str">
        <f aca="true">IF($O122="","",IF($S122&lt;&gt;"",$S122-$O122,TODAY()-$O122))</f>
        <v/>
      </c>
      <c r="V122" s="36" t="str">
        <f aca="true">IF($J122="","",IF($AD122="Yes","Void",IF(COUNTIFS($D$9:$D$208,$D122,$E$9:$E$208,$E122,$F$9:$F$208,"&gt;"&amp;N($F122))&gt;0,"Superseded",IF($N122="","Not submitted",IF($S122="",IF(AND($R122&lt;&gt;"",$R122&lt;TODAY()),"Overdue with reviewer","In review"),IF(COUNTIF(Reference!$B$70:$B$80,$T122)&gt;0,"Closed","Resubmittal required"))))))</f>
        <v/>
      </c>
      <c r="W122" s="36" t="str">
        <f aca="false">IF($J122="","",IF(OR($V122="Closed",$V122="Superseded",$V122="Void"),"Closed",IF(OR($V122="Not submitted",$V122="Resubmittal required"),"Contractor","Reviewer")))</f>
        <v/>
      </c>
      <c r="X122" s="44"/>
      <c r="Y122" s="45"/>
      <c r="Z122" s="38" t="str">
        <f aca="false">IF(OR($J122="",$Y122="",$X122="",$V122="Void",$V122="Superseded"),"",$Y122-N($X122)*7-IF($Q122="Sequential",Setup!$D$20,Setup!$D$19)-Setup!$D$22)</f>
        <v/>
      </c>
      <c r="AA122" s="39" t="str">
        <f aca="true">IF($Z122="","",IF($N122&lt;&gt;"",$Z122-$N122,$Z122-TODAY()))</f>
        <v/>
      </c>
      <c r="AB122" s="36" t="str">
        <f aca="false">IF(OR($X122="",$V122="Void",$V122="Superseded"),"",IF(N($X122)&gt;=Setup!$D$23,"Long lead",""))</f>
        <v/>
      </c>
      <c r="AC122" s="46"/>
      <c r="AD122" s="47"/>
      <c r="AE122" s="47"/>
    </row>
    <row r="123" customFormat="false" ht="30" hidden="false" customHeight="true" outlineLevel="0" collapsed="false">
      <c r="A123" s="31"/>
      <c r="B123" s="32" t="str">
        <f aca="false">IF($J123="","",ROW()-8)</f>
        <v/>
      </c>
      <c r="C123" s="33" t="str">
        <f aca="false">IF($J123="","",$D123&amp;"-"&amp;TEXT($E123,"000")&amp;IF(N($F123)&gt;0,"."&amp;TEXT($F123,"00"),""))</f>
        <v/>
      </c>
      <c r="D123" s="34"/>
      <c r="E123" s="35"/>
      <c r="F123" s="35"/>
      <c r="G123" s="34"/>
      <c r="H123" s="34"/>
      <c r="I123" s="34"/>
      <c r="J123" s="34"/>
      <c r="K123" s="34"/>
      <c r="L123" s="36" t="str">
        <f aca="false">IF($K123="","",IFERROR(INDEX(Reference!$D$53:$D$67,MATCH($K123,Reference!$B$53:$B$67,0)),""))</f>
        <v/>
      </c>
      <c r="M123" s="34"/>
      <c r="N123" s="37"/>
      <c r="O123" s="37"/>
      <c r="P123" s="34"/>
      <c r="Q123" s="35"/>
      <c r="R123" s="38" t="str">
        <f aca="false">IF($O123="","",$O123+IF(N($F123)&gt;0,Setup!$D$21,IF($Q123="Sequential",Setup!$D$20,Setup!$D$19)))</f>
        <v/>
      </c>
      <c r="S123" s="37"/>
      <c r="T123" s="35"/>
      <c r="U123" s="39" t="str">
        <f aca="true">IF($O123="","",IF($S123&lt;&gt;"",$S123-$O123,TODAY()-$O123))</f>
        <v/>
      </c>
      <c r="V123" s="36" t="str">
        <f aca="true">IF($J123="","",IF($AD123="Yes","Void",IF(COUNTIFS($D$9:$D$208,$D123,$E$9:$E$208,$E123,$F$9:$F$208,"&gt;"&amp;N($F123))&gt;0,"Superseded",IF($N123="","Not submitted",IF($S123="",IF(AND($R123&lt;&gt;"",$R123&lt;TODAY()),"Overdue with reviewer","In review"),IF(COUNTIF(Reference!$B$70:$B$80,$T123)&gt;0,"Closed","Resubmittal required"))))))</f>
        <v/>
      </c>
      <c r="W123" s="36" t="str">
        <f aca="false">IF($J123="","",IF(OR($V123="Closed",$V123="Superseded",$V123="Void"),"Closed",IF(OR($V123="Not submitted",$V123="Resubmittal required"),"Contractor","Reviewer")))</f>
        <v/>
      </c>
      <c r="X123" s="35"/>
      <c r="Y123" s="37"/>
      <c r="Z123" s="38" t="str">
        <f aca="false">IF(OR($J123="",$Y123="",$X123="",$V123="Void",$V123="Superseded"),"",$Y123-N($X123)*7-IF($Q123="Sequential",Setup!$D$20,Setup!$D$19)-Setup!$D$22)</f>
        <v/>
      </c>
      <c r="AA123" s="39" t="str">
        <f aca="true">IF($Z123="","",IF($N123&lt;&gt;"",$Z123-$N123,$Z123-TODAY()))</f>
        <v/>
      </c>
      <c r="AB123" s="36" t="str">
        <f aca="false">IF(OR($X123="",$V123="Void",$V123="Superseded"),"",IF(N($X123)&gt;=Setup!$D$23,"Long lead",""))</f>
        <v/>
      </c>
      <c r="AC123" s="40"/>
      <c r="AD123" s="41"/>
      <c r="AE123" s="41"/>
    </row>
    <row r="124" customFormat="false" ht="30" hidden="false" customHeight="true" outlineLevel="0" collapsed="false">
      <c r="A124" s="31"/>
      <c r="B124" s="32" t="str">
        <f aca="false">IF($J124="","",ROW()-8)</f>
        <v/>
      </c>
      <c r="C124" s="33" t="str">
        <f aca="false">IF($J124="","",$D124&amp;"-"&amp;TEXT($E124,"000")&amp;IF(N($F124)&gt;0,"."&amp;TEXT($F124,"00"),""))</f>
        <v/>
      </c>
      <c r="D124" s="43"/>
      <c r="E124" s="44"/>
      <c r="F124" s="44"/>
      <c r="G124" s="43"/>
      <c r="H124" s="43"/>
      <c r="I124" s="43"/>
      <c r="J124" s="43"/>
      <c r="K124" s="43"/>
      <c r="L124" s="36" t="str">
        <f aca="false">IF($K124="","",IFERROR(INDEX(Reference!$D$53:$D$67,MATCH($K124,Reference!$B$53:$B$67,0)),""))</f>
        <v/>
      </c>
      <c r="M124" s="43"/>
      <c r="N124" s="45"/>
      <c r="O124" s="45"/>
      <c r="P124" s="43"/>
      <c r="Q124" s="44"/>
      <c r="R124" s="38" t="str">
        <f aca="false">IF($O124="","",$O124+IF(N($F124)&gt;0,Setup!$D$21,IF($Q124="Sequential",Setup!$D$20,Setup!$D$19)))</f>
        <v/>
      </c>
      <c r="S124" s="45"/>
      <c r="T124" s="44"/>
      <c r="U124" s="39" t="str">
        <f aca="true">IF($O124="","",IF($S124&lt;&gt;"",$S124-$O124,TODAY()-$O124))</f>
        <v/>
      </c>
      <c r="V124" s="36" t="str">
        <f aca="true">IF($J124="","",IF($AD124="Yes","Void",IF(COUNTIFS($D$9:$D$208,$D124,$E$9:$E$208,$E124,$F$9:$F$208,"&gt;"&amp;N($F124))&gt;0,"Superseded",IF($N124="","Not submitted",IF($S124="",IF(AND($R124&lt;&gt;"",$R124&lt;TODAY()),"Overdue with reviewer","In review"),IF(COUNTIF(Reference!$B$70:$B$80,$T124)&gt;0,"Closed","Resubmittal required"))))))</f>
        <v/>
      </c>
      <c r="W124" s="36" t="str">
        <f aca="false">IF($J124="","",IF(OR($V124="Closed",$V124="Superseded",$V124="Void"),"Closed",IF(OR($V124="Not submitted",$V124="Resubmittal required"),"Contractor","Reviewer")))</f>
        <v/>
      </c>
      <c r="X124" s="44"/>
      <c r="Y124" s="45"/>
      <c r="Z124" s="38" t="str">
        <f aca="false">IF(OR($J124="",$Y124="",$X124="",$V124="Void",$V124="Superseded"),"",$Y124-N($X124)*7-IF($Q124="Sequential",Setup!$D$20,Setup!$D$19)-Setup!$D$22)</f>
        <v/>
      </c>
      <c r="AA124" s="39" t="str">
        <f aca="true">IF($Z124="","",IF($N124&lt;&gt;"",$Z124-$N124,$Z124-TODAY()))</f>
        <v/>
      </c>
      <c r="AB124" s="36" t="str">
        <f aca="false">IF(OR($X124="",$V124="Void",$V124="Superseded"),"",IF(N($X124)&gt;=Setup!$D$23,"Long lead",""))</f>
        <v/>
      </c>
      <c r="AC124" s="46"/>
      <c r="AD124" s="47"/>
      <c r="AE124" s="47"/>
    </row>
    <row r="125" customFormat="false" ht="30" hidden="false" customHeight="true" outlineLevel="0" collapsed="false">
      <c r="A125" s="31"/>
      <c r="B125" s="32" t="str">
        <f aca="false">IF($J125="","",ROW()-8)</f>
        <v/>
      </c>
      <c r="C125" s="33" t="str">
        <f aca="false">IF($J125="","",$D125&amp;"-"&amp;TEXT($E125,"000")&amp;IF(N($F125)&gt;0,"."&amp;TEXT($F125,"00"),""))</f>
        <v/>
      </c>
      <c r="D125" s="34"/>
      <c r="E125" s="35"/>
      <c r="F125" s="35"/>
      <c r="G125" s="34"/>
      <c r="H125" s="34"/>
      <c r="I125" s="34"/>
      <c r="J125" s="34"/>
      <c r="K125" s="34"/>
      <c r="L125" s="36" t="str">
        <f aca="false">IF($K125="","",IFERROR(INDEX(Reference!$D$53:$D$67,MATCH($K125,Reference!$B$53:$B$67,0)),""))</f>
        <v/>
      </c>
      <c r="M125" s="34"/>
      <c r="N125" s="37"/>
      <c r="O125" s="37"/>
      <c r="P125" s="34"/>
      <c r="Q125" s="35"/>
      <c r="R125" s="38" t="str">
        <f aca="false">IF($O125="","",$O125+IF(N($F125)&gt;0,Setup!$D$21,IF($Q125="Sequential",Setup!$D$20,Setup!$D$19)))</f>
        <v/>
      </c>
      <c r="S125" s="37"/>
      <c r="T125" s="35"/>
      <c r="U125" s="39" t="str">
        <f aca="true">IF($O125="","",IF($S125&lt;&gt;"",$S125-$O125,TODAY()-$O125))</f>
        <v/>
      </c>
      <c r="V125" s="36" t="str">
        <f aca="true">IF($J125="","",IF($AD125="Yes","Void",IF(COUNTIFS($D$9:$D$208,$D125,$E$9:$E$208,$E125,$F$9:$F$208,"&gt;"&amp;N($F125))&gt;0,"Superseded",IF($N125="","Not submitted",IF($S125="",IF(AND($R125&lt;&gt;"",$R125&lt;TODAY()),"Overdue with reviewer","In review"),IF(COUNTIF(Reference!$B$70:$B$80,$T125)&gt;0,"Closed","Resubmittal required"))))))</f>
        <v/>
      </c>
      <c r="W125" s="36" t="str">
        <f aca="false">IF($J125="","",IF(OR($V125="Closed",$V125="Superseded",$V125="Void"),"Closed",IF(OR($V125="Not submitted",$V125="Resubmittal required"),"Contractor","Reviewer")))</f>
        <v/>
      </c>
      <c r="X125" s="35"/>
      <c r="Y125" s="37"/>
      <c r="Z125" s="38" t="str">
        <f aca="false">IF(OR($J125="",$Y125="",$X125="",$V125="Void",$V125="Superseded"),"",$Y125-N($X125)*7-IF($Q125="Sequential",Setup!$D$20,Setup!$D$19)-Setup!$D$22)</f>
        <v/>
      </c>
      <c r="AA125" s="39" t="str">
        <f aca="true">IF($Z125="","",IF($N125&lt;&gt;"",$Z125-$N125,$Z125-TODAY()))</f>
        <v/>
      </c>
      <c r="AB125" s="36" t="str">
        <f aca="false">IF(OR($X125="",$V125="Void",$V125="Superseded"),"",IF(N($X125)&gt;=Setup!$D$23,"Long lead",""))</f>
        <v/>
      </c>
      <c r="AC125" s="40"/>
      <c r="AD125" s="41"/>
      <c r="AE125" s="41"/>
    </row>
    <row r="126" customFormat="false" ht="30" hidden="false" customHeight="true" outlineLevel="0" collapsed="false">
      <c r="A126" s="31"/>
      <c r="B126" s="32" t="str">
        <f aca="false">IF($J126="","",ROW()-8)</f>
        <v/>
      </c>
      <c r="C126" s="33" t="str">
        <f aca="false">IF($J126="","",$D126&amp;"-"&amp;TEXT($E126,"000")&amp;IF(N($F126)&gt;0,"."&amp;TEXT($F126,"00"),""))</f>
        <v/>
      </c>
      <c r="D126" s="43"/>
      <c r="E126" s="44"/>
      <c r="F126" s="44"/>
      <c r="G126" s="43"/>
      <c r="H126" s="43"/>
      <c r="I126" s="43"/>
      <c r="J126" s="43"/>
      <c r="K126" s="43"/>
      <c r="L126" s="36" t="str">
        <f aca="false">IF($K126="","",IFERROR(INDEX(Reference!$D$53:$D$67,MATCH($K126,Reference!$B$53:$B$67,0)),""))</f>
        <v/>
      </c>
      <c r="M126" s="43"/>
      <c r="N126" s="45"/>
      <c r="O126" s="45"/>
      <c r="P126" s="43"/>
      <c r="Q126" s="44"/>
      <c r="R126" s="38" t="str">
        <f aca="false">IF($O126="","",$O126+IF(N($F126)&gt;0,Setup!$D$21,IF($Q126="Sequential",Setup!$D$20,Setup!$D$19)))</f>
        <v/>
      </c>
      <c r="S126" s="45"/>
      <c r="T126" s="44"/>
      <c r="U126" s="39" t="str">
        <f aca="true">IF($O126="","",IF($S126&lt;&gt;"",$S126-$O126,TODAY()-$O126))</f>
        <v/>
      </c>
      <c r="V126" s="36" t="str">
        <f aca="true">IF($J126="","",IF($AD126="Yes","Void",IF(COUNTIFS($D$9:$D$208,$D126,$E$9:$E$208,$E126,$F$9:$F$208,"&gt;"&amp;N($F126))&gt;0,"Superseded",IF($N126="","Not submitted",IF($S126="",IF(AND($R126&lt;&gt;"",$R126&lt;TODAY()),"Overdue with reviewer","In review"),IF(COUNTIF(Reference!$B$70:$B$80,$T126)&gt;0,"Closed","Resubmittal required"))))))</f>
        <v/>
      </c>
      <c r="W126" s="36" t="str">
        <f aca="false">IF($J126="","",IF(OR($V126="Closed",$V126="Superseded",$V126="Void"),"Closed",IF(OR($V126="Not submitted",$V126="Resubmittal required"),"Contractor","Reviewer")))</f>
        <v/>
      </c>
      <c r="X126" s="44"/>
      <c r="Y126" s="45"/>
      <c r="Z126" s="38" t="str">
        <f aca="false">IF(OR($J126="",$Y126="",$X126="",$V126="Void",$V126="Superseded"),"",$Y126-N($X126)*7-IF($Q126="Sequential",Setup!$D$20,Setup!$D$19)-Setup!$D$22)</f>
        <v/>
      </c>
      <c r="AA126" s="39" t="str">
        <f aca="true">IF($Z126="","",IF($N126&lt;&gt;"",$Z126-$N126,$Z126-TODAY()))</f>
        <v/>
      </c>
      <c r="AB126" s="36" t="str">
        <f aca="false">IF(OR($X126="",$V126="Void",$V126="Superseded"),"",IF(N($X126)&gt;=Setup!$D$23,"Long lead",""))</f>
        <v/>
      </c>
      <c r="AC126" s="46"/>
      <c r="AD126" s="47"/>
      <c r="AE126" s="47"/>
    </row>
    <row r="127" customFormat="false" ht="30" hidden="false" customHeight="true" outlineLevel="0" collapsed="false">
      <c r="A127" s="31"/>
      <c r="B127" s="32" t="str">
        <f aca="false">IF($J127="","",ROW()-8)</f>
        <v/>
      </c>
      <c r="C127" s="33" t="str">
        <f aca="false">IF($J127="","",$D127&amp;"-"&amp;TEXT($E127,"000")&amp;IF(N($F127)&gt;0,"."&amp;TEXT($F127,"00"),""))</f>
        <v/>
      </c>
      <c r="D127" s="34"/>
      <c r="E127" s="35"/>
      <c r="F127" s="35"/>
      <c r="G127" s="34"/>
      <c r="H127" s="34"/>
      <c r="I127" s="34"/>
      <c r="J127" s="34"/>
      <c r="K127" s="34"/>
      <c r="L127" s="36" t="str">
        <f aca="false">IF($K127="","",IFERROR(INDEX(Reference!$D$53:$D$67,MATCH($K127,Reference!$B$53:$B$67,0)),""))</f>
        <v/>
      </c>
      <c r="M127" s="34"/>
      <c r="N127" s="37"/>
      <c r="O127" s="37"/>
      <c r="P127" s="34"/>
      <c r="Q127" s="35"/>
      <c r="R127" s="38" t="str">
        <f aca="false">IF($O127="","",$O127+IF(N($F127)&gt;0,Setup!$D$21,IF($Q127="Sequential",Setup!$D$20,Setup!$D$19)))</f>
        <v/>
      </c>
      <c r="S127" s="37"/>
      <c r="T127" s="35"/>
      <c r="U127" s="39" t="str">
        <f aca="true">IF($O127="","",IF($S127&lt;&gt;"",$S127-$O127,TODAY()-$O127))</f>
        <v/>
      </c>
      <c r="V127" s="36" t="str">
        <f aca="true">IF($J127="","",IF($AD127="Yes","Void",IF(COUNTIFS($D$9:$D$208,$D127,$E$9:$E$208,$E127,$F$9:$F$208,"&gt;"&amp;N($F127))&gt;0,"Superseded",IF($N127="","Not submitted",IF($S127="",IF(AND($R127&lt;&gt;"",$R127&lt;TODAY()),"Overdue with reviewer","In review"),IF(COUNTIF(Reference!$B$70:$B$80,$T127)&gt;0,"Closed","Resubmittal required"))))))</f>
        <v/>
      </c>
      <c r="W127" s="36" t="str">
        <f aca="false">IF($J127="","",IF(OR($V127="Closed",$V127="Superseded",$V127="Void"),"Closed",IF(OR($V127="Not submitted",$V127="Resubmittal required"),"Contractor","Reviewer")))</f>
        <v/>
      </c>
      <c r="X127" s="35"/>
      <c r="Y127" s="37"/>
      <c r="Z127" s="38" t="str">
        <f aca="false">IF(OR($J127="",$Y127="",$X127="",$V127="Void",$V127="Superseded"),"",$Y127-N($X127)*7-IF($Q127="Sequential",Setup!$D$20,Setup!$D$19)-Setup!$D$22)</f>
        <v/>
      </c>
      <c r="AA127" s="39" t="str">
        <f aca="true">IF($Z127="","",IF($N127&lt;&gt;"",$Z127-$N127,$Z127-TODAY()))</f>
        <v/>
      </c>
      <c r="AB127" s="36" t="str">
        <f aca="false">IF(OR($X127="",$V127="Void",$V127="Superseded"),"",IF(N($X127)&gt;=Setup!$D$23,"Long lead",""))</f>
        <v/>
      </c>
      <c r="AC127" s="40"/>
      <c r="AD127" s="41"/>
      <c r="AE127" s="41"/>
    </row>
    <row r="128" customFormat="false" ht="30" hidden="false" customHeight="true" outlineLevel="0" collapsed="false">
      <c r="A128" s="31"/>
      <c r="B128" s="32" t="str">
        <f aca="false">IF($J128="","",ROW()-8)</f>
        <v/>
      </c>
      <c r="C128" s="33" t="str">
        <f aca="false">IF($J128="","",$D128&amp;"-"&amp;TEXT($E128,"000")&amp;IF(N($F128)&gt;0,"."&amp;TEXT($F128,"00"),""))</f>
        <v/>
      </c>
      <c r="D128" s="43"/>
      <c r="E128" s="44"/>
      <c r="F128" s="44"/>
      <c r="G128" s="43"/>
      <c r="H128" s="43"/>
      <c r="I128" s="43"/>
      <c r="J128" s="43"/>
      <c r="K128" s="43"/>
      <c r="L128" s="36" t="str">
        <f aca="false">IF($K128="","",IFERROR(INDEX(Reference!$D$53:$D$67,MATCH($K128,Reference!$B$53:$B$67,0)),""))</f>
        <v/>
      </c>
      <c r="M128" s="43"/>
      <c r="N128" s="45"/>
      <c r="O128" s="45"/>
      <c r="P128" s="43"/>
      <c r="Q128" s="44"/>
      <c r="R128" s="38" t="str">
        <f aca="false">IF($O128="","",$O128+IF(N($F128)&gt;0,Setup!$D$21,IF($Q128="Sequential",Setup!$D$20,Setup!$D$19)))</f>
        <v/>
      </c>
      <c r="S128" s="45"/>
      <c r="T128" s="44"/>
      <c r="U128" s="39" t="str">
        <f aca="true">IF($O128="","",IF($S128&lt;&gt;"",$S128-$O128,TODAY()-$O128))</f>
        <v/>
      </c>
      <c r="V128" s="36" t="str">
        <f aca="true">IF($J128="","",IF($AD128="Yes","Void",IF(COUNTIFS($D$9:$D$208,$D128,$E$9:$E$208,$E128,$F$9:$F$208,"&gt;"&amp;N($F128))&gt;0,"Superseded",IF($N128="","Not submitted",IF($S128="",IF(AND($R128&lt;&gt;"",$R128&lt;TODAY()),"Overdue with reviewer","In review"),IF(COUNTIF(Reference!$B$70:$B$80,$T128)&gt;0,"Closed","Resubmittal required"))))))</f>
        <v/>
      </c>
      <c r="W128" s="36" t="str">
        <f aca="false">IF($J128="","",IF(OR($V128="Closed",$V128="Superseded",$V128="Void"),"Closed",IF(OR($V128="Not submitted",$V128="Resubmittal required"),"Contractor","Reviewer")))</f>
        <v/>
      </c>
      <c r="X128" s="44"/>
      <c r="Y128" s="45"/>
      <c r="Z128" s="38" t="str">
        <f aca="false">IF(OR($J128="",$Y128="",$X128="",$V128="Void",$V128="Superseded"),"",$Y128-N($X128)*7-IF($Q128="Sequential",Setup!$D$20,Setup!$D$19)-Setup!$D$22)</f>
        <v/>
      </c>
      <c r="AA128" s="39" t="str">
        <f aca="true">IF($Z128="","",IF($N128&lt;&gt;"",$Z128-$N128,$Z128-TODAY()))</f>
        <v/>
      </c>
      <c r="AB128" s="36" t="str">
        <f aca="false">IF(OR($X128="",$V128="Void",$V128="Superseded"),"",IF(N($X128)&gt;=Setup!$D$23,"Long lead",""))</f>
        <v/>
      </c>
      <c r="AC128" s="46"/>
      <c r="AD128" s="47"/>
      <c r="AE128" s="47"/>
    </row>
    <row r="129" customFormat="false" ht="30" hidden="false" customHeight="true" outlineLevel="0" collapsed="false">
      <c r="A129" s="31"/>
      <c r="B129" s="32" t="str">
        <f aca="false">IF($J129="","",ROW()-8)</f>
        <v/>
      </c>
      <c r="C129" s="33" t="str">
        <f aca="false">IF($J129="","",$D129&amp;"-"&amp;TEXT($E129,"000")&amp;IF(N($F129)&gt;0,"."&amp;TEXT($F129,"00"),""))</f>
        <v/>
      </c>
      <c r="D129" s="34"/>
      <c r="E129" s="35"/>
      <c r="F129" s="35"/>
      <c r="G129" s="34"/>
      <c r="H129" s="34"/>
      <c r="I129" s="34"/>
      <c r="J129" s="34"/>
      <c r="K129" s="34"/>
      <c r="L129" s="36" t="str">
        <f aca="false">IF($K129="","",IFERROR(INDEX(Reference!$D$53:$D$67,MATCH($K129,Reference!$B$53:$B$67,0)),""))</f>
        <v/>
      </c>
      <c r="M129" s="34"/>
      <c r="N129" s="37"/>
      <c r="O129" s="37"/>
      <c r="P129" s="34"/>
      <c r="Q129" s="35"/>
      <c r="R129" s="38" t="str">
        <f aca="false">IF($O129="","",$O129+IF(N($F129)&gt;0,Setup!$D$21,IF($Q129="Sequential",Setup!$D$20,Setup!$D$19)))</f>
        <v/>
      </c>
      <c r="S129" s="37"/>
      <c r="T129" s="35"/>
      <c r="U129" s="39" t="str">
        <f aca="true">IF($O129="","",IF($S129&lt;&gt;"",$S129-$O129,TODAY()-$O129))</f>
        <v/>
      </c>
      <c r="V129" s="36" t="str">
        <f aca="true">IF($J129="","",IF($AD129="Yes","Void",IF(COUNTIFS($D$9:$D$208,$D129,$E$9:$E$208,$E129,$F$9:$F$208,"&gt;"&amp;N($F129))&gt;0,"Superseded",IF($N129="","Not submitted",IF($S129="",IF(AND($R129&lt;&gt;"",$R129&lt;TODAY()),"Overdue with reviewer","In review"),IF(COUNTIF(Reference!$B$70:$B$80,$T129)&gt;0,"Closed","Resubmittal required"))))))</f>
        <v/>
      </c>
      <c r="W129" s="36" t="str">
        <f aca="false">IF($J129="","",IF(OR($V129="Closed",$V129="Superseded",$V129="Void"),"Closed",IF(OR($V129="Not submitted",$V129="Resubmittal required"),"Contractor","Reviewer")))</f>
        <v/>
      </c>
      <c r="X129" s="35"/>
      <c r="Y129" s="37"/>
      <c r="Z129" s="38" t="str">
        <f aca="false">IF(OR($J129="",$Y129="",$X129="",$V129="Void",$V129="Superseded"),"",$Y129-N($X129)*7-IF($Q129="Sequential",Setup!$D$20,Setup!$D$19)-Setup!$D$22)</f>
        <v/>
      </c>
      <c r="AA129" s="39" t="str">
        <f aca="true">IF($Z129="","",IF($N129&lt;&gt;"",$Z129-$N129,$Z129-TODAY()))</f>
        <v/>
      </c>
      <c r="AB129" s="36" t="str">
        <f aca="false">IF(OR($X129="",$V129="Void",$V129="Superseded"),"",IF(N($X129)&gt;=Setup!$D$23,"Long lead",""))</f>
        <v/>
      </c>
      <c r="AC129" s="40"/>
      <c r="AD129" s="41"/>
      <c r="AE129" s="41"/>
    </row>
    <row r="130" customFormat="false" ht="30" hidden="false" customHeight="true" outlineLevel="0" collapsed="false">
      <c r="A130" s="31"/>
      <c r="B130" s="32" t="str">
        <f aca="false">IF($J130="","",ROW()-8)</f>
        <v/>
      </c>
      <c r="C130" s="33" t="str">
        <f aca="false">IF($J130="","",$D130&amp;"-"&amp;TEXT($E130,"000")&amp;IF(N($F130)&gt;0,"."&amp;TEXT($F130,"00"),""))</f>
        <v/>
      </c>
      <c r="D130" s="43"/>
      <c r="E130" s="44"/>
      <c r="F130" s="44"/>
      <c r="G130" s="43"/>
      <c r="H130" s="43"/>
      <c r="I130" s="43"/>
      <c r="J130" s="43"/>
      <c r="K130" s="43"/>
      <c r="L130" s="36" t="str">
        <f aca="false">IF($K130="","",IFERROR(INDEX(Reference!$D$53:$D$67,MATCH($K130,Reference!$B$53:$B$67,0)),""))</f>
        <v/>
      </c>
      <c r="M130" s="43"/>
      <c r="N130" s="45"/>
      <c r="O130" s="45"/>
      <c r="P130" s="43"/>
      <c r="Q130" s="44"/>
      <c r="R130" s="38" t="str">
        <f aca="false">IF($O130="","",$O130+IF(N($F130)&gt;0,Setup!$D$21,IF($Q130="Sequential",Setup!$D$20,Setup!$D$19)))</f>
        <v/>
      </c>
      <c r="S130" s="45"/>
      <c r="T130" s="44"/>
      <c r="U130" s="39" t="str">
        <f aca="true">IF($O130="","",IF($S130&lt;&gt;"",$S130-$O130,TODAY()-$O130))</f>
        <v/>
      </c>
      <c r="V130" s="36" t="str">
        <f aca="true">IF($J130="","",IF($AD130="Yes","Void",IF(COUNTIFS($D$9:$D$208,$D130,$E$9:$E$208,$E130,$F$9:$F$208,"&gt;"&amp;N($F130))&gt;0,"Superseded",IF($N130="","Not submitted",IF($S130="",IF(AND($R130&lt;&gt;"",$R130&lt;TODAY()),"Overdue with reviewer","In review"),IF(COUNTIF(Reference!$B$70:$B$80,$T130)&gt;0,"Closed","Resubmittal required"))))))</f>
        <v/>
      </c>
      <c r="W130" s="36" t="str">
        <f aca="false">IF($J130="","",IF(OR($V130="Closed",$V130="Superseded",$V130="Void"),"Closed",IF(OR($V130="Not submitted",$V130="Resubmittal required"),"Contractor","Reviewer")))</f>
        <v/>
      </c>
      <c r="X130" s="44"/>
      <c r="Y130" s="45"/>
      <c r="Z130" s="38" t="str">
        <f aca="false">IF(OR($J130="",$Y130="",$X130="",$V130="Void",$V130="Superseded"),"",$Y130-N($X130)*7-IF($Q130="Sequential",Setup!$D$20,Setup!$D$19)-Setup!$D$22)</f>
        <v/>
      </c>
      <c r="AA130" s="39" t="str">
        <f aca="true">IF($Z130="","",IF($N130&lt;&gt;"",$Z130-$N130,$Z130-TODAY()))</f>
        <v/>
      </c>
      <c r="AB130" s="36" t="str">
        <f aca="false">IF(OR($X130="",$V130="Void",$V130="Superseded"),"",IF(N($X130)&gt;=Setup!$D$23,"Long lead",""))</f>
        <v/>
      </c>
      <c r="AC130" s="46"/>
      <c r="AD130" s="47"/>
      <c r="AE130" s="47"/>
    </row>
    <row r="131" customFormat="false" ht="30" hidden="false" customHeight="true" outlineLevel="0" collapsed="false">
      <c r="A131" s="31"/>
      <c r="B131" s="32" t="str">
        <f aca="false">IF($J131="","",ROW()-8)</f>
        <v/>
      </c>
      <c r="C131" s="33" t="str">
        <f aca="false">IF($J131="","",$D131&amp;"-"&amp;TEXT($E131,"000")&amp;IF(N($F131)&gt;0,"."&amp;TEXT($F131,"00"),""))</f>
        <v/>
      </c>
      <c r="D131" s="34"/>
      <c r="E131" s="35"/>
      <c r="F131" s="35"/>
      <c r="G131" s="34"/>
      <c r="H131" s="34"/>
      <c r="I131" s="34"/>
      <c r="J131" s="34"/>
      <c r="K131" s="34"/>
      <c r="L131" s="36" t="str">
        <f aca="false">IF($K131="","",IFERROR(INDEX(Reference!$D$53:$D$67,MATCH($K131,Reference!$B$53:$B$67,0)),""))</f>
        <v/>
      </c>
      <c r="M131" s="34"/>
      <c r="N131" s="37"/>
      <c r="O131" s="37"/>
      <c r="P131" s="34"/>
      <c r="Q131" s="35"/>
      <c r="R131" s="38" t="str">
        <f aca="false">IF($O131="","",$O131+IF(N($F131)&gt;0,Setup!$D$21,IF($Q131="Sequential",Setup!$D$20,Setup!$D$19)))</f>
        <v/>
      </c>
      <c r="S131" s="37"/>
      <c r="T131" s="35"/>
      <c r="U131" s="39" t="str">
        <f aca="true">IF($O131="","",IF($S131&lt;&gt;"",$S131-$O131,TODAY()-$O131))</f>
        <v/>
      </c>
      <c r="V131" s="36" t="str">
        <f aca="true">IF($J131="","",IF($AD131="Yes","Void",IF(COUNTIFS($D$9:$D$208,$D131,$E$9:$E$208,$E131,$F$9:$F$208,"&gt;"&amp;N($F131))&gt;0,"Superseded",IF($N131="","Not submitted",IF($S131="",IF(AND($R131&lt;&gt;"",$R131&lt;TODAY()),"Overdue with reviewer","In review"),IF(COUNTIF(Reference!$B$70:$B$80,$T131)&gt;0,"Closed","Resubmittal required"))))))</f>
        <v/>
      </c>
      <c r="W131" s="36" t="str">
        <f aca="false">IF($J131="","",IF(OR($V131="Closed",$V131="Superseded",$V131="Void"),"Closed",IF(OR($V131="Not submitted",$V131="Resubmittal required"),"Contractor","Reviewer")))</f>
        <v/>
      </c>
      <c r="X131" s="35"/>
      <c r="Y131" s="37"/>
      <c r="Z131" s="38" t="str">
        <f aca="false">IF(OR($J131="",$Y131="",$X131="",$V131="Void",$V131="Superseded"),"",$Y131-N($X131)*7-IF($Q131="Sequential",Setup!$D$20,Setup!$D$19)-Setup!$D$22)</f>
        <v/>
      </c>
      <c r="AA131" s="39" t="str">
        <f aca="true">IF($Z131="","",IF($N131&lt;&gt;"",$Z131-$N131,$Z131-TODAY()))</f>
        <v/>
      </c>
      <c r="AB131" s="36" t="str">
        <f aca="false">IF(OR($X131="",$V131="Void",$V131="Superseded"),"",IF(N($X131)&gt;=Setup!$D$23,"Long lead",""))</f>
        <v/>
      </c>
      <c r="AC131" s="40"/>
      <c r="AD131" s="41"/>
      <c r="AE131" s="41"/>
    </row>
    <row r="132" customFormat="false" ht="30" hidden="false" customHeight="true" outlineLevel="0" collapsed="false">
      <c r="A132" s="31"/>
      <c r="B132" s="32" t="str">
        <f aca="false">IF($J132="","",ROW()-8)</f>
        <v/>
      </c>
      <c r="C132" s="33" t="str">
        <f aca="false">IF($J132="","",$D132&amp;"-"&amp;TEXT($E132,"000")&amp;IF(N($F132)&gt;0,"."&amp;TEXT($F132,"00"),""))</f>
        <v/>
      </c>
      <c r="D132" s="43"/>
      <c r="E132" s="44"/>
      <c r="F132" s="44"/>
      <c r="G132" s="43"/>
      <c r="H132" s="43"/>
      <c r="I132" s="43"/>
      <c r="J132" s="43"/>
      <c r="K132" s="43"/>
      <c r="L132" s="36" t="str">
        <f aca="false">IF($K132="","",IFERROR(INDEX(Reference!$D$53:$D$67,MATCH($K132,Reference!$B$53:$B$67,0)),""))</f>
        <v/>
      </c>
      <c r="M132" s="43"/>
      <c r="N132" s="45"/>
      <c r="O132" s="45"/>
      <c r="P132" s="43"/>
      <c r="Q132" s="44"/>
      <c r="R132" s="38" t="str">
        <f aca="false">IF($O132="","",$O132+IF(N($F132)&gt;0,Setup!$D$21,IF($Q132="Sequential",Setup!$D$20,Setup!$D$19)))</f>
        <v/>
      </c>
      <c r="S132" s="45"/>
      <c r="T132" s="44"/>
      <c r="U132" s="39" t="str">
        <f aca="true">IF($O132="","",IF($S132&lt;&gt;"",$S132-$O132,TODAY()-$O132))</f>
        <v/>
      </c>
      <c r="V132" s="36" t="str">
        <f aca="true">IF($J132="","",IF($AD132="Yes","Void",IF(COUNTIFS($D$9:$D$208,$D132,$E$9:$E$208,$E132,$F$9:$F$208,"&gt;"&amp;N($F132))&gt;0,"Superseded",IF($N132="","Not submitted",IF($S132="",IF(AND($R132&lt;&gt;"",$R132&lt;TODAY()),"Overdue with reviewer","In review"),IF(COUNTIF(Reference!$B$70:$B$80,$T132)&gt;0,"Closed","Resubmittal required"))))))</f>
        <v/>
      </c>
      <c r="W132" s="36" t="str">
        <f aca="false">IF($J132="","",IF(OR($V132="Closed",$V132="Superseded",$V132="Void"),"Closed",IF(OR($V132="Not submitted",$V132="Resubmittal required"),"Contractor","Reviewer")))</f>
        <v/>
      </c>
      <c r="X132" s="44"/>
      <c r="Y132" s="45"/>
      <c r="Z132" s="38" t="str">
        <f aca="false">IF(OR($J132="",$Y132="",$X132="",$V132="Void",$V132="Superseded"),"",$Y132-N($X132)*7-IF($Q132="Sequential",Setup!$D$20,Setup!$D$19)-Setup!$D$22)</f>
        <v/>
      </c>
      <c r="AA132" s="39" t="str">
        <f aca="true">IF($Z132="","",IF($N132&lt;&gt;"",$Z132-$N132,$Z132-TODAY()))</f>
        <v/>
      </c>
      <c r="AB132" s="36" t="str">
        <f aca="false">IF(OR($X132="",$V132="Void",$V132="Superseded"),"",IF(N($X132)&gt;=Setup!$D$23,"Long lead",""))</f>
        <v/>
      </c>
      <c r="AC132" s="46"/>
      <c r="AD132" s="47"/>
      <c r="AE132" s="47"/>
    </row>
    <row r="133" customFormat="false" ht="30" hidden="false" customHeight="true" outlineLevel="0" collapsed="false">
      <c r="A133" s="31"/>
      <c r="B133" s="32" t="str">
        <f aca="false">IF($J133="","",ROW()-8)</f>
        <v/>
      </c>
      <c r="C133" s="33" t="str">
        <f aca="false">IF($J133="","",$D133&amp;"-"&amp;TEXT($E133,"000")&amp;IF(N($F133)&gt;0,"."&amp;TEXT($F133,"00"),""))</f>
        <v/>
      </c>
      <c r="D133" s="34"/>
      <c r="E133" s="35"/>
      <c r="F133" s="35"/>
      <c r="G133" s="34"/>
      <c r="H133" s="34"/>
      <c r="I133" s="34"/>
      <c r="J133" s="34"/>
      <c r="K133" s="34"/>
      <c r="L133" s="36" t="str">
        <f aca="false">IF($K133="","",IFERROR(INDEX(Reference!$D$53:$D$67,MATCH($K133,Reference!$B$53:$B$67,0)),""))</f>
        <v/>
      </c>
      <c r="M133" s="34"/>
      <c r="N133" s="37"/>
      <c r="O133" s="37"/>
      <c r="P133" s="34"/>
      <c r="Q133" s="35"/>
      <c r="R133" s="38" t="str">
        <f aca="false">IF($O133="","",$O133+IF(N($F133)&gt;0,Setup!$D$21,IF($Q133="Sequential",Setup!$D$20,Setup!$D$19)))</f>
        <v/>
      </c>
      <c r="S133" s="37"/>
      <c r="T133" s="35"/>
      <c r="U133" s="39" t="str">
        <f aca="true">IF($O133="","",IF($S133&lt;&gt;"",$S133-$O133,TODAY()-$O133))</f>
        <v/>
      </c>
      <c r="V133" s="36" t="str">
        <f aca="true">IF($J133="","",IF($AD133="Yes","Void",IF(COUNTIFS($D$9:$D$208,$D133,$E$9:$E$208,$E133,$F$9:$F$208,"&gt;"&amp;N($F133))&gt;0,"Superseded",IF($N133="","Not submitted",IF($S133="",IF(AND($R133&lt;&gt;"",$R133&lt;TODAY()),"Overdue with reviewer","In review"),IF(COUNTIF(Reference!$B$70:$B$80,$T133)&gt;0,"Closed","Resubmittal required"))))))</f>
        <v/>
      </c>
      <c r="W133" s="36" t="str">
        <f aca="false">IF($J133="","",IF(OR($V133="Closed",$V133="Superseded",$V133="Void"),"Closed",IF(OR($V133="Not submitted",$V133="Resubmittal required"),"Contractor","Reviewer")))</f>
        <v/>
      </c>
      <c r="X133" s="35"/>
      <c r="Y133" s="37"/>
      <c r="Z133" s="38" t="str">
        <f aca="false">IF(OR($J133="",$Y133="",$X133="",$V133="Void",$V133="Superseded"),"",$Y133-N($X133)*7-IF($Q133="Sequential",Setup!$D$20,Setup!$D$19)-Setup!$D$22)</f>
        <v/>
      </c>
      <c r="AA133" s="39" t="str">
        <f aca="true">IF($Z133="","",IF($N133&lt;&gt;"",$Z133-$N133,$Z133-TODAY()))</f>
        <v/>
      </c>
      <c r="AB133" s="36" t="str">
        <f aca="false">IF(OR($X133="",$V133="Void",$V133="Superseded"),"",IF(N($X133)&gt;=Setup!$D$23,"Long lead",""))</f>
        <v/>
      </c>
      <c r="AC133" s="40"/>
      <c r="AD133" s="41"/>
      <c r="AE133" s="41"/>
    </row>
    <row r="134" customFormat="false" ht="30" hidden="false" customHeight="true" outlineLevel="0" collapsed="false">
      <c r="A134" s="31"/>
      <c r="B134" s="32" t="str">
        <f aca="false">IF($J134="","",ROW()-8)</f>
        <v/>
      </c>
      <c r="C134" s="33" t="str">
        <f aca="false">IF($J134="","",$D134&amp;"-"&amp;TEXT($E134,"000")&amp;IF(N($F134)&gt;0,"."&amp;TEXT($F134,"00"),""))</f>
        <v/>
      </c>
      <c r="D134" s="43"/>
      <c r="E134" s="44"/>
      <c r="F134" s="44"/>
      <c r="G134" s="43"/>
      <c r="H134" s="43"/>
      <c r="I134" s="43"/>
      <c r="J134" s="43"/>
      <c r="K134" s="43"/>
      <c r="L134" s="36" t="str">
        <f aca="false">IF($K134="","",IFERROR(INDEX(Reference!$D$53:$D$67,MATCH($K134,Reference!$B$53:$B$67,0)),""))</f>
        <v/>
      </c>
      <c r="M134" s="43"/>
      <c r="N134" s="45"/>
      <c r="O134" s="45"/>
      <c r="P134" s="43"/>
      <c r="Q134" s="44"/>
      <c r="R134" s="38" t="str">
        <f aca="false">IF($O134="","",$O134+IF(N($F134)&gt;0,Setup!$D$21,IF($Q134="Sequential",Setup!$D$20,Setup!$D$19)))</f>
        <v/>
      </c>
      <c r="S134" s="45"/>
      <c r="T134" s="44"/>
      <c r="U134" s="39" t="str">
        <f aca="true">IF($O134="","",IF($S134&lt;&gt;"",$S134-$O134,TODAY()-$O134))</f>
        <v/>
      </c>
      <c r="V134" s="36" t="str">
        <f aca="true">IF($J134="","",IF($AD134="Yes","Void",IF(COUNTIFS($D$9:$D$208,$D134,$E$9:$E$208,$E134,$F$9:$F$208,"&gt;"&amp;N($F134))&gt;0,"Superseded",IF($N134="","Not submitted",IF($S134="",IF(AND($R134&lt;&gt;"",$R134&lt;TODAY()),"Overdue with reviewer","In review"),IF(COUNTIF(Reference!$B$70:$B$80,$T134)&gt;0,"Closed","Resubmittal required"))))))</f>
        <v/>
      </c>
      <c r="W134" s="36" t="str">
        <f aca="false">IF($J134="","",IF(OR($V134="Closed",$V134="Superseded",$V134="Void"),"Closed",IF(OR($V134="Not submitted",$V134="Resubmittal required"),"Contractor","Reviewer")))</f>
        <v/>
      </c>
      <c r="X134" s="44"/>
      <c r="Y134" s="45"/>
      <c r="Z134" s="38" t="str">
        <f aca="false">IF(OR($J134="",$Y134="",$X134="",$V134="Void",$V134="Superseded"),"",$Y134-N($X134)*7-IF($Q134="Sequential",Setup!$D$20,Setup!$D$19)-Setup!$D$22)</f>
        <v/>
      </c>
      <c r="AA134" s="39" t="str">
        <f aca="true">IF($Z134="","",IF($N134&lt;&gt;"",$Z134-$N134,$Z134-TODAY()))</f>
        <v/>
      </c>
      <c r="AB134" s="36" t="str">
        <f aca="false">IF(OR($X134="",$V134="Void",$V134="Superseded"),"",IF(N($X134)&gt;=Setup!$D$23,"Long lead",""))</f>
        <v/>
      </c>
      <c r="AC134" s="46"/>
      <c r="AD134" s="47"/>
      <c r="AE134" s="47"/>
    </row>
    <row r="135" customFormat="false" ht="30" hidden="false" customHeight="true" outlineLevel="0" collapsed="false">
      <c r="A135" s="31"/>
      <c r="B135" s="32" t="str">
        <f aca="false">IF($J135="","",ROW()-8)</f>
        <v/>
      </c>
      <c r="C135" s="33" t="str">
        <f aca="false">IF($J135="","",$D135&amp;"-"&amp;TEXT($E135,"000")&amp;IF(N($F135)&gt;0,"."&amp;TEXT($F135,"00"),""))</f>
        <v/>
      </c>
      <c r="D135" s="34"/>
      <c r="E135" s="35"/>
      <c r="F135" s="35"/>
      <c r="G135" s="34"/>
      <c r="H135" s="34"/>
      <c r="I135" s="34"/>
      <c r="J135" s="34"/>
      <c r="K135" s="34"/>
      <c r="L135" s="36" t="str">
        <f aca="false">IF($K135="","",IFERROR(INDEX(Reference!$D$53:$D$67,MATCH($K135,Reference!$B$53:$B$67,0)),""))</f>
        <v/>
      </c>
      <c r="M135" s="34"/>
      <c r="N135" s="37"/>
      <c r="O135" s="37"/>
      <c r="P135" s="34"/>
      <c r="Q135" s="35"/>
      <c r="R135" s="38" t="str">
        <f aca="false">IF($O135="","",$O135+IF(N($F135)&gt;0,Setup!$D$21,IF($Q135="Sequential",Setup!$D$20,Setup!$D$19)))</f>
        <v/>
      </c>
      <c r="S135" s="37"/>
      <c r="T135" s="35"/>
      <c r="U135" s="39" t="str">
        <f aca="true">IF($O135="","",IF($S135&lt;&gt;"",$S135-$O135,TODAY()-$O135))</f>
        <v/>
      </c>
      <c r="V135" s="36" t="str">
        <f aca="true">IF($J135="","",IF($AD135="Yes","Void",IF(COUNTIFS($D$9:$D$208,$D135,$E$9:$E$208,$E135,$F$9:$F$208,"&gt;"&amp;N($F135))&gt;0,"Superseded",IF($N135="","Not submitted",IF($S135="",IF(AND($R135&lt;&gt;"",$R135&lt;TODAY()),"Overdue with reviewer","In review"),IF(COUNTIF(Reference!$B$70:$B$80,$T135)&gt;0,"Closed","Resubmittal required"))))))</f>
        <v/>
      </c>
      <c r="W135" s="36" t="str">
        <f aca="false">IF($J135="","",IF(OR($V135="Closed",$V135="Superseded",$V135="Void"),"Closed",IF(OR($V135="Not submitted",$V135="Resubmittal required"),"Contractor","Reviewer")))</f>
        <v/>
      </c>
      <c r="X135" s="35"/>
      <c r="Y135" s="37"/>
      <c r="Z135" s="38" t="str">
        <f aca="false">IF(OR($J135="",$Y135="",$X135="",$V135="Void",$V135="Superseded"),"",$Y135-N($X135)*7-IF($Q135="Sequential",Setup!$D$20,Setup!$D$19)-Setup!$D$22)</f>
        <v/>
      </c>
      <c r="AA135" s="39" t="str">
        <f aca="true">IF($Z135="","",IF($N135&lt;&gt;"",$Z135-$N135,$Z135-TODAY()))</f>
        <v/>
      </c>
      <c r="AB135" s="36" t="str">
        <f aca="false">IF(OR($X135="",$V135="Void",$V135="Superseded"),"",IF(N($X135)&gt;=Setup!$D$23,"Long lead",""))</f>
        <v/>
      </c>
      <c r="AC135" s="40"/>
      <c r="AD135" s="41"/>
      <c r="AE135" s="41"/>
    </row>
    <row r="136" customFormat="false" ht="30" hidden="false" customHeight="true" outlineLevel="0" collapsed="false">
      <c r="A136" s="31"/>
      <c r="B136" s="32" t="str">
        <f aca="false">IF($J136="","",ROW()-8)</f>
        <v/>
      </c>
      <c r="C136" s="33" t="str">
        <f aca="false">IF($J136="","",$D136&amp;"-"&amp;TEXT($E136,"000")&amp;IF(N($F136)&gt;0,"."&amp;TEXT($F136,"00"),""))</f>
        <v/>
      </c>
      <c r="D136" s="43"/>
      <c r="E136" s="44"/>
      <c r="F136" s="44"/>
      <c r="G136" s="43"/>
      <c r="H136" s="43"/>
      <c r="I136" s="43"/>
      <c r="J136" s="43"/>
      <c r="K136" s="43"/>
      <c r="L136" s="36" t="str">
        <f aca="false">IF($K136="","",IFERROR(INDEX(Reference!$D$53:$D$67,MATCH($K136,Reference!$B$53:$B$67,0)),""))</f>
        <v/>
      </c>
      <c r="M136" s="43"/>
      <c r="N136" s="45"/>
      <c r="O136" s="45"/>
      <c r="P136" s="43"/>
      <c r="Q136" s="44"/>
      <c r="R136" s="38" t="str">
        <f aca="false">IF($O136="","",$O136+IF(N($F136)&gt;0,Setup!$D$21,IF($Q136="Sequential",Setup!$D$20,Setup!$D$19)))</f>
        <v/>
      </c>
      <c r="S136" s="45"/>
      <c r="T136" s="44"/>
      <c r="U136" s="39" t="str">
        <f aca="true">IF($O136="","",IF($S136&lt;&gt;"",$S136-$O136,TODAY()-$O136))</f>
        <v/>
      </c>
      <c r="V136" s="36" t="str">
        <f aca="true">IF($J136="","",IF($AD136="Yes","Void",IF(COUNTIFS($D$9:$D$208,$D136,$E$9:$E$208,$E136,$F$9:$F$208,"&gt;"&amp;N($F136))&gt;0,"Superseded",IF($N136="","Not submitted",IF($S136="",IF(AND($R136&lt;&gt;"",$R136&lt;TODAY()),"Overdue with reviewer","In review"),IF(COUNTIF(Reference!$B$70:$B$80,$T136)&gt;0,"Closed","Resubmittal required"))))))</f>
        <v/>
      </c>
      <c r="W136" s="36" t="str">
        <f aca="false">IF($J136="","",IF(OR($V136="Closed",$V136="Superseded",$V136="Void"),"Closed",IF(OR($V136="Not submitted",$V136="Resubmittal required"),"Contractor","Reviewer")))</f>
        <v/>
      </c>
      <c r="X136" s="44"/>
      <c r="Y136" s="45"/>
      <c r="Z136" s="38" t="str">
        <f aca="false">IF(OR($J136="",$Y136="",$X136="",$V136="Void",$V136="Superseded"),"",$Y136-N($X136)*7-IF($Q136="Sequential",Setup!$D$20,Setup!$D$19)-Setup!$D$22)</f>
        <v/>
      </c>
      <c r="AA136" s="39" t="str">
        <f aca="true">IF($Z136="","",IF($N136&lt;&gt;"",$Z136-$N136,$Z136-TODAY()))</f>
        <v/>
      </c>
      <c r="AB136" s="36" t="str">
        <f aca="false">IF(OR($X136="",$V136="Void",$V136="Superseded"),"",IF(N($X136)&gt;=Setup!$D$23,"Long lead",""))</f>
        <v/>
      </c>
      <c r="AC136" s="46"/>
      <c r="AD136" s="47"/>
      <c r="AE136" s="47"/>
    </row>
    <row r="137" customFormat="false" ht="30" hidden="false" customHeight="true" outlineLevel="0" collapsed="false">
      <c r="A137" s="31"/>
      <c r="B137" s="32" t="str">
        <f aca="false">IF($J137="","",ROW()-8)</f>
        <v/>
      </c>
      <c r="C137" s="33" t="str">
        <f aca="false">IF($J137="","",$D137&amp;"-"&amp;TEXT($E137,"000")&amp;IF(N($F137)&gt;0,"."&amp;TEXT($F137,"00"),""))</f>
        <v/>
      </c>
      <c r="D137" s="34"/>
      <c r="E137" s="35"/>
      <c r="F137" s="35"/>
      <c r="G137" s="34"/>
      <c r="H137" s="34"/>
      <c r="I137" s="34"/>
      <c r="J137" s="34"/>
      <c r="K137" s="34"/>
      <c r="L137" s="36" t="str">
        <f aca="false">IF($K137="","",IFERROR(INDEX(Reference!$D$53:$D$67,MATCH($K137,Reference!$B$53:$B$67,0)),""))</f>
        <v/>
      </c>
      <c r="M137" s="34"/>
      <c r="N137" s="37"/>
      <c r="O137" s="37"/>
      <c r="P137" s="34"/>
      <c r="Q137" s="35"/>
      <c r="R137" s="38" t="str">
        <f aca="false">IF($O137="","",$O137+IF(N($F137)&gt;0,Setup!$D$21,IF($Q137="Sequential",Setup!$D$20,Setup!$D$19)))</f>
        <v/>
      </c>
      <c r="S137" s="37"/>
      <c r="T137" s="35"/>
      <c r="U137" s="39" t="str">
        <f aca="true">IF($O137="","",IF($S137&lt;&gt;"",$S137-$O137,TODAY()-$O137))</f>
        <v/>
      </c>
      <c r="V137" s="36" t="str">
        <f aca="true">IF($J137="","",IF($AD137="Yes","Void",IF(COUNTIFS($D$9:$D$208,$D137,$E$9:$E$208,$E137,$F$9:$F$208,"&gt;"&amp;N($F137))&gt;0,"Superseded",IF($N137="","Not submitted",IF($S137="",IF(AND($R137&lt;&gt;"",$R137&lt;TODAY()),"Overdue with reviewer","In review"),IF(COUNTIF(Reference!$B$70:$B$80,$T137)&gt;0,"Closed","Resubmittal required"))))))</f>
        <v/>
      </c>
      <c r="W137" s="36" t="str">
        <f aca="false">IF($J137="","",IF(OR($V137="Closed",$V137="Superseded",$V137="Void"),"Closed",IF(OR($V137="Not submitted",$V137="Resubmittal required"),"Contractor","Reviewer")))</f>
        <v/>
      </c>
      <c r="X137" s="35"/>
      <c r="Y137" s="37"/>
      <c r="Z137" s="38" t="str">
        <f aca="false">IF(OR($J137="",$Y137="",$X137="",$V137="Void",$V137="Superseded"),"",$Y137-N($X137)*7-IF($Q137="Sequential",Setup!$D$20,Setup!$D$19)-Setup!$D$22)</f>
        <v/>
      </c>
      <c r="AA137" s="39" t="str">
        <f aca="true">IF($Z137="","",IF($N137&lt;&gt;"",$Z137-$N137,$Z137-TODAY()))</f>
        <v/>
      </c>
      <c r="AB137" s="36" t="str">
        <f aca="false">IF(OR($X137="",$V137="Void",$V137="Superseded"),"",IF(N($X137)&gt;=Setup!$D$23,"Long lead",""))</f>
        <v/>
      </c>
      <c r="AC137" s="40"/>
      <c r="AD137" s="41"/>
      <c r="AE137" s="41"/>
    </row>
    <row r="138" customFormat="false" ht="30" hidden="false" customHeight="true" outlineLevel="0" collapsed="false">
      <c r="A138" s="31"/>
      <c r="B138" s="32" t="str">
        <f aca="false">IF($J138="","",ROW()-8)</f>
        <v/>
      </c>
      <c r="C138" s="33" t="str">
        <f aca="false">IF($J138="","",$D138&amp;"-"&amp;TEXT($E138,"000")&amp;IF(N($F138)&gt;0,"."&amp;TEXT($F138,"00"),""))</f>
        <v/>
      </c>
      <c r="D138" s="43"/>
      <c r="E138" s="44"/>
      <c r="F138" s="44"/>
      <c r="G138" s="43"/>
      <c r="H138" s="43"/>
      <c r="I138" s="43"/>
      <c r="J138" s="43"/>
      <c r="K138" s="43"/>
      <c r="L138" s="36" t="str">
        <f aca="false">IF($K138="","",IFERROR(INDEX(Reference!$D$53:$D$67,MATCH($K138,Reference!$B$53:$B$67,0)),""))</f>
        <v/>
      </c>
      <c r="M138" s="43"/>
      <c r="N138" s="45"/>
      <c r="O138" s="45"/>
      <c r="P138" s="43"/>
      <c r="Q138" s="44"/>
      <c r="R138" s="38" t="str">
        <f aca="false">IF($O138="","",$O138+IF(N($F138)&gt;0,Setup!$D$21,IF($Q138="Sequential",Setup!$D$20,Setup!$D$19)))</f>
        <v/>
      </c>
      <c r="S138" s="45"/>
      <c r="T138" s="44"/>
      <c r="U138" s="39" t="str">
        <f aca="true">IF($O138="","",IF($S138&lt;&gt;"",$S138-$O138,TODAY()-$O138))</f>
        <v/>
      </c>
      <c r="V138" s="36" t="str">
        <f aca="true">IF($J138="","",IF($AD138="Yes","Void",IF(COUNTIFS($D$9:$D$208,$D138,$E$9:$E$208,$E138,$F$9:$F$208,"&gt;"&amp;N($F138))&gt;0,"Superseded",IF($N138="","Not submitted",IF($S138="",IF(AND($R138&lt;&gt;"",$R138&lt;TODAY()),"Overdue with reviewer","In review"),IF(COUNTIF(Reference!$B$70:$B$80,$T138)&gt;0,"Closed","Resubmittal required"))))))</f>
        <v/>
      </c>
      <c r="W138" s="36" t="str">
        <f aca="false">IF($J138="","",IF(OR($V138="Closed",$V138="Superseded",$V138="Void"),"Closed",IF(OR($V138="Not submitted",$V138="Resubmittal required"),"Contractor","Reviewer")))</f>
        <v/>
      </c>
      <c r="X138" s="44"/>
      <c r="Y138" s="45"/>
      <c r="Z138" s="38" t="str">
        <f aca="false">IF(OR($J138="",$Y138="",$X138="",$V138="Void",$V138="Superseded"),"",$Y138-N($X138)*7-IF($Q138="Sequential",Setup!$D$20,Setup!$D$19)-Setup!$D$22)</f>
        <v/>
      </c>
      <c r="AA138" s="39" t="str">
        <f aca="true">IF($Z138="","",IF($N138&lt;&gt;"",$Z138-$N138,$Z138-TODAY()))</f>
        <v/>
      </c>
      <c r="AB138" s="36" t="str">
        <f aca="false">IF(OR($X138="",$V138="Void",$V138="Superseded"),"",IF(N($X138)&gt;=Setup!$D$23,"Long lead",""))</f>
        <v/>
      </c>
      <c r="AC138" s="46"/>
      <c r="AD138" s="47"/>
      <c r="AE138" s="47"/>
    </row>
    <row r="139" customFormat="false" ht="30" hidden="false" customHeight="true" outlineLevel="0" collapsed="false">
      <c r="A139" s="31"/>
      <c r="B139" s="32" t="str">
        <f aca="false">IF($J139="","",ROW()-8)</f>
        <v/>
      </c>
      <c r="C139" s="33" t="str">
        <f aca="false">IF($J139="","",$D139&amp;"-"&amp;TEXT($E139,"000")&amp;IF(N($F139)&gt;0,"."&amp;TEXT($F139,"00"),""))</f>
        <v/>
      </c>
      <c r="D139" s="34"/>
      <c r="E139" s="35"/>
      <c r="F139" s="35"/>
      <c r="G139" s="34"/>
      <c r="H139" s="34"/>
      <c r="I139" s="34"/>
      <c r="J139" s="34"/>
      <c r="K139" s="34"/>
      <c r="L139" s="36" t="str">
        <f aca="false">IF($K139="","",IFERROR(INDEX(Reference!$D$53:$D$67,MATCH($K139,Reference!$B$53:$B$67,0)),""))</f>
        <v/>
      </c>
      <c r="M139" s="34"/>
      <c r="N139" s="37"/>
      <c r="O139" s="37"/>
      <c r="P139" s="34"/>
      <c r="Q139" s="35"/>
      <c r="R139" s="38" t="str">
        <f aca="false">IF($O139="","",$O139+IF(N($F139)&gt;0,Setup!$D$21,IF($Q139="Sequential",Setup!$D$20,Setup!$D$19)))</f>
        <v/>
      </c>
      <c r="S139" s="37"/>
      <c r="T139" s="35"/>
      <c r="U139" s="39" t="str">
        <f aca="true">IF($O139="","",IF($S139&lt;&gt;"",$S139-$O139,TODAY()-$O139))</f>
        <v/>
      </c>
      <c r="V139" s="36" t="str">
        <f aca="true">IF($J139="","",IF($AD139="Yes","Void",IF(COUNTIFS($D$9:$D$208,$D139,$E$9:$E$208,$E139,$F$9:$F$208,"&gt;"&amp;N($F139))&gt;0,"Superseded",IF($N139="","Not submitted",IF($S139="",IF(AND($R139&lt;&gt;"",$R139&lt;TODAY()),"Overdue with reviewer","In review"),IF(COUNTIF(Reference!$B$70:$B$80,$T139)&gt;0,"Closed","Resubmittal required"))))))</f>
        <v/>
      </c>
      <c r="W139" s="36" t="str">
        <f aca="false">IF($J139="","",IF(OR($V139="Closed",$V139="Superseded",$V139="Void"),"Closed",IF(OR($V139="Not submitted",$V139="Resubmittal required"),"Contractor","Reviewer")))</f>
        <v/>
      </c>
      <c r="X139" s="35"/>
      <c r="Y139" s="37"/>
      <c r="Z139" s="38" t="str">
        <f aca="false">IF(OR($J139="",$Y139="",$X139="",$V139="Void",$V139="Superseded"),"",$Y139-N($X139)*7-IF($Q139="Sequential",Setup!$D$20,Setup!$D$19)-Setup!$D$22)</f>
        <v/>
      </c>
      <c r="AA139" s="39" t="str">
        <f aca="true">IF($Z139="","",IF($N139&lt;&gt;"",$Z139-$N139,$Z139-TODAY()))</f>
        <v/>
      </c>
      <c r="AB139" s="36" t="str">
        <f aca="false">IF(OR($X139="",$V139="Void",$V139="Superseded"),"",IF(N($X139)&gt;=Setup!$D$23,"Long lead",""))</f>
        <v/>
      </c>
      <c r="AC139" s="40"/>
      <c r="AD139" s="41"/>
      <c r="AE139" s="41"/>
    </row>
    <row r="140" customFormat="false" ht="30" hidden="false" customHeight="true" outlineLevel="0" collapsed="false">
      <c r="A140" s="31"/>
      <c r="B140" s="32" t="str">
        <f aca="false">IF($J140="","",ROW()-8)</f>
        <v/>
      </c>
      <c r="C140" s="33" t="str">
        <f aca="false">IF($J140="","",$D140&amp;"-"&amp;TEXT($E140,"000")&amp;IF(N($F140)&gt;0,"."&amp;TEXT($F140,"00"),""))</f>
        <v/>
      </c>
      <c r="D140" s="43"/>
      <c r="E140" s="44"/>
      <c r="F140" s="44"/>
      <c r="G140" s="43"/>
      <c r="H140" s="43"/>
      <c r="I140" s="43"/>
      <c r="J140" s="43"/>
      <c r="K140" s="43"/>
      <c r="L140" s="36" t="str">
        <f aca="false">IF($K140="","",IFERROR(INDEX(Reference!$D$53:$D$67,MATCH($K140,Reference!$B$53:$B$67,0)),""))</f>
        <v/>
      </c>
      <c r="M140" s="43"/>
      <c r="N140" s="45"/>
      <c r="O140" s="45"/>
      <c r="P140" s="43"/>
      <c r="Q140" s="44"/>
      <c r="R140" s="38" t="str">
        <f aca="false">IF($O140="","",$O140+IF(N($F140)&gt;0,Setup!$D$21,IF($Q140="Sequential",Setup!$D$20,Setup!$D$19)))</f>
        <v/>
      </c>
      <c r="S140" s="45"/>
      <c r="T140" s="44"/>
      <c r="U140" s="39" t="str">
        <f aca="true">IF($O140="","",IF($S140&lt;&gt;"",$S140-$O140,TODAY()-$O140))</f>
        <v/>
      </c>
      <c r="V140" s="36" t="str">
        <f aca="true">IF($J140="","",IF($AD140="Yes","Void",IF(COUNTIFS($D$9:$D$208,$D140,$E$9:$E$208,$E140,$F$9:$F$208,"&gt;"&amp;N($F140))&gt;0,"Superseded",IF($N140="","Not submitted",IF($S140="",IF(AND($R140&lt;&gt;"",$R140&lt;TODAY()),"Overdue with reviewer","In review"),IF(COUNTIF(Reference!$B$70:$B$80,$T140)&gt;0,"Closed","Resubmittal required"))))))</f>
        <v/>
      </c>
      <c r="W140" s="36" t="str">
        <f aca="false">IF($J140="","",IF(OR($V140="Closed",$V140="Superseded",$V140="Void"),"Closed",IF(OR($V140="Not submitted",$V140="Resubmittal required"),"Contractor","Reviewer")))</f>
        <v/>
      </c>
      <c r="X140" s="44"/>
      <c r="Y140" s="45"/>
      <c r="Z140" s="38" t="str">
        <f aca="false">IF(OR($J140="",$Y140="",$X140="",$V140="Void",$V140="Superseded"),"",$Y140-N($X140)*7-IF($Q140="Sequential",Setup!$D$20,Setup!$D$19)-Setup!$D$22)</f>
        <v/>
      </c>
      <c r="AA140" s="39" t="str">
        <f aca="true">IF($Z140="","",IF($N140&lt;&gt;"",$Z140-$N140,$Z140-TODAY()))</f>
        <v/>
      </c>
      <c r="AB140" s="36" t="str">
        <f aca="false">IF(OR($X140="",$V140="Void",$V140="Superseded"),"",IF(N($X140)&gt;=Setup!$D$23,"Long lead",""))</f>
        <v/>
      </c>
      <c r="AC140" s="46"/>
      <c r="AD140" s="47"/>
      <c r="AE140" s="47"/>
    </row>
    <row r="141" customFormat="false" ht="30" hidden="false" customHeight="true" outlineLevel="0" collapsed="false">
      <c r="A141" s="31"/>
      <c r="B141" s="32" t="str">
        <f aca="false">IF($J141="","",ROW()-8)</f>
        <v/>
      </c>
      <c r="C141" s="33" t="str">
        <f aca="false">IF($J141="","",$D141&amp;"-"&amp;TEXT($E141,"000")&amp;IF(N($F141)&gt;0,"."&amp;TEXT($F141,"00"),""))</f>
        <v/>
      </c>
      <c r="D141" s="34"/>
      <c r="E141" s="35"/>
      <c r="F141" s="35"/>
      <c r="G141" s="34"/>
      <c r="H141" s="34"/>
      <c r="I141" s="34"/>
      <c r="J141" s="34"/>
      <c r="K141" s="34"/>
      <c r="L141" s="36" t="str">
        <f aca="false">IF($K141="","",IFERROR(INDEX(Reference!$D$53:$D$67,MATCH($K141,Reference!$B$53:$B$67,0)),""))</f>
        <v/>
      </c>
      <c r="M141" s="34"/>
      <c r="N141" s="37"/>
      <c r="O141" s="37"/>
      <c r="P141" s="34"/>
      <c r="Q141" s="35"/>
      <c r="R141" s="38" t="str">
        <f aca="false">IF($O141="","",$O141+IF(N($F141)&gt;0,Setup!$D$21,IF($Q141="Sequential",Setup!$D$20,Setup!$D$19)))</f>
        <v/>
      </c>
      <c r="S141" s="37"/>
      <c r="T141" s="35"/>
      <c r="U141" s="39" t="str">
        <f aca="true">IF($O141="","",IF($S141&lt;&gt;"",$S141-$O141,TODAY()-$O141))</f>
        <v/>
      </c>
      <c r="V141" s="36" t="str">
        <f aca="true">IF($J141="","",IF($AD141="Yes","Void",IF(COUNTIFS($D$9:$D$208,$D141,$E$9:$E$208,$E141,$F$9:$F$208,"&gt;"&amp;N($F141))&gt;0,"Superseded",IF($N141="","Not submitted",IF($S141="",IF(AND($R141&lt;&gt;"",$R141&lt;TODAY()),"Overdue with reviewer","In review"),IF(COUNTIF(Reference!$B$70:$B$80,$T141)&gt;0,"Closed","Resubmittal required"))))))</f>
        <v/>
      </c>
      <c r="W141" s="36" t="str">
        <f aca="false">IF($J141="","",IF(OR($V141="Closed",$V141="Superseded",$V141="Void"),"Closed",IF(OR($V141="Not submitted",$V141="Resubmittal required"),"Contractor","Reviewer")))</f>
        <v/>
      </c>
      <c r="X141" s="35"/>
      <c r="Y141" s="37"/>
      <c r="Z141" s="38" t="str">
        <f aca="false">IF(OR($J141="",$Y141="",$X141="",$V141="Void",$V141="Superseded"),"",$Y141-N($X141)*7-IF($Q141="Sequential",Setup!$D$20,Setup!$D$19)-Setup!$D$22)</f>
        <v/>
      </c>
      <c r="AA141" s="39" t="str">
        <f aca="true">IF($Z141="","",IF($N141&lt;&gt;"",$Z141-$N141,$Z141-TODAY()))</f>
        <v/>
      </c>
      <c r="AB141" s="36" t="str">
        <f aca="false">IF(OR($X141="",$V141="Void",$V141="Superseded"),"",IF(N($X141)&gt;=Setup!$D$23,"Long lead",""))</f>
        <v/>
      </c>
      <c r="AC141" s="40"/>
      <c r="AD141" s="41"/>
      <c r="AE141" s="41"/>
    </row>
    <row r="142" customFormat="false" ht="30" hidden="false" customHeight="true" outlineLevel="0" collapsed="false">
      <c r="A142" s="31"/>
      <c r="B142" s="32" t="str">
        <f aca="false">IF($J142="","",ROW()-8)</f>
        <v/>
      </c>
      <c r="C142" s="33" t="str">
        <f aca="false">IF($J142="","",$D142&amp;"-"&amp;TEXT($E142,"000")&amp;IF(N($F142)&gt;0,"."&amp;TEXT($F142,"00"),""))</f>
        <v/>
      </c>
      <c r="D142" s="43"/>
      <c r="E142" s="44"/>
      <c r="F142" s="44"/>
      <c r="G142" s="43"/>
      <c r="H142" s="43"/>
      <c r="I142" s="43"/>
      <c r="J142" s="43"/>
      <c r="K142" s="43"/>
      <c r="L142" s="36" t="str">
        <f aca="false">IF($K142="","",IFERROR(INDEX(Reference!$D$53:$D$67,MATCH($K142,Reference!$B$53:$B$67,0)),""))</f>
        <v/>
      </c>
      <c r="M142" s="43"/>
      <c r="N142" s="45"/>
      <c r="O142" s="45"/>
      <c r="P142" s="43"/>
      <c r="Q142" s="44"/>
      <c r="R142" s="38" t="str">
        <f aca="false">IF($O142="","",$O142+IF(N($F142)&gt;0,Setup!$D$21,IF($Q142="Sequential",Setup!$D$20,Setup!$D$19)))</f>
        <v/>
      </c>
      <c r="S142" s="45"/>
      <c r="T142" s="44"/>
      <c r="U142" s="39" t="str">
        <f aca="true">IF($O142="","",IF($S142&lt;&gt;"",$S142-$O142,TODAY()-$O142))</f>
        <v/>
      </c>
      <c r="V142" s="36" t="str">
        <f aca="true">IF($J142="","",IF($AD142="Yes","Void",IF(COUNTIFS($D$9:$D$208,$D142,$E$9:$E$208,$E142,$F$9:$F$208,"&gt;"&amp;N($F142))&gt;0,"Superseded",IF($N142="","Not submitted",IF($S142="",IF(AND($R142&lt;&gt;"",$R142&lt;TODAY()),"Overdue with reviewer","In review"),IF(COUNTIF(Reference!$B$70:$B$80,$T142)&gt;0,"Closed","Resubmittal required"))))))</f>
        <v/>
      </c>
      <c r="W142" s="36" t="str">
        <f aca="false">IF($J142="","",IF(OR($V142="Closed",$V142="Superseded",$V142="Void"),"Closed",IF(OR($V142="Not submitted",$V142="Resubmittal required"),"Contractor","Reviewer")))</f>
        <v/>
      </c>
      <c r="X142" s="44"/>
      <c r="Y142" s="45"/>
      <c r="Z142" s="38" t="str">
        <f aca="false">IF(OR($J142="",$Y142="",$X142="",$V142="Void",$V142="Superseded"),"",$Y142-N($X142)*7-IF($Q142="Sequential",Setup!$D$20,Setup!$D$19)-Setup!$D$22)</f>
        <v/>
      </c>
      <c r="AA142" s="39" t="str">
        <f aca="true">IF($Z142="","",IF($N142&lt;&gt;"",$Z142-$N142,$Z142-TODAY()))</f>
        <v/>
      </c>
      <c r="AB142" s="36" t="str">
        <f aca="false">IF(OR($X142="",$V142="Void",$V142="Superseded"),"",IF(N($X142)&gt;=Setup!$D$23,"Long lead",""))</f>
        <v/>
      </c>
      <c r="AC142" s="46"/>
      <c r="AD142" s="47"/>
      <c r="AE142" s="47"/>
    </row>
    <row r="143" customFormat="false" ht="30" hidden="false" customHeight="true" outlineLevel="0" collapsed="false">
      <c r="A143" s="31"/>
      <c r="B143" s="32" t="str">
        <f aca="false">IF($J143="","",ROW()-8)</f>
        <v/>
      </c>
      <c r="C143" s="33" t="str">
        <f aca="false">IF($J143="","",$D143&amp;"-"&amp;TEXT($E143,"000")&amp;IF(N($F143)&gt;0,"."&amp;TEXT($F143,"00"),""))</f>
        <v/>
      </c>
      <c r="D143" s="34"/>
      <c r="E143" s="35"/>
      <c r="F143" s="35"/>
      <c r="G143" s="34"/>
      <c r="H143" s="34"/>
      <c r="I143" s="34"/>
      <c r="J143" s="34"/>
      <c r="K143" s="34"/>
      <c r="L143" s="36" t="str">
        <f aca="false">IF($K143="","",IFERROR(INDEX(Reference!$D$53:$D$67,MATCH($K143,Reference!$B$53:$B$67,0)),""))</f>
        <v/>
      </c>
      <c r="M143" s="34"/>
      <c r="N143" s="37"/>
      <c r="O143" s="37"/>
      <c r="P143" s="34"/>
      <c r="Q143" s="35"/>
      <c r="R143" s="38" t="str">
        <f aca="false">IF($O143="","",$O143+IF(N($F143)&gt;0,Setup!$D$21,IF($Q143="Sequential",Setup!$D$20,Setup!$D$19)))</f>
        <v/>
      </c>
      <c r="S143" s="37"/>
      <c r="T143" s="35"/>
      <c r="U143" s="39" t="str">
        <f aca="true">IF($O143="","",IF($S143&lt;&gt;"",$S143-$O143,TODAY()-$O143))</f>
        <v/>
      </c>
      <c r="V143" s="36" t="str">
        <f aca="true">IF($J143="","",IF($AD143="Yes","Void",IF(COUNTIFS($D$9:$D$208,$D143,$E$9:$E$208,$E143,$F$9:$F$208,"&gt;"&amp;N($F143))&gt;0,"Superseded",IF($N143="","Not submitted",IF($S143="",IF(AND($R143&lt;&gt;"",$R143&lt;TODAY()),"Overdue with reviewer","In review"),IF(COUNTIF(Reference!$B$70:$B$80,$T143)&gt;0,"Closed","Resubmittal required"))))))</f>
        <v/>
      </c>
      <c r="W143" s="36" t="str">
        <f aca="false">IF($J143="","",IF(OR($V143="Closed",$V143="Superseded",$V143="Void"),"Closed",IF(OR($V143="Not submitted",$V143="Resubmittal required"),"Contractor","Reviewer")))</f>
        <v/>
      </c>
      <c r="X143" s="35"/>
      <c r="Y143" s="37"/>
      <c r="Z143" s="38" t="str">
        <f aca="false">IF(OR($J143="",$Y143="",$X143="",$V143="Void",$V143="Superseded"),"",$Y143-N($X143)*7-IF($Q143="Sequential",Setup!$D$20,Setup!$D$19)-Setup!$D$22)</f>
        <v/>
      </c>
      <c r="AA143" s="39" t="str">
        <f aca="true">IF($Z143="","",IF($N143&lt;&gt;"",$Z143-$N143,$Z143-TODAY()))</f>
        <v/>
      </c>
      <c r="AB143" s="36" t="str">
        <f aca="false">IF(OR($X143="",$V143="Void",$V143="Superseded"),"",IF(N($X143)&gt;=Setup!$D$23,"Long lead",""))</f>
        <v/>
      </c>
      <c r="AC143" s="40"/>
      <c r="AD143" s="41"/>
      <c r="AE143" s="41"/>
    </row>
    <row r="144" customFormat="false" ht="30" hidden="false" customHeight="true" outlineLevel="0" collapsed="false">
      <c r="A144" s="31"/>
      <c r="B144" s="32" t="str">
        <f aca="false">IF($J144="","",ROW()-8)</f>
        <v/>
      </c>
      <c r="C144" s="33" t="str">
        <f aca="false">IF($J144="","",$D144&amp;"-"&amp;TEXT($E144,"000")&amp;IF(N($F144)&gt;0,"."&amp;TEXT($F144,"00"),""))</f>
        <v/>
      </c>
      <c r="D144" s="43"/>
      <c r="E144" s="44"/>
      <c r="F144" s="44"/>
      <c r="G144" s="43"/>
      <c r="H144" s="43"/>
      <c r="I144" s="43"/>
      <c r="J144" s="43"/>
      <c r="K144" s="43"/>
      <c r="L144" s="36" t="str">
        <f aca="false">IF($K144="","",IFERROR(INDEX(Reference!$D$53:$D$67,MATCH($K144,Reference!$B$53:$B$67,0)),""))</f>
        <v/>
      </c>
      <c r="M144" s="43"/>
      <c r="N144" s="45"/>
      <c r="O144" s="45"/>
      <c r="P144" s="43"/>
      <c r="Q144" s="44"/>
      <c r="R144" s="38" t="str">
        <f aca="false">IF($O144="","",$O144+IF(N($F144)&gt;0,Setup!$D$21,IF($Q144="Sequential",Setup!$D$20,Setup!$D$19)))</f>
        <v/>
      </c>
      <c r="S144" s="45"/>
      <c r="T144" s="44"/>
      <c r="U144" s="39" t="str">
        <f aca="true">IF($O144="","",IF($S144&lt;&gt;"",$S144-$O144,TODAY()-$O144))</f>
        <v/>
      </c>
      <c r="V144" s="36" t="str">
        <f aca="true">IF($J144="","",IF($AD144="Yes","Void",IF(COUNTIFS($D$9:$D$208,$D144,$E$9:$E$208,$E144,$F$9:$F$208,"&gt;"&amp;N($F144))&gt;0,"Superseded",IF($N144="","Not submitted",IF($S144="",IF(AND($R144&lt;&gt;"",$R144&lt;TODAY()),"Overdue with reviewer","In review"),IF(COUNTIF(Reference!$B$70:$B$80,$T144)&gt;0,"Closed","Resubmittal required"))))))</f>
        <v/>
      </c>
      <c r="W144" s="36" t="str">
        <f aca="false">IF($J144="","",IF(OR($V144="Closed",$V144="Superseded",$V144="Void"),"Closed",IF(OR($V144="Not submitted",$V144="Resubmittal required"),"Contractor","Reviewer")))</f>
        <v/>
      </c>
      <c r="X144" s="44"/>
      <c r="Y144" s="45"/>
      <c r="Z144" s="38" t="str">
        <f aca="false">IF(OR($J144="",$Y144="",$X144="",$V144="Void",$V144="Superseded"),"",$Y144-N($X144)*7-IF($Q144="Sequential",Setup!$D$20,Setup!$D$19)-Setup!$D$22)</f>
        <v/>
      </c>
      <c r="AA144" s="39" t="str">
        <f aca="true">IF($Z144="","",IF($N144&lt;&gt;"",$Z144-$N144,$Z144-TODAY()))</f>
        <v/>
      </c>
      <c r="AB144" s="36" t="str">
        <f aca="false">IF(OR($X144="",$V144="Void",$V144="Superseded"),"",IF(N($X144)&gt;=Setup!$D$23,"Long lead",""))</f>
        <v/>
      </c>
      <c r="AC144" s="46"/>
      <c r="AD144" s="47"/>
      <c r="AE144" s="47"/>
    </row>
    <row r="145" customFormat="false" ht="30" hidden="false" customHeight="true" outlineLevel="0" collapsed="false">
      <c r="A145" s="31"/>
      <c r="B145" s="32" t="str">
        <f aca="false">IF($J145="","",ROW()-8)</f>
        <v/>
      </c>
      <c r="C145" s="33" t="str">
        <f aca="false">IF($J145="","",$D145&amp;"-"&amp;TEXT($E145,"000")&amp;IF(N($F145)&gt;0,"."&amp;TEXT($F145,"00"),""))</f>
        <v/>
      </c>
      <c r="D145" s="34"/>
      <c r="E145" s="35"/>
      <c r="F145" s="35"/>
      <c r="G145" s="34"/>
      <c r="H145" s="34"/>
      <c r="I145" s="34"/>
      <c r="J145" s="34"/>
      <c r="K145" s="34"/>
      <c r="L145" s="36" t="str">
        <f aca="false">IF($K145="","",IFERROR(INDEX(Reference!$D$53:$D$67,MATCH($K145,Reference!$B$53:$B$67,0)),""))</f>
        <v/>
      </c>
      <c r="M145" s="34"/>
      <c r="N145" s="37"/>
      <c r="O145" s="37"/>
      <c r="P145" s="34"/>
      <c r="Q145" s="35"/>
      <c r="R145" s="38" t="str">
        <f aca="false">IF($O145="","",$O145+IF(N($F145)&gt;0,Setup!$D$21,IF($Q145="Sequential",Setup!$D$20,Setup!$D$19)))</f>
        <v/>
      </c>
      <c r="S145" s="37"/>
      <c r="T145" s="35"/>
      <c r="U145" s="39" t="str">
        <f aca="true">IF($O145="","",IF($S145&lt;&gt;"",$S145-$O145,TODAY()-$O145))</f>
        <v/>
      </c>
      <c r="V145" s="36" t="str">
        <f aca="true">IF($J145="","",IF($AD145="Yes","Void",IF(COUNTIFS($D$9:$D$208,$D145,$E$9:$E$208,$E145,$F$9:$F$208,"&gt;"&amp;N($F145))&gt;0,"Superseded",IF($N145="","Not submitted",IF($S145="",IF(AND($R145&lt;&gt;"",$R145&lt;TODAY()),"Overdue with reviewer","In review"),IF(COUNTIF(Reference!$B$70:$B$80,$T145)&gt;0,"Closed","Resubmittal required"))))))</f>
        <v/>
      </c>
      <c r="W145" s="36" t="str">
        <f aca="false">IF($J145="","",IF(OR($V145="Closed",$V145="Superseded",$V145="Void"),"Closed",IF(OR($V145="Not submitted",$V145="Resubmittal required"),"Contractor","Reviewer")))</f>
        <v/>
      </c>
      <c r="X145" s="35"/>
      <c r="Y145" s="37"/>
      <c r="Z145" s="38" t="str">
        <f aca="false">IF(OR($J145="",$Y145="",$X145="",$V145="Void",$V145="Superseded"),"",$Y145-N($X145)*7-IF($Q145="Sequential",Setup!$D$20,Setup!$D$19)-Setup!$D$22)</f>
        <v/>
      </c>
      <c r="AA145" s="39" t="str">
        <f aca="true">IF($Z145="","",IF($N145&lt;&gt;"",$Z145-$N145,$Z145-TODAY()))</f>
        <v/>
      </c>
      <c r="AB145" s="36" t="str">
        <f aca="false">IF(OR($X145="",$V145="Void",$V145="Superseded"),"",IF(N($X145)&gt;=Setup!$D$23,"Long lead",""))</f>
        <v/>
      </c>
      <c r="AC145" s="40"/>
      <c r="AD145" s="41"/>
      <c r="AE145" s="41"/>
    </row>
    <row r="146" customFormat="false" ht="30" hidden="false" customHeight="true" outlineLevel="0" collapsed="false">
      <c r="A146" s="31"/>
      <c r="B146" s="32" t="str">
        <f aca="false">IF($J146="","",ROW()-8)</f>
        <v/>
      </c>
      <c r="C146" s="33" t="str">
        <f aca="false">IF($J146="","",$D146&amp;"-"&amp;TEXT($E146,"000")&amp;IF(N($F146)&gt;0,"."&amp;TEXT($F146,"00"),""))</f>
        <v/>
      </c>
      <c r="D146" s="43"/>
      <c r="E146" s="44"/>
      <c r="F146" s="44"/>
      <c r="G146" s="43"/>
      <c r="H146" s="43"/>
      <c r="I146" s="43"/>
      <c r="J146" s="43"/>
      <c r="K146" s="43"/>
      <c r="L146" s="36" t="str">
        <f aca="false">IF($K146="","",IFERROR(INDEX(Reference!$D$53:$D$67,MATCH($K146,Reference!$B$53:$B$67,0)),""))</f>
        <v/>
      </c>
      <c r="M146" s="43"/>
      <c r="N146" s="45"/>
      <c r="O146" s="45"/>
      <c r="P146" s="43"/>
      <c r="Q146" s="44"/>
      <c r="R146" s="38" t="str">
        <f aca="false">IF($O146="","",$O146+IF(N($F146)&gt;0,Setup!$D$21,IF($Q146="Sequential",Setup!$D$20,Setup!$D$19)))</f>
        <v/>
      </c>
      <c r="S146" s="45"/>
      <c r="T146" s="44"/>
      <c r="U146" s="39" t="str">
        <f aca="true">IF($O146="","",IF($S146&lt;&gt;"",$S146-$O146,TODAY()-$O146))</f>
        <v/>
      </c>
      <c r="V146" s="36" t="str">
        <f aca="true">IF($J146="","",IF($AD146="Yes","Void",IF(COUNTIFS($D$9:$D$208,$D146,$E$9:$E$208,$E146,$F$9:$F$208,"&gt;"&amp;N($F146))&gt;0,"Superseded",IF($N146="","Not submitted",IF($S146="",IF(AND($R146&lt;&gt;"",$R146&lt;TODAY()),"Overdue with reviewer","In review"),IF(COUNTIF(Reference!$B$70:$B$80,$T146)&gt;0,"Closed","Resubmittal required"))))))</f>
        <v/>
      </c>
      <c r="W146" s="36" t="str">
        <f aca="false">IF($J146="","",IF(OR($V146="Closed",$V146="Superseded",$V146="Void"),"Closed",IF(OR($V146="Not submitted",$V146="Resubmittal required"),"Contractor","Reviewer")))</f>
        <v/>
      </c>
      <c r="X146" s="44"/>
      <c r="Y146" s="45"/>
      <c r="Z146" s="38" t="str">
        <f aca="false">IF(OR($J146="",$Y146="",$X146="",$V146="Void",$V146="Superseded"),"",$Y146-N($X146)*7-IF($Q146="Sequential",Setup!$D$20,Setup!$D$19)-Setup!$D$22)</f>
        <v/>
      </c>
      <c r="AA146" s="39" t="str">
        <f aca="true">IF($Z146="","",IF($N146&lt;&gt;"",$Z146-$N146,$Z146-TODAY()))</f>
        <v/>
      </c>
      <c r="AB146" s="36" t="str">
        <f aca="false">IF(OR($X146="",$V146="Void",$V146="Superseded"),"",IF(N($X146)&gt;=Setup!$D$23,"Long lead",""))</f>
        <v/>
      </c>
      <c r="AC146" s="46"/>
      <c r="AD146" s="47"/>
      <c r="AE146" s="47"/>
    </row>
    <row r="147" customFormat="false" ht="30" hidden="false" customHeight="true" outlineLevel="0" collapsed="false">
      <c r="A147" s="31"/>
      <c r="B147" s="32" t="str">
        <f aca="false">IF($J147="","",ROW()-8)</f>
        <v/>
      </c>
      <c r="C147" s="33" t="str">
        <f aca="false">IF($J147="","",$D147&amp;"-"&amp;TEXT($E147,"000")&amp;IF(N($F147)&gt;0,"."&amp;TEXT($F147,"00"),""))</f>
        <v/>
      </c>
      <c r="D147" s="34"/>
      <c r="E147" s="35"/>
      <c r="F147" s="35"/>
      <c r="G147" s="34"/>
      <c r="H147" s="34"/>
      <c r="I147" s="34"/>
      <c r="J147" s="34"/>
      <c r="K147" s="34"/>
      <c r="L147" s="36" t="str">
        <f aca="false">IF($K147="","",IFERROR(INDEX(Reference!$D$53:$D$67,MATCH($K147,Reference!$B$53:$B$67,0)),""))</f>
        <v/>
      </c>
      <c r="M147" s="34"/>
      <c r="N147" s="37"/>
      <c r="O147" s="37"/>
      <c r="P147" s="34"/>
      <c r="Q147" s="35"/>
      <c r="R147" s="38" t="str">
        <f aca="false">IF($O147="","",$O147+IF(N($F147)&gt;0,Setup!$D$21,IF($Q147="Sequential",Setup!$D$20,Setup!$D$19)))</f>
        <v/>
      </c>
      <c r="S147" s="37"/>
      <c r="T147" s="35"/>
      <c r="U147" s="39" t="str">
        <f aca="true">IF($O147="","",IF($S147&lt;&gt;"",$S147-$O147,TODAY()-$O147))</f>
        <v/>
      </c>
      <c r="V147" s="36" t="str">
        <f aca="true">IF($J147="","",IF($AD147="Yes","Void",IF(COUNTIFS($D$9:$D$208,$D147,$E$9:$E$208,$E147,$F$9:$F$208,"&gt;"&amp;N($F147))&gt;0,"Superseded",IF($N147="","Not submitted",IF($S147="",IF(AND($R147&lt;&gt;"",$R147&lt;TODAY()),"Overdue with reviewer","In review"),IF(COUNTIF(Reference!$B$70:$B$80,$T147)&gt;0,"Closed","Resubmittal required"))))))</f>
        <v/>
      </c>
      <c r="W147" s="36" t="str">
        <f aca="false">IF($J147="","",IF(OR($V147="Closed",$V147="Superseded",$V147="Void"),"Closed",IF(OR($V147="Not submitted",$V147="Resubmittal required"),"Contractor","Reviewer")))</f>
        <v/>
      </c>
      <c r="X147" s="35"/>
      <c r="Y147" s="37"/>
      <c r="Z147" s="38" t="str">
        <f aca="false">IF(OR($J147="",$Y147="",$X147="",$V147="Void",$V147="Superseded"),"",$Y147-N($X147)*7-IF($Q147="Sequential",Setup!$D$20,Setup!$D$19)-Setup!$D$22)</f>
        <v/>
      </c>
      <c r="AA147" s="39" t="str">
        <f aca="true">IF($Z147="","",IF($N147&lt;&gt;"",$Z147-$N147,$Z147-TODAY()))</f>
        <v/>
      </c>
      <c r="AB147" s="36" t="str">
        <f aca="false">IF(OR($X147="",$V147="Void",$V147="Superseded"),"",IF(N($X147)&gt;=Setup!$D$23,"Long lead",""))</f>
        <v/>
      </c>
      <c r="AC147" s="40"/>
      <c r="AD147" s="41"/>
      <c r="AE147" s="41"/>
    </row>
    <row r="148" customFormat="false" ht="30" hidden="false" customHeight="true" outlineLevel="0" collapsed="false">
      <c r="A148" s="31"/>
      <c r="B148" s="32" t="str">
        <f aca="false">IF($J148="","",ROW()-8)</f>
        <v/>
      </c>
      <c r="C148" s="33" t="str">
        <f aca="false">IF($J148="","",$D148&amp;"-"&amp;TEXT($E148,"000")&amp;IF(N($F148)&gt;0,"."&amp;TEXT($F148,"00"),""))</f>
        <v/>
      </c>
      <c r="D148" s="43"/>
      <c r="E148" s="44"/>
      <c r="F148" s="44"/>
      <c r="G148" s="43"/>
      <c r="H148" s="43"/>
      <c r="I148" s="43"/>
      <c r="J148" s="43"/>
      <c r="K148" s="43"/>
      <c r="L148" s="36" t="str">
        <f aca="false">IF($K148="","",IFERROR(INDEX(Reference!$D$53:$D$67,MATCH($K148,Reference!$B$53:$B$67,0)),""))</f>
        <v/>
      </c>
      <c r="M148" s="43"/>
      <c r="N148" s="45"/>
      <c r="O148" s="45"/>
      <c r="P148" s="43"/>
      <c r="Q148" s="44"/>
      <c r="R148" s="38" t="str">
        <f aca="false">IF($O148="","",$O148+IF(N($F148)&gt;0,Setup!$D$21,IF($Q148="Sequential",Setup!$D$20,Setup!$D$19)))</f>
        <v/>
      </c>
      <c r="S148" s="45"/>
      <c r="T148" s="44"/>
      <c r="U148" s="39" t="str">
        <f aca="true">IF($O148="","",IF($S148&lt;&gt;"",$S148-$O148,TODAY()-$O148))</f>
        <v/>
      </c>
      <c r="V148" s="36" t="str">
        <f aca="true">IF($J148="","",IF($AD148="Yes","Void",IF(COUNTIFS($D$9:$D$208,$D148,$E$9:$E$208,$E148,$F$9:$F$208,"&gt;"&amp;N($F148))&gt;0,"Superseded",IF($N148="","Not submitted",IF($S148="",IF(AND($R148&lt;&gt;"",$R148&lt;TODAY()),"Overdue with reviewer","In review"),IF(COUNTIF(Reference!$B$70:$B$80,$T148)&gt;0,"Closed","Resubmittal required"))))))</f>
        <v/>
      </c>
      <c r="W148" s="36" t="str">
        <f aca="false">IF($J148="","",IF(OR($V148="Closed",$V148="Superseded",$V148="Void"),"Closed",IF(OR($V148="Not submitted",$V148="Resubmittal required"),"Contractor","Reviewer")))</f>
        <v/>
      </c>
      <c r="X148" s="44"/>
      <c r="Y148" s="45"/>
      <c r="Z148" s="38" t="str">
        <f aca="false">IF(OR($J148="",$Y148="",$X148="",$V148="Void",$V148="Superseded"),"",$Y148-N($X148)*7-IF($Q148="Sequential",Setup!$D$20,Setup!$D$19)-Setup!$D$22)</f>
        <v/>
      </c>
      <c r="AA148" s="39" t="str">
        <f aca="true">IF($Z148="","",IF($N148&lt;&gt;"",$Z148-$N148,$Z148-TODAY()))</f>
        <v/>
      </c>
      <c r="AB148" s="36" t="str">
        <f aca="false">IF(OR($X148="",$V148="Void",$V148="Superseded"),"",IF(N($X148)&gt;=Setup!$D$23,"Long lead",""))</f>
        <v/>
      </c>
      <c r="AC148" s="46"/>
      <c r="AD148" s="47"/>
      <c r="AE148" s="47"/>
    </row>
    <row r="149" customFormat="false" ht="30" hidden="false" customHeight="true" outlineLevel="0" collapsed="false">
      <c r="A149" s="31"/>
      <c r="B149" s="32" t="str">
        <f aca="false">IF($J149="","",ROW()-8)</f>
        <v/>
      </c>
      <c r="C149" s="33" t="str">
        <f aca="false">IF($J149="","",$D149&amp;"-"&amp;TEXT($E149,"000")&amp;IF(N($F149)&gt;0,"."&amp;TEXT($F149,"00"),""))</f>
        <v/>
      </c>
      <c r="D149" s="34"/>
      <c r="E149" s="35"/>
      <c r="F149" s="35"/>
      <c r="G149" s="34"/>
      <c r="H149" s="34"/>
      <c r="I149" s="34"/>
      <c r="J149" s="34"/>
      <c r="K149" s="34"/>
      <c r="L149" s="36" t="str">
        <f aca="false">IF($K149="","",IFERROR(INDEX(Reference!$D$53:$D$67,MATCH($K149,Reference!$B$53:$B$67,0)),""))</f>
        <v/>
      </c>
      <c r="M149" s="34"/>
      <c r="N149" s="37"/>
      <c r="O149" s="37"/>
      <c r="P149" s="34"/>
      <c r="Q149" s="35"/>
      <c r="R149" s="38" t="str">
        <f aca="false">IF($O149="","",$O149+IF(N($F149)&gt;0,Setup!$D$21,IF($Q149="Sequential",Setup!$D$20,Setup!$D$19)))</f>
        <v/>
      </c>
      <c r="S149" s="37"/>
      <c r="T149" s="35"/>
      <c r="U149" s="39" t="str">
        <f aca="true">IF($O149="","",IF($S149&lt;&gt;"",$S149-$O149,TODAY()-$O149))</f>
        <v/>
      </c>
      <c r="V149" s="36" t="str">
        <f aca="true">IF($J149="","",IF($AD149="Yes","Void",IF(COUNTIFS($D$9:$D$208,$D149,$E$9:$E$208,$E149,$F$9:$F$208,"&gt;"&amp;N($F149))&gt;0,"Superseded",IF($N149="","Not submitted",IF($S149="",IF(AND($R149&lt;&gt;"",$R149&lt;TODAY()),"Overdue with reviewer","In review"),IF(COUNTIF(Reference!$B$70:$B$80,$T149)&gt;0,"Closed","Resubmittal required"))))))</f>
        <v/>
      </c>
      <c r="W149" s="36" t="str">
        <f aca="false">IF($J149="","",IF(OR($V149="Closed",$V149="Superseded",$V149="Void"),"Closed",IF(OR($V149="Not submitted",$V149="Resubmittal required"),"Contractor","Reviewer")))</f>
        <v/>
      </c>
      <c r="X149" s="35"/>
      <c r="Y149" s="37"/>
      <c r="Z149" s="38" t="str">
        <f aca="false">IF(OR($J149="",$Y149="",$X149="",$V149="Void",$V149="Superseded"),"",$Y149-N($X149)*7-IF($Q149="Sequential",Setup!$D$20,Setup!$D$19)-Setup!$D$22)</f>
        <v/>
      </c>
      <c r="AA149" s="39" t="str">
        <f aca="true">IF($Z149="","",IF($N149&lt;&gt;"",$Z149-$N149,$Z149-TODAY()))</f>
        <v/>
      </c>
      <c r="AB149" s="36" t="str">
        <f aca="false">IF(OR($X149="",$V149="Void",$V149="Superseded"),"",IF(N($X149)&gt;=Setup!$D$23,"Long lead",""))</f>
        <v/>
      </c>
      <c r="AC149" s="40"/>
      <c r="AD149" s="41"/>
      <c r="AE149" s="41"/>
    </row>
    <row r="150" customFormat="false" ht="30" hidden="false" customHeight="true" outlineLevel="0" collapsed="false">
      <c r="A150" s="31"/>
      <c r="B150" s="32" t="str">
        <f aca="false">IF($J150="","",ROW()-8)</f>
        <v/>
      </c>
      <c r="C150" s="33" t="str">
        <f aca="false">IF($J150="","",$D150&amp;"-"&amp;TEXT($E150,"000")&amp;IF(N($F150)&gt;0,"."&amp;TEXT($F150,"00"),""))</f>
        <v/>
      </c>
      <c r="D150" s="43"/>
      <c r="E150" s="44"/>
      <c r="F150" s="44"/>
      <c r="G150" s="43"/>
      <c r="H150" s="43"/>
      <c r="I150" s="43"/>
      <c r="J150" s="43"/>
      <c r="K150" s="43"/>
      <c r="L150" s="36" t="str">
        <f aca="false">IF($K150="","",IFERROR(INDEX(Reference!$D$53:$D$67,MATCH($K150,Reference!$B$53:$B$67,0)),""))</f>
        <v/>
      </c>
      <c r="M150" s="43"/>
      <c r="N150" s="45"/>
      <c r="O150" s="45"/>
      <c r="P150" s="43"/>
      <c r="Q150" s="44"/>
      <c r="R150" s="38" t="str">
        <f aca="false">IF($O150="","",$O150+IF(N($F150)&gt;0,Setup!$D$21,IF($Q150="Sequential",Setup!$D$20,Setup!$D$19)))</f>
        <v/>
      </c>
      <c r="S150" s="45"/>
      <c r="T150" s="44"/>
      <c r="U150" s="39" t="str">
        <f aca="true">IF($O150="","",IF($S150&lt;&gt;"",$S150-$O150,TODAY()-$O150))</f>
        <v/>
      </c>
      <c r="V150" s="36" t="str">
        <f aca="true">IF($J150="","",IF($AD150="Yes","Void",IF(COUNTIFS($D$9:$D$208,$D150,$E$9:$E$208,$E150,$F$9:$F$208,"&gt;"&amp;N($F150))&gt;0,"Superseded",IF($N150="","Not submitted",IF($S150="",IF(AND($R150&lt;&gt;"",$R150&lt;TODAY()),"Overdue with reviewer","In review"),IF(COUNTIF(Reference!$B$70:$B$80,$T150)&gt;0,"Closed","Resubmittal required"))))))</f>
        <v/>
      </c>
      <c r="W150" s="36" t="str">
        <f aca="false">IF($J150="","",IF(OR($V150="Closed",$V150="Superseded",$V150="Void"),"Closed",IF(OR($V150="Not submitted",$V150="Resubmittal required"),"Contractor","Reviewer")))</f>
        <v/>
      </c>
      <c r="X150" s="44"/>
      <c r="Y150" s="45"/>
      <c r="Z150" s="38" t="str">
        <f aca="false">IF(OR($J150="",$Y150="",$X150="",$V150="Void",$V150="Superseded"),"",$Y150-N($X150)*7-IF($Q150="Sequential",Setup!$D$20,Setup!$D$19)-Setup!$D$22)</f>
        <v/>
      </c>
      <c r="AA150" s="39" t="str">
        <f aca="true">IF($Z150="","",IF($N150&lt;&gt;"",$Z150-$N150,$Z150-TODAY()))</f>
        <v/>
      </c>
      <c r="AB150" s="36" t="str">
        <f aca="false">IF(OR($X150="",$V150="Void",$V150="Superseded"),"",IF(N($X150)&gt;=Setup!$D$23,"Long lead",""))</f>
        <v/>
      </c>
      <c r="AC150" s="46"/>
      <c r="AD150" s="47"/>
      <c r="AE150" s="47"/>
    </row>
    <row r="151" customFormat="false" ht="30" hidden="false" customHeight="true" outlineLevel="0" collapsed="false">
      <c r="A151" s="31"/>
      <c r="B151" s="32" t="str">
        <f aca="false">IF($J151="","",ROW()-8)</f>
        <v/>
      </c>
      <c r="C151" s="33" t="str">
        <f aca="false">IF($J151="","",$D151&amp;"-"&amp;TEXT($E151,"000")&amp;IF(N($F151)&gt;0,"."&amp;TEXT($F151,"00"),""))</f>
        <v/>
      </c>
      <c r="D151" s="34"/>
      <c r="E151" s="35"/>
      <c r="F151" s="35"/>
      <c r="G151" s="34"/>
      <c r="H151" s="34"/>
      <c r="I151" s="34"/>
      <c r="J151" s="34"/>
      <c r="K151" s="34"/>
      <c r="L151" s="36" t="str">
        <f aca="false">IF($K151="","",IFERROR(INDEX(Reference!$D$53:$D$67,MATCH($K151,Reference!$B$53:$B$67,0)),""))</f>
        <v/>
      </c>
      <c r="M151" s="34"/>
      <c r="N151" s="37"/>
      <c r="O151" s="37"/>
      <c r="P151" s="34"/>
      <c r="Q151" s="35"/>
      <c r="R151" s="38" t="str">
        <f aca="false">IF($O151="","",$O151+IF(N($F151)&gt;0,Setup!$D$21,IF($Q151="Sequential",Setup!$D$20,Setup!$D$19)))</f>
        <v/>
      </c>
      <c r="S151" s="37"/>
      <c r="T151" s="35"/>
      <c r="U151" s="39" t="str">
        <f aca="true">IF($O151="","",IF($S151&lt;&gt;"",$S151-$O151,TODAY()-$O151))</f>
        <v/>
      </c>
      <c r="V151" s="36" t="str">
        <f aca="true">IF($J151="","",IF($AD151="Yes","Void",IF(COUNTIFS($D$9:$D$208,$D151,$E$9:$E$208,$E151,$F$9:$F$208,"&gt;"&amp;N($F151))&gt;0,"Superseded",IF($N151="","Not submitted",IF($S151="",IF(AND($R151&lt;&gt;"",$R151&lt;TODAY()),"Overdue with reviewer","In review"),IF(COUNTIF(Reference!$B$70:$B$80,$T151)&gt;0,"Closed","Resubmittal required"))))))</f>
        <v/>
      </c>
      <c r="W151" s="36" t="str">
        <f aca="false">IF($J151="","",IF(OR($V151="Closed",$V151="Superseded",$V151="Void"),"Closed",IF(OR($V151="Not submitted",$V151="Resubmittal required"),"Contractor","Reviewer")))</f>
        <v/>
      </c>
      <c r="X151" s="35"/>
      <c r="Y151" s="37"/>
      <c r="Z151" s="38" t="str">
        <f aca="false">IF(OR($J151="",$Y151="",$X151="",$V151="Void",$V151="Superseded"),"",$Y151-N($X151)*7-IF($Q151="Sequential",Setup!$D$20,Setup!$D$19)-Setup!$D$22)</f>
        <v/>
      </c>
      <c r="AA151" s="39" t="str">
        <f aca="true">IF($Z151="","",IF($N151&lt;&gt;"",$Z151-$N151,$Z151-TODAY()))</f>
        <v/>
      </c>
      <c r="AB151" s="36" t="str">
        <f aca="false">IF(OR($X151="",$V151="Void",$V151="Superseded"),"",IF(N($X151)&gt;=Setup!$D$23,"Long lead",""))</f>
        <v/>
      </c>
      <c r="AC151" s="40"/>
      <c r="AD151" s="41"/>
      <c r="AE151" s="41"/>
    </row>
    <row r="152" customFormat="false" ht="30" hidden="false" customHeight="true" outlineLevel="0" collapsed="false">
      <c r="A152" s="31"/>
      <c r="B152" s="32" t="str">
        <f aca="false">IF($J152="","",ROW()-8)</f>
        <v/>
      </c>
      <c r="C152" s="33" t="str">
        <f aca="false">IF($J152="","",$D152&amp;"-"&amp;TEXT($E152,"000")&amp;IF(N($F152)&gt;0,"."&amp;TEXT($F152,"00"),""))</f>
        <v/>
      </c>
      <c r="D152" s="43"/>
      <c r="E152" s="44"/>
      <c r="F152" s="44"/>
      <c r="G152" s="43"/>
      <c r="H152" s="43"/>
      <c r="I152" s="43"/>
      <c r="J152" s="43"/>
      <c r="K152" s="43"/>
      <c r="L152" s="36" t="str">
        <f aca="false">IF($K152="","",IFERROR(INDEX(Reference!$D$53:$D$67,MATCH($K152,Reference!$B$53:$B$67,0)),""))</f>
        <v/>
      </c>
      <c r="M152" s="43"/>
      <c r="N152" s="45"/>
      <c r="O152" s="45"/>
      <c r="P152" s="43"/>
      <c r="Q152" s="44"/>
      <c r="R152" s="38" t="str">
        <f aca="false">IF($O152="","",$O152+IF(N($F152)&gt;0,Setup!$D$21,IF($Q152="Sequential",Setup!$D$20,Setup!$D$19)))</f>
        <v/>
      </c>
      <c r="S152" s="45"/>
      <c r="T152" s="44"/>
      <c r="U152" s="39" t="str">
        <f aca="true">IF($O152="","",IF($S152&lt;&gt;"",$S152-$O152,TODAY()-$O152))</f>
        <v/>
      </c>
      <c r="V152" s="36" t="str">
        <f aca="true">IF($J152="","",IF($AD152="Yes","Void",IF(COUNTIFS($D$9:$D$208,$D152,$E$9:$E$208,$E152,$F$9:$F$208,"&gt;"&amp;N($F152))&gt;0,"Superseded",IF($N152="","Not submitted",IF($S152="",IF(AND($R152&lt;&gt;"",$R152&lt;TODAY()),"Overdue with reviewer","In review"),IF(COUNTIF(Reference!$B$70:$B$80,$T152)&gt;0,"Closed","Resubmittal required"))))))</f>
        <v/>
      </c>
      <c r="W152" s="36" t="str">
        <f aca="false">IF($J152="","",IF(OR($V152="Closed",$V152="Superseded",$V152="Void"),"Closed",IF(OR($V152="Not submitted",$V152="Resubmittal required"),"Contractor","Reviewer")))</f>
        <v/>
      </c>
      <c r="X152" s="44"/>
      <c r="Y152" s="45"/>
      <c r="Z152" s="38" t="str">
        <f aca="false">IF(OR($J152="",$Y152="",$X152="",$V152="Void",$V152="Superseded"),"",$Y152-N($X152)*7-IF($Q152="Sequential",Setup!$D$20,Setup!$D$19)-Setup!$D$22)</f>
        <v/>
      </c>
      <c r="AA152" s="39" t="str">
        <f aca="true">IF($Z152="","",IF($N152&lt;&gt;"",$Z152-$N152,$Z152-TODAY()))</f>
        <v/>
      </c>
      <c r="AB152" s="36" t="str">
        <f aca="false">IF(OR($X152="",$V152="Void",$V152="Superseded"),"",IF(N($X152)&gt;=Setup!$D$23,"Long lead",""))</f>
        <v/>
      </c>
      <c r="AC152" s="46"/>
      <c r="AD152" s="47"/>
      <c r="AE152" s="47"/>
    </row>
    <row r="153" customFormat="false" ht="30" hidden="false" customHeight="true" outlineLevel="0" collapsed="false">
      <c r="A153" s="31"/>
      <c r="B153" s="32" t="str">
        <f aca="false">IF($J153="","",ROW()-8)</f>
        <v/>
      </c>
      <c r="C153" s="33" t="str">
        <f aca="false">IF($J153="","",$D153&amp;"-"&amp;TEXT($E153,"000")&amp;IF(N($F153)&gt;0,"."&amp;TEXT($F153,"00"),""))</f>
        <v/>
      </c>
      <c r="D153" s="34"/>
      <c r="E153" s="35"/>
      <c r="F153" s="35"/>
      <c r="G153" s="34"/>
      <c r="H153" s="34"/>
      <c r="I153" s="34"/>
      <c r="J153" s="34"/>
      <c r="K153" s="34"/>
      <c r="L153" s="36" t="str">
        <f aca="false">IF($K153="","",IFERROR(INDEX(Reference!$D$53:$D$67,MATCH($K153,Reference!$B$53:$B$67,0)),""))</f>
        <v/>
      </c>
      <c r="M153" s="34"/>
      <c r="N153" s="37"/>
      <c r="O153" s="37"/>
      <c r="P153" s="34"/>
      <c r="Q153" s="35"/>
      <c r="R153" s="38" t="str">
        <f aca="false">IF($O153="","",$O153+IF(N($F153)&gt;0,Setup!$D$21,IF($Q153="Sequential",Setup!$D$20,Setup!$D$19)))</f>
        <v/>
      </c>
      <c r="S153" s="37"/>
      <c r="T153" s="35"/>
      <c r="U153" s="39" t="str">
        <f aca="true">IF($O153="","",IF($S153&lt;&gt;"",$S153-$O153,TODAY()-$O153))</f>
        <v/>
      </c>
      <c r="V153" s="36" t="str">
        <f aca="true">IF($J153="","",IF($AD153="Yes","Void",IF(COUNTIFS($D$9:$D$208,$D153,$E$9:$E$208,$E153,$F$9:$F$208,"&gt;"&amp;N($F153))&gt;0,"Superseded",IF($N153="","Not submitted",IF($S153="",IF(AND($R153&lt;&gt;"",$R153&lt;TODAY()),"Overdue with reviewer","In review"),IF(COUNTIF(Reference!$B$70:$B$80,$T153)&gt;0,"Closed","Resubmittal required"))))))</f>
        <v/>
      </c>
      <c r="W153" s="36" t="str">
        <f aca="false">IF($J153="","",IF(OR($V153="Closed",$V153="Superseded",$V153="Void"),"Closed",IF(OR($V153="Not submitted",$V153="Resubmittal required"),"Contractor","Reviewer")))</f>
        <v/>
      </c>
      <c r="X153" s="35"/>
      <c r="Y153" s="37"/>
      <c r="Z153" s="38" t="str">
        <f aca="false">IF(OR($J153="",$Y153="",$X153="",$V153="Void",$V153="Superseded"),"",$Y153-N($X153)*7-IF($Q153="Sequential",Setup!$D$20,Setup!$D$19)-Setup!$D$22)</f>
        <v/>
      </c>
      <c r="AA153" s="39" t="str">
        <f aca="true">IF($Z153="","",IF($N153&lt;&gt;"",$Z153-$N153,$Z153-TODAY()))</f>
        <v/>
      </c>
      <c r="AB153" s="36" t="str">
        <f aca="false">IF(OR($X153="",$V153="Void",$V153="Superseded"),"",IF(N($X153)&gt;=Setup!$D$23,"Long lead",""))</f>
        <v/>
      </c>
      <c r="AC153" s="40"/>
      <c r="AD153" s="41"/>
      <c r="AE153" s="41"/>
    </row>
    <row r="154" customFormat="false" ht="30" hidden="false" customHeight="true" outlineLevel="0" collapsed="false">
      <c r="A154" s="31"/>
      <c r="B154" s="32" t="str">
        <f aca="false">IF($J154="","",ROW()-8)</f>
        <v/>
      </c>
      <c r="C154" s="33" t="str">
        <f aca="false">IF($J154="","",$D154&amp;"-"&amp;TEXT($E154,"000")&amp;IF(N($F154)&gt;0,"."&amp;TEXT($F154,"00"),""))</f>
        <v/>
      </c>
      <c r="D154" s="43"/>
      <c r="E154" s="44"/>
      <c r="F154" s="44"/>
      <c r="G154" s="43"/>
      <c r="H154" s="43"/>
      <c r="I154" s="43"/>
      <c r="J154" s="43"/>
      <c r="K154" s="43"/>
      <c r="L154" s="36" t="str">
        <f aca="false">IF($K154="","",IFERROR(INDEX(Reference!$D$53:$D$67,MATCH($K154,Reference!$B$53:$B$67,0)),""))</f>
        <v/>
      </c>
      <c r="M154" s="43"/>
      <c r="N154" s="45"/>
      <c r="O154" s="45"/>
      <c r="P154" s="43"/>
      <c r="Q154" s="44"/>
      <c r="R154" s="38" t="str">
        <f aca="false">IF($O154="","",$O154+IF(N($F154)&gt;0,Setup!$D$21,IF($Q154="Sequential",Setup!$D$20,Setup!$D$19)))</f>
        <v/>
      </c>
      <c r="S154" s="45"/>
      <c r="T154" s="44"/>
      <c r="U154" s="39" t="str">
        <f aca="true">IF($O154="","",IF($S154&lt;&gt;"",$S154-$O154,TODAY()-$O154))</f>
        <v/>
      </c>
      <c r="V154" s="36" t="str">
        <f aca="true">IF($J154="","",IF($AD154="Yes","Void",IF(COUNTIFS($D$9:$D$208,$D154,$E$9:$E$208,$E154,$F$9:$F$208,"&gt;"&amp;N($F154))&gt;0,"Superseded",IF($N154="","Not submitted",IF($S154="",IF(AND($R154&lt;&gt;"",$R154&lt;TODAY()),"Overdue with reviewer","In review"),IF(COUNTIF(Reference!$B$70:$B$80,$T154)&gt;0,"Closed","Resubmittal required"))))))</f>
        <v/>
      </c>
      <c r="W154" s="36" t="str">
        <f aca="false">IF($J154="","",IF(OR($V154="Closed",$V154="Superseded",$V154="Void"),"Closed",IF(OR($V154="Not submitted",$V154="Resubmittal required"),"Contractor","Reviewer")))</f>
        <v/>
      </c>
      <c r="X154" s="44"/>
      <c r="Y154" s="45"/>
      <c r="Z154" s="38" t="str">
        <f aca="false">IF(OR($J154="",$Y154="",$X154="",$V154="Void",$V154="Superseded"),"",$Y154-N($X154)*7-IF($Q154="Sequential",Setup!$D$20,Setup!$D$19)-Setup!$D$22)</f>
        <v/>
      </c>
      <c r="AA154" s="39" t="str">
        <f aca="true">IF($Z154="","",IF($N154&lt;&gt;"",$Z154-$N154,$Z154-TODAY()))</f>
        <v/>
      </c>
      <c r="AB154" s="36" t="str">
        <f aca="false">IF(OR($X154="",$V154="Void",$V154="Superseded"),"",IF(N($X154)&gt;=Setup!$D$23,"Long lead",""))</f>
        <v/>
      </c>
      <c r="AC154" s="46"/>
      <c r="AD154" s="47"/>
      <c r="AE154" s="47"/>
    </row>
    <row r="155" customFormat="false" ht="30" hidden="false" customHeight="true" outlineLevel="0" collapsed="false">
      <c r="A155" s="31"/>
      <c r="B155" s="32" t="str">
        <f aca="false">IF($J155="","",ROW()-8)</f>
        <v/>
      </c>
      <c r="C155" s="33" t="str">
        <f aca="false">IF($J155="","",$D155&amp;"-"&amp;TEXT($E155,"000")&amp;IF(N($F155)&gt;0,"."&amp;TEXT($F155,"00"),""))</f>
        <v/>
      </c>
      <c r="D155" s="34"/>
      <c r="E155" s="35"/>
      <c r="F155" s="35"/>
      <c r="G155" s="34"/>
      <c r="H155" s="34"/>
      <c r="I155" s="34"/>
      <c r="J155" s="34"/>
      <c r="K155" s="34"/>
      <c r="L155" s="36" t="str">
        <f aca="false">IF($K155="","",IFERROR(INDEX(Reference!$D$53:$D$67,MATCH($K155,Reference!$B$53:$B$67,0)),""))</f>
        <v/>
      </c>
      <c r="M155" s="34"/>
      <c r="N155" s="37"/>
      <c r="O155" s="37"/>
      <c r="P155" s="34"/>
      <c r="Q155" s="35"/>
      <c r="R155" s="38" t="str">
        <f aca="false">IF($O155="","",$O155+IF(N($F155)&gt;0,Setup!$D$21,IF($Q155="Sequential",Setup!$D$20,Setup!$D$19)))</f>
        <v/>
      </c>
      <c r="S155" s="37"/>
      <c r="T155" s="35"/>
      <c r="U155" s="39" t="str">
        <f aca="true">IF($O155="","",IF($S155&lt;&gt;"",$S155-$O155,TODAY()-$O155))</f>
        <v/>
      </c>
      <c r="V155" s="36" t="str">
        <f aca="true">IF($J155="","",IF($AD155="Yes","Void",IF(COUNTIFS($D$9:$D$208,$D155,$E$9:$E$208,$E155,$F$9:$F$208,"&gt;"&amp;N($F155))&gt;0,"Superseded",IF($N155="","Not submitted",IF($S155="",IF(AND($R155&lt;&gt;"",$R155&lt;TODAY()),"Overdue with reviewer","In review"),IF(COUNTIF(Reference!$B$70:$B$80,$T155)&gt;0,"Closed","Resubmittal required"))))))</f>
        <v/>
      </c>
      <c r="W155" s="36" t="str">
        <f aca="false">IF($J155="","",IF(OR($V155="Closed",$V155="Superseded",$V155="Void"),"Closed",IF(OR($V155="Not submitted",$V155="Resubmittal required"),"Contractor","Reviewer")))</f>
        <v/>
      </c>
      <c r="X155" s="35"/>
      <c r="Y155" s="37"/>
      <c r="Z155" s="38" t="str">
        <f aca="false">IF(OR($J155="",$Y155="",$X155="",$V155="Void",$V155="Superseded"),"",$Y155-N($X155)*7-IF($Q155="Sequential",Setup!$D$20,Setup!$D$19)-Setup!$D$22)</f>
        <v/>
      </c>
      <c r="AA155" s="39" t="str">
        <f aca="true">IF($Z155="","",IF($N155&lt;&gt;"",$Z155-$N155,$Z155-TODAY()))</f>
        <v/>
      </c>
      <c r="AB155" s="36" t="str">
        <f aca="false">IF(OR($X155="",$V155="Void",$V155="Superseded"),"",IF(N($X155)&gt;=Setup!$D$23,"Long lead",""))</f>
        <v/>
      </c>
      <c r="AC155" s="40"/>
      <c r="AD155" s="41"/>
      <c r="AE155" s="41"/>
    </row>
    <row r="156" customFormat="false" ht="30" hidden="false" customHeight="true" outlineLevel="0" collapsed="false">
      <c r="A156" s="31"/>
      <c r="B156" s="32" t="str">
        <f aca="false">IF($J156="","",ROW()-8)</f>
        <v/>
      </c>
      <c r="C156" s="33" t="str">
        <f aca="false">IF($J156="","",$D156&amp;"-"&amp;TEXT($E156,"000")&amp;IF(N($F156)&gt;0,"."&amp;TEXT($F156,"00"),""))</f>
        <v/>
      </c>
      <c r="D156" s="43"/>
      <c r="E156" s="44"/>
      <c r="F156" s="44"/>
      <c r="G156" s="43"/>
      <c r="H156" s="43"/>
      <c r="I156" s="43"/>
      <c r="J156" s="43"/>
      <c r="K156" s="43"/>
      <c r="L156" s="36" t="str">
        <f aca="false">IF($K156="","",IFERROR(INDEX(Reference!$D$53:$D$67,MATCH($K156,Reference!$B$53:$B$67,0)),""))</f>
        <v/>
      </c>
      <c r="M156" s="43"/>
      <c r="N156" s="45"/>
      <c r="O156" s="45"/>
      <c r="P156" s="43"/>
      <c r="Q156" s="44"/>
      <c r="R156" s="38" t="str">
        <f aca="false">IF($O156="","",$O156+IF(N($F156)&gt;0,Setup!$D$21,IF($Q156="Sequential",Setup!$D$20,Setup!$D$19)))</f>
        <v/>
      </c>
      <c r="S156" s="45"/>
      <c r="T156" s="44"/>
      <c r="U156" s="39" t="str">
        <f aca="true">IF($O156="","",IF($S156&lt;&gt;"",$S156-$O156,TODAY()-$O156))</f>
        <v/>
      </c>
      <c r="V156" s="36" t="str">
        <f aca="true">IF($J156="","",IF($AD156="Yes","Void",IF(COUNTIFS($D$9:$D$208,$D156,$E$9:$E$208,$E156,$F$9:$F$208,"&gt;"&amp;N($F156))&gt;0,"Superseded",IF($N156="","Not submitted",IF($S156="",IF(AND($R156&lt;&gt;"",$R156&lt;TODAY()),"Overdue with reviewer","In review"),IF(COUNTIF(Reference!$B$70:$B$80,$T156)&gt;0,"Closed","Resubmittal required"))))))</f>
        <v/>
      </c>
      <c r="W156" s="36" t="str">
        <f aca="false">IF($J156="","",IF(OR($V156="Closed",$V156="Superseded",$V156="Void"),"Closed",IF(OR($V156="Not submitted",$V156="Resubmittal required"),"Contractor","Reviewer")))</f>
        <v/>
      </c>
      <c r="X156" s="44"/>
      <c r="Y156" s="45"/>
      <c r="Z156" s="38" t="str">
        <f aca="false">IF(OR($J156="",$Y156="",$X156="",$V156="Void",$V156="Superseded"),"",$Y156-N($X156)*7-IF($Q156="Sequential",Setup!$D$20,Setup!$D$19)-Setup!$D$22)</f>
        <v/>
      </c>
      <c r="AA156" s="39" t="str">
        <f aca="true">IF($Z156="","",IF($N156&lt;&gt;"",$Z156-$N156,$Z156-TODAY()))</f>
        <v/>
      </c>
      <c r="AB156" s="36" t="str">
        <f aca="false">IF(OR($X156="",$V156="Void",$V156="Superseded"),"",IF(N($X156)&gt;=Setup!$D$23,"Long lead",""))</f>
        <v/>
      </c>
      <c r="AC156" s="46"/>
      <c r="AD156" s="47"/>
      <c r="AE156" s="47"/>
    </row>
    <row r="157" customFormat="false" ht="30" hidden="false" customHeight="true" outlineLevel="0" collapsed="false">
      <c r="A157" s="31"/>
      <c r="B157" s="32" t="str">
        <f aca="false">IF($J157="","",ROW()-8)</f>
        <v/>
      </c>
      <c r="C157" s="33" t="str">
        <f aca="false">IF($J157="","",$D157&amp;"-"&amp;TEXT($E157,"000")&amp;IF(N($F157)&gt;0,"."&amp;TEXT($F157,"00"),""))</f>
        <v/>
      </c>
      <c r="D157" s="34"/>
      <c r="E157" s="35"/>
      <c r="F157" s="35"/>
      <c r="G157" s="34"/>
      <c r="H157" s="34"/>
      <c r="I157" s="34"/>
      <c r="J157" s="34"/>
      <c r="K157" s="34"/>
      <c r="L157" s="36" t="str">
        <f aca="false">IF($K157="","",IFERROR(INDEX(Reference!$D$53:$D$67,MATCH($K157,Reference!$B$53:$B$67,0)),""))</f>
        <v/>
      </c>
      <c r="M157" s="34"/>
      <c r="N157" s="37"/>
      <c r="O157" s="37"/>
      <c r="P157" s="34"/>
      <c r="Q157" s="35"/>
      <c r="R157" s="38" t="str">
        <f aca="false">IF($O157="","",$O157+IF(N($F157)&gt;0,Setup!$D$21,IF($Q157="Sequential",Setup!$D$20,Setup!$D$19)))</f>
        <v/>
      </c>
      <c r="S157" s="37"/>
      <c r="T157" s="35"/>
      <c r="U157" s="39" t="str">
        <f aca="true">IF($O157="","",IF($S157&lt;&gt;"",$S157-$O157,TODAY()-$O157))</f>
        <v/>
      </c>
      <c r="V157" s="36" t="str">
        <f aca="true">IF($J157="","",IF($AD157="Yes","Void",IF(COUNTIFS($D$9:$D$208,$D157,$E$9:$E$208,$E157,$F$9:$F$208,"&gt;"&amp;N($F157))&gt;0,"Superseded",IF($N157="","Not submitted",IF($S157="",IF(AND($R157&lt;&gt;"",$R157&lt;TODAY()),"Overdue with reviewer","In review"),IF(COUNTIF(Reference!$B$70:$B$80,$T157)&gt;0,"Closed","Resubmittal required"))))))</f>
        <v/>
      </c>
      <c r="W157" s="36" t="str">
        <f aca="false">IF($J157="","",IF(OR($V157="Closed",$V157="Superseded",$V157="Void"),"Closed",IF(OR($V157="Not submitted",$V157="Resubmittal required"),"Contractor","Reviewer")))</f>
        <v/>
      </c>
      <c r="X157" s="35"/>
      <c r="Y157" s="37"/>
      <c r="Z157" s="38" t="str">
        <f aca="false">IF(OR($J157="",$Y157="",$X157="",$V157="Void",$V157="Superseded"),"",$Y157-N($X157)*7-IF($Q157="Sequential",Setup!$D$20,Setup!$D$19)-Setup!$D$22)</f>
        <v/>
      </c>
      <c r="AA157" s="39" t="str">
        <f aca="true">IF($Z157="","",IF($N157&lt;&gt;"",$Z157-$N157,$Z157-TODAY()))</f>
        <v/>
      </c>
      <c r="AB157" s="36" t="str">
        <f aca="false">IF(OR($X157="",$V157="Void",$V157="Superseded"),"",IF(N($X157)&gt;=Setup!$D$23,"Long lead",""))</f>
        <v/>
      </c>
      <c r="AC157" s="40"/>
      <c r="AD157" s="41"/>
      <c r="AE157" s="41"/>
    </row>
    <row r="158" customFormat="false" ht="30" hidden="false" customHeight="true" outlineLevel="0" collapsed="false">
      <c r="A158" s="31"/>
      <c r="B158" s="32" t="str">
        <f aca="false">IF($J158="","",ROW()-8)</f>
        <v/>
      </c>
      <c r="C158" s="33" t="str">
        <f aca="false">IF($J158="","",$D158&amp;"-"&amp;TEXT($E158,"000")&amp;IF(N($F158)&gt;0,"."&amp;TEXT($F158,"00"),""))</f>
        <v/>
      </c>
      <c r="D158" s="43"/>
      <c r="E158" s="44"/>
      <c r="F158" s="44"/>
      <c r="G158" s="43"/>
      <c r="H158" s="43"/>
      <c r="I158" s="43"/>
      <c r="J158" s="43"/>
      <c r="K158" s="43"/>
      <c r="L158" s="36" t="str">
        <f aca="false">IF($K158="","",IFERROR(INDEX(Reference!$D$53:$D$67,MATCH($K158,Reference!$B$53:$B$67,0)),""))</f>
        <v/>
      </c>
      <c r="M158" s="43"/>
      <c r="N158" s="45"/>
      <c r="O158" s="45"/>
      <c r="P158" s="43"/>
      <c r="Q158" s="44"/>
      <c r="R158" s="38" t="str">
        <f aca="false">IF($O158="","",$O158+IF(N($F158)&gt;0,Setup!$D$21,IF($Q158="Sequential",Setup!$D$20,Setup!$D$19)))</f>
        <v/>
      </c>
      <c r="S158" s="45"/>
      <c r="T158" s="44"/>
      <c r="U158" s="39" t="str">
        <f aca="true">IF($O158="","",IF($S158&lt;&gt;"",$S158-$O158,TODAY()-$O158))</f>
        <v/>
      </c>
      <c r="V158" s="36" t="str">
        <f aca="true">IF($J158="","",IF($AD158="Yes","Void",IF(COUNTIFS($D$9:$D$208,$D158,$E$9:$E$208,$E158,$F$9:$F$208,"&gt;"&amp;N($F158))&gt;0,"Superseded",IF($N158="","Not submitted",IF($S158="",IF(AND($R158&lt;&gt;"",$R158&lt;TODAY()),"Overdue with reviewer","In review"),IF(COUNTIF(Reference!$B$70:$B$80,$T158)&gt;0,"Closed","Resubmittal required"))))))</f>
        <v/>
      </c>
      <c r="W158" s="36" t="str">
        <f aca="false">IF($J158="","",IF(OR($V158="Closed",$V158="Superseded",$V158="Void"),"Closed",IF(OR($V158="Not submitted",$V158="Resubmittal required"),"Contractor","Reviewer")))</f>
        <v/>
      </c>
      <c r="X158" s="44"/>
      <c r="Y158" s="45"/>
      <c r="Z158" s="38" t="str">
        <f aca="false">IF(OR($J158="",$Y158="",$X158="",$V158="Void",$V158="Superseded"),"",$Y158-N($X158)*7-IF($Q158="Sequential",Setup!$D$20,Setup!$D$19)-Setup!$D$22)</f>
        <v/>
      </c>
      <c r="AA158" s="39" t="str">
        <f aca="true">IF($Z158="","",IF($N158&lt;&gt;"",$Z158-$N158,$Z158-TODAY()))</f>
        <v/>
      </c>
      <c r="AB158" s="36" t="str">
        <f aca="false">IF(OR($X158="",$V158="Void",$V158="Superseded"),"",IF(N($X158)&gt;=Setup!$D$23,"Long lead",""))</f>
        <v/>
      </c>
      <c r="AC158" s="46"/>
      <c r="AD158" s="47"/>
      <c r="AE158" s="47"/>
    </row>
    <row r="159" customFormat="false" ht="30" hidden="false" customHeight="true" outlineLevel="0" collapsed="false">
      <c r="A159" s="31"/>
      <c r="B159" s="32" t="str">
        <f aca="false">IF($J159="","",ROW()-8)</f>
        <v/>
      </c>
      <c r="C159" s="33" t="str">
        <f aca="false">IF($J159="","",$D159&amp;"-"&amp;TEXT($E159,"000")&amp;IF(N($F159)&gt;0,"."&amp;TEXT($F159,"00"),""))</f>
        <v/>
      </c>
      <c r="D159" s="34"/>
      <c r="E159" s="35"/>
      <c r="F159" s="35"/>
      <c r="G159" s="34"/>
      <c r="H159" s="34"/>
      <c r="I159" s="34"/>
      <c r="J159" s="34"/>
      <c r="K159" s="34"/>
      <c r="L159" s="36" t="str">
        <f aca="false">IF($K159="","",IFERROR(INDEX(Reference!$D$53:$D$67,MATCH($K159,Reference!$B$53:$B$67,0)),""))</f>
        <v/>
      </c>
      <c r="M159" s="34"/>
      <c r="N159" s="37"/>
      <c r="O159" s="37"/>
      <c r="P159" s="34"/>
      <c r="Q159" s="35"/>
      <c r="R159" s="38" t="str">
        <f aca="false">IF($O159="","",$O159+IF(N($F159)&gt;0,Setup!$D$21,IF($Q159="Sequential",Setup!$D$20,Setup!$D$19)))</f>
        <v/>
      </c>
      <c r="S159" s="37"/>
      <c r="T159" s="35"/>
      <c r="U159" s="39" t="str">
        <f aca="true">IF($O159="","",IF($S159&lt;&gt;"",$S159-$O159,TODAY()-$O159))</f>
        <v/>
      </c>
      <c r="V159" s="36" t="str">
        <f aca="true">IF($J159="","",IF($AD159="Yes","Void",IF(COUNTIFS($D$9:$D$208,$D159,$E$9:$E$208,$E159,$F$9:$F$208,"&gt;"&amp;N($F159))&gt;0,"Superseded",IF($N159="","Not submitted",IF($S159="",IF(AND($R159&lt;&gt;"",$R159&lt;TODAY()),"Overdue with reviewer","In review"),IF(COUNTIF(Reference!$B$70:$B$80,$T159)&gt;0,"Closed","Resubmittal required"))))))</f>
        <v/>
      </c>
      <c r="W159" s="36" t="str">
        <f aca="false">IF($J159="","",IF(OR($V159="Closed",$V159="Superseded",$V159="Void"),"Closed",IF(OR($V159="Not submitted",$V159="Resubmittal required"),"Contractor","Reviewer")))</f>
        <v/>
      </c>
      <c r="X159" s="35"/>
      <c r="Y159" s="37"/>
      <c r="Z159" s="38" t="str">
        <f aca="false">IF(OR($J159="",$Y159="",$X159="",$V159="Void",$V159="Superseded"),"",$Y159-N($X159)*7-IF($Q159="Sequential",Setup!$D$20,Setup!$D$19)-Setup!$D$22)</f>
        <v/>
      </c>
      <c r="AA159" s="39" t="str">
        <f aca="true">IF($Z159="","",IF($N159&lt;&gt;"",$Z159-$N159,$Z159-TODAY()))</f>
        <v/>
      </c>
      <c r="AB159" s="36" t="str">
        <f aca="false">IF(OR($X159="",$V159="Void",$V159="Superseded"),"",IF(N($X159)&gt;=Setup!$D$23,"Long lead",""))</f>
        <v/>
      </c>
      <c r="AC159" s="40"/>
      <c r="AD159" s="41"/>
      <c r="AE159" s="41"/>
    </row>
    <row r="160" customFormat="false" ht="30" hidden="false" customHeight="true" outlineLevel="0" collapsed="false">
      <c r="A160" s="31"/>
      <c r="B160" s="32" t="str">
        <f aca="false">IF($J160="","",ROW()-8)</f>
        <v/>
      </c>
      <c r="C160" s="33" t="str">
        <f aca="false">IF($J160="","",$D160&amp;"-"&amp;TEXT($E160,"000")&amp;IF(N($F160)&gt;0,"."&amp;TEXT($F160,"00"),""))</f>
        <v/>
      </c>
      <c r="D160" s="43"/>
      <c r="E160" s="44"/>
      <c r="F160" s="44"/>
      <c r="G160" s="43"/>
      <c r="H160" s="43"/>
      <c r="I160" s="43"/>
      <c r="J160" s="43"/>
      <c r="K160" s="43"/>
      <c r="L160" s="36" t="str">
        <f aca="false">IF($K160="","",IFERROR(INDEX(Reference!$D$53:$D$67,MATCH($K160,Reference!$B$53:$B$67,0)),""))</f>
        <v/>
      </c>
      <c r="M160" s="43"/>
      <c r="N160" s="45"/>
      <c r="O160" s="45"/>
      <c r="P160" s="43"/>
      <c r="Q160" s="44"/>
      <c r="R160" s="38" t="str">
        <f aca="false">IF($O160="","",$O160+IF(N($F160)&gt;0,Setup!$D$21,IF($Q160="Sequential",Setup!$D$20,Setup!$D$19)))</f>
        <v/>
      </c>
      <c r="S160" s="45"/>
      <c r="T160" s="44"/>
      <c r="U160" s="39" t="str">
        <f aca="true">IF($O160="","",IF($S160&lt;&gt;"",$S160-$O160,TODAY()-$O160))</f>
        <v/>
      </c>
      <c r="V160" s="36" t="str">
        <f aca="true">IF($J160="","",IF($AD160="Yes","Void",IF(COUNTIFS($D$9:$D$208,$D160,$E$9:$E$208,$E160,$F$9:$F$208,"&gt;"&amp;N($F160))&gt;0,"Superseded",IF($N160="","Not submitted",IF($S160="",IF(AND($R160&lt;&gt;"",$R160&lt;TODAY()),"Overdue with reviewer","In review"),IF(COUNTIF(Reference!$B$70:$B$80,$T160)&gt;0,"Closed","Resubmittal required"))))))</f>
        <v/>
      </c>
      <c r="W160" s="36" t="str">
        <f aca="false">IF($J160="","",IF(OR($V160="Closed",$V160="Superseded",$V160="Void"),"Closed",IF(OR($V160="Not submitted",$V160="Resubmittal required"),"Contractor","Reviewer")))</f>
        <v/>
      </c>
      <c r="X160" s="44"/>
      <c r="Y160" s="45"/>
      <c r="Z160" s="38" t="str">
        <f aca="false">IF(OR($J160="",$Y160="",$X160="",$V160="Void",$V160="Superseded"),"",$Y160-N($X160)*7-IF($Q160="Sequential",Setup!$D$20,Setup!$D$19)-Setup!$D$22)</f>
        <v/>
      </c>
      <c r="AA160" s="39" t="str">
        <f aca="true">IF($Z160="","",IF($N160&lt;&gt;"",$Z160-$N160,$Z160-TODAY()))</f>
        <v/>
      </c>
      <c r="AB160" s="36" t="str">
        <f aca="false">IF(OR($X160="",$V160="Void",$V160="Superseded"),"",IF(N($X160)&gt;=Setup!$D$23,"Long lead",""))</f>
        <v/>
      </c>
      <c r="AC160" s="46"/>
      <c r="AD160" s="47"/>
      <c r="AE160" s="47"/>
    </row>
    <row r="161" customFormat="false" ht="30" hidden="false" customHeight="true" outlineLevel="0" collapsed="false">
      <c r="A161" s="31"/>
      <c r="B161" s="32" t="str">
        <f aca="false">IF($J161="","",ROW()-8)</f>
        <v/>
      </c>
      <c r="C161" s="33" t="str">
        <f aca="false">IF($J161="","",$D161&amp;"-"&amp;TEXT($E161,"000")&amp;IF(N($F161)&gt;0,"."&amp;TEXT($F161,"00"),""))</f>
        <v/>
      </c>
      <c r="D161" s="34"/>
      <c r="E161" s="35"/>
      <c r="F161" s="35"/>
      <c r="G161" s="34"/>
      <c r="H161" s="34"/>
      <c r="I161" s="34"/>
      <c r="J161" s="34"/>
      <c r="K161" s="34"/>
      <c r="L161" s="36" t="str">
        <f aca="false">IF($K161="","",IFERROR(INDEX(Reference!$D$53:$D$67,MATCH($K161,Reference!$B$53:$B$67,0)),""))</f>
        <v/>
      </c>
      <c r="M161" s="34"/>
      <c r="N161" s="37"/>
      <c r="O161" s="37"/>
      <c r="P161" s="34"/>
      <c r="Q161" s="35"/>
      <c r="R161" s="38" t="str">
        <f aca="false">IF($O161="","",$O161+IF(N($F161)&gt;0,Setup!$D$21,IF($Q161="Sequential",Setup!$D$20,Setup!$D$19)))</f>
        <v/>
      </c>
      <c r="S161" s="37"/>
      <c r="T161" s="35"/>
      <c r="U161" s="39" t="str">
        <f aca="true">IF($O161="","",IF($S161&lt;&gt;"",$S161-$O161,TODAY()-$O161))</f>
        <v/>
      </c>
      <c r="V161" s="36" t="str">
        <f aca="true">IF($J161="","",IF($AD161="Yes","Void",IF(COUNTIFS($D$9:$D$208,$D161,$E$9:$E$208,$E161,$F$9:$F$208,"&gt;"&amp;N($F161))&gt;0,"Superseded",IF($N161="","Not submitted",IF($S161="",IF(AND($R161&lt;&gt;"",$R161&lt;TODAY()),"Overdue with reviewer","In review"),IF(COUNTIF(Reference!$B$70:$B$80,$T161)&gt;0,"Closed","Resubmittal required"))))))</f>
        <v/>
      </c>
      <c r="W161" s="36" t="str">
        <f aca="false">IF($J161="","",IF(OR($V161="Closed",$V161="Superseded",$V161="Void"),"Closed",IF(OR($V161="Not submitted",$V161="Resubmittal required"),"Contractor","Reviewer")))</f>
        <v/>
      </c>
      <c r="X161" s="35"/>
      <c r="Y161" s="37"/>
      <c r="Z161" s="38" t="str">
        <f aca="false">IF(OR($J161="",$Y161="",$X161="",$V161="Void",$V161="Superseded"),"",$Y161-N($X161)*7-IF($Q161="Sequential",Setup!$D$20,Setup!$D$19)-Setup!$D$22)</f>
        <v/>
      </c>
      <c r="AA161" s="39" t="str">
        <f aca="true">IF($Z161="","",IF($N161&lt;&gt;"",$Z161-$N161,$Z161-TODAY()))</f>
        <v/>
      </c>
      <c r="AB161" s="36" t="str">
        <f aca="false">IF(OR($X161="",$V161="Void",$V161="Superseded"),"",IF(N($X161)&gt;=Setup!$D$23,"Long lead",""))</f>
        <v/>
      </c>
      <c r="AC161" s="40"/>
      <c r="AD161" s="41"/>
      <c r="AE161" s="41"/>
    </row>
    <row r="162" customFormat="false" ht="30" hidden="false" customHeight="true" outlineLevel="0" collapsed="false">
      <c r="A162" s="31"/>
      <c r="B162" s="32" t="str">
        <f aca="false">IF($J162="","",ROW()-8)</f>
        <v/>
      </c>
      <c r="C162" s="33" t="str">
        <f aca="false">IF($J162="","",$D162&amp;"-"&amp;TEXT($E162,"000")&amp;IF(N($F162)&gt;0,"."&amp;TEXT($F162,"00"),""))</f>
        <v/>
      </c>
      <c r="D162" s="43"/>
      <c r="E162" s="44"/>
      <c r="F162" s="44"/>
      <c r="G162" s="43"/>
      <c r="H162" s="43"/>
      <c r="I162" s="43"/>
      <c r="J162" s="43"/>
      <c r="K162" s="43"/>
      <c r="L162" s="36" t="str">
        <f aca="false">IF($K162="","",IFERROR(INDEX(Reference!$D$53:$D$67,MATCH($K162,Reference!$B$53:$B$67,0)),""))</f>
        <v/>
      </c>
      <c r="M162" s="43"/>
      <c r="N162" s="45"/>
      <c r="O162" s="45"/>
      <c r="P162" s="43"/>
      <c r="Q162" s="44"/>
      <c r="R162" s="38" t="str">
        <f aca="false">IF($O162="","",$O162+IF(N($F162)&gt;0,Setup!$D$21,IF($Q162="Sequential",Setup!$D$20,Setup!$D$19)))</f>
        <v/>
      </c>
      <c r="S162" s="45"/>
      <c r="T162" s="44"/>
      <c r="U162" s="39" t="str">
        <f aca="true">IF($O162="","",IF($S162&lt;&gt;"",$S162-$O162,TODAY()-$O162))</f>
        <v/>
      </c>
      <c r="V162" s="36" t="str">
        <f aca="true">IF($J162="","",IF($AD162="Yes","Void",IF(COUNTIFS($D$9:$D$208,$D162,$E$9:$E$208,$E162,$F$9:$F$208,"&gt;"&amp;N($F162))&gt;0,"Superseded",IF($N162="","Not submitted",IF($S162="",IF(AND($R162&lt;&gt;"",$R162&lt;TODAY()),"Overdue with reviewer","In review"),IF(COUNTIF(Reference!$B$70:$B$80,$T162)&gt;0,"Closed","Resubmittal required"))))))</f>
        <v/>
      </c>
      <c r="W162" s="36" t="str">
        <f aca="false">IF($J162="","",IF(OR($V162="Closed",$V162="Superseded",$V162="Void"),"Closed",IF(OR($V162="Not submitted",$V162="Resubmittal required"),"Contractor","Reviewer")))</f>
        <v/>
      </c>
      <c r="X162" s="44"/>
      <c r="Y162" s="45"/>
      <c r="Z162" s="38" t="str">
        <f aca="false">IF(OR($J162="",$Y162="",$X162="",$V162="Void",$V162="Superseded"),"",$Y162-N($X162)*7-IF($Q162="Sequential",Setup!$D$20,Setup!$D$19)-Setup!$D$22)</f>
        <v/>
      </c>
      <c r="AA162" s="39" t="str">
        <f aca="true">IF($Z162="","",IF($N162&lt;&gt;"",$Z162-$N162,$Z162-TODAY()))</f>
        <v/>
      </c>
      <c r="AB162" s="36" t="str">
        <f aca="false">IF(OR($X162="",$V162="Void",$V162="Superseded"),"",IF(N($X162)&gt;=Setup!$D$23,"Long lead",""))</f>
        <v/>
      </c>
      <c r="AC162" s="46"/>
      <c r="AD162" s="47"/>
      <c r="AE162" s="47"/>
    </row>
    <row r="163" customFormat="false" ht="30" hidden="false" customHeight="true" outlineLevel="0" collapsed="false">
      <c r="A163" s="31"/>
      <c r="B163" s="32" t="str">
        <f aca="false">IF($J163="","",ROW()-8)</f>
        <v/>
      </c>
      <c r="C163" s="33" t="str">
        <f aca="false">IF($J163="","",$D163&amp;"-"&amp;TEXT($E163,"000")&amp;IF(N($F163)&gt;0,"."&amp;TEXT($F163,"00"),""))</f>
        <v/>
      </c>
      <c r="D163" s="34"/>
      <c r="E163" s="35"/>
      <c r="F163" s="35"/>
      <c r="G163" s="34"/>
      <c r="H163" s="34"/>
      <c r="I163" s="34"/>
      <c r="J163" s="34"/>
      <c r="K163" s="34"/>
      <c r="L163" s="36" t="str">
        <f aca="false">IF($K163="","",IFERROR(INDEX(Reference!$D$53:$D$67,MATCH($K163,Reference!$B$53:$B$67,0)),""))</f>
        <v/>
      </c>
      <c r="M163" s="34"/>
      <c r="N163" s="37"/>
      <c r="O163" s="37"/>
      <c r="P163" s="34"/>
      <c r="Q163" s="35"/>
      <c r="R163" s="38" t="str">
        <f aca="false">IF($O163="","",$O163+IF(N($F163)&gt;0,Setup!$D$21,IF($Q163="Sequential",Setup!$D$20,Setup!$D$19)))</f>
        <v/>
      </c>
      <c r="S163" s="37"/>
      <c r="T163" s="35"/>
      <c r="U163" s="39" t="str">
        <f aca="true">IF($O163="","",IF($S163&lt;&gt;"",$S163-$O163,TODAY()-$O163))</f>
        <v/>
      </c>
      <c r="V163" s="36" t="str">
        <f aca="true">IF($J163="","",IF($AD163="Yes","Void",IF(COUNTIFS($D$9:$D$208,$D163,$E$9:$E$208,$E163,$F$9:$F$208,"&gt;"&amp;N($F163))&gt;0,"Superseded",IF($N163="","Not submitted",IF($S163="",IF(AND($R163&lt;&gt;"",$R163&lt;TODAY()),"Overdue with reviewer","In review"),IF(COUNTIF(Reference!$B$70:$B$80,$T163)&gt;0,"Closed","Resubmittal required"))))))</f>
        <v/>
      </c>
      <c r="W163" s="36" t="str">
        <f aca="false">IF($J163="","",IF(OR($V163="Closed",$V163="Superseded",$V163="Void"),"Closed",IF(OR($V163="Not submitted",$V163="Resubmittal required"),"Contractor","Reviewer")))</f>
        <v/>
      </c>
      <c r="X163" s="35"/>
      <c r="Y163" s="37"/>
      <c r="Z163" s="38" t="str">
        <f aca="false">IF(OR($J163="",$Y163="",$X163="",$V163="Void",$V163="Superseded"),"",$Y163-N($X163)*7-IF($Q163="Sequential",Setup!$D$20,Setup!$D$19)-Setup!$D$22)</f>
        <v/>
      </c>
      <c r="AA163" s="39" t="str">
        <f aca="true">IF($Z163="","",IF($N163&lt;&gt;"",$Z163-$N163,$Z163-TODAY()))</f>
        <v/>
      </c>
      <c r="AB163" s="36" t="str">
        <f aca="false">IF(OR($X163="",$V163="Void",$V163="Superseded"),"",IF(N($X163)&gt;=Setup!$D$23,"Long lead",""))</f>
        <v/>
      </c>
      <c r="AC163" s="40"/>
      <c r="AD163" s="41"/>
      <c r="AE163" s="41"/>
    </row>
    <row r="164" customFormat="false" ht="30" hidden="false" customHeight="true" outlineLevel="0" collapsed="false">
      <c r="A164" s="31"/>
      <c r="B164" s="32" t="str">
        <f aca="false">IF($J164="","",ROW()-8)</f>
        <v/>
      </c>
      <c r="C164" s="33" t="str">
        <f aca="false">IF($J164="","",$D164&amp;"-"&amp;TEXT($E164,"000")&amp;IF(N($F164)&gt;0,"."&amp;TEXT($F164,"00"),""))</f>
        <v/>
      </c>
      <c r="D164" s="43"/>
      <c r="E164" s="44"/>
      <c r="F164" s="44"/>
      <c r="G164" s="43"/>
      <c r="H164" s="43"/>
      <c r="I164" s="43"/>
      <c r="J164" s="43"/>
      <c r="K164" s="43"/>
      <c r="L164" s="36" t="str">
        <f aca="false">IF($K164="","",IFERROR(INDEX(Reference!$D$53:$D$67,MATCH($K164,Reference!$B$53:$B$67,0)),""))</f>
        <v/>
      </c>
      <c r="M164" s="43"/>
      <c r="N164" s="45"/>
      <c r="O164" s="45"/>
      <c r="P164" s="43"/>
      <c r="Q164" s="44"/>
      <c r="R164" s="38" t="str">
        <f aca="false">IF($O164="","",$O164+IF(N($F164)&gt;0,Setup!$D$21,IF($Q164="Sequential",Setup!$D$20,Setup!$D$19)))</f>
        <v/>
      </c>
      <c r="S164" s="45"/>
      <c r="T164" s="44"/>
      <c r="U164" s="39" t="str">
        <f aca="true">IF($O164="","",IF($S164&lt;&gt;"",$S164-$O164,TODAY()-$O164))</f>
        <v/>
      </c>
      <c r="V164" s="36" t="str">
        <f aca="true">IF($J164="","",IF($AD164="Yes","Void",IF(COUNTIFS($D$9:$D$208,$D164,$E$9:$E$208,$E164,$F$9:$F$208,"&gt;"&amp;N($F164))&gt;0,"Superseded",IF($N164="","Not submitted",IF($S164="",IF(AND($R164&lt;&gt;"",$R164&lt;TODAY()),"Overdue with reviewer","In review"),IF(COUNTIF(Reference!$B$70:$B$80,$T164)&gt;0,"Closed","Resubmittal required"))))))</f>
        <v/>
      </c>
      <c r="W164" s="36" t="str">
        <f aca="false">IF($J164="","",IF(OR($V164="Closed",$V164="Superseded",$V164="Void"),"Closed",IF(OR($V164="Not submitted",$V164="Resubmittal required"),"Contractor","Reviewer")))</f>
        <v/>
      </c>
      <c r="X164" s="44"/>
      <c r="Y164" s="45"/>
      <c r="Z164" s="38" t="str">
        <f aca="false">IF(OR($J164="",$Y164="",$X164="",$V164="Void",$V164="Superseded"),"",$Y164-N($X164)*7-IF($Q164="Sequential",Setup!$D$20,Setup!$D$19)-Setup!$D$22)</f>
        <v/>
      </c>
      <c r="AA164" s="39" t="str">
        <f aca="true">IF($Z164="","",IF($N164&lt;&gt;"",$Z164-$N164,$Z164-TODAY()))</f>
        <v/>
      </c>
      <c r="AB164" s="36" t="str">
        <f aca="false">IF(OR($X164="",$V164="Void",$V164="Superseded"),"",IF(N($X164)&gt;=Setup!$D$23,"Long lead",""))</f>
        <v/>
      </c>
      <c r="AC164" s="46"/>
      <c r="AD164" s="47"/>
      <c r="AE164" s="47"/>
    </row>
    <row r="165" customFormat="false" ht="30" hidden="false" customHeight="true" outlineLevel="0" collapsed="false">
      <c r="A165" s="31"/>
      <c r="B165" s="32" t="str">
        <f aca="false">IF($J165="","",ROW()-8)</f>
        <v/>
      </c>
      <c r="C165" s="33" t="str">
        <f aca="false">IF($J165="","",$D165&amp;"-"&amp;TEXT($E165,"000")&amp;IF(N($F165)&gt;0,"."&amp;TEXT($F165,"00"),""))</f>
        <v/>
      </c>
      <c r="D165" s="34"/>
      <c r="E165" s="35"/>
      <c r="F165" s="35"/>
      <c r="G165" s="34"/>
      <c r="H165" s="34"/>
      <c r="I165" s="34"/>
      <c r="J165" s="34"/>
      <c r="K165" s="34"/>
      <c r="L165" s="36" t="str">
        <f aca="false">IF($K165="","",IFERROR(INDEX(Reference!$D$53:$D$67,MATCH($K165,Reference!$B$53:$B$67,0)),""))</f>
        <v/>
      </c>
      <c r="M165" s="34"/>
      <c r="N165" s="37"/>
      <c r="O165" s="37"/>
      <c r="P165" s="34"/>
      <c r="Q165" s="35"/>
      <c r="R165" s="38" t="str">
        <f aca="false">IF($O165="","",$O165+IF(N($F165)&gt;0,Setup!$D$21,IF($Q165="Sequential",Setup!$D$20,Setup!$D$19)))</f>
        <v/>
      </c>
      <c r="S165" s="37"/>
      <c r="T165" s="35"/>
      <c r="U165" s="39" t="str">
        <f aca="true">IF($O165="","",IF($S165&lt;&gt;"",$S165-$O165,TODAY()-$O165))</f>
        <v/>
      </c>
      <c r="V165" s="36" t="str">
        <f aca="true">IF($J165="","",IF($AD165="Yes","Void",IF(COUNTIFS($D$9:$D$208,$D165,$E$9:$E$208,$E165,$F$9:$F$208,"&gt;"&amp;N($F165))&gt;0,"Superseded",IF($N165="","Not submitted",IF($S165="",IF(AND($R165&lt;&gt;"",$R165&lt;TODAY()),"Overdue with reviewer","In review"),IF(COUNTIF(Reference!$B$70:$B$80,$T165)&gt;0,"Closed","Resubmittal required"))))))</f>
        <v/>
      </c>
      <c r="W165" s="36" t="str">
        <f aca="false">IF($J165="","",IF(OR($V165="Closed",$V165="Superseded",$V165="Void"),"Closed",IF(OR($V165="Not submitted",$V165="Resubmittal required"),"Contractor","Reviewer")))</f>
        <v/>
      </c>
      <c r="X165" s="35"/>
      <c r="Y165" s="37"/>
      <c r="Z165" s="38" t="str">
        <f aca="false">IF(OR($J165="",$Y165="",$X165="",$V165="Void",$V165="Superseded"),"",$Y165-N($X165)*7-IF($Q165="Sequential",Setup!$D$20,Setup!$D$19)-Setup!$D$22)</f>
        <v/>
      </c>
      <c r="AA165" s="39" t="str">
        <f aca="true">IF($Z165="","",IF($N165&lt;&gt;"",$Z165-$N165,$Z165-TODAY()))</f>
        <v/>
      </c>
      <c r="AB165" s="36" t="str">
        <f aca="false">IF(OR($X165="",$V165="Void",$V165="Superseded"),"",IF(N($X165)&gt;=Setup!$D$23,"Long lead",""))</f>
        <v/>
      </c>
      <c r="AC165" s="40"/>
      <c r="AD165" s="41"/>
      <c r="AE165" s="41"/>
    </row>
    <row r="166" customFormat="false" ht="30" hidden="false" customHeight="true" outlineLevel="0" collapsed="false">
      <c r="A166" s="31"/>
      <c r="B166" s="32" t="str">
        <f aca="false">IF($J166="","",ROW()-8)</f>
        <v/>
      </c>
      <c r="C166" s="33" t="str">
        <f aca="false">IF($J166="","",$D166&amp;"-"&amp;TEXT($E166,"000")&amp;IF(N($F166)&gt;0,"."&amp;TEXT($F166,"00"),""))</f>
        <v/>
      </c>
      <c r="D166" s="43"/>
      <c r="E166" s="44"/>
      <c r="F166" s="44"/>
      <c r="G166" s="43"/>
      <c r="H166" s="43"/>
      <c r="I166" s="43"/>
      <c r="J166" s="43"/>
      <c r="K166" s="43"/>
      <c r="L166" s="36" t="str">
        <f aca="false">IF($K166="","",IFERROR(INDEX(Reference!$D$53:$D$67,MATCH($K166,Reference!$B$53:$B$67,0)),""))</f>
        <v/>
      </c>
      <c r="M166" s="43"/>
      <c r="N166" s="45"/>
      <c r="O166" s="45"/>
      <c r="P166" s="43"/>
      <c r="Q166" s="44"/>
      <c r="R166" s="38" t="str">
        <f aca="false">IF($O166="","",$O166+IF(N($F166)&gt;0,Setup!$D$21,IF($Q166="Sequential",Setup!$D$20,Setup!$D$19)))</f>
        <v/>
      </c>
      <c r="S166" s="45"/>
      <c r="T166" s="44"/>
      <c r="U166" s="39" t="str">
        <f aca="true">IF($O166="","",IF($S166&lt;&gt;"",$S166-$O166,TODAY()-$O166))</f>
        <v/>
      </c>
      <c r="V166" s="36" t="str">
        <f aca="true">IF($J166="","",IF($AD166="Yes","Void",IF(COUNTIFS($D$9:$D$208,$D166,$E$9:$E$208,$E166,$F$9:$F$208,"&gt;"&amp;N($F166))&gt;0,"Superseded",IF($N166="","Not submitted",IF($S166="",IF(AND($R166&lt;&gt;"",$R166&lt;TODAY()),"Overdue with reviewer","In review"),IF(COUNTIF(Reference!$B$70:$B$80,$T166)&gt;0,"Closed","Resubmittal required"))))))</f>
        <v/>
      </c>
      <c r="W166" s="36" t="str">
        <f aca="false">IF($J166="","",IF(OR($V166="Closed",$V166="Superseded",$V166="Void"),"Closed",IF(OR($V166="Not submitted",$V166="Resubmittal required"),"Contractor","Reviewer")))</f>
        <v/>
      </c>
      <c r="X166" s="44"/>
      <c r="Y166" s="45"/>
      <c r="Z166" s="38" t="str">
        <f aca="false">IF(OR($J166="",$Y166="",$X166="",$V166="Void",$V166="Superseded"),"",$Y166-N($X166)*7-IF($Q166="Sequential",Setup!$D$20,Setup!$D$19)-Setup!$D$22)</f>
        <v/>
      </c>
      <c r="AA166" s="39" t="str">
        <f aca="true">IF($Z166="","",IF($N166&lt;&gt;"",$Z166-$N166,$Z166-TODAY()))</f>
        <v/>
      </c>
      <c r="AB166" s="36" t="str">
        <f aca="false">IF(OR($X166="",$V166="Void",$V166="Superseded"),"",IF(N($X166)&gt;=Setup!$D$23,"Long lead",""))</f>
        <v/>
      </c>
      <c r="AC166" s="46"/>
      <c r="AD166" s="47"/>
      <c r="AE166" s="47"/>
    </row>
    <row r="167" customFormat="false" ht="30" hidden="false" customHeight="true" outlineLevel="0" collapsed="false">
      <c r="A167" s="31"/>
      <c r="B167" s="32" t="str">
        <f aca="false">IF($J167="","",ROW()-8)</f>
        <v/>
      </c>
      <c r="C167" s="33" t="str">
        <f aca="false">IF($J167="","",$D167&amp;"-"&amp;TEXT($E167,"000")&amp;IF(N($F167)&gt;0,"."&amp;TEXT($F167,"00"),""))</f>
        <v/>
      </c>
      <c r="D167" s="34"/>
      <c r="E167" s="35"/>
      <c r="F167" s="35"/>
      <c r="G167" s="34"/>
      <c r="H167" s="34"/>
      <c r="I167" s="34"/>
      <c r="J167" s="34"/>
      <c r="K167" s="34"/>
      <c r="L167" s="36" t="str">
        <f aca="false">IF($K167="","",IFERROR(INDEX(Reference!$D$53:$D$67,MATCH($K167,Reference!$B$53:$B$67,0)),""))</f>
        <v/>
      </c>
      <c r="M167" s="34"/>
      <c r="N167" s="37"/>
      <c r="O167" s="37"/>
      <c r="P167" s="34"/>
      <c r="Q167" s="35"/>
      <c r="R167" s="38" t="str">
        <f aca="false">IF($O167="","",$O167+IF(N($F167)&gt;0,Setup!$D$21,IF($Q167="Sequential",Setup!$D$20,Setup!$D$19)))</f>
        <v/>
      </c>
      <c r="S167" s="37"/>
      <c r="T167" s="35"/>
      <c r="U167" s="39" t="str">
        <f aca="true">IF($O167="","",IF($S167&lt;&gt;"",$S167-$O167,TODAY()-$O167))</f>
        <v/>
      </c>
      <c r="V167" s="36" t="str">
        <f aca="true">IF($J167="","",IF($AD167="Yes","Void",IF(COUNTIFS($D$9:$D$208,$D167,$E$9:$E$208,$E167,$F$9:$F$208,"&gt;"&amp;N($F167))&gt;0,"Superseded",IF($N167="","Not submitted",IF($S167="",IF(AND($R167&lt;&gt;"",$R167&lt;TODAY()),"Overdue with reviewer","In review"),IF(COUNTIF(Reference!$B$70:$B$80,$T167)&gt;0,"Closed","Resubmittal required"))))))</f>
        <v/>
      </c>
      <c r="W167" s="36" t="str">
        <f aca="false">IF($J167="","",IF(OR($V167="Closed",$V167="Superseded",$V167="Void"),"Closed",IF(OR($V167="Not submitted",$V167="Resubmittal required"),"Contractor","Reviewer")))</f>
        <v/>
      </c>
      <c r="X167" s="35"/>
      <c r="Y167" s="37"/>
      <c r="Z167" s="38" t="str">
        <f aca="false">IF(OR($J167="",$Y167="",$X167="",$V167="Void",$V167="Superseded"),"",$Y167-N($X167)*7-IF($Q167="Sequential",Setup!$D$20,Setup!$D$19)-Setup!$D$22)</f>
        <v/>
      </c>
      <c r="AA167" s="39" t="str">
        <f aca="true">IF($Z167="","",IF($N167&lt;&gt;"",$Z167-$N167,$Z167-TODAY()))</f>
        <v/>
      </c>
      <c r="AB167" s="36" t="str">
        <f aca="false">IF(OR($X167="",$V167="Void",$V167="Superseded"),"",IF(N($X167)&gt;=Setup!$D$23,"Long lead",""))</f>
        <v/>
      </c>
      <c r="AC167" s="40"/>
      <c r="AD167" s="41"/>
      <c r="AE167" s="41"/>
    </row>
    <row r="168" customFormat="false" ht="30" hidden="false" customHeight="true" outlineLevel="0" collapsed="false">
      <c r="A168" s="31"/>
      <c r="B168" s="32" t="str">
        <f aca="false">IF($J168="","",ROW()-8)</f>
        <v/>
      </c>
      <c r="C168" s="33" t="str">
        <f aca="false">IF($J168="","",$D168&amp;"-"&amp;TEXT($E168,"000")&amp;IF(N($F168)&gt;0,"."&amp;TEXT($F168,"00"),""))</f>
        <v/>
      </c>
      <c r="D168" s="43"/>
      <c r="E168" s="44"/>
      <c r="F168" s="44"/>
      <c r="G168" s="43"/>
      <c r="H168" s="43"/>
      <c r="I168" s="43"/>
      <c r="J168" s="43"/>
      <c r="K168" s="43"/>
      <c r="L168" s="36" t="str">
        <f aca="false">IF($K168="","",IFERROR(INDEX(Reference!$D$53:$D$67,MATCH($K168,Reference!$B$53:$B$67,0)),""))</f>
        <v/>
      </c>
      <c r="M168" s="43"/>
      <c r="N168" s="45"/>
      <c r="O168" s="45"/>
      <c r="P168" s="43"/>
      <c r="Q168" s="44"/>
      <c r="R168" s="38" t="str">
        <f aca="false">IF($O168="","",$O168+IF(N($F168)&gt;0,Setup!$D$21,IF($Q168="Sequential",Setup!$D$20,Setup!$D$19)))</f>
        <v/>
      </c>
      <c r="S168" s="45"/>
      <c r="T168" s="44"/>
      <c r="U168" s="39" t="str">
        <f aca="true">IF($O168="","",IF($S168&lt;&gt;"",$S168-$O168,TODAY()-$O168))</f>
        <v/>
      </c>
      <c r="V168" s="36" t="str">
        <f aca="true">IF($J168="","",IF($AD168="Yes","Void",IF(COUNTIFS($D$9:$D$208,$D168,$E$9:$E$208,$E168,$F$9:$F$208,"&gt;"&amp;N($F168))&gt;0,"Superseded",IF($N168="","Not submitted",IF($S168="",IF(AND($R168&lt;&gt;"",$R168&lt;TODAY()),"Overdue with reviewer","In review"),IF(COUNTIF(Reference!$B$70:$B$80,$T168)&gt;0,"Closed","Resubmittal required"))))))</f>
        <v/>
      </c>
      <c r="W168" s="36" t="str">
        <f aca="false">IF($J168="","",IF(OR($V168="Closed",$V168="Superseded",$V168="Void"),"Closed",IF(OR($V168="Not submitted",$V168="Resubmittal required"),"Contractor","Reviewer")))</f>
        <v/>
      </c>
      <c r="X168" s="44"/>
      <c r="Y168" s="45"/>
      <c r="Z168" s="38" t="str">
        <f aca="false">IF(OR($J168="",$Y168="",$X168="",$V168="Void",$V168="Superseded"),"",$Y168-N($X168)*7-IF($Q168="Sequential",Setup!$D$20,Setup!$D$19)-Setup!$D$22)</f>
        <v/>
      </c>
      <c r="AA168" s="39" t="str">
        <f aca="true">IF($Z168="","",IF($N168&lt;&gt;"",$Z168-$N168,$Z168-TODAY()))</f>
        <v/>
      </c>
      <c r="AB168" s="36" t="str">
        <f aca="false">IF(OR($X168="",$V168="Void",$V168="Superseded"),"",IF(N($X168)&gt;=Setup!$D$23,"Long lead",""))</f>
        <v/>
      </c>
      <c r="AC168" s="46"/>
      <c r="AD168" s="47"/>
      <c r="AE168" s="47"/>
    </row>
    <row r="169" customFormat="false" ht="30" hidden="false" customHeight="true" outlineLevel="0" collapsed="false">
      <c r="A169" s="31"/>
      <c r="B169" s="32" t="str">
        <f aca="false">IF($J169="","",ROW()-8)</f>
        <v/>
      </c>
      <c r="C169" s="33" t="str">
        <f aca="false">IF($J169="","",$D169&amp;"-"&amp;TEXT($E169,"000")&amp;IF(N($F169)&gt;0,"."&amp;TEXT($F169,"00"),""))</f>
        <v/>
      </c>
      <c r="D169" s="34"/>
      <c r="E169" s="35"/>
      <c r="F169" s="35"/>
      <c r="G169" s="34"/>
      <c r="H169" s="34"/>
      <c r="I169" s="34"/>
      <c r="J169" s="34"/>
      <c r="K169" s="34"/>
      <c r="L169" s="36" t="str">
        <f aca="false">IF($K169="","",IFERROR(INDEX(Reference!$D$53:$D$67,MATCH($K169,Reference!$B$53:$B$67,0)),""))</f>
        <v/>
      </c>
      <c r="M169" s="34"/>
      <c r="N169" s="37"/>
      <c r="O169" s="37"/>
      <c r="P169" s="34"/>
      <c r="Q169" s="35"/>
      <c r="R169" s="38" t="str">
        <f aca="false">IF($O169="","",$O169+IF(N($F169)&gt;0,Setup!$D$21,IF($Q169="Sequential",Setup!$D$20,Setup!$D$19)))</f>
        <v/>
      </c>
      <c r="S169" s="37"/>
      <c r="T169" s="35"/>
      <c r="U169" s="39" t="str">
        <f aca="true">IF($O169="","",IF($S169&lt;&gt;"",$S169-$O169,TODAY()-$O169))</f>
        <v/>
      </c>
      <c r="V169" s="36" t="str">
        <f aca="true">IF($J169="","",IF($AD169="Yes","Void",IF(COUNTIFS($D$9:$D$208,$D169,$E$9:$E$208,$E169,$F$9:$F$208,"&gt;"&amp;N($F169))&gt;0,"Superseded",IF($N169="","Not submitted",IF($S169="",IF(AND($R169&lt;&gt;"",$R169&lt;TODAY()),"Overdue with reviewer","In review"),IF(COUNTIF(Reference!$B$70:$B$80,$T169)&gt;0,"Closed","Resubmittal required"))))))</f>
        <v/>
      </c>
      <c r="W169" s="36" t="str">
        <f aca="false">IF($J169="","",IF(OR($V169="Closed",$V169="Superseded",$V169="Void"),"Closed",IF(OR($V169="Not submitted",$V169="Resubmittal required"),"Contractor","Reviewer")))</f>
        <v/>
      </c>
      <c r="X169" s="35"/>
      <c r="Y169" s="37"/>
      <c r="Z169" s="38" t="str">
        <f aca="false">IF(OR($J169="",$Y169="",$X169="",$V169="Void",$V169="Superseded"),"",$Y169-N($X169)*7-IF($Q169="Sequential",Setup!$D$20,Setup!$D$19)-Setup!$D$22)</f>
        <v/>
      </c>
      <c r="AA169" s="39" t="str">
        <f aca="true">IF($Z169="","",IF($N169&lt;&gt;"",$Z169-$N169,$Z169-TODAY()))</f>
        <v/>
      </c>
      <c r="AB169" s="36" t="str">
        <f aca="false">IF(OR($X169="",$V169="Void",$V169="Superseded"),"",IF(N($X169)&gt;=Setup!$D$23,"Long lead",""))</f>
        <v/>
      </c>
      <c r="AC169" s="40"/>
      <c r="AD169" s="41"/>
      <c r="AE169" s="41"/>
    </row>
    <row r="170" customFormat="false" ht="30" hidden="false" customHeight="true" outlineLevel="0" collapsed="false">
      <c r="A170" s="31"/>
      <c r="B170" s="32" t="str">
        <f aca="false">IF($J170="","",ROW()-8)</f>
        <v/>
      </c>
      <c r="C170" s="33" t="str">
        <f aca="false">IF($J170="","",$D170&amp;"-"&amp;TEXT($E170,"000")&amp;IF(N($F170)&gt;0,"."&amp;TEXT($F170,"00"),""))</f>
        <v/>
      </c>
      <c r="D170" s="43"/>
      <c r="E170" s="44"/>
      <c r="F170" s="44"/>
      <c r="G170" s="43"/>
      <c r="H170" s="43"/>
      <c r="I170" s="43"/>
      <c r="J170" s="43"/>
      <c r="K170" s="43"/>
      <c r="L170" s="36" t="str">
        <f aca="false">IF($K170="","",IFERROR(INDEX(Reference!$D$53:$D$67,MATCH($K170,Reference!$B$53:$B$67,0)),""))</f>
        <v/>
      </c>
      <c r="M170" s="43"/>
      <c r="N170" s="45"/>
      <c r="O170" s="45"/>
      <c r="P170" s="43"/>
      <c r="Q170" s="44"/>
      <c r="R170" s="38" t="str">
        <f aca="false">IF($O170="","",$O170+IF(N($F170)&gt;0,Setup!$D$21,IF($Q170="Sequential",Setup!$D$20,Setup!$D$19)))</f>
        <v/>
      </c>
      <c r="S170" s="45"/>
      <c r="T170" s="44"/>
      <c r="U170" s="39" t="str">
        <f aca="true">IF($O170="","",IF($S170&lt;&gt;"",$S170-$O170,TODAY()-$O170))</f>
        <v/>
      </c>
      <c r="V170" s="36" t="str">
        <f aca="true">IF($J170="","",IF($AD170="Yes","Void",IF(COUNTIFS($D$9:$D$208,$D170,$E$9:$E$208,$E170,$F$9:$F$208,"&gt;"&amp;N($F170))&gt;0,"Superseded",IF($N170="","Not submitted",IF($S170="",IF(AND($R170&lt;&gt;"",$R170&lt;TODAY()),"Overdue with reviewer","In review"),IF(COUNTIF(Reference!$B$70:$B$80,$T170)&gt;0,"Closed","Resubmittal required"))))))</f>
        <v/>
      </c>
      <c r="W170" s="36" t="str">
        <f aca="false">IF($J170="","",IF(OR($V170="Closed",$V170="Superseded",$V170="Void"),"Closed",IF(OR($V170="Not submitted",$V170="Resubmittal required"),"Contractor","Reviewer")))</f>
        <v/>
      </c>
      <c r="X170" s="44"/>
      <c r="Y170" s="45"/>
      <c r="Z170" s="38" t="str">
        <f aca="false">IF(OR($J170="",$Y170="",$X170="",$V170="Void",$V170="Superseded"),"",$Y170-N($X170)*7-IF($Q170="Sequential",Setup!$D$20,Setup!$D$19)-Setup!$D$22)</f>
        <v/>
      </c>
      <c r="AA170" s="39" t="str">
        <f aca="true">IF($Z170="","",IF($N170&lt;&gt;"",$Z170-$N170,$Z170-TODAY()))</f>
        <v/>
      </c>
      <c r="AB170" s="36" t="str">
        <f aca="false">IF(OR($X170="",$V170="Void",$V170="Superseded"),"",IF(N($X170)&gt;=Setup!$D$23,"Long lead",""))</f>
        <v/>
      </c>
      <c r="AC170" s="46"/>
      <c r="AD170" s="47"/>
      <c r="AE170" s="47"/>
    </row>
    <row r="171" customFormat="false" ht="30" hidden="false" customHeight="true" outlineLevel="0" collapsed="false">
      <c r="A171" s="31"/>
      <c r="B171" s="32" t="str">
        <f aca="false">IF($J171="","",ROW()-8)</f>
        <v/>
      </c>
      <c r="C171" s="33" t="str">
        <f aca="false">IF($J171="","",$D171&amp;"-"&amp;TEXT($E171,"000")&amp;IF(N($F171)&gt;0,"."&amp;TEXT($F171,"00"),""))</f>
        <v/>
      </c>
      <c r="D171" s="34"/>
      <c r="E171" s="35"/>
      <c r="F171" s="35"/>
      <c r="G171" s="34"/>
      <c r="H171" s="34"/>
      <c r="I171" s="34"/>
      <c r="J171" s="34"/>
      <c r="K171" s="34"/>
      <c r="L171" s="36" t="str">
        <f aca="false">IF($K171="","",IFERROR(INDEX(Reference!$D$53:$D$67,MATCH($K171,Reference!$B$53:$B$67,0)),""))</f>
        <v/>
      </c>
      <c r="M171" s="34"/>
      <c r="N171" s="37"/>
      <c r="O171" s="37"/>
      <c r="P171" s="34"/>
      <c r="Q171" s="35"/>
      <c r="R171" s="38" t="str">
        <f aca="false">IF($O171="","",$O171+IF(N($F171)&gt;0,Setup!$D$21,IF($Q171="Sequential",Setup!$D$20,Setup!$D$19)))</f>
        <v/>
      </c>
      <c r="S171" s="37"/>
      <c r="T171" s="35"/>
      <c r="U171" s="39" t="str">
        <f aca="true">IF($O171="","",IF($S171&lt;&gt;"",$S171-$O171,TODAY()-$O171))</f>
        <v/>
      </c>
      <c r="V171" s="36" t="str">
        <f aca="true">IF($J171="","",IF($AD171="Yes","Void",IF(COUNTIFS($D$9:$D$208,$D171,$E$9:$E$208,$E171,$F$9:$F$208,"&gt;"&amp;N($F171))&gt;0,"Superseded",IF($N171="","Not submitted",IF($S171="",IF(AND($R171&lt;&gt;"",$R171&lt;TODAY()),"Overdue with reviewer","In review"),IF(COUNTIF(Reference!$B$70:$B$80,$T171)&gt;0,"Closed","Resubmittal required"))))))</f>
        <v/>
      </c>
      <c r="W171" s="36" t="str">
        <f aca="false">IF($J171="","",IF(OR($V171="Closed",$V171="Superseded",$V171="Void"),"Closed",IF(OR($V171="Not submitted",$V171="Resubmittal required"),"Contractor","Reviewer")))</f>
        <v/>
      </c>
      <c r="X171" s="35"/>
      <c r="Y171" s="37"/>
      <c r="Z171" s="38" t="str">
        <f aca="false">IF(OR($J171="",$Y171="",$X171="",$V171="Void",$V171="Superseded"),"",$Y171-N($X171)*7-IF($Q171="Sequential",Setup!$D$20,Setup!$D$19)-Setup!$D$22)</f>
        <v/>
      </c>
      <c r="AA171" s="39" t="str">
        <f aca="true">IF($Z171="","",IF($N171&lt;&gt;"",$Z171-$N171,$Z171-TODAY()))</f>
        <v/>
      </c>
      <c r="AB171" s="36" t="str">
        <f aca="false">IF(OR($X171="",$V171="Void",$V171="Superseded"),"",IF(N($X171)&gt;=Setup!$D$23,"Long lead",""))</f>
        <v/>
      </c>
      <c r="AC171" s="40"/>
      <c r="AD171" s="41"/>
      <c r="AE171" s="41"/>
    </row>
    <row r="172" customFormat="false" ht="30" hidden="false" customHeight="true" outlineLevel="0" collapsed="false">
      <c r="A172" s="31"/>
      <c r="B172" s="32" t="str">
        <f aca="false">IF($J172="","",ROW()-8)</f>
        <v/>
      </c>
      <c r="C172" s="33" t="str">
        <f aca="false">IF($J172="","",$D172&amp;"-"&amp;TEXT($E172,"000")&amp;IF(N($F172)&gt;0,"."&amp;TEXT($F172,"00"),""))</f>
        <v/>
      </c>
      <c r="D172" s="43"/>
      <c r="E172" s="44"/>
      <c r="F172" s="44"/>
      <c r="G172" s="43"/>
      <c r="H172" s="43"/>
      <c r="I172" s="43"/>
      <c r="J172" s="43"/>
      <c r="K172" s="43"/>
      <c r="L172" s="36" t="str">
        <f aca="false">IF($K172="","",IFERROR(INDEX(Reference!$D$53:$D$67,MATCH($K172,Reference!$B$53:$B$67,0)),""))</f>
        <v/>
      </c>
      <c r="M172" s="43"/>
      <c r="N172" s="45"/>
      <c r="O172" s="45"/>
      <c r="P172" s="43"/>
      <c r="Q172" s="44"/>
      <c r="R172" s="38" t="str">
        <f aca="false">IF($O172="","",$O172+IF(N($F172)&gt;0,Setup!$D$21,IF($Q172="Sequential",Setup!$D$20,Setup!$D$19)))</f>
        <v/>
      </c>
      <c r="S172" s="45"/>
      <c r="T172" s="44"/>
      <c r="U172" s="39" t="str">
        <f aca="true">IF($O172="","",IF($S172&lt;&gt;"",$S172-$O172,TODAY()-$O172))</f>
        <v/>
      </c>
      <c r="V172" s="36" t="str">
        <f aca="true">IF($J172="","",IF($AD172="Yes","Void",IF(COUNTIFS($D$9:$D$208,$D172,$E$9:$E$208,$E172,$F$9:$F$208,"&gt;"&amp;N($F172))&gt;0,"Superseded",IF($N172="","Not submitted",IF($S172="",IF(AND($R172&lt;&gt;"",$R172&lt;TODAY()),"Overdue with reviewer","In review"),IF(COUNTIF(Reference!$B$70:$B$80,$T172)&gt;0,"Closed","Resubmittal required"))))))</f>
        <v/>
      </c>
      <c r="W172" s="36" t="str">
        <f aca="false">IF($J172="","",IF(OR($V172="Closed",$V172="Superseded",$V172="Void"),"Closed",IF(OR($V172="Not submitted",$V172="Resubmittal required"),"Contractor","Reviewer")))</f>
        <v/>
      </c>
      <c r="X172" s="44"/>
      <c r="Y172" s="45"/>
      <c r="Z172" s="38" t="str">
        <f aca="false">IF(OR($J172="",$Y172="",$X172="",$V172="Void",$V172="Superseded"),"",$Y172-N($X172)*7-IF($Q172="Sequential",Setup!$D$20,Setup!$D$19)-Setup!$D$22)</f>
        <v/>
      </c>
      <c r="AA172" s="39" t="str">
        <f aca="true">IF($Z172="","",IF($N172&lt;&gt;"",$Z172-$N172,$Z172-TODAY()))</f>
        <v/>
      </c>
      <c r="AB172" s="36" t="str">
        <f aca="false">IF(OR($X172="",$V172="Void",$V172="Superseded"),"",IF(N($X172)&gt;=Setup!$D$23,"Long lead",""))</f>
        <v/>
      </c>
      <c r="AC172" s="46"/>
      <c r="AD172" s="47"/>
      <c r="AE172" s="47"/>
    </row>
    <row r="173" customFormat="false" ht="30" hidden="false" customHeight="true" outlineLevel="0" collapsed="false">
      <c r="A173" s="31"/>
      <c r="B173" s="32" t="str">
        <f aca="false">IF($J173="","",ROW()-8)</f>
        <v/>
      </c>
      <c r="C173" s="33" t="str">
        <f aca="false">IF($J173="","",$D173&amp;"-"&amp;TEXT($E173,"000")&amp;IF(N($F173)&gt;0,"."&amp;TEXT($F173,"00"),""))</f>
        <v/>
      </c>
      <c r="D173" s="34"/>
      <c r="E173" s="35"/>
      <c r="F173" s="35"/>
      <c r="G173" s="34"/>
      <c r="H173" s="34"/>
      <c r="I173" s="34"/>
      <c r="J173" s="34"/>
      <c r="K173" s="34"/>
      <c r="L173" s="36" t="str">
        <f aca="false">IF($K173="","",IFERROR(INDEX(Reference!$D$53:$D$67,MATCH($K173,Reference!$B$53:$B$67,0)),""))</f>
        <v/>
      </c>
      <c r="M173" s="34"/>
      <c r="N173" s="37"/>
      <c r="O173" s="37"/>
      <c r="P173" s="34"/>
      <c r="Q173" s="35"/>
      <c r="R173" s="38" t="str">
        <f aca="false">IF($O173="","",$O173+IF(N($F173)&gt;0,Setup!$D$21,IF($Q173="Sequential",Setup!$D$20,Setup!$D$19)))</f>
        <v/>
      </c>
      <c r="S173" s="37"/>
      <c r="T173" s="35"/>
      <c r="U173" s="39" t="str">
        <f aca="true">IF($O173="","",IF($S173&lt;&gt;"",$S173-$O173,TODAY()-$O173))</f>
        <v/>
      </c>
      <c r="V173" s="36" t="str">
        <f aca="true">IF($J173="","",IF($AD173="Yes","Void",IF(COUNTIFS($D$9:$D$208,$D173,$E$9:$E$208,$E173,$F$9:$F$208,"&gt;"&amp;N($F173))&gt;0,"Superseded",IF($N173="","Not submitted",IF($S173="",IF(AND($R173&lt;&gt;"",$R173&lt;TODAY()),"Overdue with reviewer","In review"),IF(COUNTIF(Reference!$B$70:$B$80,$T173)&gt;0,"Closed","Resubmittal required"))))))</f>
        <v/>
      </c>
      <c r="W173" s="36" t="str">
        <f aca="false">IF($J173="","",IF(OR($V173="Closed",$V173="Superseded",$V173="Void"),"Closed",IF(OR($V173="Not submitted",$V173="Resubmittal required"),"Contractor","Reviewer")))</f>
        <v/>
      </c>
      <c r="X173" s="35"/>
      <c r="Y173" s="37"/>
      <c r="Z173" s="38" t="str">
        <f aca="false">IF(OR($J173="",$Y173="",$X173="",$V173="Void",$V173="Superseded"),"",$Y173-N($X173)*7-IF($Q173="Sequential",Setup!$D$20,Setup!$D$19)-Setup!$D$22)</f>
        <v/>
      </c>
      <c r="AA173" s="39" t="str">
        <f aca="true">IF($Z173="","",IF($N173&lt;&gt;"",$Z173-$N173,$Z173-TODAY()))</f>
        <v/>
      </c>
      <c r="AB173" s="36" t="str">
        <f aca="false">IF(OR($X173="",$V173="Void",$V173="Superseded"),"",IF(N($X173)&gt;=Setup!$D$23,"Long lead",""))</f>
        <v/>
      </c>
      <c r="AC173" s="40"/>
      <c r="AD173" s="41"/>
      <c r="AE173" s="41"/>
    </row>
    <row r="174" customFormat="false" ht="30" hidden="false" customHeight="true" outlineLevel="0" collapsed="false">
      <c r="A174" s="31"/>
      <c r="B174" s="32" t="str">
        <f aca="false">IF($J174="","",ROW()-8)</f>
        <v/>
      </c>
      <c r="C174" s="33" t="str">
        <f aca="false">IF($J174="","",$D174&amp;"-"&amp;TEXT($E174,"000")&amp;IF(N($F174)&gt;0,"."&amp;TEXT($F174,"00"),""))</f>
        <v/>
      </c>
      <c r="D174" s="43"/>
      <c r="E174" s="44"/>
      <c r="F174" s="44"/>
      <c r="G174" s="43"/>
      <c r="H174" s="43"/>
      <c r="I174" s="43"/>
      <c r="J174" s="43"/>
      <c r="K174" s="43"/>
      <c r="L174" s="36" t="str">
        <f aca="false">IF($K174="","",IFERROR(INDEX(Reference!$D$53:$D$67,MATCH($K174,Reference!$B$53:$B$67,0)),""))</f>
        <v/>
      </c>
      <c r="M174" s="43"/>
      <c r="N174" s="45"/>
      <c r="O174" s="45"/>
      <c r="P174" s="43"/>
      <c r="Q174" s="44"/>
      <c r="R174" s="38" t="str">
        <f aca="false">IF($O174="","",$O174+IF(N($F174)&gt;0,Setup!$D$21,IF($Q174="Sequential",Setup!$D$20,Setup!$D$19)))</f>
        <v/>
      </c>
      <c r="S174" s="45"/>
      <c r="T174" s="44"/>
      <c r="U174" s="39" t="str">
        <f aca="true">IF($O174="","",IF($S174&lt;&gt;"",$S174-$O174,TODAY()-$O174))</f>
        <v/>
      </c>
      <c r="V174" s="36" t="str">
        <f aca="true">IF($J174="","",IF($AD174="Yes","Void",IF(COUNTIFS($D$9:$D$208,$D174,$E$9:$E$208,$E174,$F$9:$F$208,"&gt;"&amp;N($F174))&gt;0,"Superseded",IF($N174="","Not submitted",IF($S174="",IF(AND($R174&lt;&gt;"",$R174&lt;TODAY()),"Overdue with reviewer","In review"),IF(COUNTIF(Reference!$B$70:$B$80,$T174)&gt;0,"Closed","Resubmittal required"))))))</f>
        <v/>
      </c>
      <c r="W174" s="36" t="str">
        <f aca="false">IF($J174="","",IF(OR($V174="Closed",$V174="Superseded",$V174="Void"),"Closed",IF(OR($V174="Not submitted",$V174="Resubmittal required"),"Contractor","Reviewer")))</f>
        <v/>
      </c>
      <c r="X174" s="44"/>
      <c r="Y174" s="45"/>
      <c r="Z174" s="38" t="str">
        <f aca="false">IF(OR($J174="",$Y174="",$X174="",$V174="Void",$V174="Superseded"),"",$Y174-N($X174)*7-IF($Q174="Sequential",Setup!$D$20,Setup!$D$19)-Setup!$D$22)</f>
        <v/>
      </c>
      <c r="AA174" s="39" t="str">
        <f aca="true">IF($Z174="","",IF($N174&lt;&gt;"",$Z174-$N174,$Z174-TODAY()))</f>
        <v/>
      </c>
      <c r="AB174" s="36" t="str">
        <f aca="false">IF(OR($X174="",$V174="Void",$V174="Superseded"),"",IF(N($X174)&gt;=Setup!$D$23,"Long lead",""))</f>
        <v/>
      </c>
      <c r="AC174" s="46"/>
      <c r="AD174" s="47"/>
      <c r="AE174" s="47"/>
    </row>
    <row r="175" customFormat="false" ht="30" hidden="false" customHeight="true" outlineLevel="0" collapsed="false">
      <c r="A175" s="31"/>
      <c r="B175" s="32" t="str">
        <f aca="false">IF($J175="","",ROW()-8)</f>
        <v/>
      </c>
      <c r="C175" s="33" t="str">
        <f aca="false">IF($J175="","",$D175&amp;"-"&amp;TEXT($E175,"000")&amp;IF(N($F175)&gt;0,"."&amp;TEXT($F175,"00"),""))</f>
        <v/>
      </c>
      <c r="D175" s="34"/>
      <c r="E175" s="35"/>
      <c r="F175" s="35"/>
      <c r="G175" s="34"/>
      <c r="H175" s="34"/>
      <c r="I175" s="34"/>
      <c r="J175" s="34"/>
      <c r="K175" s="34"/>
      <c r="L175" s="36" t="str">
        <f aca="false">IF($K175="","",IFERROR(INDEX(Reference!$D$53:$D$67,MATCH($K175,Reference!$B$53:$B$67,0)),""))</f>
        <v/>
      </c>
      <c r="M175" s="34"/>
      <c r="N175" s="37"/>
      <c r="O175" s="37"/>
      <c r="P175" s="34"/>
      <c r="Q175" s="35"/>
      <c r="R175" s="38" t="str">
        <f aca="false">IF($O175="","",$O175+IF(N($F175)&gt;0,Setup!$D$21,IF($Q175="Sequential",Setup!$D$20,Setup!$D$19)))</f>
        <v/>
      </c>
      <c r="S175" s="37"/>
      <c r="T175" s="35"/>
      <c r="U175" s="39" t="str">
        <f aca="true">IF($O175="","",IF($S175&lt;&gt;"",$S175-$O175,TODAY()-$O175))</f>
        <v/>
      </c>
      <c r="V175" s="36" t="str">
        <f aca="true">IF($J175="","",IF($AD175="Yes","Void",IF(COUNTIFS($D$9:$D$208,$D175,$E$9:$E$208,$E175,$F$9:$F$208,"&gt;"&amp;N($F175))&gt;0,"Superseded",IF($N175="","Not submitted",IF($S175="",IF(AND($R175&lt;&gt;"",$R175&lt;TODAY()),"Overdue with reviewer","In review"),IF(COUNTIF(Reference!$B$70:$B$80,$T175)&gt;0,"Closed","Resubmittal required"))))))</f>
        <v/>
      </c>
      <c r="W175" s="36" t="str">
        <f aca="false">IF($J175="","",IF(OR($V175="Closed",$V175="Superseded",$V175="Void"),"Closed",IF(OR($V175="Not submitted",$V175="Resubmittal required"),"Contractor","Reviewer")))</f>
        <v/>
      </c>
      <c r="X175" s="35"/>
      <c r="Y175" s="37"/>
      <c r="Z175" s="38" t="str">
        <f aca="false">IF(OR($J175="",$Y175="",$X175="",$V175="Void",$V175="Superseded"),"",$Y175-N($X175)*7-IF($Q175="Sequential",Setup!$D$20,Setup!$D$19)-Setup!$D$22)</f>
        <v/>
      </c>
      <c r="AA175" s="39" t="str">
        <f aca="true">IF($Z175="","",IF($N175&lt;&gt;"",$Z175-$N175,$Z175-TODAY()))</f>
        <v/>
      </c>
      <c r="AB175" s="36" t="str">
        <f aca="false">IF(OR($X175="",$V175="Void",$V175="Superseded"),"",IF(N($X175)&gt;=Setup!$D$23,"Long lead",""))</f>
        <v/>
      </c>
      <c r="AC175" s="40"/>
      <c r="AD175" s="41"/>
      <c r="AE175" s="41"/>
    </row>
    <row r="176" customFormat="false" ht="30" hidden="false" customHeight="true" outlineLevel="0" collapsed="false">
      <c r="A176" s="31"/>
      <c r="B176" s="32" t="str">
        <f aca="false">IF($J176="","",ROW()-8)</f>
        <v/>
      </c>
      <c r="C176" s="33" t="str">
        <f aca="false">IF($J176="","",$D176&amp;"-"&amp;TEXT($E176,"000")&amp;IF(N($F176)&gt;0,"."&amp;TEXT($F176,"00"),""))</f>
        <v/>
      </c>
      <c r="D176" s="43"/>
      <c r="E176" s="44"/>
      <c r="F176" s="44"/>
      <c r="G176" s="43"/>
      <c r="H176" s="43"/>
      <c r="I176" s="43"/>
      <c r="J176" s="43"/>
      <c r="K176" s="43"/>
      <c r="L176" s="36" t="str">
        <f aca="false">IF($K176="","",IFERROR(INDEX(Reference!$D$53:$D$67,MATCH($K176,Reference!$B$53:$B$67,0)),""))</f>
        <v/>
      </c>
      <c r="M176" s="43"/>
      <c r="N176" s="45"/>
      <c r="O176" s="45"/>
      <c r="P176" s="43"/>
      <c r="Q176" s="44"/>
      <c r="R176" s="38" t="str">
        <f aca="false">IF($O176="","",$O176+IF(N($F176)&gt;0,Setup!$D$21,IF($Q176="Sequential",Setup!$D$20,Setup!$D$19)))</f>
        <v/>
      </c>
      <c r="S176" s="45"/>
      <c r="T176" s="44"/>
      <c r="U176" s="39" t="str">
        <f aca="true">IF($O176="","",IF($S176&lt;&gt;"",$S176-$O176,TODAY()-$O176))</f>
        <v/>
      </c>
      <c r="V176" s="36" t="str">
        <f aca="true">IF($J176="","",IF($AD176="Yes","Void",IF(COUNTIFS($D$9:$D$208,$D176,$E$9:$E$208,$E176,$F$9:$F$208,"&gt;"&amp;N($F176))&gt;0,"Superseded",IF($N176="","Not submitted",IF($S176="",IF(AND($R176&lt;&gt;"",$R176&lt;TODAY()),"Overdue with reviewer","In review"),IF(COUNTIF(Reference!$B$70:$B$80,$T176)&gt;0,"Closed","Resubmittal required"))))))</f>
        <v/>
      </c>
      <c r="W176" s="36" t="str">
        <f aca="false">IF($J176="","",IF(OR($V176="Closed",$V176="Superseded",$V176="Void"),"Closed",IF(OR($V176="Not submitted",$V176="Resubmittal required"),"Contractor","Reviewer")))</f>
        <v/>
      </c>
      <c r="X176" s="44"/>
      <c r="Y176" s="45"/>
      <c r="Z176" s="38" t="str">
        <f aca="false">IF(OR($J176="",$Y176="",$X176="",$V176="Void",$V176="Superseded"),"",$Y176-N($X176)*7-IF($Q176="Sequential",Setup!$D$20,Setup!$D$19)-Setup!$D$22)</f>
        <v/>
      </c>
      <c r="AA176" s="39" t="str">
        <f aca="true">IF($Z176="","",IF($N176&lt;&gt;"",$Z176-$N176,$Z176-TODAY()))</f>
        <v/>
      </c>
      <c r="AB176" s="36" t="str">
        <f aca="false">IF(OR($X176="",$V176="Void",$V176="Superseded"),"",IF(N($X176)&gt;=Setup!$D$23,"Long lead",""))</f>
        <v/>
      </c>
      <c r="AC176" s="46"/>
      <c r="AD176" s="47"/>
      <c r="AE176" s="47"/>
    </row>
    <row r="177" customFormat="false" ht="30" hidden="false" customHeight="true" outlineLevel="0" collapsed="false">
      <c r="A177" s="31"/>
      <c r="B177" s="32" t="str">
        <f aca="false">IF($J177="","",ROW()-8)</f>
        <v/>
      </c>
      <c r="C177" s="33" t="str">
        <f aca="false">IF($J177="","",$D177&amp;"-"&amp;TEXT($E177,"000")&amp;IF(N($F177)&gt;0,"."&amp;TEXT($F177,"00"),""))</f>
        <v/>
      </c>
      <c r="D177" s="34"/>
      <c r="E177" s="35"/>
      <c r="F177" s="35"/>
      <c r="G177" s="34"/>
      <c r="H177" s="34"/>
      <c r="I177" s="34"/>
      <c r="J177" s="34"/>
      <c r="K177" s="34"/>
      <c r="L177" s="36" t="str">
        <f aca="false">IF($K177="","",IFERROR(INDEX(Reference!$D$53:$D$67,MATCH($K177,Reference!$B$53:$B$67,0)),""))</f>
        <v/>
      </c>
      <c r="M177" s="34"/>
      <c r="N177" s="37"/>
      <c r="O177" s="37"/>
      <c r="P177" s="34"/>
      <c r="Q177" s="35"/>
      <c r="R177" s="38" t="str">
        <f aca="false">IF($O177="","",$O177+IF(N($F177)&gt;0,Setup!$D$21,IF($Q177="Sequential",Setup!$D$20,Setup!$D$19)))</f>
        <v/>
      </c>
      <c r="S177" s="37"/>
      <c r="T177" s="35"/>
      <c r="U177" s="39" t="str">
        <f aca="true">IF($O177="","",IF($S177&lt;&gt;"",$S177-$O177,TODAY()-$O177))</f>
        <v/>
      </c>
      <c r="V177" s="36" t="str">
        <f aca="true">IF($J177="","",IF($AD177="Yes","Void",IF(COUNTIFS($D$9:$D$208,$D177,$E$9:$E$208,$E177,$F$9:$F$208,"&gt;"&amp;N($F177))&gt;0,"Superseded",IF($N177="","Not submitted",IF($S177="",IF(AND($R177&lt;&gt;"",$R177&lt;TODAY()),"Overdue with reviewer","In review"),IF(COUNTIF(Reference!$B$70:$B$80,$T177)&gt;0,"Closed","Resubmittal required"))))))</f>
        <v/>
      </c>
      <c r="W177" s="36" t="str">
        <f aca="false">IF($J177="","",IF(OR($V177="Closed",$V177="Superseded",$V177="Void"),"Closed",IF(OR($V177="Not submitted",$V177="Resubmittal required"),"Contractor","Reviewer")))</f>
        <v/>
      </c>
      <c r="X177" s="35"/>
      <c r="Y177" s="37"/>
      <c r="Z177" s="38" t="str">
        <f aca="false">IF(OR($J177="",$Y177="",$X177="",$V177="Void",$V177="Superseded"),"",$Y177-N($X177)*7-IF($Q177="Sequential",Setup!$D$20,Setup!$D$19)-Setup!$D$22)</f>
        <v/>
      </c>
      <c r="AA177" s="39" t="str">
        <f aca="true">IF($Z177="","",IF($N177&lt;&gt;"",$Z177-$N177,$Z177-TODAY()))</f>
        <v/>
      </c>
      <c r="AB177" s="36" t="str">
        <f aca="false">IF(OR($X177="",$V177="Void",$V177="Superseded"),"",IF(N($X177)&gt;=Setup!$D$23,"Long lead",""))</f>
        <v/>
      </c>
      <c r="AC177" s="40"/>
      <c r="AD177" s="41"/>
      <c r="AE177" s="41"/>
    </row>
    <row r="178" customFormat="false" ht="30" hidden="false" customHeight="true" outlineLevel="0" collapsed="false">
      <c r="A178" s="31"/>
      <c r="B178" s="32" t="str">
        <f aca="false">IF($J178="","",ROW()-8)</f>
        <v/>
      </c>
      <c r="C178" s="33" t="str">
        <f aca="false">IF($J178="","",$D178&amp;"-"&amp;TEXT($E178,"000")&amp;IF(N($F178)&gt;0,"."&amp;TEXT($F178,"00"),""))</f>
        <v/>
      </c>
      <c r="D178" s="43"/>
      <c r="E178" s="44"/>
      <c r="F178" s="44"/>
      <c r="G178" s="43"/>
      <c r="H178" s="43"/>
      <c r="I178" s="43"/>
      <c r="J178" s="43"/>
      <c r="K178" s="43"/>
      <c r="L178" s="36" t="str">
        <f aca="false">IF($K178="","",IFERROR(INDEX(Reference!$D$53:$D$67,MATCH($K178,Reference!$B$53:$B$67,0)),""))</f>
        <v/>
      </c>
      <c r="M178" s="43"/>
      <c r="N178" s="45"/>
      <c r="O178" s="45"/>
      <c r="P178" s="43"/>
      <c r="Q178" s="44"/>
      <c r="R178" s="38" t="str">
        <f aca="false">IF($O178="","",$O178+IF(N($F178)&gt;0,Setup!$D$21,IF($Q178="Sequential",Setup!$D$20,Setup!$D$19)))</f>
        <v/>
      </c>
      <c r="S178" s="45"/>
      <c r="T178" s="44"/>
      <c r="U178" s="39" t="str">
        <f aca="true">IF($O178="","",IF($S178&lt;&gt;"",$S178-$O178,TODAY()-$O178))</f>
        <v/>
      </c>
      <c r="V178" s="36" t="str">
        <f aca="true">IF($J178="","",IF($AD178="Yes","Void",IF(COUNTIFS($D$9:$D$208,$D178,$E$9:$E$208,$E178,$F$9:$F$208,"&gt;"&amp;N($F178))&gt;0,"Superseded",IF($N178="","Not submitted",IF($S178="",IF(AND($R178&lt;&gt;"",$R178&lt;TODAY()),"Overdue with reviewer","In review"),IF(COUNTIF(Reference!$B$70:$B$80,$T178)&gt;0,"Closed","Resubmittal required"))))))</f>
        <v/>
      </c>
      <c r="W178" s="36" t="str">
        <f aca="false">IF($J178="","",IF(OR($V178="Closed",$V178="Superseded",$V178="Void"),"Closed",IF(OR($V178="Not submitted",$V178="Resubmittal required"),"Contractor","Reviewer")))</f>
        <v/>
      </c>
      <c r="X178" s="44"/>
      <c r="Y178" s="45"/>
      <c r="Z178" s="38" t="str">
        <f aca="false">IF(OR($J178="",$Y178="",$X178="",$V178="Void",$V178="Superseded"),"",$Y178-N($X178)*7-IF($Q178="Sequential",Setup!$D$20,Setup!$D$19)-Setup!$D$22)</f>
        <v/>
      </c>
      <c r="AA178" s="39" t="str">
        <f aca="true">IF($Z178="","",IF($N178&lt;&gt;"",$Z178-$N178,$Z178-TODAY()))</f>
        <v/>
      </c>
      <c r="AB178" s="36" t="str">
        <f aca="false">IF(OR($X178="",$V178="Void",$V178="Superseded"),"",IF(N($X178)&gt;=Setup!$D$23,"Long lead",""))</f>
        <v/>
      </c>
      <c r="AC178" s="46"/>
      <c r="AD178" s="47"/>
      <c r="AE178" s="47"/>
    </row>
    <row r="179" customFormat="false" ht="30" hidden="false" customHeight="true" outlineLevel="0" collapsed="false">
      <c r="A179" s="31"/>
      <c r="B179" s="32" t="str">
        <f aca="false">IF($J179="","",ROW()-8)</f>
        <v/>
      </c>
      <c r="C179" s="33" t="str">
        <f aca="false">IF($J179="","",$D179&amp;"-"&amp;TEXT($E179,"000")&amp;IF(N($F179)&gt;0,"."&amp;TEXT($F179,"00"),""))</f>
        <v/>
      </c>
      <c r="D179" s="34"/>
      <c r="E179" s="35"/>
      <c r="F179" s="35"/>
      <c r="G179" s="34"/>
      <c r="H179" s="34"/>
      <c r="I179" s="34"/>
      <c r="J179" s="34"/>
      <c r="K179" s="34"/>
      <c r="L179" s="36" t="str">
        <f aca="false">IF($K179="","",IFERROR(INDEX(Reference!$D$53:$D$67,MATCH($K179,Reference!$B$53:$B$67,0)),""))</f>
        <v/>
      </c>
      <c r="M179" s="34"/>
      <c r="N179" s="37"/>
      <c r="O179" s="37"/>
      <c r="P179" s="34"/>
      <c r="Q179" s="35"/>
      <c r="R179" s="38" t="str">
        <f aca="false">IF($O179="","",$O179+IF(N($F179)&gt;0,Setup!$D$21,IF($Q179="Sequential",Setup!$D$20,Setup!$D$19)))</f>
        <v/>
      </c>
      <c r="S179" s="37"/>
      <c r="T179" s="35"/>
      <c r="U179" s="39" t="str">
        <f aca="true">IF($O179="","",IF($S179&lt;&gt;"",$S179-$O179,TODAY()-$O179))</f>
        <v/>
      </c>
      <c r="V179" s="36" t="str">
        <f aca="true">IF($J179="","",IF($AD179="Yes","Void",IF(COUNTIFS($D$9:$D$208,$D179,$E$9:$E$208,$E179,$F$9:$F$208,"&gt;"&amp;N($F179))&gt;0,"Superseded",IF($N179="","Not submitted",IF($S179="",IF(AND($R179&lt;&gt;"",$R179&lt;TODAY()),"Overdue with reviewer","In review"),IF(COUNTIF(Reference!$B$70:$B$80,$T179)&gt;0,"Closed","Resubmittal required"))))))</f>
        <v/>
      </c>
      <c r="W179" s="36" t="str">
        <f aca="false">IF($J179="","",IF(OR($V179="Closed",$V179="Superseded",$V179="Void"),"Closed",IF(OR($V179="Not submitted",$V179="Resubmittal required"),"Contractor","Reviewer")))</f>
        <v/>
      </c>
      <c r="X179" s="35"/>
      <c r="Y179" s="37"/>
      <c r="Z179" s="38" t="str">
        <f aca="false">IF(OR($J179="",$Y179="",$X179="",$V179="Void",$V179="Superseded"),"",$Y179-N($X179)*7-IF($Q179="Sequential",Setup!$D$20,Setup!$D$19)-Setup!$D$22)</f>
        <v/>
      </c>
      <c r="AA179" s="39" t="str">
        <f aca="true">IF($Z179="","",IF($N179&lt;&gt;"",$Z179-$N179,$Z179-TODAY()))</f>
        <v/>
      </c>
      <c r="AB179" s="36" t="str">
        <f aca="false">IF(OR($X179="",$V179="Void",$V179="Superseded"),"",IF(N($X179)&gt;=Setup!$D$23,"Long lead",""))</f>
        <v/>
      </c>
      <c r="AC179" s="40"/>
      <c r="AD179" s="41"/>
      <c r="AE179" s="41"/>
    </row>
    <row r="180" customFormat="false" ht="30" hidden="false" customHeight="true" outlineLevel="0" collapsed="false">
      <c r="A180" s="31"/>
      <c r="B180" s="32" t="str">
        <f aca="false">IF($J180="","",ROW()-8)</f>
        <v/>
      </c>
      <c r="C180" s="33" t="str">
        <f aca="false">IF($J180="","",$D180&amp;"-"&amp;TEXT($E180,"000")&amp;IF(N($F180)&gt;0,"."&amp;TEXT($F180,"00"),""))</f>
        <v/>
      </c>
      <c r="D180" s="43"/>
      <c r="E180" s="44"/>
      <c r="F180" s="44"/>
      <c r="G180" s="43"/>
      <c r="H180" s="43"/>
      <c r="I180" s="43"/>
      <c r="J180" s="43"/>
      <c r="K180" s="43"/>
      <c r="L180" s="36" t="str">
        <f aca="false">IF($K180="","",IFERROR(INDEX(Reference!$D$53:$D$67,MATCH($K180,Reference!$B$53:$B$67,0)),""))</f>
        <v/>
      </c>
      <c r="M180" s="43"/>
      <c r="N180" s="45"/>
      <c r="O180" s="45"/>
      <c r="P180" s="43"/>
      <c r="Q180" s="44"/>
      <c r="R180" s="38" t="str">
        <f aca="false">IF($O180="","",$O180+IF(N($F180)&gt;0,Setup!$D$21,IF($Q180="Sequential",Setup!$D$20,Setup!$D$19)))</f>
        <v/>
      </c>
      <c r="S180" s="45"/>
      <c r="T180" s="44"/>
      <c r="U180" s="39" t="str">
        <f aca="true">IF($O180="","",IF($S180&lt;&gt;"",$S180-$O180,TODAY()-$O180))</f>
        <v/>
      </c>
      <c r="V180" s="36" t="str">
        <f aca="true">IF($J180="","",IF($AD180="Yes","Void",IF(COUNTIFS($D$9:$D$208,$D180,$E$9:$E$208,$E180,$F$9:$F$208,"&gt;"&amp;N($F180))&gt;0,"Superseded",IF($N180="","Not submitted",IF($S180="",IF(AND($R180&lt;&gt;"",$R180&lt;TODAY()),"Overdue with reviewer","In review"),IF(COUNTIF(Reference!$B$70:$B$80,$T180)&gt;0,"Closed","Resubmittal required"))))))</f>
        <v/>
      </c>
      <c r="W180" s="36" t="str">
        <f aca="false">IF($J180="","",IF(OR($V180="Closed",$V180="Superseded",$V180="Void"),"Closed",IF(OR($V180="Not submitted",$V180="Resubmittal required"),"Contractor","Reviewer")))</f>
        <v/>
      </c>
      <c r="X180" s="44"/>
      <c r="Y180" s="45"/>
      <c r="Z180" s="38" t="str">
        <f aca="false">IF(OR($J180="",$Y180="",$X180="",$V180="Void",$V180="Superseded"),"",$Y180-N($X180)*7-IF($Q180="Sequential",Setup!$D$20,Setup!$D$19)-Setup!$D$22)</f>
        <v/>
      </c>
      <c r="AA180" s="39" t="str">
        <f aca="true">IF($Z180="","",IF($N180&lt;&gt;"",$Z180-$N180,$Z180-TODAY()))</f>
        <v/>
      </c>
      <c r="AB180" s="36" t="str">
        <f aca="false">IF(OR($X180="",$V180="Void",$V180="Superseded"),"",IF(N($X180)&gt;=Setup!$D$23,"Long lead",""))</f>
        <v/>
      </c>
      <c r="AC180" s="46"/>
      <c r="AD180" s="47"/>
      <c r="AE180" s="47"/>
    </row>
    <row r="181" customFormat="false" ht="30" hidden="false" customHeight="true" outlineLevel="0" collapsed="false">
      <c r="A181" s="31"/>
      <c r="B181" s="32" t="str">
        <f aca="false">IF($J181="","",ROW()-8)</f>
        <v/>
      </c>
      <c r="C181" s="33" t="str">
        <f aca="false">IF($J181="","",$D181&amp;"-"&amp;TEXT($E181,"000")&amp;IF(N($F181)&gt;0,"."&amp;TEXT($F181,"00"),""))</f>
        <v/>
      </c>
      <c r="D181" s="34"/>
      <c r="E181" s="35"/>
      <c r="F181" s="35"/>
      <c r="G181" s="34"/>
      <c r="H181" s="34"/>
      <c r="I181" s="34"/>
      <c r="J181" s="34"/>
      <c r="K181" s="34"/>
      <c r="L181" s="36" t="str">
        <f aca="false">IF($K181="","",IFERROR(INDEX(Reference!$D$53:$D$67,MATCH($K181,Reference!$B$53:$B$67,0)),""))</f>
        <v/>
      </c>
      <c r="M181" s="34"/>
      <c r="N181" s="37"/>
      <c r="O181" s="37"/>
      <c r="P181" s="34"/>
      <c r="Q181" s="35"/>
      <c r="R181" s="38" t="str">
        <f aca="false">IF($O181="","",$O181+IF(N($F181)&gt;0,Setup!$D$21,IF($Q181="Sequential",Setup!$D$20,Setup!$D$19)))</f>
        <v/>
      </c>
      <c r="S181" s="37"/>
      <c r="T181" s="35"/>
      <c r="U181" s="39" t="str">
        <f aca="true">IF($O181="","",IF($S181&lt;&gt;"",$S181-$O181,TODAY()-$O181))</f>
        <v/>
      </c>
      <c r="V181" s="36" t="str">
        <f aca="true">IF($J181="","",IF($AD181="Yes","Void",IF(COUNTIFS($D$9:$D$208,$D181,$E$9:$E$208,$E181,$F$9:$F$208,"&gt;"&amp;N($F181))&gt;0,"Superseded",IF($N181="","Not submitted",IF($S181="",IF(AND($R181&lt;&gt;"",$R181&lt;TODAY()),"Overdue with reviewer","In review"),IF(COUNTIF(Reference!$B$70:$B$80,$T181)&gt;0,"Closed","Resubmittal required"))))))</f>
        <v/>
      </c>
      <c r="W181" s="36" t="str">
        <f aca="false">IF($J181="","",IF(OR($V181="Closed",$V181="Superseded",$V181="Void"),"Closed",IF(OR($V181="Not submitted",$V181="Resubmittal required"),"Contractor","Reviewer")))</f>
        <v/>
      </c>
      <c r="X181" s="35"/>
      <c r="Y181" s="37"/>
      <c r="Z181" s="38" t="str">
        <f aca="false">IF(OR($J181="",$Y181="",$X181="",$V181="Void",$V181="Superseded"),"",$Y181-N($X181)*7-IF($Q181="Sequential",Setup!$D$20,Setup!$D$19)-Setup!$D$22)</f>
        <v/>
      </c>
      <c r="AA181" s="39" t="str">
        <f aca="true">IF($Z181="","",IF($N181&lt;&gt;"",$Z181-$N181,$Z181-TODAY()))</f>
        <v/>
      </c>
      <c r="AB181" s="36" t="str">
        <f aca="false">IF(OR($X181="",$V181="Void",$V181="Superseded"),"",IF(N($X181)&gt;=Setup!$D$23,"Long lead",""))</f>
        <v/>
      </c>
      <c r="AC181" s="40"/>
      <c r="AD181" s="41"/>
      <c r="AE181" s="41"/>
    </row>
    <row r="182" customFormat="false" ht="30" hidden="false" customHeight="true" outlineLevel="0" collapsed="false">
      <c r="A182" s="31"/>
      <c r="B182" s="32" t="str">
        <f aca="false">IF($J182="","",ROW()-8)</f>
        <v/>
      </c>
      <c r="C182" s="33" t="str">
        <f aca="false">IF($J182="","",$D182&amp;"-"&amp;TEXT($E182,"000")&amp;IF(N($F182)&gt;0,"."&amp;TEXT($F182,"00"),""))</f>
        <v/>
      </c>
      <c r="D182" s="43"/>
      <c r="E182" s="44"/>
      <c r="F182" s="44"/>
      <c r="G182" s="43"/>
      <c r="H182" s="43"/>
      <c r="I182" s="43"/>
      <c r="J182" s="43"/>
      <c r="K182" s="43"/>
      <c r="L182" s="36" t="str">
        <f aca="false">IF($K182="","",IFERROR(INDEX(Reference!$D$53:$D$67,MATCH($K182,Reference!$B$53:$B$67,0)),""))</f>
        <v/>
      </c>
      <c r="M182" s="43"/>
      <c r="N182" s="45"/>
      <c r="O182" s="45"/>
      <c r="P182" s="43"/>
      <c r="Q182" s="44"/>
      <c r="R182" s="38" t="str">
        <f aca="false">IF($O182="","",$O182+IF(N($F182)&gt;0,Setup!$D$21,IF($Q182="Sequential",Setup!$D$20,Setup!$D$19)))</f>
        <v/>
      </c>
      <c r="S182" s="45"/>
      <c r="T182" s="44"/>
      <c r="U182" s="39" t="str">
        <f aca="true">IF($O182="","",IF($S182&lt;&gt;"",$S182-$O182,TODAY()-$O182))</f>
        <v/>
      </c>
      <c r="V182" s="36" t="str">
        <f aca="true">IF($J182="","",IF($AD182="Yes","Void",IF(COUNTIFS($D$9:$D$208,$D182,$E$9:$E$208,$E182,$F$9:$F$208,"&gt;"&amp;N($F182))&gt;0,"Superseded",IF($N182="","Not submitted",IF($S182="",IF(AND($R182&lt;&gt;"",$R182&lt;TODAY()),"Overdue with reviewer","In review"),IF(COUNTIF(Reference!$B$70:$B$80,$T182)&gt;0,"Closed","Resubmittal required"))))))</f>
        <v/>
      </c>
      <c r="W182" s="36" t="str">
        <f aca="false">IF($J182="","",IF(OR($V182="Closed",$V182="Superseded",$V182="Void"),"Closed",IF(OR($V182="Not submitted",$V182="Resubmittal required"),"Contractor","Reviewer")))</f>
        <v/>
      </c>
      <c r="X182" s="44"/>
      <c r="Y182" s="45"/>
      <c r="Z182" s="38" t="str">
        <f aca="false">IF(OR($J182="",$Y182="",$X182="",$V182="Void",$V182="Superseded"),"",$Y182-N($X182)*7-IF($Q182="Sequential",Setup!$D$20,Setup!$D$19)-Setup!$D$22)</f>
        <v/>
      </c>
      <c r="AA182" s="39" t="str">
        <f aca="true">IF($Z182="","",IF($N182&lt;&gt;"",$Z182-$N182,$Z182-TODAY()))</f>
        <v/>
      </c>
      <c r="AB182" s="36" t="str">
        <f aca="false">IF(OR($X182="",$V182="Void",$V182="Superseded"),"",IF(N($X182)&gt;=Setup!$D$23,"Long lead",""))</f>
        <v/>
      </c>
      <c r="AC182" s="46"/>
      <c r="AD182" s="47"/>
      <c r="AE182" s="47"/>
    </row>
    <row r="183" customFormat="false" ht="30" hidden="false" customHeight="true" outlineLevel="0" collapsed="false">
      <c r="A183" s="31"/>
      <c r="B183" s="32" t="str">
        <f aca="false">IF($J183="","",ROW()-8)</f>
        <v/>
      </c>
      <c r="C183" s="33" t="str">
        <f aca="false">IF($J183="","",$D183&amp;"-"&amp;TEXT($E183,"000")&amp;IF(N($F183)&gt;0,"."&amp;TEXT($F183,"00"),""))</f>
        <v/>
      </c>
      <c r="D183" s="34"/>
      <c r="E183" s="35"/>
      <c r="F183" s="35"/>
      <c r="G183" s="34"/>
      <c r="H183" s="34"/>
      <c r="I183" s="34"/>
      <c r="J183" s="34"/>
      <c r="K183" s="34"/>
      <c r="L183" s="36" t="str">
        <f aca="false">IF($K183="","",IFERROR(INDEX(Reference!$D$53:$D$67,MATCH($K183,Reference!$B$53:$B$67,0)),""))</f>
        <v/>
      </c>
      <c r="M183" s="34"/>
      <c r="N183" s="37"/>
      <c r="O183" s="37"/>
      <c r="P183" s="34"/>
      <c r="Q183" s="35"/>
      <c r="R183" s="38" t="str">
        <f aca="false">IF($O183="","",$O183+IF(N($F183)&gt;0,Setup!$D$21,IF($Q183="Sequential",Setup!$D$20,Setup!$D$19)))</f>
        <v/>
      </c>
      <c r="S183" s="37"/>
      <c r="T183" s="35"/>
      <c r="U183" s="39" t="str">
        <f aca="true">IF($O183="","",IF($S183&lt;&gt;"",$S183-$O183,TODAY()-$O183))</f>
        <v/>
      </c>
      <c r="V183" s="36" t="str">
        <f aca="true">IF($J183="","",IF($AD183="Yes","Void",IF(COUNTIFS($D$9:$D$208,$D183,$E$9:$E$208,$E183,$F$9:$F$208,"&gt;"&amp;N($F183))&gt;0,"Superseded",IF($N183="","Not submitted",IF($S183="",IF(AND($R183&lt;&gt;"",$R183&lt;TODAY()),"Overdue with reviewer","In review"),IF(COUNTIF(Reference!$B$70:$B$80,$T183)&gt;0,"Closed","Resubmittal required"))))))</f>
        <v/>
      </c>
      <c r="W183" s="36" t="str">
        <f aca="false">IF($J183="","",IF(OR($V183="Closed",$V183="Superseded",$V183="Void"),"Closed",IF(OR($V183="Not submitted",$V183="Resubmittal required"),"Contractor","Reviewer")))</f>
        <v/>
      </c>
      <c r="X183" s="35"/>
      <c r="Y183" s="37"/>
      <c r="Z183" s="38" t="str">
        <f aca="false">IF(OR($J183="",$Y183="",$X183="",$V183="Void",$V183="Superseded"),"",$Y183-N($X183)*7-IF($Q183="Sequential",Setup!$D$20,Setup!$D$19)-Setup!$D$22)</f>
        <v/>
      </c>
      <c r="AA183" s="39" t="str">
        <f aca="true">IF($Z183="","",IF($N183&lt;&gt;"",$Z183-$N183,$Z183-TODAY()))</f>
        <v/>
      </c>
      <c r="AB183" s="36" t="str">
        <f aca="false">IF(OR($X183="",$V183="Void",$V183="Superseded"),"",IF(N($X183)&gt;=Setup!$D$23,"Long lead",""))</f>
        <v/>
      </c>
      <c r="AC183" s="40"/>
      <c r="AD183" s="41"/>
      <c r="AE183" s="41"/>
    </row>
    <row r="184" customFormat="false" ht="30" hidden="false" customHeight="true" outlineLevel="0" collapsed="false">
      <c r="A184" s="31"/>
      <c r="B184" s="32" t="str">
        <f aca="false">IF($J184="","",ROW()-8)</f>
        <v/>
      </c>
      <c r="C184" s="33" t="str">
        <f aca="false">IF($J184="","",$D184&amp;"-"&amp;TEXT($E184,"000")&amp;IF(N($F184)&gt;0,"."&amp;TEXT($F184,"00"),""))</f>
        <v/>
      </c>
      <c r="D184" s="43"/>
      <c r="E184" s="44"/>
      <c r="F184" s="44"/>
      <c r="G184" s="43"/>
      <c r="H184" s="43"/>
      <c r="I184" s="43"/>
      <c r="J184" s="43"/>
      <c r="K184" s="43"/>
      <c r="L184" s="36" t="str">
        <f aca="false">IF($K184="","",IFERROR(INDEX(Reference!$D$53:$D$67,MATCH($K184,Reference!$B$53:$B$67,0)),""))</f>
        <v/>
      </c>
      <c r="M184" s="43"/>
      <c r="N184" s="45"/>
      <c r="O184" s="45"/>
      <c r="P184" s="43"/>
      <c r="Q184" s="44"/>
      <c r="R184" s="38" t="str">
        <f aca="false">IF($O184="","",$O184+IF(N($F184)&gt;0,Setup!$D$21,IF($Q184="Sequential",Setup!$D$20,Setup!$D$19)))</f>
        <v/>
      </c>
      <c r="S184" s="45"/>
      <c r="T184" s="44"/>
      <c r="U184" s="39" t="str">
        <f aca="true">IF($O184="","",IF($S184&lt;&gt;"",$S184-$O184,TODAY()-$O184))</f>
        <v/>
      </c>
      <c r="V184" s="36" t="str">
        <f aca="true">IF($J184="","",IF($AD184="Yes","Void",IF(COUNTIFS($D$9:$D$208,$D184,$E$9:$E$208,$E184,$F$9:$F$208,"&gt;"&amp;N($F184))&gt;0,"Superseded",IF($N184="","Not submitted",IF($S184="",IF(AND($R184&lt;&gt;"",$R184&lt;TODAY()),"Overdue with reviewer","In review"),IF(COUNTIF(Reference!$B$70:$B$80,$T184)&gt;0,"Closed","Resubmittal required"))))))</f>
        <v/>
      </c>
      <c r="W184" s="36" t="str">
        <f aca="false">IF($J184="","",IF(OR($V184="Closed",$V184="Superseded",$V184="Void"),"Closed",IF(OR($V184="Not submitted",$V184="Resubmittal required"),"Contractor","Reviewer")))</f>
        <v/>
      </c>
      <c r="X184" s="44"/>
      <c r="Y184" s="45"/>
      <c r="Z184" s="38" t="str">
        <f aca="false">IF(OR($J184="",$Y184="",$X184="",$V184="Void",$V184="Superseded"),"",$Y184-N($X184)*7-IF($Q184="Sequential",Setup!$D$20,Setup!$D$19)-Setup!$D$22)</f>
        <v/>
      </c>
      <c r="AA184" s="39" t="str">
        <f aca="true">IF($Z184="","",IF($N184&lt;&gt;"",$Z184-$N184,$Z184-TODAY()))</f>
        <v/>
      </c>
      <c r="AB184" s="36" t="str">
        <f aca="false">IF(OR($X184="",$V184="Void",$V184="Superseded"),"",IF(N($X184)&gt;=Setup!$D$23,"Long lead",""))</f>
        <v/>
      </c>
      <c r="AC184" s="46"/>
      <c r="AD184" s="47"/>
      <c r="AE184" s="47"/>
    </row>
    <row r="185" customFormat="false" ht="30" hidden="false" customHeight="true" outlineLevel="0" collapsed="false">
      <c r="A185" s="31"/>
      <c r="B185" s="32" t="str">
        <f aca="false">IF($J185="","",ROW()-8)</f>
        <v/>
      </c>
      <c r="C185" s="33" t="str">
        <f aca="false">IF($J185="","",$D185&amp;"-"&amp;TEXT($E185,"000")&amp;IF(N($F185)&gt;0,"."&amp;TEXT($F185,"00"),""))</f>
        <v/>
      </c>
      <c r="D185" s="34"/>
      <c r="E185" s="35"/>
      <c r="F185" s="35"/>
      <c r="G185" s="34"/>
      <c r="H185" s="34"/>
      <c r="I185" s="34"/>
      <c r="J185" s="34"/>
      <c r="K185" s="34"/>
      <c r="L185" s="36" t="str">
        <f aca="false">IF($K185="","",IFERROR(INDEX(Reference!$D$53:$D$67,MATCH($K185,Reference!$B$53:$B$67,0)),""))</f>
        <v/>
      </c>
      <c r="M185" s="34"/>
      <c r="N185" s="37"/>
      <c r="O185" s="37"/>
      <c r="P185" s="34"/>
      <c r="Q185" s="35"/>
      <c r="R185" s="38" t="str">
        <f aca="false">IF($O185="","",$O185+IF(N($F185)&gt;0,Setup!$D$21,IF($Q185="Sequential",Setup!$D$20,Setup!$D$19)))</f>
        <v/>
      </c>
      <c r="S185" s="37"/>
      <c r="T185" s="35"/>
      <c r="U185" s="39" t="str">
        <f aca="true">IF($O185="","",IF($S185&lt;&gt;"",$S185-$O185,TODAY()-$O185))</f>
        <v/>
      </c>
      <c r="V185" s="36" t="str">
        <f aca="true">IF($J185="","",IF($AD185="Yes","Void",IF(COUNTIFS($D$9:$D$208,$D185,$E$9:$E$208,$E185,$F$9:$F$208,"&gt;"&amp;N($F185))&gt;0,"Superseded",IF($N185="","Not submitted",IF($S185="",IF(AND($R185&lt;&gt;"",$R185&lt;TODAY()),"Overdue with reviewer","In review"),IF(COUNTIF(Reference!$B$70:$B$80,$T185)&gt;0,"Closed","Resubmittal required"))))))</f>
        <v/>
      </c>
      <c r="W185" s="36" t="str">
        <f aca="false">IF($J185="","",IF(OR($V185="Closed",$V185="Superseded",$V185="Void"),"Closed",IF(OR($V185="Not submitted",$V185="Resubmittal required"),"Contractor","Reviewer")))</f>
        <v/>
      </c>
      <c r="X185" s="35"/>
      <c r="Y185" s="37"/>
      <c r="Z185" s="38" t="str">
        <f aca="false">IF(OR($J185="",$Y185="",$X185="",$V185="Void",$V185="Superseded"),"",$Y185-N($X185)*7-IF($Q185="Sequential",Setup!$D$20,Setup!$D$19)-Setup!$D$22)</f>
        <v/>
      </c>
      <c r="AA185" s="39" t="str">
        <f aca="true">IF($Z185="","",IF($N185&lt;&gt;"",$Z185-$N185,$Z185-TODAY()))</f>
        <v/>
      </c>
      <c r="AB185" s="36" t="str">
        <f aca="false">IF(OR($X185="",$V185="Void",$V185="Superseded"),"",IF(N($X185)&gt;=Setup!$D$23,"Long lead",""))</f>
        <v/>
      </c>
      <c r="AC185" s="40"/>
      <c r="AD185" s="41"/>
      <c r="AE185" s="41"/>
    </row>
    <row r="186" customFormat="false" ht="30" hidden="false" customHeight="true" outlineLevel="0" collapsed="false">
      <c r="A186" s="31"/>
      <c r="B186" s="32" t="str">
        <f aca="false">IF($J186="","",ROW()-8)</f>
        <v/>
      </c>
      <c r="C186" s="33" t="str">
        <f aca="false">IF($J186="","",$D186&amp;"-"&amp;TEXT($E186,"000")&amp;IF(N($F186)&gt;0,"."&amp;TEXT($F186,"00"),""))</f>
        <v/>
      </c>
      <c r="D186" s="43"/>
      <c r="E186" s="44"/>
      <c r="F186" s="44"/>
      <c r="G186" s="43"/>
      <c r="H186" s="43"/>
      <c r="I186" s="43"/>
      <c r="J186" s="43"/>
      <c r="K186" s="43"/>
      <c r="L186" s="36" t="str">
        <f aca="false">IF($K186="","",IFERROR(INDEX(Reference!$D$53:$D$67,MATCH($K186,Reference!$B$53:$B$67,0)),""))</f>
        <v/>
      </c>
      <c r="M186" s="43"/>
      <c r="N186" s="45"/>
      <c r="O186" s="45"/>
      <c r="P186" s="43"/>
      <c r="Q186" s="44"/>
      <c r="R186" s="38" t="str">
        <f aca="false">IF($O186="","",$O186+IF(N($F186)&gt;0,Setup!$D$21,IF($Q186="Sequential",Setup!$D$20,Setup!$D$19)))</f>
        <v/>
      </c>
      <c r="S186" s="45"/>
      <c r="T186" s="44"/>
      <c r="U186" s="39" t="str">
        <f aca="true">IF($O186="","",IF($S186&lt;&gt;"",$S186-$O186,TODAY()-$O186))</f>
        <v/>
      </c>
      <c r="V186" s="36" t="str">
        <f aca="true">IF($J186="","",IF($AD186="Yes","Void",IF(COUNTIFS($D$9:$D$208,$D186,$E$9:$E$208,$E186,$F$9:$F$208,"&gt;"&amp;N($F186))&gt;0,"Superseded",IF($N186="","Not submitted",IF($S186="",IF(AND($R186&lt;&gt;"",$R186&lt;TODAY()),"Overdue with reviewer","In review"),IF(COUNTIF(Reference!$B$70:$B$80,$T186)&gt;0,"Closed","Resubmittal required"))))))</f>
        <v/>
      </c>
      <c r="W186" s="36" t="str">
        <f aca="false">IF($J186="","",IF(OR($V186="Closed",$V186="Superseded",$V186="Void"),"Closed",IF(OR($V186="Not submitted",$V186="Resubmittal required"),"Contractor","Reviewer")))</f>
        <v/>
      </c>
      <c r="X186" s="44"/>
      <c r="Y186" s="45"/>
      <c r="Z186" s="38" t="str">
        <f aca="false">IF(OR($J186="",$Y186="",$X186="",$V186="Void",$V186="Superseded"),"",$Y186-N($X186)*7-IF($Q186="Sequential",Setup!$D$20,Setup!$D$19)-Setup!$D$22)</f>
        <v/>
      </c>
      <c r="AA186" s="39" t="str">
        <f aca="true">IF($Z186="","",IF($N186&lt;&gt;"",$Z186-$N186,$Z186-TODAY()))</f>
        <v/>
      </c>
      <c r="AB186" s="36" t="str">
        <f aca="false">IF(OR($X186="",$V186="Void",$V186="Superseded"),"",IF(N($X186)&gt;=Setup!$D$23,"Long lead",""))</f>
        <v/>
      </c>
      <c r="AC186" s="46"/>
      <c r="AD186" s="47"/>
      <c r="AE186" s="47"/>
    </row>
    <row r="187" customFormat="false" ht="30" hidden="false" customHeight="true" outlineLevel="0" collapsed="false">
      <c r="A187" s="31"/>
      <c r="B187" s="32" t="str">
        <f aca="false">IF($J187="","",ROW()-8)</f>
        <v/>
      </c>
      <c r="C187" s="33" t="str">
        <f aca="false">IF($J187="","",$D187&amp;"-"&amp;TEXT($E187,"000")&amp;IF(N($F187)&gt;0,"."&amp;TEXT($F187,"00"),""))</f>
        <v/>
      </c>
      <c r="D187" s="34"/>
      <c r="E187" s="35"/>
      <c r="F187" s="35"/>
      <c r="G187" s="34"/>
      <c r="H187" s="34"/>
      <c r="I187" s="34"/>
      <c r="J187" s="34"/>
      <c r="K187" s="34"/>
      <c r="L187" s="36" t="str">
        <f aca="false">IF($K187="","",IFERROR(INDEX(Reference!$D$53:$D$67,MATCH($K187,Reference!$B$53:$B$67,0)),""))</f>
        <v/>
      </c>
      <c r="M187" s="34"/>
      <c r="N187" s="37"/>
      <c r="O187" s="37"/>
      <c r="P187" s="34"/>
      <c r="Q187" s="35"/>
      <c r="R187" s="38" t="str">
        <f aca="false">IF($O187="","",$O187+IF(N($F187)&gt;0,Setup!$D$21,IF($Q187="Sequential",Setup!$D$20,Setup!$D$19)))</f>
        <v/>
      </c>
      <c r="S187" s="37"/>
      <c r="T187" s="35"/>
      <c r="U187" s="39" t="str">
        <f aca="true">IF($O187="","",IF($S187&lt;&gt;"",$S187-$O187,TODAY()-$O187))</f>
        <v/>
      </c>
      <c r="V187" s="36" t="str">
        <f aca="true">IF($J187="","",IF($AD187="Yes","Void",IF(COUNTIFS($D$9:$D$208,$D187,$E$9:$E$208,$E187,$F$9:$F$208,"&gt;"&amp;N($F187))&gt;0,"Superseded",IF($N187="","Not submitted",IF($S187="",IF(AND($R187&lt;&gt;"",$R187&lt;TODAY()),"Overdue with reviewer","In review"),IF(COUNTIF(Reference!$B$70:$B$80,$T187)&gt;0,"Closed","Resubmittal required"))))))</f>
        <v/>
      </c>
      <c r="W187" s="36" t="str">
        <f aca="false">IF($J187="","",IF(OR($V187="Closed",$V187="Superseded",$V187="Void"),"Closed",IF(OR($V187="Not submitted",$V187="Resubmittal required"),"Contractor","Reviewer")))</f>
        <v/>
      </c>
      <c r="X187" s="35"/>
      <c r="Y187" s="37"/>
      <c r="Z187" s="38" t="str">
        <f aca="false">IF(OR($J187="",$Y187="",$X187="",$V187="Void",$V187="Superseded"),"",$Y187-N($X187)*7-IF($Q187="Sequential",Setup!$D$20,Setup!$D$19)-Setup!$D$22)</f>
        <v/>
      </c>
      <c r="AA187" s="39" t="str">
        <f aca="true">IF($Z187="","",IF($N187&lt;&gt;"",$Z187-$N187,$Z187-TODAY()))</f>
        <v/>
      </c>
      <c r="AB187" s="36" t="str">
        <f aca="false">IF(OR($X187="",$V187="Void",$V187="Superseded"),"",IF(N($X187)&gt;=Setup!$D$23,"Long lead",""))</f>
        <v/>
      </c>
      <c r="AC187" s="40"/>
      <c r="AD187" s="41"/>
      <c r="AE187" s="41"/>
    </row>
    <row r="188" customFormat="false" ht="30" hidden="false" customHeight="true" outlineLevel="0" collapsed="false">
      <c r="A188" s="31"/>
      <c r="B188" s="32" t="str">
        <f aca="false">IF($J188="","",ROW()-8)</f>
        <v/>
      </c>
      <c r="C188" s="33" t="str">
        <f aca="false">IF($J188="","",$D188&amp;"-"&amp;TEXT($E188,"000")&amp;IF(N($F188)&gt;0,"."&amp;TEXT($F188,"00"),""))</f>
        <v/>
      </c>
      <c r="D188" s="43"/>
      <c r="E188" s="44"/>
      <c r="F188" s="44"/>
      <c r="G188" s="43"/>
      <c r="H188" s="43"/>
      <c r="I188" s="43"/>
      <c r="J188" s="43"/>
      <c r="K188" s="43"/>
      <c r="L188" s="36" t="str">
        <f aca="false">IF($K188="","",IFERROR(INDEX(Reference!$D$53:$D$67,MATCH($K188,Reference!$B$53:$B$67,0)),""))</f>
        <v/>
      </c>
      <c r="M188" s="43"/>
      <c r="N188" s="45"/>
      <c r="O188" s="45"/>
      <c r="P188" s="43"/>
      <c r="Q188" s="44"/>
      <c r="R188" s="38" t="str">
        <f aca="false">IF($O188="","",$O188+IF(N($F188)&gt;0,Setup!$D$21,IF($Q188="Sequential",Setup!$D$20,Setup!$D$19)))</f>
        <v/>
      </c>
      <c r="S188" s="45"/>
      <c r="T188" s="44"/>
      <c r="U188" s="39" t="str">
        <f aca="true">IF($O188="","",IF($S188&lt;&gt;"",$S188-$O188,TODAY()-$O188))</f>
        <v/>
      </c>
      <c r="V188" s="36" t="str">
        <f aca="true">IF($J188="","",IF($AD188="Yes","Void",IF(COUNTIFS($D$9:$D$208,$D188,$E$9:$E$208,$E188,$F$9:$F$208,"&gt;"&amp;N($F188))&gt;0,"Superseded",IF($N188="","Not submitted",IF($S188="",IF(AND($R188&lt;&gt;"",$R188&lt;TODAY()),"Overdue with reviewer","In review"),IF(COUNTIF(Reference!$B$70:$B$80,$T188)&gt;0,"Closed","Resubmittal required"))))))</f>
        <v/>
      </c>
      <c r="W188" s="36" t="str">
        <f aca="false">IF($J188="","",IF(OR($V188="Closed",$V188="Superseded",$V188="Void"),"Closed",IF(OR($V188="Not submitted",$V188="Resubmittal required"),"Contractor","Reviewer")))</f>
        <v/>
      </c>
      <c r="X188" s="44"/>
      <c r="Y188" s="45"/>
      <c r="Z188" s="38" t="str">
        <f aca="false">IF(OR($J188="",$Y188="",$X188="",$V188="Void",$V188="Superseded"),"",$Y188-N($X188)*7-IF($Q188="Sequential",Setup!$D$20,Setup!$D$19)-Setup!$D$22)</f>
        <v/>
      </c>
      <c r="AA188" s="39" t="str">
        <f aca="true">IF($Z188="","",IF($N188&lt;&gt;"",$Z188-$N188,$Z188-TODAY()))</f>
        <v/>
      </c>
      <c r="AB188" s="36" t="str">
        <f aca="false">IF(OR($X188="",$V188="Void",$V188="Superseded"),"",IF(N($X188)&gt;=Setup!$D$23,"Long lead",""))</f>
        <v/>
      </c>
      <c r="AC188" s="46"/>
      <c r="AD188" s="47"/>
      <c r="AE188" s="47"/>
    </row>
    <row r="189" customFormat="false" ht="30" hidden="false" customHeight="true" outlineLevel="0" collapsed="false">
      <c r="A189" s="31"/>
      <c r="B189" s="32" t="str">
        <f aca="false">IF($J189="","",ROW()-8)</f>
        <v/>
      </c>
      <c r="C189" s="33" t="str">
        <f aca="false">IF($J189="","",$D189&amp;"-"&amp;TEXT($E189,"000")&amp;IF(N($F189)&gt;0,"."&amp;TEXT($F189,"00"),""))</f>
        <v/>
      </c>
      <c r="D189" s="34"/>
      <c r="E189" s="35"/>
      <c r="F189" s="35"/>
      <c r="G189" s="34"/>
      <c r="H189" s="34"/>
      <c r="I189" s="34"/>
      <c r="J189" s="34"/>
      <c r="K189" s="34"/>
      <c r="L189" s="36" t="str">
        <f aca="false">IF($K189="","",IFERROR(INDEX(Reference!$D$53:$D$67,MATCH($K189,Reference!$B$53:$B$67,0)),""))</f>
        <v/>
      </c>
      <c r="M189" s="34"/>
      <c r="N189" s="37"/>
      <c r="O189" s="37"/>
      <c r="P189" s="34"/>
      <c r="Q189" s="35"/>
      <c r="R189" s="38" t="str">
        <f aca="false">IF($O189="","",$O189+IF(N($F189)&gt;0,Setup!$D$21,IF($Q189="Sequential",Setup!$D$20,Setup!$D$19)))</f>
        <v/>
      </c>
      <c r="S189" s="37"/>
      <c r="T189" s="35"/>
      <c r="U189" s="39" t="str">
        <f aca="true">IF($O189="","",IF($S189&lt;&gt;"",$S189-$O189,TODAY()-$O189))</f>
        <v/>
      </c>
      <c r="V189" s="36" t="str">
        <f aca="true">IF($J189="","",IF($AD189="Yes","Void",IF(COUNTIFS($D$9:$D$208,$D189,$E$9:$E$208,$E189,$F$9:$F$208,"&gt;"&amp;N($F189))&gt;0,"Superseded",IF($N189="","Not submitted",IF($S189="",IF(AND($R189&lt;&gt;"",$R189&lt;TODAY()),"Overdue with reviewer","In review"),IF(COUNTIF(Reference!$B$70:$B$80,$T189)&gt;0,"Closed","Resubmittal required"))))))</f>
        <v/>
      </c>
      <c r="W189" s="36" t="str">
        <f aca="false">IF($J189="","",IF(OR($V189="Closed",$V189="Superseded",$V189="Void"),"Closed",IF(OR($V189="Not submitted",$V189="Resubmittal required"),"Contractor","Reviewer")))</f>
        <v/>
      </c>
      <c r="X189" s="35"/>
      <c r="Y189" s="37"/>
      <c r="Z189" s="38" t="str">
        <f aca="false">IF(OR($J189="",$Y189="",$X189="",$V189="Void",$V189="Superseded"),"",$Y189-N($X189)*7-IF($Q189="Sequential",Setup!$D$20,Setup!$D$19)-Setup!$D$22)</f>
        <v/>
      </c>
      <c r="AA189" s="39" t="str">
        <f aca="true">IF($Z189="","",IF($N189&lt;&gt;"",$Z189-$N189,$Z189-TODAY()))</f>
        <v/>
      </c>
      <c r="AB189" s="36" t="str">
        <f aca="false">IF(OR($X189="",$V189="Void",$V189="Superseded"),"",IF(N($X189)&gt;=Setup!$D$23,"Long lead",""))</f>
        <v/>
      </c>
      <c r="AC189" s="40"/>
      <c r="AD189" s="41"/>
      <c r="AE189" s="41"/>
    </row>
    <row r="190" customFormat="false" ht="30" hidden="false" customHeight="true" outlineLevel="0" collapsed="false">
      <c r="A190" s="31"/>
      <c r="B190" s="32" t="str">
        <f aca="false">IF($J190="","",ROW()-8)</f>
        <v/>
      </c>
      <c r="C190" s="33" t="str">
        <f aca="false">IF($J190="","",$D190&amp;"-"&amp;TEXT($E190,"000")&amp;IF(N($F190)&gt;0,"."&amp;TEXT($F190,"00"),""))</f>
        <v/>
      </c>
      <c r="D190" s="43"/>
      <c r="E190" s="44"/>
      <c r="F190" s="44"/>
      <c r="G190" s="43"/>
      <c r="H190" s="43"/>
      <c r="I190" s="43"/>
      <c r="J190" s="43"/>
      <c r="K190" s="43"/>
      <c r="L190" s="36" t="str">
        <f aca="false">IF($K190="","",IFERROR(INDEX(Reference!$D$53:$D$67,MATCH($K190,Reference!$B$53:$B$67,0)),""))</f>
        <v/>
      </c>
      <c r="M190" s="43"/>
      <c r="N190" s="45"/>
      <c r="O190" s="45"/>
      <c r="P190" s="43"/>
      <c r="Q190" s="44"/>
      <c r="R190" s="38" t="str">
        <f aca="false">IF($O190="","",$O190+IF(N($F190)&gt;0,Setup!$D$21,IF($Q190="Sequential",Setup!$D$20,Setup!$D$19)))</f>
        <v/>
      </c>
      <c r="S190" s="45"/>
      <c r="T190" s="44"/>
      <c r="U190" s="39" t="str">
        <f aca="true">IF($O190="","",IF($S190&lt;&gt;"",$S190-$O190,TODAY()-$O190))</f>
        <v/>
      </c>
      <c r="V190" s="36" t="str">
        <f aca="true">IF($J190="","",IF($AD190="Yes","Void",IF(COUNTIFS($D$9:$D$208,$D190,$E$9:$E$208,$E190,$F$9:$F$208,"&gt;"&amp;N($F190))&gt;0,"Superseded",IF($N190="","Not submitted",IF($S190="",IF(AND($R190&lt;&gt;"",$R190&lt;TODAY()),"Overdue with reviewer","In review"),IF(COUNTIF(Reference!$B$70:$B$80,$T190)&gt;0,"Closed","Resubmittal required"))))))</f>
        <v/>
      </c>
      <c r="W190" s="36" t="str">
        <f aca="false">IF($J190="","",IF(OR($V190="Closed",$V190="Superseded",$V190="Void"),"Closed",IF(OR($V190="Not submitted",$V190="Resubmittal required"),"Contractor","Reviewer")))</f>
        <v/>
      </c>
      <c r="X190" s="44"/>
      <c r="Y190" s="45"/>
      <c r="Z190" s="38" t="str">
        <f aca="false">IF(OR($J190="",$Y190="",$X190="",$V190="Void",$V190="Superseded"),"",$Y190-N($X190)*7-IF($Q190="Sequential",Setup!$D$20,Setup!$D$19)-Setup!$D$22)</f>
        <v/>
      </c>
      <c r="AA190" s="39" t="str">
        <f aca="true">IF($Z190="","",IF($N190&lt;&gt;"",$Z190-$N190,$Z190-TODAY()))</f>
        <v/>
      </c>
      <c r="AB190" s="36" t="str">
        <f aca="false">IF(OR($X190="",$V190="Void",$V190="Superseded"),"",IF(N($X190)&gt;=Setup!$D$23,"Long lead",""))</f>
        <v/>
      </c>
      <c r="AC190" s="46"/>
      <c r="AD190" s="47"/>
      <c r="AE190" s="47"/>
    </row>
    <row r="191" customFormat="false" ht="30" hidden="false" customHeight="true" outlineLevel="0" collapsed="false">
      <c r="A191" s="31"/>
      <c r="B191" s="32" t="str">
        <f aca="false">IF($J191="","",ROW()-8)</f>
        <v/>
      </c>
      <c r="C191" s="33" t="str">
        <f aca="false">IF($J191="","",$D191&amp;"-"&amp;TEXT($E191,"000")&amp;IF(N($F191)&gt;0,"."&amp;TEXT($F191,"00"),""))</f>
        <v/>
      </c>
      <c r="D191" s="34"/>
      <c r="E191" s="35"/>
      <c r="F191" s="35"/>
      <c r="G191" s="34"/>
      <c r="H191" s="34"/>
      <c r="I191" s="34"/>
      <c r="J191" s="34"/>
      <c r="K191" s="34"/>
      <c r="L191" s="36" t="str">
        <f aca="false">IF($K191="","",IFERROR(INDEX(Reference!$D$53:$D$67,MATCH($K191,Reference!$B$53:$B$67,0)),""))</f>
        <v/>
      </c>
      <c r="M191" s="34"/>
      <c r="N191" s="37"/>
      <c r="O191" s="37"/>
      <c r="P191" s="34"/>
      <c r="Q191" s="35"/>
      <c r="R191" s="38" t="str">
        <f aca="false">IF($O191="","",$O191+IF(N($F191)&gt;0,Setup!$D$21,IF($Q191="Sequential",Setup!$D$20,Setup!$D$19)))</f>
        <v/>
      </c>
      <c r="S191" s="37"/>
      <c r="T191" s="35"/>
      <c r="U191" s="39" t="str">
        <f aca="true">IF($O191="","",IF($S191&lt;&gt;"",$S191-$O191,TODAY()-$O191))</f>
        <v/>
      </c>
      <c r="V191" s="36" t="str">
        <f aca="true">IF($J191="","",IF($AD191="Yes","Void",IF(COUNTIFS($D$9:$D$208,$D191,$E$9:$E$208,$E191,$F$9:$F$208,"&gt;"&amp;N($F191))&gt;0,"Superseded",IF($N191="","Not submitted",IF($S191="",IF(AND($R191&lt;&gt;"",$R191&lt;TODAY()),"Overdue with reviewer","In review"),IF(COUNTIF(Reference!$B$70:$B$80,$T191)&gt;0,"Closed","Resubmittal required"))))))</f>
        <v/>
      </c>
      <c r="W191" s="36" t="str">
        <f aca="false">IF($J191="","",IF(OR($V191="Closed",$V191="Superseded",$V191="Void"),"Closed",IF(OR($V191="Not submitted",$V191="Resubmittal required"),"Contractor","Reviewer")))</f>
        <v/>
      </c>
      <c r="X191" s="35"/>
      <c r="Y191" s="37"/>
      <c r="Z191" s="38" t="str">
        <f aca="false">IF(OR($J191="",$Y191="",$X191="",$V191="Void",$V191="Superseded"),"",$Y191-N($X191)*7-IF($Q191="Sequential",Setup!$D$20,Setup!$D$19)-Setup!$D$22)</f>
        <v/>
      </c>
      <c r="AA191" s="39" t="str">
        <f aca="true">IF($Z191="","",IF($N191&lt;&gt;"",$Z191-$N191,$Z191-TODAY()))</f>
        <v/>
      </c>
      <c r="AB191" s="36" t="str">
        <f aca="false">IF(OR($X191="",$V191="Void",$V191="Superseded"),"",IF(N($X191)&gt;=Setup!$D$23,"Long lead",""))</f>
        <v/>
      </c>
      <c r="AC191" s="40"/>
      <c r="AD191" s="41"/>
      <c r="AE191" s="41"/>
    </row>
    <row r="192" customFormat="false" ht="30" hidden="false" customHeight="true" outlineLevel="0" collapsed="false">
      <c r="A192" s="31"/>
      <c r="B192" s="32" t="str">
        <f aca="false">IF($J192="","",ROW()-8)</f>
        <v/>
      </c>
      <c r="C192" s="33" t="str">
        <f aca="false">IF($J192="","",$D192&amp;"-"&amp;TEXT($E192,"000")&amp;IF(N($F192)&gt;0,"."&amp;TEXT($F192,"00"),""))</f>
        <v/>
      </c>
      <c r="D192" s="43"/>
      <c r="E192" s="44"/>
      <c r="F192" s="44"/>
      <c r="G192" s="43"/>
      <c r="H192" s="43"/>
      <c r="I192" s="43"/>
      <c r="J192" s="43"/>
      <c r="K192" s="43"/>
      <c r="L192" s="36" t="str">
        <f aca="false">IF($K192="","",IFERROR(INDEX(Reference!$D$53:$D$67,MATCH($K192,Reference!$B$53:$B$67,0)),""))</f>
        <v/>
      </c>
      <c r="M192" s="43"/>
      <c r="N192" s="45"/>
      <c r="O192" s="45"/>
      <c r="P192" s="43"/>
      <c r="Q192" s="44"/>
      <c r="R192" s="38" t="str">
        <f aca="false">IF($O192="","",$O192+IF(N($F192)&gt;0,Setup!$D$21,IF($Q192="Sequential",Setup!$D$20,Setup!$D$19)))</f>
        <v/>
      </c>
      <c r="S192" s="45"/>
      <c r="T192" s="44"/>
      <c r="U192" s="39" t="str">
        <f aca="true">IF($O192="","",IF($S192&lt;&gt;"",$S192-$O192,TODAY()-$O192))</f>
        <v/>
      </c>
      <c r="V192" s="36" t="str">
        <f aca="true">IF($J192="","",IF($AD192="Yes","Void",IF(COUNTIFS($D$9:$D$208,$D192,$E$9:$E$208,$E192,$F$9:$F$208,"&gt;"&amp;N($F192))&gt;0,"Superseded",IF($N192="","Not submitted",IF($S192="",IF(AND($R192&lt;&gt;"",$R192&lt;TODAY()),"Overdue with reviewer","In review"),IF(COUNTIF(Reference!$B$70:$B$80,$T192)&gt;0,"Closed","Resubmittal required"))))))</f>
        <v/>
      </c>
      <c r="W192" s="36" t="str">
        <f aca="false">IF($J192="","",IF(OR($V192="Closed",$V192="Superseded",$V192="Void"),"Closed",IF(OR($V192="Not submitted",$V192="Resubmittal required"),"Contractor","Reviewer")))</f>
        <v/>
      </c>
      <c r="X192" s="44"/>
      <c r="Y192" s="45"/>
      <c r="Z192" s="38" t="str">
        <f aca="false">IF(OR($J192="",$Y192="",$X192="",$V192="Void",$V192="Superseded"),"",$Y192-N($X192)*7-IF($Q192="Sequential",Setup!$D$20,Setup!$D$19)-Setup!$D$22)</f>
        <v/>
      </c>
      <c r="AA192" s="39" t="str">
        <f aca="true">IF($Z192="","",IF($N192&lt;&gt;"",$Z192-$N192,$Z192-TODAY()))</f>
        <v/>
      </c>
      <c r="AB192" s="36" t="str">
        <f aca="false">IF(OR($X192="",$V192="Void",$V192="Superseded"),"",IF(N($X192)&gt;=Setup!$D$23,"Long lead",""))</f>
        <v/>
      </c>
      <c r="AC192" s="46"/>
      <c r="AD192" s="47"/>
      <c r="AE192" s="47"/>
    </row>
    <row r="193" customFormat="false" ht="30" hidden="false" customHeight="true" outlineLevel="0" collapsed="false">
      <c r="A193" s="31"/>
      <c r="B193" s="32" t="str">
        <f aca="false">IF($J193="","",ROW()-8)</f>
        <v/>
      </c>
      <c r="C193" s="33" t="str">
        <f aca="false">IF($J193="","",$D193&amp;"-"&amp;TEXT($E193,"000")&amp;IF(N($F193)&gt;0,"."&amp;TEXT($F193,"00"),""))</f>
        <v/>
      </c>
      <c r="D193" s="34"/>
      <c r="E193" s="35"/>
      <c r="F193" s="35"/>
      <c r="G193" s="34"/>
      <c r="H193" s="34"/>
      <c r="I193" s="34"/>
      <c r="J193" s="34"/>
      <c r="K193" s="34"/>
      <c r="L193" s="36" t="str">
        <f aca="false">IF($K193="","",IFERROR(INDEX(Reference!$D$53:$D$67,MATCH($K193,Reference!$B$53:$B$67,0)),""))</f>
        <v/>
      </c>
      <c r="M193" s="34"/>
      <c r="N193" s="37"/>
      <c r="O193" s="37"/>
      <c r="P193" s="34"/>
      <c r="Q193" s="35"/>
      <c r="R193" s="38" t="str">
        <f aca="false">IF($O193="","",$O193+IF(N($F193)&gt;0,Setup!$D$21,IF($Q193="Sequential",Setup!$D$20,Setup!$D$19)))</f>
        <v/>
      </c>
      <c r="S193" s="37"/>
      <c r="T193" s="35"/>
      <c r="U193" s="39" t="str">
        <f aca="true">IF($O193="","",IF($S193&lt;&gt;"",$S193-$O193,TODAY()-$O193))</f>
        <v/>
      </c>
      <c r="V193" s="36" t="str">
        <f aca="true">IF($J193="","",IF($AD193="Yes","Void",IF(COUNTIFS($D$9:$D$208,$D193,$E$9:$E$208,$E193,$F$9:$F$208,"&gt;"&amp;N($F193))&gt;0,"Superseded",IF($N193="","Not submitted",IF($S193="",IF(AND($R193&lt;&gt;"",$R193&lt;TODAY()),"Overdue with reviewer","In review"),IF(COUNTIF(Reference!$B$70:$B$80,$T193)&gt;0,"Closed","Resubmittal required"))))))</f>
        <v/>
      </c>
      <c r="W193" s="36" t="str">
        <f aca="false">IF($J193="","",IF(OR($V193="Closed",$V193="Superseded",$V193="Void"),"Closed",IF(OR($V193="Not submitted",$V193="Resubmittal required"),"Contractor","Reviewer")))</f>
        <v/>
      </c>
      <c r="X193" s="35"/>
      <c r="Y193" s="37"/>
      <c r="Z193" s="38" t="str">
        <f aca="false">IF(OR($J193="",$Y193="",$X193="",$V193="Void",$V193="Superseded"),"",$Y193-N($X193)*7-IF($Q193="Sequential",Setup!$D$20,Setup!$D$19)-Setup!$D$22)</f>
        <v/>
      </c>
      <c r="AA193" s="39" t="str">
        <f aca="true">IF($Z193="","",IF($N193&lt;&gt;"",$Z193-$N193,$Z193-TODAY()))</f>
        <v/>
      </c>
      <c r="AB193" s="36" t="str">
        <f aca="false">IF(OR($X193="",$V193="Void",$V193="Superseded"),"",IF(N($X193)&gt;=Setup!$D$23,"Long lead",""))</f>
        <v/>
      </c>
      <c r="AC193" s="40"/>
      <c r="AD193" s="41"/>
      <c r="AE193" s="41"/>
    </row>
    <row r="194" customFormat="false" ht="30" hidden="false" customHeight="true" outlineLevel="0" collapsed="false">
      <c r="A194" s="31"/>
      <c r="B194" s="32" t="str">
        <f aca="false">IF($J194="","",ROW()-8)</f>
        <v/>
      </c>
      <c r="C194" s="33" t="str">
        <f aca="false">IF($J194="","",$D194&amp;"-"&amp;TEXT($E194,"000")&amp;IF(N($F194)&gt;0,"."&amp;TEXT($F194,"00"),""))</f>
        <v/>
      </c>
      <c r="D194" s="43"/>
      <c r="E194" s="44"/>
      <c r="F194" s="44"/>
      <c r="G194" s="43"/>
      <c r="H194" s="43"/>
      <c r="I194" s="43"/>
      <c r="J194" s="43"/>
      <c r="K194" s="43"/>
      <c r="L194" s="36" t="str">
        <f aca="false">IF($K194="","",IFERROR(INDEX(Reference!$D$53:$D$67,MATCH($K194,Reference!$B$53:$B$67,0)),""))</f>
        <v/>
      </c>
      <c r="M194" s="43"/>
      <c r="N194" s="45"/>
      <c r="O194" s="45"/>
      <c r="P194" s="43"/>
      <c r="Q194" s="44"/>
      <c r="R194" s="38" t="str">
        <f aca="false">IF($O194="","",$O194+IF(N($F194)&gt;0,Setup!$D$21,IF($Q194="Sequential",Setup!$D$20,Setup!$D$19)))</f>
        <v/>
      </c>
      <c r="S194" s="45"/>
      <c r="T194" s="44"/>
      <c r="U194" s="39" t="str">
        <f aca="true">IF($O194="","",IF($S194&lt;&gt;"",$S194-$O194,TODAY()-$O194))</f>
        <v/>
      </c>
      <c r="V194" s="36" t="str">
        <f aca="true">IF($J194="","",IF($AD194="Yes","Void",IF(COUNTIFS($D$9:$D$208,$D194,$E$9:$E$208,$E194,$F$9:$F$208,"&gt;"&amp;N($F194))&gt;0,"Superseded",IF($N194="","Not submitted",IF($S194="",IF(AND($R194&lt;&gt;"",$R194&lt;TODAY()),"Overdue with reviewer","In review"),IF(COUNTIF(Reference!$B$70:$B$80,$T194)&gt;0,"Closed","Resubmittal required"))))))</f>
        <v/>
      </c>
      <c r="W194" s="36" t="str">
        <f aca="false">IF($J194="","",IF(OR($V194="Closed",$V194="Superseded",$V194="Void"),"Closed",IF(OR($V194="Not submitted",$V194="Resubmittal required"),"Contractor","Reviewer")))</f>
        <v/>
      </c>
      <c r="X194" s="44"/>
      <c r="Y194" s="45"/>
      <c r="Z194" s="38" t="str">
        <f aca="false">IF(OR($J194="",$Y194="",$X194="",$V194="Void",$V194="Superseded"),"",$Y194-N($X194)*7-IF($Q194="Sequential",Setup!$D$20,Setup!$D$19)-Setup!$D$22)</f>
        <v/>
      </c>
      <c r="AA194" s="39" t="str">
        <f aca="true">IF($Z194="","",IF($N194&lt;&gt;"",$Z194-$N194,$Z194-TODAY()))</f>
        <v/>
      </c>
      <c r="AB194" s="36" t="str">
        <f aca="false">IF(OR($X194="",$V194="Void",$V194="Superseded"),"",IF(N($X194)&gt;=Setup!$D$23,"Long lead",""))</f>
        <v/>
      </c>
      <c r="AC194" s="46"/>
      <c r="AD194" s="47"/>
      <c r="AE194" s="47"/>
    </row>
    <row r="195" customFormat="false" ht="30" hidden="false" customHeight="true" outlineLevel="0" collapsed="false">
      <c r="A195" s="31"/>
      <c r="B195" s="32" t="str">
        <f aca="false">IF($J195="","",ROW()-8)</f>
        <v/>
      </c>
      <c r="C195" s="33" t="str">
        <f aca="false">IF($J195="","",$D195&amp;"-"&amp;TEXT($E195,"000")&amp;IF(N($F195)&gt;0,"."&amp;TEXT($F195,"00"),""))</f>
        <v/>
      </c>
      <c r="D195" s="34"/>
      <c r="E195" s="35"/>
      <c r="F195" s="35"/>
      <c r="G195" s="34"/>
      <c r="H195" s="34"/>
      <c r="I195" s="34"/>
      <c r="J195" s="34"/>
      <c r="K195" s="34"/>
      <c r="L195" s="36" t="str">
        <f aca="false">IF($K195="","",IFERROR(INDEX(Reference!$D$53:$D$67,MATCH($K195,Reference!$B$53:$B$67,0)),""))</f>
        <v/>
      </c>
      <c r="M195" s="34"/>
      <c r="N195" s="37"/>
      <c r="O195" s="37"/>
      <c r="P195" s="34"/>
      <c r="Q195" s="35"/>
      <c r="R195" s="38" t="str">
        <f aca="false">IF($O195="","",$O195+IF(N($F195)&gt;0,Setup!$D$21,IF($Q195="Sequential",Setup!$D$20,Setup!$D$19)))</f>
        <v/>
      </c>
      <c r="S195" s="37"/>
      <c r="T195" s="35"/>
      <c r="U195" s="39" t="str">
        <f aca="true">IF($O195="","",IF($S195&lt;&gt;"",$S195-$O195,TODAY()-$O195))</f>
        <v/>
      </c>
      <c r="V195" s="36" t="str">
        <f aca="true">IF($J195="","",IF($AD195="Yes","Void",IF(COUNTIFS($D$9:$D$208,$D195,$E$9:$E$208,$E195,$F$9:$F$208,"&gt;"&amp;N($F195))&gt;0,"Superseded",IF($N195="","Not submitted",IF($S195="",IF(AND($R195&lt;&gt;"",$R195&lt;TODAY()),"Overdue with reviewer","In review"),IF(COUNTIF(Reference!$B$70:$B$80,$T195)&gt;0,"Closed","Resubmittal required"))))))</f>
        <v/>
      </c>
      <c r="W195" s="36" t="str">
        <f aca="false">IF($J195="","",IF(OR($V195="Closed",$V195="Superseded",$V195="Void"),"Closed",IF(OR($V195="Not submitted",$V195="Resubmittal required"),"Contractor","Reviewer")))</f>
        <v/>
      </c>
      <c r="X195" s="35"/>
      <c r="Y195" s="37"/>
      <c r="Z195" s="38" t="str">
        <f aca="false">IF(OR($J195="",$Y195="",$X195="",$V195="Void",$V195="Superseded"),"",$Y195-N($X195)*7-IF($Q195="Sequential",Setup!$D$20,Setup!$D$19)-Setup!$D$22)</f>
        <v/>
      </c>
      <c r="AA195" s="39" t="str">
        <f aca="true">IF($Z195="","",IF($N195&lt;&gt;"",$Z195-$N195,$Z195-TODAY()))</f>
        <v/>
      </c>
      <c r="AB195" s="36" t="str">
        <f aca="false">IF(OR($X195="",$V195="Void",$V195="Superseded"),"",IF(N($X195)&gt;=Setup!$D$23,"Long lead",""))</f>
        <v/>
      </c>
      <c r="AC195" s="40"/>
      <c r="AD195" s="41"/>
      <c r="AE195" s="41"/>
    </row>
    <row r="196" customFormat="false" ht="30" hidden="false" customHeight="true" outlineLevel="0" collapsed="false">
      <c r="A196" s="31"/>
      <c r="B196" s="32" t="str">
        <f aca="false">IF($J196="","",ROW()-8)</f>
        <v/>
      </c>
      <c r="C196" s="33" t="str">
        <f aca="false">IF($J196="","",$D196&amp;"-"&amp;TEXT($E196,"000")&amp;IF(N($F196)&gt;0,"."&amp;TEXT($F196,"00"),""))</f>
        <v/>
      </c>
      <c r="D196" s="43"/>
      <c r="E196" s="44"/>
      <c r="F196" s="44"/>
      <c r="G196" s="43"/>
      <c r="H196" s="43"/>
      <c r="I196" s="43"/>
      <c r="J196" s="43"/>
      <c r="K196" s="43"/>
      <c r="L196" s="36" t="str">
        <f aca="false">IF($K196="","",IFERROR(INDEX(Reference!$D$53:$D$67,MATCH($K196,Reference!$B$53:$B$67,0)),""))</f>
        <v/>
      </c>
      <c r="M196" s="43"/>
      <c r="N196" s="45"/>
      <c r="O196" s="45"/>
      <c r="P196" s="43"/>
      <c r="Q196" s="44"/>
      <c r="R196" s="38" t="str">
        <f aca="false">IF($O196="","",$O196+IF(N($F196)&gt;0,Setup!$D$21,IF($Q196="Sequential",Setup!$D$20,Setup!$D$19)))</f>
        <v/>
      </c>
      <c r="S196" s="45"/>
      <c r="T196" s="44"/>
      <c r="U196" s="39" t="str">
        <f aca="true">IF($O196="","",IF($S196&lt;&gt;"",$S196-$O196,TODAY()-$O196))</f>
        <v/>
      </c>
      <c r="V196" s="36" t="str">
        <f aca="true">IF($J196="","",IF($AD196="Yes","Void",IF(COUNTIFS($D$9:$D$208,$D196,$E$9:$E$208,$E196,$F$9:$F$208,"&gt;"&amp;N($F196))&gt;0,"Superseded",IF($N196="","Not submitted",IF($S196="",IF(AND($R196&lt;&gt;"",$R196&lt;TODAY()),"Overdue with reviewer","In review"),IF(COUNTIF(Reference!$B$70:$B$80,$T196)&gt;0,"Closed","Resubmittal required"))))))</f>
        <v/>
      </c>
      <c r="W196" s="36" t="str">
        <f aca="false">IF($J196="","",IF(OR($V196="Closed",$V196="Superseded",$V196="Void"),"Closed",IF(OR($V196="Not submitted",$V196="Resubmittal required"),"Contractor","Reviewer")))</f>
        <v/>
      </c>
      <c r="X196" s="44"/>
      <c r="Y196" s="45"/>
      <c r="Z196" s="38" t="str">
        <f aca="false">IF(OR($J196="",$Y196="",$X196="",$V196="Void",$V196="Superseded"),"",$Y196-N($X196)*7-IF($Q196="Sequential",Setup!$D$20,Setup!$D$19)-Setup!$D$22)</f>
        <v/>
      </c>
      <c r="AA196" s="39" t="str">
        <f aca="true">IF($Z196="","",IF($N196&lt;&gt;"",$Z196-$N196,$Z196-TODAY()))</f>
        <v/>
      </c>
      <c r="AB196" s="36" t="str">
        <f aca="false">IF(OR($X196="",$V196="Void",$V196="Superseded"),"",IF(N($X196)&gt;=Setup!$D$23,"Long lead",""))</f>
        <v/>
      </c>
      <c r="AC196" s="46"/>
      <c r="AD196" s="47"/>
      <c r="AE196" s="47"/>
    </row>
    <row r="197" customFormat="false" ht="30" hidden="false" customHeight="true" outlineLevel="0" collapsed="false">
      <c r="A197" s="31"/>
      <c r="B197" s="32" t="str">
        <f aca="false">IF($J197="","",ROW()-8)</f>
        <v/>
      </c>
      <c r="C197" s="33" t="str">
        <f aca="false">IF($J197="","",$D197&amp;"-"&amp;TEXT($E197,"000")&amp;IF(N($F197)&gt;0,"."&amp;TEXT($F197,"00"),""))</f>
        <v/>
      </c>
      <c r="D197" s="34"/>
      <c r="E197" s="35"/>
      <c r="F197" s="35"/>
      <c r="G197" s="34"/>
      <c r="H197" s="34"/>
      <c r="I197" s="34"/>
      <c r="J197" s="34"/>
      <c r="K197" s="34"/>
      <c r="L197" s="36" t="str">
        <f aca="false">IF($K197="","",IFERROR(INDEX(Reference!$D$53:$D$67,MATCH($K197,Reference!$B$53:$B$67,0)),""))</f>
        <v/>
      </c>
      <c r="M197" s="34"/>
      <c r="N197" s="37"/>
      <c r="O197" s="37"/>
      <c r="P197" s="34"/>
      <c r="Q197" s="35"/>
      <c r="R197" s="38" t="str">
        <f aca="false">IF($O197="","",$O197+IF(N($F197)&gt;0,Setup!$D$21,IF($Q197="Sequential",Setup!$D$20,Setup!$D$19)))</f>
        <v/>
      </c>
      <c r="S197" s="37"/>
      <c r="T197" s="35"/>
      <c r="U197" s="39" t="str">
        <f aca="true">IF($O197="","",IF($S197&lt;&gt;"",$S197-$O197,TODAY()-$O197))</f>
        <v/>
      </c>
      <c r="V197" s="36" t="str">
        <f aca="true">IF($J197="","",IF($AD197="Yes","Void",IF(COUNTIFS($D$9:$D$208,$D197,$E$9:$E$208,$E197,$F$9:$F$208,"&gt;"&amp;N($F197))&gt;0,"Superseded",IF($N197="","Not submitted",IF($S197="",IF(AND($R197&lt;&gt;"",$R197&lt;TODAY()),"Overdue with reviewer","In review"),IF(COUNTIF(Reference!$B$70:$B$80,$T197)&gt;0,"Closed","Resubmittal required"))))))</f>
        <v/>
      </c>
      <c r="W197" s="36" t="str">
        <f aca="false">IF($J197="","",IF(OR($V197="Closed",$V197="Superseded",$V197="Void"),"Closed",IF(OR($V197="Not submitted",$V197="Resubmittal required"),"Contractor","Reviewer")))</f>
        <v/>
      </c>
      <c r="X197" s="35"/>
      <c r="Y197" s="37"/>
      <c r="Z197" s="38" t="str">
        <f aca="false">IF(OR($J197="",$Y197="",$X197="",$V197="Void",$V197="Superseded"),"",$Y197-N($X197)*7-IF($Q197="Sequential",Setup!$D$20,Setup!$D$19)-Setup!$D$22)</f>
        <v/>
      </c>
      <c r="AA197" s="39" t="str">
        <f aca="true">IF($Z197="","",IF($N197&lt;&gt;"",$Z197-$N197,$Z197-TODAY()))</f>
        <v/>
      </c>
      <c r="AB197" s="36" t="str">
        <f aca="false">IF(OR($X197="",$V197="Void",$V197="Superseded"),"",IF(N($X197)&gt;=Setup!$D$23,"Long lead",""))</f>
        <v/>
      </c>
      <c r="AC197" s="40"/>
      <c r="AD197" s="41"/>
      <c r="AE197" s="41"/>
    </row>
    <row r="198" customFormat="false" ht="30" hidden="false" customHeight="true" outlineLevel="0" collapsed="false">
      <c r="A198" s="31"/>
      <c r="B198" s="32" t="str">
        <f aca="false">IF($J198="","",ROW()-8)</f>
        <v/>
      </c>
      <c r="C198" s="33" t="str">
        <f aca="false">IF($J198="","",$D198&amp;"-"&amp;TEXT($E198,"000")&amp;IF(N($F198)&gt;0,"."&amp;TEXT($F198,"00"),""))</f>
        <v/>
      </c>
      <c r="D198" s="43"/>
      <c r="E198" s="44"/>
      <c r="F198" s="44"/>
      <c r="G198" s="43"/>
      <c r="H198" s="43"/>
      <c r="I198" s="43"/>
      <c r="J198" s="43"/>
      <c r="K198" s="43"/>
      <c r="L198" s="36" t="str">
        <f aca="false">IF($K198="","",IFERROR(INDEX(Reference!$D$53:$D$67,MATCH($K198,Reference!$B$53:$B$67,0)),""))</f>
        <v/>
      </c>
      <c r="M198" s="43"/>
      <c r="N198" s="45"/>
      <c r="O198" s="45"/>
      <c r="P198" s="43"/>
      <c r="Q198" s="44"/>
      <c r="R198" s="38" t="str">
        <f aca="false">IF($O198="","",$O198+IF(N($F198)&gt;0,Setup!$D$21,IF($Q198="Sequential",Setup!$D$20,Setup!$D$19)))</f>
        <v/>
      </c>
      <c r="S198" s="45"/>
      <c r="T198" s="44"/>
      <c r="U198" s="39" t="str">
        <f aca="true">IF($O198="","",IF($S198&lt;&gt;"",$S198-$O198,TODAY()-$O198))</f>
        <v/>
      </c>
      <c r="V198" s="36" t="str">
        <f aca="true">IF($J198="","",IF($AD198="Yes","Void",IF(COUNTIFS($D$9:$D$208,$D198,$E$9:$E$208,$E198,$F$9:$F$208,"&gt;"&amp;N($F198))&gt;0,"Superseded",IF($N198="","Not submitted",IF($S198="",IF(AND($R198&lt;&gt;"",$R198&lt;TODAY()),"Overdue with reviewer","In review"),IF(COUNTIF(Reference!$B$70:$B$80,$T198)&gt;0,"Closed","Resubmittal required"))))))</f>
        <v/>
      </c>
      <c r="W198" s="36" t="str">
        <f aca="false">IF($J198="","",IF(OR($V198="Closed",$V198="Superseded",$V198="Void"),"Closed",IF(OR($V198="Not submitted",$V198="Resubmittal required"),"Contractor","Reviewer")))</f>
        <v/>
      </c>
      <c r="X198" s="44"/>
      <c r="Y198" s="45"/>
      <c r="Z198" s="38" t="str">
        <f aca="false">IF(OR($J198="",$Y198="",$X198="",$V198="Void",$V198="Superseded"),"",$Y198-N($X198)*7-IF($Q198="Sequential",Setup!$D$20,Setup!$D$19)-Setup!$D$22)</f>
        <v/>
      </c>
      <c r="AA198" s="39" t="str">
        <f aca="true">IF($Z198="","",IF($N198&lt;&gt;"",$Z198-$N198,$Z198-TODAY()))</f>
        <v/>
      </c>
      <c r="AB198" s="36" t="str">
        <f aca="false">IF(OR($X198="",$V198="Void",$V198="Superseded"),"",IF(N($X198)&gt;=Setup!$D$23,"Long lead",""))</f>
        <v/>
      </c>
      <c r="AC198" s="46"/>
      <c r="AD198" s="47"/>
      <c r="AE198" s="47"/>
    </row>
    <row r="199" customFormat="false" ht="30" hidden="false" customHeight="true" outlineLevel="0" collapsed="false">
      <c r="A199" s="31"/>
      <c r="B199" s="32" t="str">
        <f aca="false">IF($J199="","",ROW()-8)</f>
        <v/>
      </c>
      <c r="C199" s="33" t="str">
        <f aca="false">IF($J199="","",$D199&amp;"-"&amp;TEXT($E199,"000")&amp;IF(N($F199)&gt;0,"."&amp;TEXT($F199,"00"),""))</f>
        <v/>
      </c>
      <c r="D199" s="34"/>
      <c r="E199" s="35"/>
      <c r="F199" s="35"/>
      <c r="G199" s="34"/>
      <c r="H199" s="34"/>
      <c r="I199" s="34"/>
      <c r="J199" s="34"/>
      <c r="K199" s="34"/>
      <c r="L199" s="36" t="str">
        <f aca="false">IF($K199="","",IFERROR(INDEX(Reference!$D$53:$D$67,MATCH($K199,Reference!$B$53:$B$67,0)),""))</f>
        <v/>
      </c>
      <c r="M199" s="34"/>
      <c r="N199" s="37"/>
      <c r="O199" s="37"/>
      <c r="P199" s="34"/>
      <c r="Q199" s="35"/>
      <c r="R199" s="38" t="str">
        <f aca="false">IF($O199="","",$O199+IF(N($F199)&gt;0,Setup!$D$21,IF($Q199="Sequential",Setup!$D$20,Setup!$D$19)))</f>
        <v/>
      </c>
      <c r="S199" s="37"/>
      <c r="T199" s="35"/>
      <c r="U199" s="39" t="str">
        <f aca="true">IF($O199="","",IF($S199&lt;&gt;"",$S199-$O199,TODAY()-$O199))</f>
        <v/>
      </c>
      <c r="V199" s="36" t="str">
        <f aca="true">IF($J199="","",IF($AD199="Yes","Void",IF(COUNTIFS($D$9:$D$208,$D199,$E$9:$E$208,$E199,$F$9:$F$208,"&gt;"&amp;N($F199))&gt;0,"Superseded",IF($N199="","Not submitted",IF($S199="",IF(AND($R199&lt;&gt;"",$R199&lt;TODAY()),"Overdue with reviewer","In review"),IF(COUNTIF(Reference!$B$70:$B$80,$T199)&gt;0,"Closed","Resubmittal required"))))))</f>
        <v/>
      </c>
      <c r="W199" s="36" t="str">
        <f aca="false">IF($J199="","",IF(OR($V199="Closed",$V199="Superseded",$V199="Void"),"Closed",IF(OR($V199="Not submitted",$V199="Resubmittal required"),"Contractor","Reviewer")))</f>
        <v/>
      </c>
      <c r="X199" s="35"/>
      <c r="Y199" s="37"/>
      <c r="Z199" s="38" t="str">
        <f aca="false">IF(OR($J199="",$Y199="",$X199="",$V199="Void",$V199="Superseded"),"",$Y199-N($X199)*7-IF($Q199="Sequential",Setup!$D$20,Setup!$D$19)-Setup!$D$22)</f>
        <v/>
      </c>
      <c r="AA199" s="39" t="str">
        <f aca="true">IF($Z199="","",IF($N199&lt;&gt;"",$Z199-$N199,$Z199-TODAY()))</f>
        <v/>
      </c>
      <c r="AB199" s="36" t="str">
        <f aca="false">IF(OR($X199="",$V199="Void",$V199="Superseded"),"",IF(N($X199)&gt;=Setup!$D$23,"Long lead",""))</f>
        <v/>
      </c>
      <c r="AC199" s="40"/>
      <c r="AD199" s="41"/>
      <c r="AE199" s="41"/>
    </row>
    <row r="200" customFormat="false" ht="30" hidden="false" customHeight="true" outlineLevel="0" collapsed="false">
      <c r="A200" s="31"/>
      <c r="B200" s="32" t="str">
        <f aca="false">IF($J200="","",ROW()-8)</f>
        <v/>
      </c>
      <c r="C200" s="33" t="str">
        <f aca="false">IF($J200="","",$D200&amp;"-"&amp;TEXT($E200,"000")&amp;IF(N($F200)&gt;0,"."&amp;TEXT($F200,"00"),""))</f>
        <v/>
      </c>
      <c r="D200" s="43"/>
      <c r="E200" s="44"/>
      <c r="F200" s="44"/>
      <c r="G200" s="43"/>
      <c r="H200" s="43"/>
      <c r="I200" s="43"/>
      <c r="J200" s="43"/>
      <c r="K200" s="43"/>
      <c r="L200" s="36" t="str">
        <f aca="false">IF($K200="","",IFERROR(INDEX(Reference!$D$53:$D$67,MATCH($K200,Reference!$B$53:$B$67,0)),""))</f>
        <v/>
      </c>
      <c r="M200" s="43"/>
      <c r="N200" s="45"/>
      <c r="O200" s="45"/>
      <c r="P200" s="43"/>
      <c r="Q200" s="44"/>
      <c r="R200" s="38" t="str">
        <f aca="false">IF($O200="","",$O200+IF(N($F200)&gt;0,Setup!$D$21,IF($Q200="Sequential",Setup!$D$20,Setup!$D$19)))</f>
        <v/>
      </c>
      <c r="S200" s="45"/>
      <c r="T200" s="44"/>
      <c r="U200" s="39" t="str">
        <f aca="true">IF($O200="","",IF($S200&lt;&gt;"",$S200-$O200,TODAY()-$O200))</f>
        <v/>
      </c>
      <c r="V200" s="36" t="str">
        <f aca="true">IF($J200="","",IF($AD200="Yes","Void",IF(COUNTIFS($D$9:$D$208,$D200,$E$9:$E$208,$E200,$F$9:$F$208,"&gt;"&amp;N($F200))&gt;0,"Superseded",IF($N200="","Not submitted",IF($S200="",IF(AND($R200&lt;&gt;"",$R200&lt;TODAY()),"Overdue with reviewer","In review"),IF(COUNTIF(Reference!$B$70:$B$80,$T200)&gt;0,"Closed","Resubmittal required"))))))</f>
        <v/>
      </c>
      <c r="W200" s="36" t="str">
        <f aca="false">IF($J200="","",IF(OR($V200="Closed",$V200="Superseded",$V200="Void"),"Closed",IF(OR($V200="Not submitted",$V200="Resubmittal required"),"Contractor","Reviewer")))</f>
        <v/>
      </c>
      <c r="X200" s="44"/>
      <c r="Y200" s="45"/>
      <c r="Z200" s="38" t="str">
        <f aca="false">IF(OR($J200="",$Y200="",$X200="",$V200="Void",$V200="Superseded"),"",$Y200-N($X200)*7-IF($Q200="Sequential",Setup!$D$20,Setup!$D$19)-Setup!$D$22)</f>
        <v/>
      </c>
      <c r="AA200" s="39" t="str">
        <f aca="true">IF($Z200="","",IF($N200&lt;&gt;"",$Z200-$N200,$Z200-TODAY()))</f>
        <v/>
      </c>
      <c r="AB200" s="36" t="str">
        <f aca="false">IF(OR($X200="",$V200="Void",$V200="Superseded"),"",IF(N($X200)&gt;=Setup!$D$23,"Long lead",""))</f>
        <v/>
      </c>
      <c r="AC200" s="46"/>
      <c r="AD200" s="47"/>
      <c r="AE200" s="47"/>
    </row>
    <row r="201" customFormat="false" ht="30" hidden="false" customHeight="true" outlineLevel="0" collapsed="false">
      <c r="A201" s="31"/>
      <c r="B201" s="32" t="str">
        <f aca="false">IF($J201="","",ROW()-8)</f>
        <v/>
      </c>
      <c r="C201" s="33" t="str">
        <f aca="false">IF($J201="","",$D201&amp;"-"&amp;TEXT($E201,"000")&amp;IF(N($F201)&gt;0,"."&amp;TEXT($F201,"00"),""))</f>
        <v/>
      </c>
      <c r="D201" s="34"/>
      <c r="E201" s="35"/>
      <c r="F201" s="35"/>
      <c r="G201" s="34"/>
      <c r="H201" s="34"/>
      <c r="I201" s="34"/>
      <c r="J201" s="34"/>
      <c r="K201" s="34"/>
      <c r="L201" s="36" t="str">
        <f aca="false">IF($K201="","",IFERROR(INDEX(Reference!$D$53:$D$67,MATCH($K201,Reference!$B$53:$B$67,0)),""))</f>
        <v/>
      </c>
      <c r="M201" s="34"/>
      <c r="N201" s="37"/>
      <c r="O201" s="37"/>
      <c r="P201" s="34"/>
      <c r="Q201" s="35"/>
      <c r="R201" s="38" t="str">
        <f aca="false">IF($O201="","",$O201+IF(N($F201)&gt;0,Setup!$D$21,IF($Q201="Sequential",Setup!$D$20,Setup!$D$19)))</f>
        <v/>
      </c>
      <c r="S201" s="37"/>
      <c r="T201" s="35"/>
      <c r="U201" s="39" t="str">
        <f aca="true">IF($O201="","",IF($S201&lt;&gt;"",$S201-$O201,TODAY()-$O201))</f>
        <v/>
      </c>
      <c r="V201" s="36" t="str">
        <f aca="true">IF($J201="","",IF($AD201="Yes","Void",IF(COUNTIFS($D$9:$D$208,$D201,$E$9:$E$208,$E201,$F$9:$F$208,"&gt;"&amp;N($F201))&gt;0,"Superseded",IF($N201="","Not submitted",IF($S201="",IF(AND($R201&lt;&gt;"",$R201&lt;TODAY()),"Overdue with reviewer","In review"),IF(COUNTIF(Reference!$B$70:$B$80,$T201)&gt;0,"Closed","Resubmittal required"))))))</f>
        <v/>
      </c>
      <c r="W201" s="36" t="str">
        <f aca="false">IF($J201="","",IF(OR($V201="Closed",$V201="Superseded",$V201="Void"),"Closed",IF(OR($V201="Not submitted",$V201="Resubmittal required"),"Contractor","Reviewer")))</f>
        <v/>
      </c>
      <c r="X201" s="35"/>
      <c r="Y201" s="37"/>
      <c r="Z201" s="38" t="str">
        <f aca="false">IF(OR($J201="",$Y201="",$X201="",$V201="Void",$V201="Superseded"),"",$Y201-N($X201)*7-IF($Q201="Sequential",Setup!$D$20,Setup!$D$19)-Setup!$D$22)</f>
        <v/>
      </c>
      <c r="AA201" s="39" t="str">
        <f aca="true">IF($Z201="","",IF($N201&lt;&gt;"",$Z201-$N201,$Z201-TODAY()))</f>
        <v/>
      </c>
      <c r="AB201" s="36" t="str">
        <f aca="false">IF(OR($X201="",$V201="Void",$V201="Superseded"),"",IF(N($X201)&gt;=Setup!$D$23,"Long lead",""))</f>
        <v/>
      </c>
      <c r="AC201" s="40"/>
      <c r="AD201" s="41"/>
      <c r="AE201" s="41"/>
    </row>
    <row r="202" customFormat="false" ht="30" hidden="false" customHeight="true" outlineLevel="0" collapsed="false">
      <c r="A202" s="31"/>
      <c r="B202" s="32" t="str">
        <f aca="false">IF($J202="","",ROW()-8)</f>
        <v/>
      </c>
      <c r="C202" s="33" t="str">
        <f aca="false">IF($J202="","",$D202&amp;"-"&amp;TEXT($E202,"000")&amp;IF(N($F202)&gt;0,"."&amp;TEXT($F202,"00"),""))</f>
        <v/>
      </c>
      <c r="D202" s="43"/>
      <c r="E202" s="44"/>
      <c r="F202" s="44"/>
      <c r="G202" s="43"/>
      <c r="H202" s="43"/>
      <c r="I202" s="43"/>
      <c r="J202" s="43"/>
      <c r="K202" s="43"/>
      <c r="L202" s="36" t="str">
        <f aca="false">IF($K202="","",IFERROR(INDEX(Reference!$D$53:$D$67,MATCH($K202,Reference!$B$53:$B$67,0)),""))</f>
        <v/>
      </c>
      <c r="M202" s="43"/>
      <c r="N202" s="45"/>
      <c r="O202" s="45"/>
      <c r="P202" s="43"/>
      <c r="Q202" s="44"/>
      <c r="R202" s="38" t="str">
        <f aca="false">IF($O202="","",$O202+IF(N($F202)&gt;0,Setup!$D$21,IF($Q202="Sequential",Setup!$D$20,Setup!$D$19)))</f>
        <v/>
      </c>
      <c r="S202" s="45"/>
      <c r="T202" s="44"/>
      <c r="U202" s="39" t="str">
        <f aca="true">IF($O202="","",IF($S202&lt;&gt;"",$S202-$O202,TODAY()-$O202))</f>
        <v/>
      </c>
      <c r="V202" s="36" t="str">
        <f aca="true">IF($J202="","",IF($AD202="Yes","Void",IF(COUNTIFS($D$9:$D$208,$D202,$E$9:$E$208,$E202,$F$9:$F$208,"&gt;"&amp;N($F202))&gt;0,"Superseded",IF($N202="","Not submitted",IF($S202="",IF(AND($R202&lt;&gt;"",$R202&lt;TODAY()),"Overdue with reviewer","In review"),IF(COUNTIF(Reference!$B$70:$B$80,$T202)&gt;0,"Closed","Resubmittal required"))))))</f>
        <v/>
      </c>
      <c r="W202" s="36" t="str">
        <f aca="false">IF($J202="","",IF(OR($V202="Closed",$V202="Superseded",$V202="Void"),"Closed",IF(OR($V202="Not submitted",$V202="Resubmittal required"),"Contractor","Reviewer")))</f>
        <v/>
      </c>
      <c r="X202" s="44"/>
      <c r="Y202" s="45"/>
      <c r="Z202" s="38" t="str">
        <f aca="false">IF(OR($J202="",$Y202="",$X202="",$V202="Void",$V202="Superseded"),"",$Y202-N($X202)*7-IF($Q202="Sequential",Setup!$D$20,Setup!$D$19)-Setup!$D$22)</f>
        <v/>
      </c>
      <c r="AA202" s="39" t="str">
        <f aca="true">IF($Z202="","",IF($N202&lt;&gt;"",$Z202-$N202,$Z202-TODAY()))</f>
        <v/>
      </c>
      <c r="AB202" s="36" t="str">
        <f aca="false">IF(OR($X202="",$V202="Void",$V202="Superseded"),"",IF(N($X202)&gt;=Setup!$D$23,"Long lead",""))</f>
        <v/>
      </c>
      <c r="AC202" s="46"/>
      <c r="AD202" s="47"/>
      <c r="AE202" s="47"/>
    </row>
    <row r="203" customFormat="false" ht="30" hidden="false" customHeight="true" outlineLevel="0" collapsed="false">
      <c r="A203" s="31"/>
      <c r="B203" s="32" t="str">
        <f aca="false">IF($J203="","",ROW()-8)</f>
        <v/>
      </c>
      <c r="C203" s="33" t="str">
        <f aca="false">IF($J203="","",$D203&amp;"-"&amp;TEXT($E203,"000")&amp;IF(N($F203)&gt;0,"."&amp;TEXT($F203,"00"),""))</f>
        <v/>
      </c>
      <c r="D203" s="34"/>
      <c r="E203" s="35"/>
      <c r="F203" s="35"/>
      <c r="G203" s="34"/>
      <c r="H203" s="34"/>
      <c r="I203" s="34"/>
      <c r="J203" s="34"/>
      <c r="K203" s="34"/>
      <c r="L203" s="36" t="str">
        <f aca="false">IF($K203="","",IFERROR(INDEX(Reference!$D$53:$D$67,MATCH($K203,Reference!$B$53:$B$67,0)),""))</f>
        <v/>
      </c>
      <c r="M203" s="34"/>
      <c r="N203" s="37"/>
      <c r="O203" s="37"/>
      <c r="P203" s="34"/>
      <c r="Q203" s="35"/>
      <c r="R203" s="38" t="str">
        <f aca="false">IF($O203="","",$O203+IF(N($F203)&gt;0,Setup!$D$21,IF($Q203="Sequential",Setup!$D$20,Setup!$D$19)))</f>
        <v/>
      </c>
      <c r="S203" s="37"/>
      <c r="T203" s="35"/>
      <c r="U203" s="39" t="str">
        <f aca="true">IF($O203="","",IF($S203&lt;&gt;"",$S203-$O203,TODAY()-$O203))</f>
        <v/>
      </c>
      <c r="V203" s="36" t="str">
        <f aca="true">IF($J203="","",IF($AD203="Yes","Void",IF(COUNTIFS($D$9:$D$208,$D203,$E$9:$E$208,$E203,$F$9:$F$208,"&gt;"&amp;N($F203))&gt;0,"Superseded",IF($N203="","Not submitted",IF($S203="",IF(AND($R203&lt;&gt;"",$R203&lt;TODAY()),"Overdue with reviewer","In review"),IF(COUNTIF(Reference!$B$70:$B$80,$T203)&gt;0,"Closed","Resubmittal required"))))))</f>
        <v/>
      </c>
      <c r="W203" s="36" t="str">
        <f aca="false">IF($J203="","",IF(OR($V203="Closed",$V203="Superseded",$V203="Void"),"Closed",IF(OR($V203="Not submitted",$V203="Resubmittal required"),"Contractor","Reviewer")))</f>
        <v/>
      </c>
      <c r="X203" s="35"/>
      <c r="Y203" s="37"/>
      <c r="Z203" s="38" t="str">
        <f aca="false">IF(OR($J203="",$Y203="",$X203="",$V203="Void",$V203="Superseded"),"",$Y203-N($X203)*7-IF($Q203="Sequential",Setup!$D$20,Setup!$D$19)-Setup!$D$22)</f>
        <v/>
      </c>
      <c r="AA203" s="39" t="str">
        <f aca="true">IF($Z203="","",IF($N203&lt;&gt;"",$Z203-$N203,$Z203-TODAY()))</f>
        <v/>
      </c>
      <c r="AB203" s="36" t="str">
        <f aca="false">IF(OR($X203="",$V203="Void",$V203="Superseded"),"",IF(N($X203)&gt;=Setup!$D$23,"Long lead",""))</f>
        <v/>
      </c>
      <c r="AC203" s="40"/>
      <c r="AD203" s="41"/>
      <c r="AE203" s="41"/>
    </row>
    <row r="204" customFormat="false" ht="30" hidden="false" customHeight="true" outlineLevel="0" collapsed="false">
      <c r="A204" s="31"/>
      <c r="B204" s="32" t="str">
        <f aca="false">IF($J204="","",ROW()-8)</f>
        <v/>
      </c>
      <c r="C204" s="33" t="str">
        <f aca="false">IF($J204="","",$D204&amp;"-"&amp;TEXT($E204,"000")&amp;IF(N($F204)&gt;0,"."&amp;TEXT($F204,"00"),""))</f>
        <v/>
      </c>
      <c r="D204" s="43"/>
      <c r="E204" s="44"/>
      <c r="F204" s="44"/>
      <c r="G204" s="43"/>
      <c r="H204" s="43"/>
      <c r="I204" s="43"/>
      <c r="J204" s="43"/>
      <c r="K204" s="43"/>
      <c r="L204" s="36" t="str">
        <f aca="false">IF($K204="","",IFERROR(INDEX(Reference!$D$53:$D$67,MATCH($K204,Reference!$B$53:$B$67,0)),""))</f>
        <v/>
      </c>
      <c r="M204" s="43"/>
      <c r="N204" s="45"/>
      <c r="O204" s="45"/>
      <c r="P204" s="43"/>
      <c r="Q204" s="44"/>
      <c r="R204" s="38" t="str">
        <f aca="false">IF($O204="","",$O204+IF(N($F204)&gt;0,Setup!$D$21,IF($Q204="Sequential",Setup!$D$20,Setup!$D$19)))</f>
        <v/>
      </c>
      <c r="S204" s="45"/>
      <c r="T204" s="44"/>
      <c r="U204" s="39" t="str">
        <f aca="true">IF($O204="","",IF($S204&lt;&gt;"",$S204-$O204,TODAY()-$O204))</f>
        <v/>
      </c>
      <c r="V204" s="36" t="str">
        <f aca="true">IF($J204="","",IF($AD204="Yes","Void",IF(COUNTIFS($D$9:$D$208,$D204,$E$9:$E$208,$E204,$F$9:$F$208,"&gt;"&amp;N($F204))&gt;0,"Superseded",IF($N204="","Not submitted",IF($S204="",IF(AND($R204&lt;&gt;"",$R204&lt;TODAY()),"Overdue with reviewer","In review"),IF(COUNTIF(Reference!$B$70:$B$80,$T204)&gt;0,"Closed","Resubmittal required"))))))</f>
        <v/>
      </c>
      <c r="W204" s="36" t="str">
        <f aca="false">IF($J204="","",IF(OR($V204="Closed",$V204="Superseded",$V204="Void"),"Closed",IF(OR($V204="Not submitted",$V204="Resubmittal required"),"Contractor","Reviewer")))</f>
        <v/>
      </c>
      <c r="X204" s="44"/>
      <c r="Y204" s="45"/>
      <c r="Z204" s="38" t="str">
        <f aca="false">IF(OR($J204="",$Y204="",$X204="",$V204="Void",$V204="Superseded"),"",$Y204-N($X204)*7-IF($Q204="Sequential",Setup!$D$20,Setup!$D$19)-Setup!$D$22)</f>
        <v/>
      </c>
      <c r="AA204" s="39" t="str">
        <f aca="true">IF($Z204="","",IF($N204&lt;&gt;"",$Z204-$N204,$Z204-TODAY()))</f>
        <v/>
      </c>
      <c r="AB204" s="36" t="str">
        <f aca="false">IF(OR($X204="",$V204="Void",$V204="Superseded"),"",IF(N($X204)&gt;=Setup!$D$23,"Long lead",""))</f>
        <v/>
      </c>
      <c r="AC204" s="46"/>
      <c r="AD204" s="47"/>
      <c r="AE204" s="47"/>
    </row>
    <row r="205" customFormat="false" ht="30" hidden="false" customHeight="true" outlineLevel="0" collapsed="false">
      <c r="A205" s="31"/>
      <c r="B205" s="32" t="str">
        <f aca="false">IF($J205="","",ROW()-8)</f>
        <v/>
      </c>
      <c r="C205" s="33" t="str">
        <f aca="false">IF($J205="","",$D205&amp;"-"&amp;TEXT($E205,"000")&amp;IF(N($F205)&gt;0,"."&amp;TEXT($F205,"00"),""))</f>
        <v/>
      </c>
      <c r="D205" s="34"/>
      <c r="E205" s="35"/>
      <c r="F205" s="35"/>
      <c r="G205" s="34"/>
      <c r="H205" s="34"/>
      <c r="I205" s="34"/>
      <c r="J205" s="34"/>
      <c r="K205" s="34"/>
      <c r="L205" s="36" t="str">
        <f aca="false">IF($K205="","",IFERROR(INDEX(Reference!$D$53:$D$67,MATCH($K205,Reference!$B$53:$B$67,0)),""))</f>
        <v/>
      </c>
      <c r="M205" s="34"/>
      <c r="N205" s="37"/>
      <c r="O205" s="37"/>
      <c r="P205" s="34"/>
      <c r="Q205" s="35"/>
      <c r="R205" s="38" t="str">
        <f aca="false">IF($O205="","",$O205+IF(N($F205)&gt;0,Setup!$D$21,IF($Q205="Sequential",Setup!$D$20,Setup!$D$19)))</f>
        <v/>
      </c>
      <c r="S205" s="37"/>
      <c r="T205" s="35"/>
      <c r="U205" s="39" t="str">
        <f aca="true">IF($O205="","",IF($S205&lt;&gt;"",$S205-$O205,TODAY()-$O205))</f>
        <v/>
      </c>
      <c r="V205" s="36" t="str">
        <f aca="true">IF($J205="","",IF($AD205="Yes","Void",IF(COUNTIFS($D$9:$D$208,$D205,$E$9:$E$208,$E205,$F$9:$F$208,"&gt;"&amp;N($F205))&gt;0,"Superseded",IF($N205="","Not submitted",IF($S205="",IF(AND($R205&lt;&gt;"",$R205&lt;TODAY()),"Overdue with reviewer","In review"),IF(COUNTIF(Reference!$B$70:$B$80,$T205)&gt;0,"Closed","Resubmittal required"))))))</f>
        <v/>
      </c>
      <c r="W205" s="36" t="str">
        <f aca="false">IF($J205="","",IF(OR($V205="Closed",$V205="Superseded",$V205="Void"),"Closed",IF(OR($V205="Not submitted",$V205="Resubmittal required"),"Contractor","Reviewer")))</f>
        <v/>
      </c>
      <c r="X205" s="35"/>
      <c r="Y205" s="37"/>
      <c r="Z205" s="38" t="str">
        <f aca="false">IF(OR($J205="",$Y205="",$X205="",$V205="Void",$V205="Superseded"),"",$Y205-N($X205)*7-IF($Q205="Sequential",Setup!$D$20,Setup!$D$19)-Setup!$D$22)</f>
        <v/>
      </c>
      <c r="AA205" s="39" t="str">
        <f aca="true">IF($Z205="","",IF($N205&lt;&gt;"",$Z205-$N205,$Z205-TODAY()))</f>
        <v/>
      </c>
      <c r="AB205" s="36" t="str">
        <f aca="false">IF(OR($X205="",$V205="Void",$V205="Superseded"),"",IF(N($X205)&gt;=Setup!$D$23,"Long lead",""))</f>
        <v/>
      </c>
      <c r="AC205" s="40"/>
      <c r="AD205" s="41"/>
      <c r="AE205" s="41"/>
    </row>
    <row r="206" customFormat="false" ht="30" hidden="false" customHeight="true" outlineLevel="0" collapsed="false">
      <c r="A206" s="31"/>
      <c r="B206" s="32" t="str">
        <f aca="false">IF($J206="","",ROW()-8)</f>
        <v/>
      </c>
      <c r="C206" s="33" t="str">
        <f aca="false">IF($J206="","",$D206&amp;"-"&amp;TEXT($E206,"000")&amp;IF(N($F206)&gt;0,"."&amp;TEXT($F206,"00"),""))</f>
        <v/>
      </c>
      <c r="D206" s="43"/>
      <c r="E206" s="44"/>
      <c r="F206" s="44"/>
      <c r="G206" s="43"/>
      <c r="H206" s="43"/>
      <c r="I206" s="43"/>
      <c r="J206" s="43"/>
      <c r="K206" s="43"/>
      <c r="L206" s="36" t="str">
        <f aca="false">IF($K206="","",IFERROR(INDEX(Reference!$D$53:$D$67,MATCH($K206,Reference!$B$53:$B$67,0)),""))</f>
        <v/>
      </c>
      <c r="M206" s="43"/>
      <c r="N206" s="45"/>
      <c r="O206" s="45"/>
      <c r="P206" s="43"/>
      <c r="Q206" s="44"/>
      <c r="R206" s="38" t="str">
        <f aca="false">IF($O206="","",$O206+IF(N($F206)&gt;0,Setup!$D$21,IF($Q206="Sequential",Setup!$D$20,Setup!$D$19)))</f>
        <v/>
      </c>
      <c r="S206" s="45"/>
      <c r="T206" s="44"/>
      <c r="U206" s="39" t="str">
        <f aca="true">IF($O206="","",IF($S206&lt;&gt;"",$S206-$O206,TODAY()-$O206))</f>
        <v/>
      </c>
      <c r="V206" s="36" t="str">
        <f aca="true">IF($J206="","",IF($AD206="Yes","Void",IF(COUNTIFS($D$9:$D$208,$D206,$E$9:$E$208,$E206,$F$9:$F$208,"&gt;"&amp;N($F206))&gt;0,"Superseded",IF($N206="","Not submitted",IF($S206="",IF(AND($R206&lt;&gt;"",$R206&lt;TODAY()),"Overdue with reviewer","In review"),IF(COUNTIF(Reference!$B$70:$B$80,$T206)&gt;0,"Closed","Resubmittal required"))))))</f>
        <v/>
      </c>
      <c r="W206" s="36" t="str">
        <f aca="false">IF($J206="","",IF(OR($V206="Closed",$V206="Superseded",$V206="Void"),"Closed",IF(OR($V206="Not submitted",$V206="Resubmittal required"),"Contractor","Reviewer")))</f>
        <v/>
      </c>
      <c r="X206" s="44"/>
      <c r="Y206" s="45"/>
      <c r="Z206" s="38" t="str">
        <f aca="false">IF(OR($J206="",$Y206="",$X206="",$V206="Void",$V206="Superseded"),"",$Y206-N($X206)*7-IF($Q206="Sequential",Setup!$D$20,Setup!$D$19)-Setup!$D$22)</f>
        <v/>
      </c>
      <c r="AA206" s="39" t="str">
        <f aca="true">IF($Z206="","",IF($N206&lt;&gt;"",$Z206-$N206,$Z206-TODAY()))</f>
        <v/>
      </c>
      <c r="AB206" s="36" t="str">
        <f aca="false">IF(OR($X206="",$V206="Void",$V206="Superseded"),"",IF(N($X206)&gt;=Setup!$D$23,"Long lead",""))</f>
        <v/>
      </c>
      <c r="AC206" s="46"/>
      <c r="AD206" s="47"/>
      <c r="AE206" s="47"/>
    </row>
    <row r="207" customFormat="false" ht="30" hidden="false" customHeight="true" outlineLevel="0" collapsed="false">
      <c r="A207" s="31"/>
      <c r="B207" s="32" t="str">
        <f aca="false">IF($J207="","",ROW()-8)</f>
        <v/>
      </c>
      <c r="C207" s="33" t="str">
        <f aca="false">IF($J207="","",$D207&amp;"-"&amp;TEXT($E207,"000")&amp;IF(N($F207)&gt;0,"."&amp;TEXT($F207,"00"),""))</f>
        <v/>
      </c>
      <c r="D207" s="34"/>
      <c r="E207" s="35"/>
      <c r="F207" s="35"/>
      <c r="G207" s="34"/>
      <c r="H207" s="34"/>
      <c r="I207" s="34"/>
      <c r="J207" s="34"/>
      <c r="K207" s="34"/>
      <c r="L207" s="36" t="str">
        <f aca="false">IF($K207="","",IFERROR(INDEX(Reference!$D$53:$D$67,MATCH($K207,Reference!$B$53:$B$67,0)),""))</f>
        <v/>
      </c>
      <c r="M207" s="34"/>
      <c r="N207" s="37"/>
      <c r="O207" s="37"/>
      <c r="P207" s="34"/>
      <c r="Q207" s="35"/>
      <c r="R207" s="38" t="str">
        <f aca="false">IF($O207="","",$O207+IF(N($F207)&gt;0,Setup!$D$21,IF($Q207="Sequential",Setup!$D$20,Setup!$D$19)))</f>
        <v/>
      </c>
      <c r="S207" s="37"/>
      <c r="T207" s="35"/>
      <c r="U207" s="39" t="str">
        <f aca="true">IF($O207="","",IF($S207&lt;&gt;"",$S207-$O207,TODAY()-$O207))</f>
        <v/>
      </c>
      <c r="V207" s="36" t="str">
        <f aca="true">IF($J207="","",IF($AD207="Yes","Void",IF(COUNTIFS($D$9:$D$208,$D207,$E$9:$E$208,$E207,$F$9:$F$208,"&gt;"&amp;N($F207))&gt;0,"Superseded",IF($N207="","Not submitted",IF($S207="",IF(AND($R207&lt;&gt;"",$R207&lt;TODAY()),"Overdue with reviewer","In review"),IF(COUNTIF(Reference!$B$70:$B$80,$T207)&gt;0,"Closed","Resubmittal required"))))))</f>
        <v/>
      </c>
      <c r="W207" s="36" t="str">
        <f aca="false">IF($J207="","",IF(OR($V207="Closed",$V207="Superseded",$V207="Void"),"Closed",IF(OR($V207="Not submitted",$V207="Resubmittal required"),"Contractor","Reviewer")))</f>
        <v/>
      </c>
      <c r="X207" s="35"/>
      <c r="Y207" s="37"/>
      <c r="Z207" s="38" t="str">
        <f aca="false">IF(OR($J207="",$Y207="",$X207="",$V207="Void",$V207="Superseded"),"",$Y207-N($X207)*7-IF($Q207="Sequential",Setup!$D$20,Setup!$D$19)-Setup!$D$22)</f>
        <v/>
      </c>
      <c r="AA207" s="39" t="str">
        <f aca="true">IF($Z207="","",IF($N207&lt;&gt;"",$Z207-$N207,$Z207-TODAY()))</f>
        <v/>
      </c>
      <c r="AB207" s="36" t="str">
        <f aca="false">IF(OR($X207="",$V207="Void",$V207="Superseded"),"",IF(N($X207)&gt;=Setup!$D$23,"Long lead",""))</f>
        <v/>
      </c>
      <c r="AC207" s="40"/>
      <c r="AD207" s="41"/>
      <c r="AE207" s="41"/>
    </row>
    <row r="208" customFormat="false" ht="30" hidden="false" customHeight="true" outlineLevel="0" collapsed="false">
      <c r="A208" s="31"/>
      <c r="B208" s="32" t="str">
        <f aca="false">IF($J208="","",ROW()-8)</f>
        <v/>
      </c>
      <c r="C208" s="33" t="str">
        <f aca="false">IF($J208="","",$D208&amp;"-"&amp;TEXT($E208,"000")&amp;IF(N($F208)&gt;0,"."&amp;TEXT($F208,"00"),""))</f>
        <v/>
      </c>
      <c r="D208" s="43"/>
      <c r="E208" s="44"/>
      <c r="F208" s="44"/>
      <c r="G208" s="43"/>
      <c r="H208" s="43"/>
      <c r="I208" s="43"/>
      <c r="J208" s="43"/>
      <c r="K208" s="43"/>
      <c r="L208" s="36" t="str">
        <f aca="false">IF($K208="","",IFERROR(INDEX(Reference!$D$53:$D$67,MATCH($K208,Reference!$B$53:$B$67,0)),""))</f>
        <v/>
      </c>
      <c r="M208" s="43"/>
      <c r="N208" s="45"/>
      <c r="O208" s="45"/>
      <c r="P208" s="43"/>
      <c r="Q208" s="44"/>
      <c r="R208" s="38" t="str">
        <f aca="false">IF($O208="","",$O208+IF(N($F208)&gt;0,Setup!$D$21,IF($Q208="Sequential",Setup!$D$20,Setup!$D$19)))</f>
        <v/>
      </c>
      <c r="S208" s="45"/>
      <c r="T208" s="44"/>
      <c r="U208" s="39" t="str">
        <f aca="true">IF($O208="","",IF($S208&lt;&gt;"",$S208-$O208,TODAY()-$O208))</f>
        <v/>
      </c>
      <c r="V208" s="36" t="str">
        <f aca="true">IF($J208="","",IF($AD208="Yes","Void",IF(COUNTIFS($D$9:$D$208,$D208,$E$9:$E$208,$E208,$F$9:$F$208,"&gt;"&amp;N($F208))&gt;0,"Superseded",IF($N208="","Not submitted",IF($S208="",IF(AND($R208&lt;&gt;"",$R208&lt;TODAY()),"Overdue with reviewer","In review"),IF(COUNTIF(Reference!$B$70:$B$80,$T208)&gt;0,"Closed","Resubmittal required"))))))</f>
        <v/>
      </c>
      <c r="W208" s="36" t="str">
        <f aca="false">IF($J208="","",IF(OR($V208="Closed",$V208="Superseded",$V208="Void"),"Closed",IF(OR($V208="Not submitted",$V208="Resubmittal required"),"Contractor","Reviewer")))</f>
        <v/>
      </c>
      <c r="X208" s="44"/>
      <c r="Y208" s="45"/>
      <c r="Z208" s="38" t="str">
        <f aca="false">IF(OR($J208="",$Y208="",$X208="",$V208="Void",$V208="Superseded"),"",$Y208-N($X208)*7-IF($Q208="Sequential",Setup!$D$20,Setup!$D$19)-Setup!$D$22)</f>
        <v/>
      </c>
      <c r="AA208" s="39" t="str">
        <f aca="true">IF($Z208="","",IF($N208&lt;&gt;"",$Z208-$N208,$Z208-TODAY()))</f>
        <v/>
      </c>
      <c r="AB208" s="36" t="str">
        <f aca="false">IF(OR($X208="",$V208="Void",$V208="Superseded"),"",IF(N($X208)&gt;=Setup!$D$23,"Long lead",""))</f>
        <v/>
      </c>
      <c r="AC208" s="46"/>
      <c r="AD208" s="47"/>
      <c r="AE208" s="47"/>
    </row>
    <row r="210" customFormat="false" ht="15" hidden="false" customHeight="true" outlineLevel="0" collapsed="false">
      <c r="B210" s="22" t="s">
        <v>267</v>
      </c>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row>
    <row r="211" customFormat="false" ht="15" hidden="false" customHeight="false" outlineLevel="0" collapsed="false">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row>
    <row r="213" customFormat="false" ht="15" hidden="false" customHeight="false" outlineLevel="0" collapsed="false">
      <c r="B213" s="29" t="s">
        <v>76</v>
      </c>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row>
  </sheetData>
  <autoFilter ref="B8:AE208"/>
  <mergeCells count="6">
    <mergeCell ref="B1:AE1"/>
    <mergeCell ref="B2:AE2"/>
    <mergeCell ref="B3:N3"/>
    <mergeCell ref="B4:N4"/>
    <mergeCell ref="B210:AE211"/>
    <mergeCell ref="B213:AE213"/>
  </mergeCells>
  <conditionalFormatting sqref="B3:N3">
    <cfRule type="expression" priority="2" aboveAverage="0" equalAverage="0" bottom="0" percent="0" rank="0" text="" dxfId="18">
      <formula>LEN($B$3)&gt;0</formula>
    </cfRule>
  </conditionalFormatting>
  <conditionalFormatting sqref="V9:V208">
    <cfRule type="cellIs" priority="3" operator="equal" aboveAverage="0" equalAverage="0" bottom="0" percent="0" rank="0" text="" dxfId="19">
      <formula>"Not submitted"</formula>
    </cfRule>
    <cfRule type="cellIs" priority="4" operator="equal" aboveAverage="0" equalAverage="0" bottom="0" percent="0" rank="0" text="" dxfId="20">
      <formula>"In review"</formula>
    </cfRule>
    <cfRule type="cellIs" priority="5" operator="equal" aboveAverage="0" equalAverage="0" bottom="0" percent="0" rank="0" text="" dxfId="21">
      <formula>"Overdue with reviewer"</formula>
    </cfRule>
    <cfRule type="cellIs" priority="6" operator="equal" aboveAverage="0" equalAverage="0" bottom="0" percent="0" rank="0" text="" dxfId="22">
      <formula>"Resubmittal required"</formula>
    </cfRule>
    <cfRule type="cellIs" priority="7" operator="equal" aboveAverage="0" equalAverage="0" bottom="0" percent="0" rank="0" text="" dxfId="23">
      <formula>"Closed"</formula>
    </cfRule>
    <cfRule type="cellIs" priority="8" operator="equal" aboveAverage="0" equalAverage="0" bottom="0" percent="0" rank="0" text="" dxfId="24">
      <formula>"Superseded"</formula>
    </cfRule>
    <cfRule type="cellIs" priority="9" operator="equal" aboveAverage="0" equalAverage="0" bottom="0" percent="0" rank="0" text="" dxfId="25">
      <formula>"Void"</formula>
    </cfRule>
  </conditionalFormatting>
  <conditionalFormatting sqref="W9:W208">
    <cfRule type="cellIs" priority="10" operator="equal" aboveAverage="0" equalAverage="0" bottom="0" percent="0" rank="0" text="" dxfId="26">
      <formula>"Contractor"</formula>
    </cfRule>
    <cfRule type="cellIs" priority="11" operator="equal" aboveAverage="0" equalAverage="0" bottom="0" percent="0" rank="0" text="" dxfId="20">
      <formula>"Reviewer"</formula>
    </cfRule>
    <cfRule type="cellIs" priority="12" operator="equal" aboveAverage="0" equalAverage="0" bottom="0" percent="0" rank="0" text="" dxfId="23">
      <formula>"Closed"</formula>
    </cfRule>
  </conditionalFormatting>
  <conditionalFormatting sqref="AA9:AA208">
    <cfRule type="cellIs" priority="13" operator="lessThan" aboveAverage="0" equalAverage="0" bottom="0" percent="0" rank="0" text="" dxfId="21">
      <formula>0</formula>
    </cfRule>
    <cfRule type="cellIs" priority="14" operator="between" aboveAverage="0" equalAverage="0" bottom="0" percent="0" rank="0" text="" dxfId="26">
      <formula>0</formula>
      <formula>14</formula>
    </cfRule>
  </conditionalFormatting>
  <conditionalFormatting sqref="AB9:AB208">
    <cfRule type="cellIs" priority="15" operator="equal" aboveAverage="0" equalAverage="0" bottom="0" percent="0" rank="0" text="" dxfId="22">
      <formula>"Long lead"</formula>
    </cfRule>
  </conditionalFormatting>
  <conditionalFormatting sqref="AC9:AC208">
    <cfRule type="cellIs" priority="16" operator="equal" aboveAverage="0" equalAverage="0" bottom="0" percent="0" rank="0" text="" dxfId="27">
      <formula>"Yes"</formula>
    </cfRule>
  </conditionalFormatting>
  <conditionalFormatting sqref="L9:L208">
    <cfRule type="cellIs" priority="17" operator="equal" aboveAverage="0" equalAverage="0" bottom="0" percent="0" rank="0" text="" dxfId="28">
      <formula>"Action"</formula>
    </cfRule>
  </conditionalFormatting>
  <conditionalFormatting sqref="U9:U208">
    <cfRule type="expression" priority="18" aboveAverage="0" equalAverage="0" bottom="0" percent="0" rank="0" text="" dxfId="29">
      <formula>AND($V9="Overdue with reviewer",$U9&lt;&gt;"")</formula>
    </cfRule>
  </conditionalFormatting>
  <conditionalFormatting sqref="B9:K208">
    <cfRule type="expression" priority="19" aboveAverage="0" equalAverage="0" bottom="0" percent="0" rank="0" text="" dxfId="30">
      <formula>OR($V9="Superseded",$V9="Void")</formula>
    </cfRule>
  </conditionalFormatting>
  <dataValidations count="7">
    <dataValidation allowBlank="true" errorStyle="stop" operator="between" showDropDown="false" showErrorMessage="false" showInputMessage="false" sqref="H9:H208" type="list">
      <formula1>Reference!$B$7:$B$41</formula1>
      <formula2>0</formula2>
    </dataValidation>
    <dataValidation allowBlank="true" errorStyle="stop" operator="between" showDropDown="false" showErrorMessage="false" showInputMessage="false" sqref="K9:K208" type="list">
      <formula1>Reference!$D$7:$D$21</formula1>
      <formula2>0</formula2>
    </dataValidation>
    <dataValidation allowBlank="true" errorStyle="stop" operator="between" showDropDown="false" showErrorMessage="false" showInputMessage="false" sqref="Q9:Q208" type="list">
      <formula1>Reference!$H$44:$H$45</formula1>
      <formula2>0</formula2>
    </dataValidation>
    <dataValidation allowBlank="true" errorStyle="stop" operator="between" showDropDown="false" showErrorMessage="false" showInputMessage="false" sqref="T9:T208" type="list">
      <formula1>Reference!$F$7:$F$27</formula1>
      <formula2>0</formula2>
    </dataValidation>
    <dataValidation allowBlank="true" errorStyle="stop" operator="between" showDropDown="false" showErrorMessage="false" showInputMessage="false" sqref="AC9:AC208" type="list">
      <formula1>Reference!$H$48:$H$49</formula1>
      <formula2>0</formula2>
    </dataValidation>
    <dataValidation allowBlank="true" errorStyle="stop" operator="between" showDropDown="false" showErrorMessage="false" showInputMessage="false" sqref="AD9:AD208" type="list">
      <formula1>Reference!$H$48:$H$49</formula1>
      <formula2>0</formula2>
    </dataValidation>
    <dataValidation allowBlank="true" errorStyle="stop" operator="between" showDropDown="false" showErrorMessage="false" showInputMessage="false" sqref="I9:I208" type="list">
      <formula1>Reference!$H$7:$H$18</formula1>
      <formula2>0</formula2>
    </dataValidation>
  </dataValidations>
  <hyperlinks>
    <hyperlink ref="B213" r:id="rId1" display="Built with Mastt  |  mastt.com"/>
  </hyperlinks>
  <printOptions headings="false" gridLines="false" gridLinesSet="true" horizontalCentered="false" verticalCentered="false"/>
  <pageMargins left="0.3" right="0.3" top="1" bottom="1" header="0.511811023622047" footer="0.511811023622047"/>
  <pageSetup paperSize="8" scale="100" fitToWidth="2"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J66"/>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3"/>
    <col collapsed="false" customWidth="true" hidden="false" outlineLevel="0" max="4" min="3" style="0" width="8"/>
    <col collapsed="false" customWidth="true" hidden="false" outlineLevel="0" max="5" min="5" style="0" width="12"/>
    <col collapsed="false" customWidth="true" hidden="false" outlineLevel="0" max="6" min="6" style="0" width="2"/>
    <col collapsed="false" customWidth="true" hidden="false" outlineLevel="0" max="7" min="7" style="0" width="27"/>
    <col collapsed="false" customWidth="true" hidden="false" outlineLevel="0" max="9" min="8" style="0" width="8"/>
    <col collapsed="false" customWidth="true" hidden="false" outlineLevel="0" max="10" min="10" style="0" width="10"/>
    <col collapsed="false" customWidth="true" hidden="false" outlineLevel="0" max="11" min="11" style="0" width="2.2"/>
  </cols>
  <sheetData>
    <row r="1" customFormat="false" ht="33.75" hidden="false" customHeight="true" outlineLevel="0" collapsed="false">
      <c r="B1" s="20" t="s">
        <v>268</v>
      </c>
      <c r="C1" s="20"/>
      <c r="D1" s="20"/>
      <c r="E1" s="20"/>
      <c r="F1" s="20"/>
      <c r="G1" s="20"/>
      <c r="H1" s="20"/>
      <c r="I1" s="20"/>
      <c r="J1" s="20"/>
    </row>
    <row r="2" customFormat="false" ht="4.5" hidden="false" customHeight="true" outlineLevel="0" collapsed="false">
      <c r="B2" s="21"/>
      <c r="C2" s="21"/>
      <c r="D2" s="21"/>
      <c r="E2" s="21"/>
      <c r="F2" s="21"/>
      <c r="G2" s="21"/>
      <c r="H2" s="21"/>
      <c r="I2" s="21"/>
      <c r="J2" s="21"/>
    </row>
    <row r="3" customFormat="false" ht="16.5" hidden="false" customHeight="true" outlineLevel="0" collapsed="false">
      <c r="B3" s="30" t="str">
        <f aca="false">IF(COUNTIF('Submittal Log'!$AE$9:$AE$208,"EXAMPLE*")=0,"","EXAMPLE DATA - 26 rows are worked examples. Delete them and this banner clears.")</f>
        <v>EXAMPLE DATA - 26 rows are worked examples. Delete them and this banner clears.</v>
      </c>
      <c r="C3" s="30"/>
      <c r="D3" s="30"/>
      <c r="E3" s="30"/>
      <c r="F3" s="30"/>
      <c r="G3" s="30"/>
      <c r="H3" s="30"/>
      <c r="I3" s="30"/>
      <c r="J3" s="30"/>
    </row>
    <row r="4" customFormat="false" ht="25.5" hidden="false" customHeight="true" outlineLevel="0" collapsed="false">
      <c r="B4" s="22" t="s">
        <v>269</v>
      </c>
      <c r="C4" s="22"/>
      <c r="D4" s="22"/>
      <c r="E4" s="22"/>
      <c r="F4" s="22"/>
      <c r="G4" s="22"/>
      <c r="H4" s="22"/>
      <c r="I4" s="22"/>
      <c r="J4" s="22"/>
    </row>
    <row r="6" customFormat="false" ht="21.75" hidden="false" customHeight="true" outlineLevel="0" collapsed="false">
      <c r="B6" s="5" t="s">
        <v>270</v>
      </c>
      <c r="C6" s="5"/>
      <c r="D6" s="5"/>
      <c r="E6" s="5"/>
      <c r="F6" s="5"/>
      <c r="G6" s="5"/>
      <c r="H6" s="5"/>
      <c r="I6" s="5"/>
      <c r="J6" s="5"/>
    </row>
    <row r="7" customFormat="false" ht="24.75" hidden="false" customHeight="true" outlineLevel="0" collapsed="false">
      <c r="B7" s="27" t="s">
        <v>69</v>
      </c>
      <c r="C7" s="27"/>
      <c r="D7" s="28" t="n">
        <f aca="false">COUNTIF('Submittal Log'!$J$9:$J$208,"?*")</f>
        <v>26</v>
      </c>
      <c r="E7" s="28"/>
      <c r="G7" s="27" t="s">
        <v>72</v>
      </c>
      <c r="H7" s="27"/>
      <c r="I7" s="28" t="n">
        <f aca="false">COUNTIFS('Submittal Log'!$V$9:$V$208,"Overdue with reviewer")</f>
        <v>3</v>
      </c>
      <c r="J7" s="28"/>
    </row>
    <row r="8" customFormat="false" ht="24.75" hidden="false" customHeight="true" outlineLevel="0" collapsed="false">
      <c r="B8" s="27" t="s">
        <v>70</v>
      </c>
      <c r="C8" s="27"/>
      <c r="D8" s="28" t="n">
        <f aca="false">COUNTIFS('Submittal Log'!$L$9:$L$208,"Action")</f>
        <v>22</v>
      </c>
      <c r="E8" s="28"/>
      <c r="G8" s="27" t="s">
        <v>73</v>
      </c>
      <c r="H8" s="27"/>
      <c r="I8" s="28" t="n">
        <f aca="false">COUNTIFS('Submittal Log'!$V$9:$V$208,"Resubmittal required")</f>
        <v>2</v>
      </c>
      <c r="J8" s="28"/>
    </row>
    <row r="9" customFormat="false" ht="24.75" hidden="false" customHeight="true" outlineLevel="0" collapsed="false">
      <c r="B9" s="27" t="s">
        <v>271</v>
      </c>
      <c r="C9" s="27"/>
      <c r="D9" s="28" t="n">
        <f aca="false">COUNTIFS('Submittal Log'!$V$9:$V$208,"Closed")</f>
        <v>12</v>
      </c>
      <c r="E9" s="28"/>
      <c r="G9" s="27" t="s">
        <v>74</v>
      </c>
      <c r="H9" s="27"/>
      <c r="I9" s="28" t="n">
        <f aca="false">COUNTIFS('Submittal Log'!$AA$9:$AA$208,"&lt;0",'Submittal Log'!$J$9:$J$208,"?*",'Submittal Log'!$V$9:$V$208,"&lt;&gt;Closed",'Submittal Log'!$V$9:$V$208,"&lt;&gt;Superseded",'Submittal Log'!$V$9:$V$208,"&lt;&gt;Void")</f>
        <v>4</v>
      </c>
      <c r="J9" s="28"/>
    </row>
    <row r="10" customFormat="false" ht="24.75" hidden="false" customHeight="true" outlineLevel="0" collapsed="false">
      <c r="B10" s="27" t="s">
        <v>272</v>
      </c>
      <c r="C10" s="27"/>
      <c r="D10" s="28" t="n">
        <f aca="false">COUNTIFS('Submittal Log'!$J$9:$J$208,"?*",'Submittal Log'!$V$9:$V$208,"&lt;&gt;Closed",'Submittal Log'!$V$9:$V$208,"&lt;&gt;Superseded",'Submittal Log'!$V$9:$V$208,"&lt;&gt;Void")</f>
        <v>12</v>
      </c>
      <c r="E10" s="28"/>
      <c r="G10" s="27" t="s">
        <v>273</v>
      </c>
      <c r="H10" s="27"/>
      <c r="I10" s="49" t="n">
        <f aca="false">IFERROR((COUNTIFS('Submittal Log'!$F$9:$F$208,0,'Submittal Log'!$T$9:$T$208,"Approved")+COUNTIFS('Submittal Log'!$F$9:$F$208,0,'Submittal Log'!$T$9:$T$208,"Approved as Noted")+COUNTIFS('Submittal Log'!$F$9:$F$208,0,'Submittal Log'!$T$9:$T$208,"Approved as Submitted")+COUNTIFS('Submittal Log'!$F$9:$F$208,0,'Submittal Log'!$T$9:$T$208,"Accepted")+COUNTIFS('Submittal Log'!$F$9:$F$208,0,'Submittal Log'!$T$9:$T$208,"No Exceptions Taken")+COUNTIFS('Submittal Log'!$F$9:$F$208,0,'Submittal Log'!$T$9:$T$208,"Make Corrections Noted")+COUNTIFS('Submittal Log'!$F$9:$F$208,0,'Submittal Log'!$T$9:$T$208,"A1 Authorised and accepted")+COUNTIFS('Submittal Log'!$F$9:$F$208,0,'Submittal Log'!$T$9:$T$208,"A2 Authorised with minor comments"))/COUNTIFS('Submittal Log'!$F$9:$F$208,0,'Submittal Log'!$T$9:$T$208,"?*"),0)</f>
        <v>0.785714285714286</v>
      </c>
      <c r="J10" s="49"/>
    </row>
    <row r="11" customFormat="false" ht="25.5" hidden="false" customHeight="true" outlineLevel="0" collapsed="false">
      <c r="B11" s="22" t="s">
        <v>274</v>
      </c>
      <c r="C11" s="22"/>
      <c r="D11" s="22"/>
      <c r="E11" s="22"/>
      <c r="F11" s="22"/>
      <c r="G11" s="22"/>
      <c r="H11" s="22"/>
      <c r="I11" s="22"/>
      <c r="J11" s="22"/>
    </row>
    <row r="12" customFormat="false" ht="15.75" hidden="false" customHeight="true" outlineLevel="0" collapsed="false">
      <c r="G12" s="22" t="s">
        <v>275</v>
      </c>
      <c r="H12" s="22"/>
      <c r="I12" s="22"/>
      <c r="J12" s="22"/>
    </row>
    <row r="13" customFormat="false" ht="19.5" hidden="false" customHeight="true" outlineLevel="0" collapsed="false">
      <c r="B13" s="50" t="s">
        <v>276</v>
      </c>
      <c r="C13" s="50"/>
      <c r="D13" s="50"/>
      <c r="E13" s="50"/>
      <c r="G13" s="50" t="s">
        <v>277</v>
      </c>
      <c r="H13" s="50"/>
      <c r="I13" s="50"/>
      <c r="J13" s="50"/>
    </row>
    <row r="14" customFormat="false" ht="18.75" hidden="false" customHeight="true" outlineLevel="0" collapsed="false">
      <c r="B14" s="9" t="s">
        <v>99</v>
      </c>
      <c r="C14" s="9" t="s">
        <v>278</v>
      </c>
      <c r="D14" s="9" t="s">
        <v>279</v>
      </c>
      <c r="E14" s="9"/>
      <c r="G14" s="9" t="s">
        <v>86</v>
      </c>
      <c r="H14" s="9" t="s">
        <v>278</v>
      </c>
      <c r="I14" s="9" t="s">
        <v>279</v>
      </c>
      <c r="J14" s="9"/>
    </row>
    <row r="15" customFormat="false" ht="16.5" hidden="false" customHeight="true" outlineLevel="0" collapsed="false">
      <c r="B15" s="12" t="s">
        <v>280</v>
      </c>
      <c r="C15" s="51" t="n">
        <f aca="false">COUNTIFS('Submittal Log'!$V$9:$V$208,"Not submitted")</f>
        <v>4</v>
      </c>
      <c r="D15" s="52" t="n">
        <f aca="false">IFERROR(COUNTIFS('Submittal Log'!$V$9:$V$208,"Not submitted")/COUNTIF('Submittal Log'!$J$9:$J$208,"?*"),0)</f>
        <v>0.153846153846154</v>
      </c>
      <c r="E15" s="53" t="str">
        <f aca="false">IF(COUNTIFS('Submittal Log'!$V$9:$V$208,"Not submitted")=0,"",REPT("|",ROUND(IFERROR(COUNTIFS('Submittal Log'!$V$9:$V$208,"Not submitted")/COUNTIF('Submittal Log'!$J$9:$J$208,"?*"),0)*12,0)))</f>
        <v>||</v>
      </c>
      <c r="G15" s="12" t="s">
        <v>112</v>
      </c>
      <c r="H15" s="51" t="n">
        <f aca="false">COUNTIFS('Submittal Log'!$I$9:$I$208,"Structure",'Submittal Log'!$V$9:$V$208,"&lt;&gt;Closed",'Submittal Log'!$V$9:$V$208,"&lt;&gt;Superseded",'Submittal Log'!$V$9:$V$208,"&lt;&gt;Void")</f>
        <v>0</v>
      </c>
      <c r="I15" s="52" t="n">
        <f aca="false">IFERROR(COUNTIFS('Submittal Log'!$I$9:$I$208,"Structure",'Submittal Log'!$V$9:$V$208,"&lt;&gt;Closed",'Submittal Log'!$V$9:$V$208,"&lt;&gt;Superseded",'Submittal Log'!$V$9:$V$208,"&lt;&gt;Void")/COUNTIF('Submittal Log'!$J$9:$J$208,"?*"),0)</f>
        <v>0</v>
      </c>
      <c r="J15" s="53" t="str">
        <f aca="false">IF(COUNTIFS('Submittal Log'!$I$9:$I$208,"Structure",'Submittal Log'!$V$9:$V$208,"&lt;&gt;Closed",'Submittal Log'!$V$9:$V$208,"&lt;&gt;Superseded",'Submittal Log'!$V$9:$V$208,"&lt;&gt;Void")=0,"",REPT("|",ROUND(IFERROR(COUNTIFS('Submittal Log'!$I$9:$I$208,"Structure",'Submittal Log'!$V$9:$V$208,"&lt;&gt;Closed",'Submittal Log'!$V$9:$V$208,"&lt;&gt;Superseded",'Submittal Log'!$V$9:$V$208,"&lt;&gt;Void")/COUNTIF('Submittal Log'!$J$9:$J$208,"?*"),0)*12,0)))</f>
        <v/>
      </c>
    </row>
    <row r="16" customFormat="false" ht="16.5" hidden="false" customHeight="true" outlineLevel="0" collapsed="false">
      <c r="B16" s="15" t="s">
        <v>281</v>
      </c>
      <c r="C16" s="54" t="n">
        <f aca="false">COUNTIFS('Submittal Log'!$V$9:$V$208,"In review")</f>
        <v>3</v>
      </c>
      <c r="D16" s="55" t="n">
        <f aca="false">IFERROR(COUNTIFS('Submittal Log'!$V$9:$V$208,"In review")/COUNTIF('Submittal Log'!$J$9:$J$208,"?*"),0)</f>
        <v>0.115384615384615</v>
      </c>
      <c r="E16" s="56" t="str">
        <f aca="false">IF(COUNTIFS('Submittal Log'!$V$9:$V$208,"In review")=0,"",REPT("|",ROUND(IFERROR(COUNTIFS('Submittal Log'!$V$9:$V$208,"In review")/COUNTIF('Submittal Log'!$J$9:$J$208,"?*"),0)*12,0)))</f>
        <v>|</v>
      </c>
      <c r="G16" s="15" t="s">
        <v>135</v>
      </c>
      <c r="H16" s="54" t="n">
        <f aca="false">COUNTIFS('Submittal Log'!$I$9:$I$208,"Envelope",'Submittal Log'!$V$9:$V$208,"&lt;&gt;Closed",'Submittal Log'!$V$9:$V$208,"&lt;&gt;Superseded",'Submittal Log'!$V$9:$V$208,"&lt;&gt;Void")</f>
        <v>1</v>
      </c>
      <c r="I16" s="55" t="n">
        <f aca="false">IFERROR(COUNTIFS('Submittal Log'!$I$9:$I$208,"Envelope",'Submittal Log'!$V$9:$V$208,"&lt;&gt;Closed",'Submittal Log'!$V$9:$V$208,"&lt;&gt;Superseded",'Submittal Log'!$V$9:$V$208,"&lt;&gt;Void")/COUNTIF('Submittal Log'!$J$9:$J$208,"?*"),0)</f>
        <v>0.0384615384615385</v>
      </c>
      <c r="J16" s="56" t="str">
        <f aca="false">IF(COUNTIFS('Submittal Log'!$I$9:$I$208,"Envelope",'Submittal Log'!$V$9:$V$208,"&lt;&gt;Closed",'Submittal Log'!$V$9:$V$208,"&lt;&gt;Superseded",'Submittal Log'!$V$9:$V$208,"&lt;&gt;Void")=0,"",REPT("|",ROUND(IFERROR(COUNTIFS('Submittal Log'!$I$9:$I$208,"Envelope",'Submittal Log'!$V$9:$V$208,"&lt;&gt;Closed",'Submittal Log'!$V$9:$V$208,"&lt;&gt;Superseded",'Submittal Log'!$V$9:$V$208,"&lt;&gt;Void")/COUNTIF('Submittal Log'!$J$9:$J$208,"?*"),0)*12,0)))</f>
        <v/>
      </c>
    </row>
    <row r="17" customFormat="false" ht="16.5" hidden="false" customHeight="true" outlineLevel="0" collapsed="false">
      <c r="B17" s="12" t="s">
        <v>282</v>
      </c>
      <c r="C17" s="51" t="n">
        <f aca="false">COUNTIFS('Submittal Log'!$V$9:$V$208,"Overdue with reviewer")</f>
        <v>3</v>
      </c>
      <c r="D17" s="52" t="n">
        <f aca="false">IFERROR(COUNTIFS('Submittal Log'!$V$9:$V$208,"Overdue with reviewer")/COUNTIF('Submittal Log'!$J$9:$J$208,"?*"),0)</f>
        <v>0.115384615384615</v>
      </c>
      <c r="E17" s="53" t="str">
        <f aca="false">IF(COUNTIFS('Submittal Log'!$V$9:$V$208,"Overdue with reviewer")=0,"",REPT("|",ROUND(IFERROR(COUNTIFS('Submittal Log'!$V$9:$V$208,"Overdue with reviewer")/COUNTIF('Submittal Log'!$J$9:$J$208,"?*"),0)*12,0)))</f>
        <v>|</v>
      </c>
      <c r="G17" s="12" t="s">
        <v>149</v>
      </c>
      <c r="H17" s="51" t="n">
        <f aca="false">COUNTIFS('Submittal Log'!$I$9:$I$208,"Fit-out",'Submittal Log'!$V$9:$V$208,"&lt;&gt;Closed",'Submittal Log'!$V$9:$V$208,"&lt;&gt;Superseded",'Submittal Log'!$V$9:$V$208,"&lt;&gt;Void")</f>
        <v>4</v>
      </c>
      <c r="I17" s="52" t="n">
        <f aca="false">IFERROR(COUNTIFS('Submittal Log'!$I$9:$I$208,"Fit-out",'Submittal Log'!$V$9:$V$208,"&lt;&gt;Closed",'Submittal Log'!$V$9:$V$208,"&lt;&gt;Superseded",'Submittal Log'!$V$9:$V$208,"&lt;&gt;Void")/COUNTIF('Submittal Log'!$J$9:$J$208,"?*"),0)</f>
        <v>0.153846153846154</v>
      </c>
      <c r="J17" s="53" t="str">
        <f aca="false">IF(COUNTIFS('Submittal Log'!$I$9:$I$208,"Fit-out",'Submittal Log'!$V$9:$V$208,"&lt;&gt;Closed",'Submittal Log'!$V$9:$V$208,"&lt;&gt;Superseded",'Submittal Log'!$V$9:$V$208,"&lt;&gt;Void")=0,"",REPT("|",ROUND(IFERROR(COUNTIFS('Submittal Log'!$I$9:$I$208,"Fit-out",'Submittal Log'!$V$9:$V$208,"&lt;&gt;Closed",'Submittal Log'!$V$9:$V$208,"&lt;&gt;Superseded",'Submittal Log'!$V$9:$V$208,"&lt;&gt;Void")/COUNTIF('Submittal Log'!$J$9:$J$208,"?*"),0)*12,0)))</f>
        <v>||</v>
      </c>
    </row>
    <row r="18" customFormat="false" ht="16.5" hidden="false" customHeight="true" outlineLevel="0" collapsed="false">
      <c r="B18" s="15" t="s">
        <v>283</v>
      </c>
      <c r="C18" s="54" t="n">
        <f aca="false">COUNTIFS('Submittal Log'!$V$9:$V$208,"Resubmittal required")</f>
        <v>2</v>
      </c>
      <c r="D18" s="55" t="n">
        <f aca="false">IFERROR(COUNTIFS('Submittal Log'!$V$9:$V$208,"Resubmittal required")/COUNTIF('Submittal Log'!$J$9:$J$208,"?*"),0)</f>
        <v>0.0769230769230769</v>
      </c>
      <c r="E18" s="56" t="str">
        <f aca="false">IF(COUNTIFS('Submittal Log'!$V$9:$V$208,"Resubmittal required")=0,"",REPT("|",ROUND(IFERROR(COUNTIFS('Submittal Log'!$V$9:$V$208,"Resubmittal required")/COUNTIF('Submittal Log'!$J$9:$J$208,"?*"),0)*12,0)))</f>
        <v>|</v>
      </c>
      <c r="G18" s="15" t="s">
        <v>182</v>
      </c>
      <c r="H18" s="54" t="n">
        <f aca="false">COUNTIFS('Submittal Log'!$I$9:$I$208,"Mechanical",'Submittal Log'!$V$9:$V$208,"&lt;&gt;Closed",'Submittal Log'!$V$9:$V$208,"&lt;&gt;Superseded",'Submittal Log'!$V$9:$V$208,"&lt;&gt;Void")</f>
        <v>1</v>
      </c>
      <c r="I18" s="55" t="n">
        <f aca="false">IFERROR(COUNTIFS('Submittal Log'!$I$9:$I$208,"Mechanical",'Submittal Log'!$V$9:$V$208,"&lt;&gt;Closed",'Submittal Log'!$V$9:$V$208,"&lt;&gt;Superseded",'Submittal Log'!$V$9:$V$208,"&lt;&gt;Void")/COUNTIF('Submittal Log'!$J$9:$J$208,"?*"),0)</f>
        <v>0.0384615384615385</v>
      </c>
      <c r="J18" s="56" t="str">
        <f aca="false">IF(COUNTIFS('Submittal Log'!$I$9:$I$208,"Mechanical",'Submittal Log'!$V$9:$V$208,"&lt;&gt;Closed",'Submittal Log'!$V$9:$V$208,"&lt;&gt;Superseded",'Submittal Log'!$V$9:$V$208,"&lt;&gt;Void")=0,"",REPT("|",ROUND(IFERROR(COUNTIFS('Submittal Log'!$I$9:$I$208,"Mechanical",'Submittal Log'!$V$9:$V$208,"&lt;&gt;Closed",'Submittal Log'!$V$9:$V$208,"&lt;&gt;Superseded",'Submittal Log'!$V$9:$V$208,"&lt;&gt;Void")/COUNTIF('Submittal Log'!$J$9:$J$208,"?*"),0)*12,0)))</f>
        <v/>
      </c>
    </row>
    <row r="19" customFormat="false" ht="16.5" hidden="false" customHeight="true" outlineLevel="0" collapsed="false">
      <c r="B19" s="12" t="s">
        <v>271</v>
      </c>
      <c r="C19" s="51" t="n">
        <f aca="false">COUNTIFS('Submittal Log'!$V$9:$V$208,"Closed")</f>
        <v>12</v>
      </c>
      <c r="D19" s="52" t="n">
        <f aca="false">IFERROR(COUNTIFS('Submittal Log'!$V$9:$V$208,"Closed")/COUNTIF('Submittal Log'!$J$9:$J$208,"?*"),0)</f>
        <v>0.461538461538462</v>
      </c>
      <c r="E19" s="53" t="str">
        <f aca="false">IF(COUNTIFS('Submittal Log'!$V$9:$V$208,"Closed")=0,"",REPT("|",ROUND(IFERROR(COUNTIFS('Submittal Log'!$V$9:$V$208,"Closed")/COUNTIF('Submittal Log'!$J$9:$J$208,"?*"),0)*12,0)))</f>
        <v>||||||</v>
      </c>
      <c r="G19" s="12" t="s">
        <v>193</v>
      </c>
      <c r="H19" s="51" t="n">
        <f aca="false">COUNTIFS('Submittal Log'!$I$9:$I$208,"Electrical",'Submittal Log'!$V$9:$V$208,"&lt;&gt;Closed",'Submittal Log'!$V$9:$V$208,"&lt;&gt;Superseded",'Submittal Log'!$V$9:$V$208,"&lt;&gt;Void")</f>
        <v>2</v>
      </c>
      <c r="I19" s="52" t="n">
        <f aca="false">IFERROR(COUNTIFS('Submittal Log'!$I$9:$I$208,"Electrical",'Submittal Log'!$V$9:$V$208,"&lt;&gt;Closed",'Submittal Log'!$V$9:$V$208,"&lt;&gt;Superseded",'Submittal Log'!$V$9:$V$208,"&lt;&gt;Void")/COUNTIF('Submittal Log'!$J$9:$J$208,"?*"),0)</f>
        <v>0.0769230769230769</v>
      </c>
      <c r="J19" s="53" t="str">
        <f aca="false">IF(COUNTIFS('Submittal Log'!$I$9:$I$208,"Electrical",'Submittal Log'!$V$9:$V$208,"&lt;&gt;Closed",'Submittal Log'!$V$9:$V$208,"&lt;&gt;Superseded",'Submittal Log'!$V$9:$V$208,"&lt;&gt;Void")=0,"",REPT("|",ROUND(IFERROR(COUNTIFS('Submittal Log'!$I$9:$I$208,"Electrical",'Submittal Log'!$V$9:$V$208,"&lt;&gt;Closed",'Submittal Log'!$V$9:$V$208,"&lt;&gt;Superseded",'Submittal Log'!$V$9:$V$208,"&lt;&gt;Void")/COUNTIF('Submittal Log'!$J$9:$J$208,"?*"),0)*12,0)))</f>
        <v>|</v>
      </c>
    </row>
    <row r="20" customFormat="false" ht="16.5" hidden="false" customHeight="true" outlineLevel="0" collapsed="false">
      <c r="B20" s="15" t="s">
        <v>284</v>
      </c>
      <c r="C20" s="54" t="n">
        <f aca="false">COUNTIFS('Submittal Log'!$V$9:$V$208,"Superseded")</f>
        <v>1</v>
      </c>
      <c r="D20" s="55" t="n">
        <f aca="false">IFERROR(COUNTIFS('Submittal Log'!$V$9:$V$208,"Superseded")/COUNTIF('Submittal Log'!$J$9:$J$208,"?*"),0)</f>
        <v>0.0384615384615385</v>
      </c>
      <c r="E20" s="56" t="str">
        <f aca="false">IF(COUNTIFS('Submittal Log'!$V$9:$V$208,"Superseded")=0,"",REPT("|",ROUND(IFERROR(COUNTIFS('Submittal Log'!$V$9:$V$208,"Superseded")/COUNTIF('Submittal Log'!$J$9:$J$208,"?*"),0)*12,0)))</f>
        <v/>
      </c>
      <c r="G20" s="15" t="s">
        <v>176</v>
      </c>
      <c r="H20" s="54" t="n">
        <f aca="false">COUNTIFS('Submittal Log'!$I$9:$I$208,"Hydraulic",'Submittal Log'!$V$9:$V$208,"&lt;&gt;Closed",'Submittal Log'!$V$9:$V$208,"&lt;&gt;Superseded",'Submittal Log'!$V$9:$V$208,"&lt;&gt;Void")</f>
        <v>0</v>
      </c>
      <c r="I20" s="55" t="n">
        <f aca="false">IFERROR(COUNTIFS('Submittal Log'!$I$9:$I$208,"Hydraulic",'Submittal Log'!$V$9:$V$208,"&lt;&gt;Closed",'Submittal Log'!$V$9:$V$208,"&lt;&gt;Superseded",'Submittal Log'!$V$9:$V$208,"&lt;&gt;Void")/COUNTIF('Submittal Log'!$J$9:$J$208,"?*"),0)</f>
        <v>0</v>
      </c>
      <c r="J20" s="56" t="str">
        <f aca="false">IF(COUNTIFS('Submittal Log'!$I$9:$I$208,"Hydraulic",'Submittal Log'!$V$9:$V$208,"&lt;&gt;Closed",'Submittal Log'!$V$9:$V$208,"&lt;&gt;Superseded",'Submittal Log'!$V$9:$V$208,"&lt;&gt;Void")=0,"",REPT("|",ROUND(IFERROR(COUNTIFS('Submittal Log'!$I$9:$I$208,"Hydraulic",'Submittal Log'!$V$9:$V$208,"&lt;&gt;Closed",'Submittal Log'!$V$9:$V$208,"&lt;&gt;Superseded",'Submittal Log'!$V$9:$V$208,"&lt;&gt;Void")/COUNTIF('Submittal Log'!$J$9:$J$208,"?*"),0)*12,0)))</f>
        <v/>
      </c>
    </row>
    <row r="21" customFormat="false" ht="16.5" hidden="false" customHeight="true" outlineLevel="0" collapsed="false">
      <c r="B21" s="12" t="s">
        <v>107</v>
      </c>
      <c r="C21" s="51" t="n">
        <f aca="false">COUNTIFS('Submittal Log'!$V$9:$V$208,"Void")</f>
        <v>1</v>
      </c>
      <c r="D21" s="52" t="n">
        <f aca="false">IFERROR(COUNTIFS('Submittal Log'!$V$9:$V$208,"Void")/COUNTIF('Submittal Log'!$J$9:$J$208,"?*"),0)</f>
        <v>0.0384615384615385</v>
      </c>
      <c r="E21" s="53" t="str">
        <f aca="false">IF(COUNTIFS('Submittal Log'!$V$9:$V$208,"Void")=0,"",REPT("|",ROUND(IFERROR(COUNTIFS('Submittal Log'!$V$9:$V$208,"Void")/COUNTIF('Submittal Log'!$J$9:$J$208,"?*"),0)*12,0)))</f>
        <v/>
      </c>
      <c r="G21" s="12" t="s">
        <v>168</v>
      </c>
      <c r="H21" s="51" t="n">
        <f aca="false">COUNTIFS('Submittal Log'!$I$9:$I$208,"Fire",'Submittal Log'!$V$9:$V$208,"&lt;&gt;Closed",'Submittal Log'!$V$9:$V$208,"&lt;&gt;Superseded",'Submittal Log'!$V$9:$V$208,"&lt;&gt;Void")</f>
        <v>1</v>
      </c>
      <c r="I21" s="52" t="n">
        <f aca="false">IFERROR(COUNTIFS('Submittal Log'!$I$9:$I$208,"Fire",'Submittal Log'!$V$9:$V$208,"&lt;&gt;Closed",'Submittal Log'!$V$9:$V$208,"&lt;&gt;Superseded",'Submittal Log'!$V$9:$V$208,"&lt;&gt;Void")/COUNTIF('Submittal Log'!$J$9:$J$208,"?*"),0)</f>
        <v>0.0384615384615385</v>
      </c>
      <c r="J21" s="53" t="str">
        <f aca="false">IF(COUNTIFS('Submittal Log'!$I$9:$I$208,"Fire",'Submittal Log'!$V$9:$V$208,"&lt;&gt;Closed",'Submittal Log'!$V$9:$V$208,"&lt;&gt;Superseded",'Submittal Log'!$V$9:$V$208,"&lt;&gt;Void")=0,"",REPT("|",ROUND(IFERROR(COUNTIFS('Submittal Log'!$I$9:$I$208,"Fire",'Submittal Log'!$V$9:$V$208,"&lt;&gt;Closed",'Submittal Log'!$V$9:$V$208,"&lt;&gt;Superseded",'Submittal Log'!$V$9:$V$208,"&lt;&gt;Void")/COUNTIF('Submittal Log'!$J$9:$J$208,"?*"),0)*12,0)))</f>
        <v/>
      </c>
    </row>
    <row r="22" customFormat="false" ht="16.5" hidden="false" customHeight="true" outlineLevel="0" collapsed="false">
      <c r="G22" s="15" t="s">
        <v>161</v>
      </c>
      <c r="H22" s="54" t="n">
        <f aca="false">COUNTIFS('Submittal Log'!$I$9:$I$208,"Vertical transport",'Submittal Log'!$V$9:$V$208,"&lt;&gt;Closed",'Submittal Log'!$V$9:$V$208,"&lt;&gt;Superseded",'Submittal Log'!$V$9:$V$208,"&lt;&gt;Void")</f>
        <v>0</v>
      </c>
      <c r="I22" s="55" t="n">
        <f aca="false">IFERROR(COUNTIFS('Submittal Log'!$I$9:$I$208,"Vertical transport",'Submittal Log'!$V$9:$V$208,"&lt;&gt;Closed",'Submittal Log'!$V$9:$V$208,"&lt;&gt;Superseded",'Submittal Log'!$V$9:$V$208,"&lt;&gt;Void")/COUNTIF('Submittal Log'!$J$9:$J$208,"?*"),0)</f>
        <v>0</v>
      </c>
      <c r="J22" s="56" t="str">
        <f aca="false">IF(COUNTIFS('Submittal Log'!$I$9:$I$208,"Vertical transport",'Submittal Log'!$V$9:$V$208,"&lt;&gt;Closed",'Submittal Log'!$V$9:$V$208,"&lt;&gt;Superseded",'Submittal Log'!$V$9:$V$208,"&lt;&gt;Void")=0,"",REPT("|",ROUND(IFERROR(COUNTIFS('Submittal Log'!$I$9:$I$208,"Vertical transport",'Submittal Log'!$V$9:$V$208,"&lt;&gt;Closed",'Submittal Log'!$V$9:$V$208,"&lt;&gt;Superseded",'Submittal Log'!$V$9:$V$208,"&lt;&gt;Void")/COUNTIF('Submittal Log'!$J$9:$J$208,"?*"),0)*12,0)))</f>
        <v/>
      </c>
    </row>
    <row r="23" customFormat="false" ht="16.5" hidden="false" customHeight="true" outlineLevel="0" collapsed="false">
      <c r="B23" s="50" t="s">
        <v>285</v>
      </c>
      <c r="C23" s="50"/>
      <c r="D23" s="50"/>
      <c r="E23" s="50"/>
      <c r="G23" s="12" t="s">
        <v>214</v>
      </c>
      <c r="H23" s="51" t="n">
        <f aca="false">COUNTIFS('Submittal Log'!$I$9:$I$208,"Civil and external",'Submittal Log'!$V$9:$V$208,"&lt;&gt;Closed",'Submittal Log'!$V$9:$V$208,"&lt;&gt;Superseded",'Submittal Log'!$V$9:$V$208,"&lt;&gt;Void")</f>
        <v>0</v>
      </c>
      <c r="I23" s="52" t="n">
        <f aca="false">IFERROR(COUNTIFS('Submittal Log'!$I$9:$I$208,"Civil and external",'Submittal Log'!$V$9:$V$208,"&lt;&gt;Closed",'Submittal Log'!$V$9:$V$208,"&lt;&gt;Superseded",'Submittal Log'!$V$9:$V$208,"&lt;&gt;Void")/COUNTIF('Submittal Log'!$J$9:$J$208,"?*"),0)</f>
        <v>0</v>
      </c>
      <c r="J23" s="53" t="str">
        <f aca="false">IF(COUNTIFS('Submittal Log'!$I$9:$I$208,"Civil and external",'Submittal Log'!$V$9:$V$208,"&lt;&gt;Closed",'Submittal Log'!$V$9:$V$208,"&lt;&gt;Superseded",'Submittal Log'!$V$9:$V$208,"&lt;&gt;Void")=0,"",REPT("|",ROUND(IFERROR(COUNTIFS('Submittal Log'!$I$9:$I$208,"Civil and external",'Submittal Log'!$V$9:$V$208,"&lt;&gt;Closed",'Submittal Log'!$V$9:$V$208,"&lt;&gt;Superseded",'Submittal Log'!$V$9:$V$208,"&lt;&gt;Void")/COUNTIF('Submittal Log'!$J$9:$J$208,"?*"),0)*12,0)))</f>
        <v/>
      </c>
    </row>
    <row r="24" customFormat="false" ht="16.5" hidden="false" customHeight="true" outlineLevel="0" collapsed="false">
      <c r="B24" s="9" t="s">
        <v>89</v>
      </c>
      <c r="C24" s="9" t="s">
        <v>278</v>
      </c>
      <c r="D24" s="9" t="s">
        <v>279</v>
      </c>
      <c r="E24" s="9"/>
      <c r="G24" s="15" t="s">
        <v>226</v>
      </c>
      <c r="H24" s="54" t="n">
        <f aca="false">COUNTIFS('Submittal Log'!$I$9:$I$208,"Landscape",'Submittal Log'!$V$9:$V$208,"&lt;&gt;Closed",'Submittal Log'!$V$9:$V$208,"&lt;&gt;Superseded",'Submittal Log'!$V$9:$V$208,"&lt;&gt;Void")</f>
        <v>1</v>
      </c>
      <c r="I24" s="55" t="n">
        <f aca="false">IFERROR(COUNTIFS('Submittal Log'!$I$9:$I$208,"Landscape",'Submittal Log'!$V$9:$V$208,"&lt;&gt;Closed",'Submittal Log'!$V$9:$V$208,"&lt;&gt;Superseded",'Submittal Log'!$V$9:$V$208,"&lt;&gt;Void")/COUNTIF('Submittal Log'!$J$9:$J$208,"?*"),0)</f>
        <v>0.0384615384615385</v>
      </c>
      <c r="J24" s="56" t="str">
        <f aca="false">IF(COUNTIFS('Submittal Log'!$I$9:$I$208,"Landscape",'Submittal Log'!$V$9:$V$208,"&lt;&gt;Closed",'Submittal Log'!$V$9:$V$208,"&lt;&gt;Superseded",'Submittal Log'!$V$9:$V$208,"&lt;&gt;Void")=0,"",REPT("|",ROUND(IFERROR(COUNTIFS('Submittal Log'!$I$9:$I$208,"Landscape",'Submittal Log'!$V$9:$V$208,"&lt;&gt;Closed",'Submittal Log'!$V$9:$V$208,"&lt;&gt;Superseded",'Submittal Log'!$V$9:$V$208,"&lt;&gt;Void")/COUNTIF('Submittal Log'!$J$9:$J$208,"?*"),0)*12,0)))</f>
        <v/>
      </c>
    </row>
    <row r="25" customFormat="false" ht="16.5" hidden="false" customHeight="true" outlineLevel="0" collapsed="false">
      <c r="B25" s="12" t="s">
        <v>286</v>
      </c>
      <c r="C25" s="51" t="n">
        <f aca="false">COUNTIFS('Submittal Log'!$L$9:$L$208,"Action")</f>
        <v>22</v>
      </c>
      <c r="D25" s="52" t="n">
        <f aca="false">IFERROR(COUNTIFS('Submittal Log'!$L$9:$L$208,"Action")/COUNTIF('Submittal Log'!$J$9:$J$208,"?*"),0)</f>
        <v>0.846153846153846</v>
      </c>
      <c r="E25" s="53" t="str">
        <f aca="false">IF(COUNTIFS('Submittal Log'!$L$9:$L$208,"Action")=0,"",REPT("|",ROUND(IFERROR(COUNTIFS('Submittal Log'!$L$9:$L$208,"Action")/COUNTIF('Submittal Log'!$J$9:$J$208,"?*"),0)*12,0)))</f>
        <v>||||||||||</v>
      </c>
      <c r="G25" s="12" t="s">
        <v>263</v>
      </c>
      <c r="H25" s="51" t="n">
        <f aca="false">COUNTIFS('Submittal Log'!$I$9:$I$208,"Specialist",'Submittal Log'!$V$9:$V$208,"&lt;&gt;Closed",'Submittal Log'!$V$9:$V$208,"&lt;&gt;Superseded",'Submittal Log'!$V$9:$V$208,"&lt;&gt;Void")</f>
        <v>0</v>
      </c>
      <c r="I25" s="52" t="n">
        <f aca="false">IFERROR(COUNTIFS('Submittal Log'!$I$9:$I$208,"Specialist",'Submittal Log'!$V$9:$V$208,"&lt;&gt;Closed",'Submittal Log'!$V$9:$V$208,"&lt;&gt;Superseded",'Submittal Log'!$V$9:$V$208,"&lt;&gt;Void")/COUNTIF('Submittal Log'!$J$9:$J$208,"?*"),0)</f>
        <v>0</v>
      </c>
      <c r="J25" s="53" t="str">
        <f aca="false">IF(COUNTIFS('Submittal Log'!$I$9:$I$208,"Specialist",'Submittal Log'!$V$9:$V$208,"&lt;&gt;Closed",'Submittal Log'!$V$9:$V$208,"&lt;&gt;Superseded",'Submittal Log'!$V$9:$V$208,"&lt;&gt;Void")=0,"",REPT("|",ROUND(IFERROR(COUNTIFS('Submittal Log'!$I$9:$I$208,"Specialist",'Submittal Log'!$V$9:$V$208,"&lt;&gt;Closed",'Submittal Log'!$V$9:$V$208,"&lt;&gt;Superseded",'Submittal Log'!$V$9:$V$208,"&lt;&gt;Void")/COUNTIF('Submittal Log'!$J$9:$J$208,"?*"),0)*12,0)))</f>
        <v/>
      </c>
    </row>
    <row r="26" customFormat="false" ht="16.5" hidden="false" customHeight="true" outlineLevel="0" collapsed="false">
      <c r="B26" s="15" t="s">
        <v>287</v>
      </c>
      <c r="C26" s="54" t="n">
        <f aca="false">COUNTIFS('Submittal Log'!$L$9:$L$208,"Informational")</f>
        <v>2</v>
      </c>
      <c r="D26" s="55" t="n">
        <f aca="false">IFERROR(COUNTIFS('Submittal Log'!$L$9:$L$208,"Informational")/COUNTIF('Submittal Log'!$J$9:$J$208,"?*"),0)</f>
        <v>0.0769230769230769</v>
      </c>
      <c r="E26" s="56" t="str">
        <f aca="false">IF(COUNTIFS('Submittal Log'!$L$9:$L$208,"Informational")=0,"",REPT("|",ROUND(IFERROR(COUNTIFS('Submittal Log'!$L$9:$L$208,"Informational")/COUNTIF('Submittal Log'!$J$9:$J$208,"?*"),0)*12,0)))</f>
        <v>|</v>
      </c>
      <c r="G26" s="15" t="s">
        <v>251</v>
      </c>
      <c r="H26" s="54" t="n">
        <f aca="false">COUNTIFS('Submittal Log'!$I$9:$I$208,"Other",'Submittal Log'!$V$9:$V$208,"&lt;&gt;Closed",'Submittal Log'!$V$9:$V$208,"&lt;&gt;Superseded",'Submittal Log'!$V$9:$V$208,"&lt;&gt;Void")</f>
        <v>2</v>
      </c>
      <c r="I26" s="55" t="n">
        <f aca="false">IFERROR(COUNTIFS('Submittal Log'!$I$9:$I$208,"Other",'Submittal Log'!$V$9:$V$208,"&lt;&gt;Closed",'Submittal Log'!$V$9:$V$208,"&lt;&gt;Superseded",'Submittal Log'!$V$9:$V$208,"&lt;&gt;Void")/COUNTIF('Submittal Log'!$J$9:$J$208,"?*"),0)</f>
        <v>0.0769230769230769</v>
      </c>
      <c r="J26" s="56" t="str">
        <f aca="false">IF(COUNTIFS('Submittal Log'!$I$9:$I$208,"Other",'Submittal Log'!$V$9:$V$208,"&lt;&gt;Closed",'Submittal Log'!$V$9:$V$208,"&lt;&gt;Superseded",'Submittal Log'!$V$9:$V$208,"&lt;&gt;Void")=0,"",REPT("|",ROUND(IFERROR(COUNTIFS('Submittal Log'!$I$9:$I$208,"Other",'Submittal Log'!$V$9:$V$208,"&lt;&gt;Closed",'Submittal Log'!$V$9:$V$208,"&lt;&gt;Superseded",'Submittal Log'!$V$9:$V$208,"&lt;&gt;Void")/COUNTIF('Submittal Log'!$J$9:$J$208,"?*"),0)*12,0)))</f>
        <v>|</v>
      </c>
    </row>
    <row r="27" customFormat="false" ht="16.5" hidden="false" customHeight="true" outlineLevel="0" collapsed="false">
      <c r="B27" s="12" t="s">
        <v>288</v>
      </c>
      <c r="C27" s="51" t="n">
        <f aca="false">COUNTIFS('Submittal Log'!$L$9:$L$208,"Closeout")</f>
        <v>2</v>
      </c>
      <c r="D27" s="52" t="n">
        <f aca="false">IFERROR(COUNTIFS('Submittal Log'!$L$9:$L$208,"Closeout")/COUNTIF('Submittal Log'!$J$9:$J$208,"?*"),0)</f>
        <v>0.0769230769230769</v>
      </c>
      <c r="E27" s="53" t="str">
        <f aca="false">IF(COUNTIFS('Submittal Log'!$L$9:$L$208,"Closeout")=0,"",REPT("|",ROUND(IFERROR(COUNTIFS('Submittal Log'!$L$9:$L$208,"Closeout")/COUNTIF('Submittal Log'!$J$9:$J$208,"?*"),0)*12,0)))</f>
        <v>|</v>
      </c>
    </row>
    <row r="28" customFormat="false" ht="19.5" hidden="false" customHeight="true" outlineLevel="0" collapsed="false">
      <c r="G28" s="50" t="s">
        <v>289</v>
      </c>
      <c r="H28" s="50"/>
      <c r="I28" s="50"/>
      <c r="J28" s="50"/>
    </row>
    <row r="29" customFormat="false" ht="18.75" hidden="false" customHeight="true" outlineLevel="0" collapsed="false">
      <c r="B29" s="50" t="s">
        <v>290</v>
      </c>
      <c r="C29" s="50"/>
      <c r="D29" s="50"/>
      <c r="E29" s="50"/>
      <c r="G29" s="9" t="s">
        <v>85</v>
      </c>
      <c r="H29" s="9" t="s">
        <v>278</v>
      </c>
      <c r="I29" s="9" t="s">
        <v>279</v>
      </c>
      <c r="J29" s="9"/>
    </row>
    <row r="30" customFormat="false" ht="30" hidden="false" customHeight="true" outlineLevel="0" collapsed="false">
      <c r="B30" s="9" t="s">
        <v>291</v>
      </c>
      <c r="C30" s="9" t="s">
        <v>278</v>
      </c>
      <c r="D30" s="9" t="s">
        <v>279</v>
      </c>
      <c r="E30" s="9"/>
      <c r="G30" s="12" t="s">
        <v>292</v>
      </c>
      <c r="H30" s="51" t="n">
        <f aca="false">COUNTIFS('Submittal Log'!$H$9:$H$208,"00 Procurement and Contracting Requirements",'Submittal Log'!$V$9:$V$208,"&lt;&gt;Closed",'Submittal Log'!$V$9:$V$208,"&lt;&gt;Superseded",'Submittal Log'!$V$9:$V$208,"&lt;&gt;Void")</f>
        <v>0</v>
      </c>
      <c r="I30" s="52" t="n">
        <f aca="false">IFERROR(COUNTIFS('Submittal Log'!$H$9:$H$208,"00 Procurement and Contracting Requirements",'Submittal Log'!$V$9:$V$208,"&lt;&gt;Closed",'Submittal Log'!$V$9:$V$208,"&lt;&gt;Superseded",'Submittal Log'!$V$9:$V$208,"&lt;&gt;Void")/COUNTIF('Submittal Log'!$J$9:$J$208,"?*"),0)</f>
        <v>0</v>
      </c>
      <c r="J30" s="53" t="str">
        <f aca="false">IF(COUNTIFS('Submittal Log'!$H$9:$H$208,"00 Procurement and Contracting Requirements",'Submittal Log'!$V$9:$V$208,"&lt;&gt;Closed",'Submittal Log'!$V$9:$V$208,"&lt;&gt;Superseded",'Submittal Log'!$V$9:$V$208,"&lt;&gt;Void")=0,"",REPT("|",ROUND(IFERROR(COUNTIFS('Submittal Log'!$H$9:$H$208,"00 Procurement and Contracting Requirements",'Submittal Log'!$V$9:$V$208,"&lt;&gt;Closed",'Submittal Log'!$V$9:$V$208,"&lt;&gt;Superseded",'Submittal Log'!$V$9:$V$208,"&lt;&gt;Void")/COUNTIF('Submittal Log'!$J$9:$J$208,"?*"),0)*12,0)))</f>
        <v/>
      </c>
    </row>
    <row r="31" customFormat="false" ht="15.75" hidden="false" customHeight="true" outlineLevel="0" collapsed="false">
      <c r="B31" s="12" t="s">
        <v>51</v>
      </c>
      <c r="C31" s="51" t="n">
        <f aca="false">COUNTIFS('Submittal Log'!$W$9:$W$208,"Contractor")</f>
        <v>6</v>
      </c>
      <c r="D31" s="52" t="n">
        <f aca="false">IFERROR(COUNTIFS('Submittal Log'!$W$9:$W$208,"Contractor")/COUNTIF('Submittal Log'!$J$9:$J$208,"?*"),0)</f>
        <v>0.230769230769231</v>
      </c>
      <c r="E31" s="53" t="str">
        <f aca="false">IF(COUNTIFS('Submittal Log'!$W$9:$W$208,"Contractor")=0,"",REPT("|",ROUND(IFERROR(COUNTIFS('Submittal Log'!$W$9:$W$208,"Contractor")/COUNTIF('Submittal Log'!$J$9:$J$208,"?*"),0)*12,0)))</f>
        <v>|||</v>
      </c>
      <c r="G31" s="15" t="s">
        <v>250</v>
      </c>
      <c r="H31" s="54" t="n">
        <f aca="false">COUNTIFS('Submittal Log'!$H$9:$H$208,"01 General Requirements",'Submittal Log'!$V$9:$V$208,"&lt;&gt;Closed",'Submittal Log'!$V$9:$V$208,"&lt;&gt;Superseded",'Submittal Log'!$V$9:$V$208,"&lt;&gt;Void")</f>
        <v>2</v>
      </c>
      <c r="I31" s="55" t="n">
        <f aca="false">IFERROR(COUNTIFS('Submittal Log'!$H$9:$H$208,"01 General Requirements",'Submittal Log'!$V$9:$V$208,"&lt;&gt;Closed",'Submittal Log'!$V$9:$V$208,"&lt;&gt;Superseded",'Submittal Log'!$V$9:$V$208,"&lt;&gt;Void")/COUNTIF('Submittal Log'!$J$9:$J$208,"?*"),0)</f>
        <v>0.0769230769230769</v>
      </c>
      <c r="J31" s="56" t="str">
        <f aca="false">IF(COUNTIFS('Submittal Log'!$H$9:$H$208,"01 General Requirements",'Submittal Log'!$V$9:$V$208,"&lt;&gt;Closed",'Submittal Log'!$V$9:$V$208,"&lt;&gt;Superseded",'Submittal Log'!$V$9:$V$208,"&lt;&gt;Void")=0,"",REPT("|",ROUND(IFERROR(COUNTIFS('Submittal Log'!$H$9:$H$208,"01 General Requirements",'Submittal Log'!$V$9:$V$208,"&lt;&gt;Closed",'Submittal Log'!$V$9:$V$208,"&lt;&gt;Superseded",'Submittal Log'!$V$9:$V$208,"&lt;&gt;Void")/COUNTIF('Submittal Log'!$J$9:$J$208,"?*"),0)*12,0)))</f>
        <v>|</v>
      </c>
    </row>
    <row r="32" customFormat="false" ht="15.75" hidden="false" customHeight="true" outlineLevel="0" collapsed="false">
      <c r="B32" s="15" t="s">
        <v>93</v>
      </c>
      <c r="C32" s="54" t="n">
        <f aca="false">COUNTIFS('Submittal Log'!$W$9:$W$208,"Reviewer")</f>
        <v>6</v>
      </c>
      <c r="D32" s="55" t="n">
        <f aca="false">IFERROR(COUNTIFS('Submittal Log'!$W$9:$W$208,"Reviewer")/COUNTIF('Submittal Log'!$J$9:$J$208,"?*"),0)</f>
        <v>0.230769230769231</v>
      </c>
      <c r="E32" s="56" t="str">
        <f aca="false">IF(COUNTIFS('Submittal Log'!$W$9:$W$208,"Reviewer")=0,"",REPT("|",ROUND(IFERROR(COUNTIFS('Submittal Log'!$W$9:$W$208,"Reviewer")/COUNTIF('Submittal Log'!$J$9:$J$208,"?*"),0)*12,0)))</f>
        <v>|||</v>
      </c>
      <c r="G32" s="12" t="s">
        <v>293</v>
      </c>
      <c r="H32" s="51" t="n">
        <f aca="false">COUNTIFS('Submittal Log'!$H$9:$H$208,"02 Existing Conditions",'Submittal Log'!$V$9:$V$208,"&lt;&gt;Closed",'Submittal Log'!$V$9:$V$208,"&lt;&gt;Superseded",'Submittal Log'!$V$9:$V$208,"&lt;&gt;Void")</f>
        <v>0</v>
      </c>
      <c r="I32" s="52" t="n">
        <f aca="false">IFERROR(COUNTIFS('Submittal Log'!$H$9:$H$208,"02 Existing Conditions",'Submittal Log'!$V$9:$V$208,"&lt;&gt;Closed",'Submittal Log'!$V$9:$V$208,"&lt;&gt;Superseded",'Submittal Log'!$V$9:$V$208,"&lt;&gt;Void")/COUNTIF('Submittal Log'!$J$9:$J$208,"?*"),0)</f>
        <v>0</v>
      </c>
      <c r="J32" s="53" t="str">
        <f aca="false">IF(COUNTIFS('Submittal Log'!$H$9:$H$208,"02 Existing Conditions",'Submittal Log'!$V$9:$V$208,"&lt;&gt;Closed",'Submittal Log'!$V$9:$V$208,"&lt;&gt;Superseded",'Submittal Log'!$V$9:$V$208,"&lt;&gt;Void")=0,"",REPT("|",ROUND(IFERROR(COUNTIFS('Submittal Log'!$H$9:$H$208,"02 Existing Conditions",'Submittal Log'!$V$9:$V$208,"&lt;&gt;Closed",'Submittal Log'!$V$9:$V$208,"&lt;&gt;Superseded",'Submittal Log'!$V$9:$V$208,"&lt;&gt;Void")/COUNTIF('Submittal Log'!$J$9:$J$208,"?*"),0)*12,0)))</f>
        <v/>
      </c>
    </row>
    <row r="33" customFormat="false" ht="15.75" hidden="false" customHeight="true" outlineLevel="0" collapsed="false">
      <c r="B33" s="12" t="s">
        <v>271</v>
      </c>
      <c r="C33" s="51" t="n">
        <f aca="false">COUNTIFS('Submittal Log'!$W$9:$W$208,"Closed")</f>
        <v>14</v>
      </c>
      <c r="D33" s="52" t="n">
        <f aca="false">IFERROR(COUNTIFS('Submittal Log'!$W$9:$W$208,"Closed")/COUNTIF('Submittal Log'!$J$9:$J$208,"?*"),0)</f>
        <v>0.538461538461538</v>
      </c>
      <c r="E33" s="53" t="str">
        <f aca="false">IF(COUNTIFS('Submittal Log'!$W$9:$W$208,"Closed")=0,"",REPT("|",ROUND(IFERROR(COUNTIFS('Submittal Log'!$W$9:$W$208,"Closed")/COUNTIF('Submittal Log'!$J$9:$J$208,"?*"),0)*12,0)))</f>
        <v>||||||</v>
      </c>
      <c r="G33" s="15" t="s">
        <v>111</v>
      </c>
      <c r="H33" s="54" t="n">
        <f aca="false">COUNTIFS('Submittal Log'!$H$9:$H$208,"03 Concrete",'Submittal Log'!$V$9:$V$208,"&lt;&gt;Closed",'Submittal Log'!$V$9:$V$208,"&lt;&gt;Superseded",'Submittal Log'!$V$9:$V$208,"&lt;&gt;Void")</f>
        <v>0</v>
      </c>
      <c r="I33" s="55" t="n">
        <f aca="false">IFERROR(COUNTIFS('Submittal Log'!$H$9:$H$208,"03 Concrete",'Submittal Log'!$V$9:$V$208,"&lt;&gt;Closed",'Submittal Log'!$V$9:$V$208,"&lt;&gt;Superseded",'Submittal Log'!$V$9:$V$208,"&lt;&gt;Void")/COUNTIF('Submittal Log'!$J$9:$J$208,"?*"),0)</f>
        <v>0</v>
      </c>
      <c r="J33" s="56" t="str">
        <f aca="false">IF(COUNTIFS('Submittal Log'!$H$9:$H$208,"03 Concrete",'Submittal Log'!$V$9:$V$208,"&lt;&gt;Closed",'Submittal Log'!$V$9:$V$208,"&lt;&gt;Superseded",'Submittal Log'!$V$9:$V$208,"&lt;&gt;Void")=0,"",REPT("|",ROUND(IFERROR(COUNTIFS('Submittal Log'!$H$9:$H$208,"03 Concrete",'Submittal Log'!$V$9:$V$208,"&lt;&gt;Closed",'Submittal Log'!$V$9:$V$208,"&lt;&gt;Superseded",'Submittal Log'!$V$9:$V$208,"&lt;&gt;Void")/COUNTIF('Submittal Log'!$J$9:$J$208,"?*"),0)*12,0)))</f>
        <v/>
      </c>
    </row>
    <row r="34" customFormat="false" ht="15.75" hidden="false" customHeight="true" outlineLevel="0" collapsed="false">
      <c r="G34" s="12" t="s">
        <v>294</v>
      </c>
      <c r="H34" s="51" t="n">
        <f aca="false">COUNTIFS('Submittal Log'!$H$9:$H$208,"04 Masonry",'Submittal Log'!$V$9:$V$208,"&lt;&gt;Closed",'Submittal Log'!$V$9:$V$208,"&lt;&gt;Superseded",'Submittal Log'!$V$9:$V$208,"&lt;&gt;Void")</f>
        <v>0</v>
      </c>
      <c r="I34" s="52" t="n">
        <f aca="false">IFERROR(COUNTIFS('Submittal Log'!$H$9:$H$208,"04 Masonry",'Submittal Log'!$V$9:$V$208,"&lt;&gt;Closed",'Submittal Log'!$V$9:$V$208,"&lt;&gt;Superseded",'Submittal Log'!$V$9:$V$208,"&lt;&gt;Void")/COUNTIF('Submittal Log'!$J$9:$J$208,"?*"),0)</f>
        <v>0</v>
      </c>
      <c r="J34" s="53" t="str">
        <f aca="false">IF(COUNTIFS('Submittal Log'!$H$9:$H$208,"04 Masonry",'Submittal Log'!$V$9:$V$208,"&lt;&gt;Closed",'Submittal Log'!$V$9:$V$208,"&lt;&gt;Superseded",'Submittal Log'!$V$9:$V$208,"&lt;&gt;Void")=0,"",REPT("|",ROUND(IFERROR(COUNTIFS('Submittal Log'!$H$9:$H$208,"04 Masonry",'Submittal Log'!$V$9:$V$208,"&lt;&gt;Closed",'Submittal Log'!$V$9:$V$208,"&lt;&gt;Superseded",'Submittal Log'!$V$9:$V$208,"&lt;&gt;Void")/COUNTIF('Submittal Log'!$J$9:$J$208,"?*"),0)*12,0)))</f>
        <v/>
      </c>
    </row>
    <row r="35" customFormat="false" ht="15.75" hidden="false" customHeight="true" outlineLevel="0" collapsed="false">
      <c r="B35" s="50" t="s">
        <v>295</v>
      </c>
      <c r="C35" s="50"/>
      <c r="D35" s="50"/>
      <c r="E35" s="50"/>
      <c r="G35" s="15" t="s">
        <v>123</v>
      </c>
      <c r="H35" s="54" t="n">
        <f aca="false">COUNTIFS('Submittal Log'!$H$9:$H$208,"05 Metals",'Submittal Log'!$V$9:$V$208,"&lt;&gt;Closed",'Submittal Log'!$V$9:$V$208,"&lt;&gt;Superseded",'Submittal Log'!$V$9:$V$208,"&lt;&gt;Void")</f>
        <v>0</v>
      </c>
      <c r="I35" s="55" t="n">
        <f aca="false">IFERROR(COUNTIFS('Submittal Log'!$H$9:$H$208,"05 Metals",'Submittal Log'!$V$9:$V$208,"&lt;&gt;Closed",'Submittal Log'!$V$9:$V$208,"&lt;&gt;Superseded",'Submittal Log'!$V$9:$V$208,"&lt;&gt;Void")/COUNTIF('Submittal Log'!$J$9:$J$208,"?*"),0)</f>
        <v>0</v>
      </c>
      <c r="J35" s="56" t="str">
        <f aca="false">IF(COUNTIFS('Submittal Log'!$H$9:$H$208,"05 Metals",'Submittal Log'!$V$9:$V$208,"&lt;&gt;Closed",'Submittal Log'!$V$9:$V$208,"&lt;&gt;Superseded",'Submittal Log'!$V$9:$V$208,"&lt;&gt;Void")=0,"",REPT("|",ROUND(IFERROR(COUNTIFS('Submittal Log'!$H$9:$H$208,"05 Metals",'Submittal Log'!$V$9:$V$208,"&lt;&gt;Closed",'Submittal Log'!$V$9:$V$208,"&lt;&gt;Superseded",'Submittal Log'!$V$9:$V$208,"&lt;&gt;Void")/COUNTIF('Submittal Log'!$J$9:$J$208,"?*"),0)*12,0)))</f>
        <v/>
      </c>
    </row>
    <row r="36" customFormat="false" ht="30" hidden="false" customHeight="true" outlineLevel="0" collapsed="false">
      <c r="B36" s="9" t="s">
        <v>98</v>
      </c>
      <c r="C36" s="9" t="s">
        <v>278</v>
      </c>
      <c r="D36" s="9" t="s">
        <v>279</v>
      </c>
      <c r="E36" s="9"/>
      <c r="G36" s="12" t="s">
        <v>296</v>
      </c>
      <c r="H36" s="51" t="n">
        <f aca="false">COUNTIFS('Submittal Log'!$H$9:$H$208,"06 Wood, Plastics and Composites",'Submittal Log'!$V$9:$V$208,"&lt;&gt;Closed",'Submittal Log'!$V$9:$V$208,"&lt;&gt;Superseded",'Submittal Log'!$V$9:$V$208,"&lt;&gt;Void")</f>
        <v>0</v>
      </c>
      <c r="I36" s="52" t="n">
        <f aca="false">IFERROR(COUNTIFS('Submittal Log'!$H$9:$H$208,"06 Wood, Plastics and Composites",'Submittal Log'!$V$9:$V$208,"&lt;&gt;Closed",'Submittal Log'!$V$9:$V$208,"&lt;&gt;Superseded",'Submittal Log'!$V$9:$V$208,"&lt;&gt;Void")/COUNTIF('Submittal Log'!$J$9:$J$208,"?*"),0)</f>
        <v>0</v>
      </c>
      <c r="J36" s="53" t="str">
        <f aca="false">IF(COUNTIFS('Submittal Log'!$H$9:$H$208,"06 Wood, Plastics and Composites",'Submittal Log'!$V$9:$V$208,"&lt;&gt;Closed",'Submittal Log'!$V$9:$V$208,"&lt;&gt;Superseded",'Submittal Log'!$V$9:$V$208,"&lt;&gt;Void")=0,"",REPT("|",ROUND(IFERROR(COUNTIFS('Submittal Log'!$H$9:$H$208,"06 Wood, Plastics and Composites",'Submittal Log'!$V$9:$V$208,"&lt;&gt;Closed",'Submittal Log'!$V$9:$V$208,"&lt;&gt;Superseded",'Submittal Log'!$V$9:$V$208,"&lt;&gt;Void")/COUNTIF('Submittal Log'!$J$9:$J$208,"?*"),0)*12,0)))</f>
        <v/>
      </c>
    </row>
    <row r="37" customFormat="false" ht="30" hidden="false" customHeight="true" outlineLevel="0" collapsed="false">
      <c r="B37" s="57" t="s">
        <v>297</v>
      </c>
      <c r="C37" s="51" t="n">
        <f aca="false">COUNTIFS('Submittal Log'!$U$9:$U$208,"&gt;="&amp;0,'Submittal Log'!$U$9:$U$208,"&lt;="&amp;7,'Submittal Log'!$V$9:$V$208,"In review")+COUNTIFS('Submittal Log'!$U$9:$U$208,"&gt;="&amp;0,'Submittal Log'!$U$9:$U$208,"&lt;="&amp;7,'Submittal Log'!$V$9:$V$208,"Overdue with reviewer")</f>
        <v>0</v>
      </c>
      <c r="D37" s="52" t="n">
        <f aca="false">IFERROR((COUNTIFS('Submittal Log'!$U$9:$U$208,"&gt;="&amp;0,'Submittal Log'!$U$9:$U$208,"&lt;="&amp;7,'Submittal Log'!$V$9:$V$208,"In review")+COUNTIFS('Submittal Log'!$U$9:$U$208,"&gt;="&amp;0,'Submittal Log'!$U$9:$U$208,"&lt;="&amp;7,'Submittal Log'!$V$9:$V$208,"Overdue with reviewer"))/(COUNTIFS('Submittal Log'!$V$9:$V$208,"In review")+COUNTIFS('Submittal Log'!$V$9:$V$208,"Overdue with reviewer")),0)</f>
        <v>0</v>
      </c>
      <c r="E37" s="58" t="str">
        <f aca="false">IF((COUNTIFS('Submittal Log'!$U$9:$U$208,"&gt;="&amp;0,'Submittal Log'!$U$9:$U$208,"&lt;="&amp;7,'Submittal Log'!$V$9:$V$208,"In review")+COUNTIFS('Submittal Log'!$U$9:$U$208,"&gt;="&amp;0,'Submittal Log'!$U$9:$U$208,"&lt;="&amp;7,'Submittal Log'!$V$9:$V$208,"Overdue with reviewer"))=0,"",REPT("|",ROUND(IFERROR((COUNTIFS('Submittal Log'!$U$9:$U$208,"&gt;="&amp;0,'Submittal Log'!$U$9:$U$208,"&lt;="&amp;7,'Submittal Log'!$V$9:$V$208,"In review")+COUNTIFS('Submittal Log'!$U$9:$U$208,"&gt;="&amp;0,'Submittal Log'!$U$9:$U$208,"&lt;="&amp;7,'Submittal Log'!$V$9:$V$208,"Overdue with reviewer"))/(COUNTIFS('Submittal Log'!$V$9:$V$208,"In review")+COUNTIFS('Submittal Log'!$V$9:$V$208,"Overdue with reviewer")),0)*26,0)))</f>
        <v/>
      </c>
      <c r="G37" s="15" t="s">
        <v>134</v>
      </c>
      <c r="H37" s="54" t="n">
        <f aca="false">COUNTIFS('Submittal Log'!$H$9:$H$208,"07 Thermal and Moisture Protection",'Submittal Log'!$V$9:$V$208,"&lt;&gt;Closed",'Submittal Log'!$V$9:$V$208,"&lt;&gt;Superseded",'Submittal Log'!$V$9:$V$208,"&lt;&gt;Void")</f>
        <v>0</v>
      </c>
      <c r="I37" s="55" t="n">
        <f aca="false">IFERROR(COUNTIFS('Submittal Log'!$H$9:$H$208,"07 Thermal and Moisture Protection",'Submittal Log'!$V$9:$V$208,"&lt;&gt;Closed",'Submittal Log'!$V$9:$V$208,"&lt;&gt;Superseded",'Submittal Log'!$V$9:$V$208,"&lt;&gt;Void")/COUNTIF('Submittal Log'!$J$9:$J$208,"?*"),0)</f>
        <v>0</v>
      </c>
      <c r="J37" s="56" t="str">
        <f aca="false">IF(COUNTIFS('Submittal Log'!$H$9:$H$208,"07 Thermal and Moisture Protection",'Submittal Log'!$V$9:$V$208,"&lt;&gt;Closed",'Submittal Log'!$V$9:$V$208,"&lt;&gt;Superseded",'Submittal Log'!$V$9:$V$208,"&lt;&gt;Void")=0,"",REPT("|",ROUND(IFERROR(COUNTIFS('Submittal Log'!$H$9:$H$208,"07 Thermal and Moisture Protection",'Submittal Log'!$V$9:$V$208,"&lt;&gt;Closed",'Submittal Log'!$V$9:$V$208,"&lt;&gt;Superseded",'Submittal Log'!$V$9:$V$208,"&lt;&gt;Void")/COUNTIF('Submittal Log'!$J$9:$J$208,"?*"),0)*12,0)))</f>
        <v/>
      </c>
    </row>
    <row r="38" customFormat="false" ht="15.75" hidden="false" customHeight="true" outlineLevel="0" collapsed="false">
      <c r="B38" s="59" t="s">
        <v>298</v>
      </c>
      <c r="C38" s="54" t="n">
        <f aca="false">COUNTIFS('Submittal Log'!$U$9:$U$208,"&gt;="&amp;8,'Submittal Log'!$U$9:$U$208,"&lt;="&amp;14,'Submittal Log'!$V$9:$V$208,"In review")+COUNTIFS('Submittal Log'!$U$9:$U$208,"&gt;="&amp;8,'Submittal Log'!$U$9:$U$208,"&lt;="&amp;14,'Submittal Log'!$V$9:$V$208,"Overdue with reviewer")</f>
        <v>2</v>
      </c>
      <c r="D38" s="55" t="n">
        <f aca="false">IFERROR((COUNTIFS('Submittal Log'!$U$9:$U$208,"&gt;="&amp;8,'Submittal Log'!$U$9:$U$208,"&lt;="&amp;14,'Submittal Log'!$V$9:$V$208,"In review")+COUNTIFS('Submittal Log'!$U$9:$U$208,"&gt;="&amp;8,'Submittal Log'!$U$9:$U$208,"&lt;="&amp;14,'Submittal Log'!$V$9:$V$208,"Overdue with reviewer"))/(COUNTIFS('Submittal Log'!$V$9:$V$208,"In review")+COUNTIFS('Submittal Log'!$V$9:$V$208,"Overdue with reviewer")),0)</f>
        <v>0.333333333333333</v>
      </c>
      <c r="E38" s="60" t="str">
        <f aca="false">IF((COUNTIFS('Submittal Log'!$U$9:$U$208,"&gt;="&amp;8,'Submittal Log'!$U$9:$U$208,"&lt;="&amp;14,'Submittal Log'!$V$9:$V$208,"In review")+COUNTIFS('Submittal Log'!$U$9:$U$208,"&gt;="&amp;8,'Submittal Log'!$U$9:$U$208,"&lt;="&amp;14,'Submittal Log'!$V$9:$V$208,"Overdue with reviewer"))=0,"",REPT("|",ROUND(IFERROR((COUNTIFS('Submittal Log'!$U$9:$U$208,"&gt;="&amp;8,'Submittal Log'!$U$9:$U$208,"&lt;="&amp;14,'Submittal Log'!$V$9:$V$208,"In review")+COUNTIFS('Submittal Log'!$U$9:$U$208,"&gt;="&amp;8,'Submittal Log'!$U$9:$U$208,"&lt;="&amp;14,'Submittal Log'!$V$9:$V$208,"Overdue with reviewer"))/(COUNTIFS('Submittal Log'!$V$9:$V$208,"In review")+COUNTIFS('Submittal Log'!$V$9:$V$208,"Overdue with reviewer")),0)*26,0)))</f>
        <v>|||||||||</v>
      </c>
      <c r="G38" s="12" t="s">
        <v>142</v>
      </c>
      <c r="H38" s="51" t="n">
        <f aca="false">COUNTIFS('Submittal Log'!$H$9:$H$208,"08 Openings",'Submittal Log'!$V$9:$V$208,"&lt;&gt;Closed",'Submittal Log'!$V$9:$V$208,"&lt;&gt;Superseded",'Submittal Log'!$V$9:$V$208,"&lt;&gt;Void")</f>
        <v>2</v>
      </c>
      <c r="I38" s="52" t="n">
        <f aca="false">IFERROR(COUNTIFS('Submittal Log'!$H$9:$H$208,"08 Openings",'Submittal Log'!$V$9:$V$208,"&lt;&gt;Closed",'Submittal Log'!$V$9:$V$208,"&lt;&gt;Superseded",'Submittal Log'!$V$9:$V$208,"&lt;&gt;Void")/COUNTIF('Submittal Log'!$J$9:$J$208,"?*"),0)</f>
        <v>0.0769230769230769</v>
      </c>
      <c r="J38" s="53" t="str">
        <f aca="false">IF(COUNTIFS('Submittal Log'!$H$9:$H$208,"08 Openings",'Submittal Log'!$V$9:$V$208,"&lt;&gt;Closed",'Submittal Log'!$V$9:$V$208,"&lt;&gt;Superseded",'Submittal Log'!$V$9:$V$208,"&lt;&gt;Void")=0,"",REPT("|",ROUND(IFERROR(COUNTIFS('Submittal Log'!$H$9:$H$208,"08 Openings",'Submittal Log'!$V$9:$V$208,"&lt;&gt;Closed",'Submittal Log'!$V$9:$V$208,"&lt;&gt;Superseded",'Submittal Log'!$V$9:$V$208,"&lt;&gt;Void")/COUNTIF('Submittal Log'!$J$9:$J$208,"?*"),0)*12,0)))</f>
        <v>|</v>
      </c>
    </row>
    <row r="39" customFormat="false" ht="15.75" hidden="false" customHeight="true" outlineLevel="0" collapsed="false">
      <c r="B39" s="57" t="s">
        <v>299</v>
      </c>
      <c r="C39" s="51" t="n">
        <f aca="false">COUNTIFS('Submittal Log'!$U$9:$U$208,"&gt;="&amp;15,'Submittal Log'!$U$9:$U$208,"&lt;="&amp;21,'Submittal Log'!$V$9:$V$208,"In review")+COUNTIFS('Submittal Log'!$U$9:$U$208,"&gt;="&amp;15,'Submittal Log'!$U$9:$U$208,"&lt;="&amp;21,'Submittal Log'!$V$9:$V$208,"Overdue with reviewer")</f>
        <v>2</v>
      </c>
      <c r="D39" s="52" t="n">
        <f aca="false">IFERROR((COUNTIFS('Submittal Log'!$U$9:$U$208,"&gt;="&amp;15,'Submittal Log'!$U$9:$U$208,"&lt;="&amp;21,'Submittal Log'!$V$9:$V$208,"In review")+COUNTIFS('Submittal Log'!$U$9:$U$208,"&gt;="&amp;15,'Submittal Log'!$U$9:$U$208,"&lt;="&amp;21,'Submittal Log'!$V$9:$V$208,"Overdue with reviewer"))/(COUNTIFS('Submittal Log'!$V$9:$V$208,"In review")+COUNTIFS('Submittal Log'!$V$9:$V$208,"Overdue with reviewer")),0)</f>
        <v>0.333333333333333</v>
      </c>
      <c r="E39" s="61" t="str">
        <f aca="false">IF((COUNTIFS('Submittal Log'!$U$9:$U$208,"&gt;="&amp;15,'Submittal Log'!$U$9:$U$208,"&lt;="&amp;21,'Submittal Log'!$V$9:$V$208,"In review")+COUNTIFS('Submittal Log'!$U$9:$U$208,"&gt;="&amp;15,'Submittal Log'!$U$9:$U$208,"&lt;="&amp;21,'Submittal Log'!$V$9:$V$208,"Overdue with reviewer"))=0,"",REPT("|",ROUND(IFERROR((COUNTIFS('Submittal Log'!$U$9:$U$208,"&gt;="&amp;15,'Submittal Log'!$U$9:$U$208,"&lt;="&amp;21,'Submittal Log'!$V$9:$V$208,"In review")+COUNTIFS('Submittal Log'!$U$9:$U$208,"&gt;="&amp;15,'Submittal Log'!$U$9:$U$208,"&lt;="&amp;21,'Submittal Log'!$V$9:$V$208,"Overdue with reviewer"))/(COUNTIFS('Submittal Log'!$V$9:$V$208,"In review")+COUNTIFS('Submittal Log'!$V$9:$V$208,"Overdue with reviewer")),0)*26,0)))</f>
        <v>|||||||||</v>
      </c>
      <c r="G39" s="15" t="s">
        <v>148</v>
      </c>
      <c r="H39" s="54" t="n">
        <f aca="false">COUNTIFS('Submittal Log'!$H$9:$H$208,"09 Finishes",'Submittal Log'!$V$9:$V$208,"&lt;&gt;Closed",'Submittal Log'!$V$9:$V$208,"&lt;&gt;Superseded",'Submittal Log'!$V$9:$V$208,"&lt;&gt;Void")</f>
        <v>3</v>
      </c>
      <c r="I39" s="55" t="n">
        <f aca="false">IFERROR(COUNTIFS('Submittal Log'!$H$9:$H$208,"09 Finishes",'Submittal Log'!$V$9:$V$208,"&lt;&gt;Closed",'Submittal Log'!$V$9:$V$208,"&lt;&gt;Superseded",'Submittal Log'!$V$9:$V$208,"&lt;&gt;Void")/COUNTIF('Submittal Log'!$J$9:$J$208,"?*"),0)</f>
        <v>0.115384615384615</v>
      </c>
      <c r="J39" s="56" t="str">
        <f aca="false">IF(COUNTIFS('Submittal Log'!$H$9:$H$208,"09 Finishes",'Submittal Log'!$V$9:$V$208,"&lt;&gt;Closed",'Submittal Log'!$V$9:$V$208,"&lt;&gt;Superseded",'Submittal Log'!$V$9:$V$208,"&lt;&gt;Void")=0,"",REPT("|",ROUND(IFERROR(COUNTIFS('Submittal Log'!$H$9:$H$208,"09 Finishes",'Submittal Log'!$V$9:$V$208,"&lt;&gt;Closed",'Submittal Log'!$V$9:$V$208,"&lt;&gt;Superseded",'Submittal Log'!$V$9:$V$208,"&lt;&gt;Void")/COUNTIF('Submittal Log'!$J$9:$J$208,"?*"),0)*12,0)))</f>
        <v>|</v>
      </c>
    </row>
    <row r="40" customFormat="false" ht="15.75" hidden="false" customHeight="true" outlineLevel="0" collapsed="false">
      <c r="B40" s="59" t="s">
        <v>300</v>
      </c>
      <c r="C40" s="54" t="n">
        <f aca="false">COUNTIFS('Submittal Log'!$U$9:$U$208,"&gt;="&amp;22,'Submittal Log'!$U$9:$U$208,"&lt;="&amp;30,'Submittal Log'!$V$9:$V$208,"In review")+COUNTIFS('Submittal Log'!$U$9:$U$208,"&gt;="&amp;22,'Submittal Log'!$U$9:$U$208,"&lt;="&amp;30,'Submittal Log'!$V$9:$V$208,"Overdue with reviewer")</f>
        <v>1</v>
      </c>
      <c r="D40" s="55" t="n">
        <f aca="false">IFERROR((COUNTIFS('Submittal Log'!$U$9:$U$208,"&gt;="&amp;22,'Submittal Log'!$U$9:$U$208,"&lt;="&amp;30,'Submittal Log'!$V$9:$V$208,"In review")+COUNTIFS('Submittal Log'!$U$9:$U$208,"&gt;="&amp;22,'Submittal Log'!$U$9:$U$208,"&lt;="&amp;30,'Submittal Log'!$V$9:$V$208,"Overdue with reviewer"))/(COUNTIFS('Submittal Log'!$V$9:$V$208,"In review")+COUNTIFS('Submittal Log'!$V$9:$V$208,"Overdue with reviewer")),0)</f>
        <v>0.166666666666667</v>
      </c>
      <c r="E40" s="62" t="str">
        <f aca="false">IF((COUNTIFS('Submittal Log'!$U$9:$U$208,"&gt;="&amp;22,'Submittal Log'!$U$9:$U$208,"&lt;="&amp;30,'Submittal Log'!$V$9:$V$208,"In review")+COUNTIFS('Submittal Log'!$U$9:$U$208,"&gt;="&amp;22,'Submittal Log'!$U$9:$U$208,"&lt;="&amp;30,'Submittal Log'!$V$9:$V$208,"Overdue with reviewer"))=0,"",REPT("|",ROUND(IFERROR((COUNTIFS('Submittal Log'!$U$9:$U$208,"&gt;="&amp;22,'Submittal Log'!$U$9:$U$208,"&lt;="&amp;30,'Submittal Log'!$V$9:$V$208,"In review")+COUNTIFS('Submittal Log'!$U$9:$U$208,"&gt;="&amp;22,'Submittal Log'!$U$9:$U$208,"&lt;="&amp;30,'Submittal Log'!$V$9:$V$208,"Overdue with reviewer"))/(COUNTIFS('Submittal Log'!$V$9:$V$208,"In review")+COUNTIFS('Submittal Log'!$V$9:$V$208,"Overdue with reviewer")),0)*26,0)))</f>
        <v>||||</v>
      </c>
      <c r="G40" s="12" t="s">
        <v>246</v>
      </c>
      <c r="H40" s="51" t="n">
        <f aca="false">COUNTIFS('Submittal Log'!$H$9:$H$208,"10 Specialties",'Submittal Log'!$V$9:$V$208,"&lt;&gt;Closed",'Submittal Log'!$V$9:$V$208,"&lt;&gt;Superseded",'Submittal Log'!$V$9:$V$208,"&lt;&gt;Void")</f>
        <v>0</v>
      </c>
      <c r="I40" s="52" t="n">
        <f aca="false">IFERROR(COUNTIFS('Submittal Log'!$H$9:$H$208,"10 Specialties",'Submittal Log'!$V$9:$V$208,"&lt;&gt;Closed",'Submittal Log'!$V$9:$V$208,"&lt;&gt;Superseded",'Submittal Log'!$V$9:$V$208,"&lt;&gt;Void")/COUNTIF('Submittal Log'!$J$9:$J$208,"?*"),0)</f>
        <v>0</v>
      </c>
      <c r="J40" s="53" t="str">
        <f aca="false">IF(COUNTIFS('Submittal Log'!$H$9:$H$208,"10 Specialties",'Submittal Log'!$V$9:$V$208,"&lt;&gt;Closed",'Submittal Log'!$V$9:$V$208,"&lt;&gt;Superseded",'Submittal Log'!$V$9:$V$208,"&lt;&gt;Void")=0,"",REPT("|",ROUND(IFERROR(COUNTIFS('Submittal Log'!$H$9:$H$208,"10 Specialties",'Submittal Log'!$V$9:$V$208,"&lt;&gt;Closed",'Submittal Log'!$V$9:$V$208,"&lt;&gt;Superseded",'Submittal Log'!$V$9:$V$208,"&lt;&gt;Void")/COUNTIF('Submittal Log'!$J$9:$J$208,"?*"),0)*12,0)))</f>
        <v/>
      </c>
    </row>
    <row r="41" customFormat="false" ht="15.75" hidden="false" customHeight="true" outlineLevel="0" collapsed="false">
      <c r="B41" s="57" t="s">
        <v>301</v>
      </c>
      <c r="C41" s="51" t="n">
        <f aca="false">COUNTIFS('Submittal Log'!$U$9:$U$208,"&gt;="&amp;31,'Submittal Log'!$U$9:$U$208,"&lt;="&amp;100000,'Submittal Log'!$V$9:$V$208,"In review")+COUNTIFS('Submittal Log'!$U$9:$U$208,"&gt;="&amp;31,'Submittal Log'!$U$9:$U$208,"&lt;="&amp;100000,'Submittal Log'!$V$9:$V$208,"Overdue with reviewer")</f>
        <v>1</v>
      </c>
      <c r="D41" s="52" t="n">
        <f aca="false">IFERROR((COUNTIFS('Submittal Log'!$U$9:$U$208,"&gt;="&amp;31,'Submittal Log'!$U$9:$U$208,"&lt;="&amp;100000,'Submittal Log'!$V$9:$V$208,"In review")+COUNTIFS('Submittal Log'!$U$9:$U$208,"&gt;="&amp;31,'Submittal Log'!$U$9:$U$208,"&lt;="&amp;100000,'Submittal Log'!$V$9:$V$208,"Overdue with reviewer"))/(COUNTIFS('Submittal Log'!$V$9:$V$208,"In review")+COUNTIFS('Submittal Log'!$V$9:$V$208,"Overdue with reviewer")),0)</f>
        <v>0.166666666666667</v>
      </c>
      <c r="E41" s="63" t="str">
        <f aca="false">IF((COUNTIFS('Submittal Log'!$U$9:$U$208,"&gt;="&amp;31,'Submittal Log'!$U$9:$U$208,"&lt;="&amp;100000,'Submittal Log'!$V$9:$V$208,"In review")+COUNTIFS('Submittal Log'!$U$9:$U$208,"&gt;="&amp;31,'Submittal Log'!$U$9:$U$208,"&lt;="&amp;100000,'Submittal Log'!$V$9:$V$208,"Overdue with reviewer"))=0,"",REPT("|",ROUND(IFERROR((COUNTIFS('Submittal Log'!$U$9:$U$208,"&gt;="&amp;31,'Submittal Log'!$U$9:$U$208,"&lt;="&amp;100000,'Submittal Log'!$V$9:$V$208,"In review")+COUNTIFS('Submittal Log'!$U$9:$U$208,"&gt;="&amp;31,'Submittal Log'!$U$9:$U$208,"&lt;="&amp;100000,'Submittal Log'!$V$9:$V$208,"Overdue with reviewer"))/(COUNTIFS('Submittal Log'!$V$9:$V$208,"In review")+COUNTIFS('Submittal Log'!$V$9:$V$208,"Overdue with reviewer")),0)*26,0)))</f>
        <v>||||</v>
      </c>
      <c r="G41" s="15" t="s">
        <v>262</v>
      </c>
      <c r="H41" s="54" t="n">
        <f aca="false">COUNTIFS('Submittal Log'!$H$9:$H$208,"11 Equipment",'Submittal Log'!$V$9:$V$208,"&lt;&gt;Closed",'Submittal Log'!$V$9:$V$208,"&lt;&gt;Superseded",'Submittal Log'!$V$9:$V$208,"&lt;&gt;Void")</f>
        <v>0</v>
      </c>
      <c r="I41" s="55" t="n">
        <f aca="false">IFERROR(COUNTIFS('Submittal Log'!$H$9:$H$208,"11 Equipment",'Submittal Log'!$V$9:$V$208,"&lt;&gt;Closed",'Submittal Log'!$V$9:$V$208,"&lt;&gt;Superseded",'Submittal Log'!$V$9:$V$208,"&lt;&gt;Void")/COUNTIF('Submittal Log'!$J$9:$J$208,"?*"),0)</f>
        <v>0</v>
      </c>
      <c r="J41" s="56" t="str">
        <f aca="false">IF(COUNTIFS('Submittal Log'!$H$9:$H$208,"11 Equipment",'Submittal Log'!$V$9:$V$208,"&lt;&gt;Closed",'Submittal Log'!$V$9:$V$208,"&lt;&gt;Superseded",'Submittal Log'!$V$9:$V$208,"&lt;&gt;Void")=0,"",REPT("|",ROUND(IFERROR(COUNTIFS('Submittal Log'!$H$9:$H$208,"11 Equipment",'Submittal Log'!$V$9:$V$208,"&lt;&gt;Closed",'Submittal Log'!$V$9:$V$208,"&lt;&gt;Superseded",'Submittal Log'!$V$9:$V$208,"&lt;&gt;Void")/COUNTIF('Submittal Log'!$J$9:$J$208,"?*"),0)*12,0)))</f>
        <v/>
      </c>
    </row>
    <row r="42" customFormat="false" ht="15.75" hidden="false" customHeight="true" outlineLevel="0" collapsed="false">
      <c r="G42" s="12" t="s">
        <v>302</v>
      </c>
      <c r="H42" s="51" t="n">
        <f aca="false">COUNTIFS('Submittal Log'!$H$9:$H$208,"12 Furnishings",'Submittal Log'!$V$9:$V$208,"&lt;&gt;Closed",'Submittal Log'!$V$9:$V$208,"&lt;&gt;Superseded",'Submittal Log'!$V$9:$V$208,"&lt;&gt;Void")</f>
        <v>0</v>
      </c>
      <c r="I42" s="52" t="n">
        <f aca="false">IFERROR(COUNTIFS('Submittal Log'!$H$9:$H$208,"12 Furnishings",'Submittal Log'!$V$9:$V$208,"&lt;&gt;Closed",'Submittal Log'!$V$9:$V$208,"&lt;&gt;Superseded",'Submittal Log'!$V$9:$V$208,"&lt;&gt;Void")/COUNTIF('Submittal Log'!$J$9:$J$208,"?*"),0)</f>
        <v>0</v>
      </c>
      <c r="J42" s="53" t="str">
        <f aca="false">IF(COUNTIFS('Submittal Log'!$H$9:$H$208,"12 Furnishings",'Submittal Log'!$V$9:$V$208,"&lt;&gt;Closed",'Submittal Log'!$V$9:$V$208,"&lt;&gt;Superseded",'Submittal Log'!$V$9:$V$208,"&lt;&gt;Void")=0,"",REPT("|",ROUND(IFERROR(COUNTIFS('Submittal Log'!$H$9:$H$208,"12 Furnishings",'Submittal Log'!$V$9:$V$208,"&lt;&gt;Closed",'Submittal Log'!$V$9:$V$208,"&lt;&gt;Superseded",'Submittal Log'!$V$9:$V$208,"&lt;&gt;Void")/COUNTIF('Submittal Log'!$J$9:$J$208,"?*"),0)*12,0)))</f>
        <v/>
      </c>
    </row>
    <row r="43" customFormat="false" ht="15.75" hidden="false" customHeight="true" outlineLevel="0" collapsed="false">
      <c r="G43" s="15" t="s">
        <v>303</v>
      </c>
      <c r="H43" s="54" t="n">
        <f aca="false">COUNTIFS('Submittal Log'!$H$9:$H$208,"13 Special Construction",'Submittal Log'!$V$9:$V$208,"&lt;&gt;Closed",'Submittal Log'!$V$9:$V$208,"&lt;&gt;Superseded",'Submittal Log'!$V$9:$V$208,"&lt;&gt;Void")</f>
        <v>0</v>
      </c>
      <c r="I43" s="55" t="n">
        <f aca="false">IFERROR(COUNTIFS('Submittal Log'!$H$9:$H$208,"13 Special Construction",'Submittal Log'!$V$9:$V$208,"&lt;&gt;Closed",'Submittal Log'!$V$9:$V$208,"&lt;&gt;Superseded",'Submittal Log'!$V$9:$V$208,"&lt;&gt;Void")/COUNTIF('Submittal Log'!$J$9:$J$208,"?*"),0)</f>
        <v>0</v>
      </c>
      <c r="J43" s="56" t="str">
        <f aca="false">IF(COUNTIFS('Submittal Log'!$H$9:$H$208,"13 Special Construction",'Submittal Log'!$V$9:$V$208,"&lt;&gt;Closed",'Submittal Log'!$V$9:$V$208,"&lt;&gt;Superseded",'Submittal Log'!$V$9:$V$208,"&lt;&gt;Void")=0,"",REPT("|",ROUND(IFERROR(COUNTIFS('Submittal Log'!$H$9:$H$208,"13 Special Construction",'Submittal Log'!$V$9:$V$208,"&lt;&gt;Closed",'Submittal Log'!$V$9:$V$208,"&lt;&gt;Superseded",'Submittal Log'!$V$9:$V$208,"&lt;&gt;Void")/COUNTIF('Submittal Log'!$J$9:$J$208,"?*"),0)*12,0)))</f>
        <v/>
      </c>
    </row>
    <row r="44" customFormat="false" ht="15.75" hidden="false" customHeight="true" outlineLevel="0" collapsed="false">
      <c r="B44" s="64" t="s">
        <v>304</v>
      </c>
      <c r="C44" s="64"/>
      <c r="D44" s="64"/>
      <c r="E44" s="64"/>
      <c r="G44" s="12" t="s">
        <v>160</v>
      </c>
      <c r="H44" s="51" t="n">
        <f aca="false">COUNTIFS('Submittal Log'!$H$9:$H$208,"14 Conveying Equipment",'Submittal Log'!$V$9:$V$208,"&lt;&gt;Closed",'Submittal Log'!$V$9:$V$208,"&lt;&gt;Superseded",'Submittal Log'!$V$9:$V$208,"&lt;&gt;Void")</f>
        <v>0</v>
      </c>
      <c r="I44" s="52" t="n">
        <f aca="false">IFERROR(COUNTIFS('Submittal Log'!$H$9:$H$208,"14 Conveying Equipment",'Submittal Log'!$V$9:$V$208,"&lt;&gt;Closed",'Submittal Log'!$V$9:$V$208,"&lt;&gt;Superseded",'Submittal Log'!$V$9:$V$208,"&lt;&gt;Void")/COUNTIF('Submittal Log'!$J$9:$J$208,"?*"),0)</f>
        <v>0</v>
      </c>
      <c r="J44" s="53" t="str">
        <f aca="false">IF(COUNTIFS('Submittal Log'!$H$9:$H$208,"14 Conveying Equipment",'Submittal Log'!$V$9:$V$208,"&lt;&gt;Closed",'Submittal Log'!$V$9:$V$208,"&lt;&gt;Superseded",'Submittal Log'!$V$9:$V$208,"&lt;&gt;Void")=0,"",REPT("|",ROUND(IFERROR(COUNTIFS('Submittal Log'!$H$9:$H$208,"14 Conveying Equipment",'Submittal Log'!$V$9:$V$208,"&lt;&gt;Closed",'Submittal Log'!$V$9:$V$208,"&lt;&gt;Superseded",'Submittal Log'!$V$9:$V$208,"&lt;&gt;Void")/COUNTIF('Submittal Log'!$J$9:$J$208,"?*"),0)*12,0)))</f>
        <v/>
      </c>
    </row>
    <row r="45" customFormat="false" ht="15.75" hidden="false" customHeight="true" outlineLevel="0" collapsed="false">
      <c r="B45" s="64"/>
      <c r="C45" s="64"/>
      <c r="D45" s="64"/>
      <c r="E45" s="64"/>
      <c r="G45" s="15" t="s">
        <v>167</v>
      </c>
      <c r="H45" s="54" t="n">
        <f aca="false">COUNTIFS('Submittal Log'!$H$9:$H$208,"21 Fire Suppression",'Submittal Log'!$V$9:$V$208,"&lt;&gt;Closed",'Submittal Log'!$V$9:$V$208,"&lt;&gt;Superseded",'Submittal Log'!$V$9:$V$208,"&lt;&gt;Void")</f>
        <v>1</v>
      </c>
      <c r="I45" s="55" t="n">
        <f aca="false">IFERROR(COUNTIFS('Submittal Log'!$H$9:$H$208,"21 Fire Suppression",'Submittal Log'!$V$9:$V$208,"&lt;&gt;Closed",'Submittal Log'!$V$9:$V$208,"&lt;&gt;Superseded",'Submittal Log'!$V$9:$V$208,"&lt;&gt;Void")/COUNTIF('Submittal Log'!$J$9:$J$208,"?*"),0)</f>
        <v>0.0384615384615385</v>
      </c>
      <c r="J45" s="56" t="str">
        <f aca="false">IF(COUNTIFS('Submittal Log'!$H$9:$H$208,"21 Fire Suppression",'Submittal Log'!$V$9:$V$208,"&lt;&gt;Closed",'Submittal Log'!$V$9:$V$208,"&lt;&gt;Superseded",'Submittal Log'!$V$9:$V$208,"&lt;&gt;Void")=0,"",REPT("|",ROUND(IFERROR(COUNTIFS('Submittal Log'!$H$9:$H$208,"21 Fire Suppression",'Submittal Log'!$V$9:$V$208,"&lt;&gt;Closed",'Submittal Log'!$V$9:$V$208,"&lt;&gt;Superseded",'Submittal Log'!$V$9:$V$208,"&lt;&gt;Void")/COUNTIF('Submittal Log'!$J$9:$J$208,"?*"),0)*12,0)))</f>
        <v/>
      </c>
    </row>
    <row r="46" customFormat="false" ht="15.75" hidden="false" customHeight="true" outlineLevel="0" collapsed="false">
      <c r="B46" s="64"/>
      <c r="C46" s="64"/>
      <c r="D46" s="64"/>
      <c r="E46" s="64"/>
      <c r="G46" s="12" t="s">
        <v>175</v>
      </c>
      <c r="H46" s="51" t="n">
        <f aca="false">COUNTIFS('Submittal Log'!$H$9:$H$208,"22 Plumbing",'Submittal Log'!$V$9:$V$208,"&lt;&gt;Closed",'Submittal Log'!$V$9:$V$208,"&lt;&gt;Superseded",'Submittal Log'!$V$9:$V$208,"&lt;&gt;Void")</f>
        <v>0</v>
      </c>
      <c r="I46" s="52" t="n">
        <f aca="false">IFERROR(COUNTIFS('Submittal Log'!$H$9:$H$208,"22 Plumbing",'Submittal Log'!$V$9:$V$208,"&lt;&gt;Closed",'Submittal Log'!$V$9:$V$208,"&lt;&gt;Superseded",'Submittal Log'!$V$9:$V$208,"&lt;&gt;Void")/COUNTIF('Submittal Log'!$J$9:$J$208,"?*"),0)</f>
        <v>0</v>
      </c>
      <c r="J46" s="53" t="str">
        <f aca="false">IF(COUNTIFS('Submittal Log'!$H$9:$H$208,"22 Plumbing",'Submittal Log'!$V$9:$V$208,"&lt;&gt;Closed",'Submittal Log'!$V$9:$V$208,"&lt;&gt;Superseded",'Submittal Log'!$V$9:$V$208,"&lt;&gt;Void")=0,"",REPT("|",ROUND(IFERROR(COUNTIFS('Submittal Log'!$H$9:$H$208,"22 Plumbing",'Submittal Log'!$V$9:$V$208,"&lt;&gt;Closed",'Submittal Log'!$V$9:$V$208,"&lt;&gt;Superseded",'Submittal Log'!$V$9:$V$208,"&lt;&gt;Void")/COUNTIF('Submittal Log'!$J$9:$J$208,"?*"),0)*12,0)))</f>
        <v/>
      </c>
    </row>
    <row r="47" customFormat="false" ht="30" hidden="false" customHeight="true" outlineLevel="0" collapsed="false">
      <c r="B47" s="64"/>
      <c r="C47" s="64"/>
      <c r="D47" s="64"/>
      <c r="E47" s="64"/>
      <c r="G47" s="15" t="s">
        <v>181</v>
      </c>
      <c r="H47" s="54" t="n">
        <f aca="false">COUNTIFS('Submittal Log'!$H$9:$H$208,"23 Heating, Ventilating and Air Conditioning",'Submittal Log'!$V$9:$V$208,"&lt;&gt;Closed",'Submittal Log'!$V$9:$V$208,"&lt;&gt;Superseded",'Submittal Log'!$V$9:$V$208,"&lt;&gt;Void")</f>
        <v>1</v>
      </c>
      <c r="I47" s="55" t="n">
        <f aca="false">IFERROR(COUNTIFS('Submittal Log'!$H$9:$H$208,"23 Heating, Ventilating and Air Conditioning",'Submittal Log'!$V$9:$V$208,"&lt;&gt;Closed",'Submittal Log'!$V$9:$V$208,"&lt;&gt;Superseded",'Submittal Log'!$V$9:$V$208,"&lt;&gt;Void")/COUNTIF('Submittal Log'!$J$9:$J$208,"?*"),0)</f>
        <v>0.0384615384615385</v>
      </c>
      <c r="J47" s="56" t="str">
        <f aca="false">IF(COUNTIFS('Submittal Log'!$H$9:$H$208,"23 Heating, Ventilating and Air Conditioning",'Submittal Log'!$V$9:$V$208,"&lt;&gt;Closed",'Submittal Log'!$V$9:$V$208,"&lt;&gt;Superseded",'Submittal Log'!$V$9:$V$208,"&lt;&gt;Void")=0,"",REPT("|",ROUND(IFERROR(COUNTIFS('Submittal Log'!$H$9:$H$208,"23 Heating, Ventilating and Air Conditioning",'Submittal Log'!$V$9:$V$208,"&lt;&gt;Closed",'Submittal Log'!$V$9:$V$208,"&lt;&gt;Superseded",'Submittal Log'!$V$9:$V$208,"&lt;&gt;Void")/COUNTIF('Submittal Log'!$J$9:$J$208,"?*"),0)*12,0)))</f>
        <v/>
      </c>
    </row>
    <row r="48" customFormat="false" ht="15.75" hidden="false" customHeight="true" outlineLevel="0" collapsed="false">
      <c r="B48" s="64"/>
      <c r="C48" s="64"/>
      <c r="D48" s="64"/>
      <c r="E48" s="64"/>
      <c r="G48" s="12" t="s">
        <v>305</v>
      </c>
      <c r="H48" s="51" t="n">
        <f aca="false">COUNTIFS('Submittal Log'!$H$9:$H$208,"25 Integrated Automation",'Submittal Log'!$V$9:$V$208,"&lt;&gt;Closed",'Submittal Log'!$V$9:$V$208,"&lt;&gt;Superseded",'Submittal Log'!$V$9:$V$208,"&lt;&gt;Void")</f>
        <v>0</v>
      </c>
      <c r="I48" s="52" t="n">
        <f aca="false">IFERROR(COUNTIFS('Submittal Log'!$H$9:$H$208,"25 Integrated Automation",'Submittal Log'!$V$9:$V$208,"&lt;&gt;Closed",'Submittal Log'!$V$9:$V$208,"&lt;&gt;Superseded",'Submittal Log'!$V$9:$V$208,"&lt;&gt;Void")/COUNTIF('Submittal Log'!$J$9:$J$208,"?*"),0)</f>
        <v>0</v>
      </c>
      <c r="J48" s="53" t="str">
        <f aca="false">IF(COUNTIFS('Submittal Log'!$H$9:$H$208,"25 Integrated Automation",'Submittal Log'!$V$9:$V$208,"&lt;&gt;Closed",'Submittal Log'!$V$9:$V$208,"&lt;&gt;Superseded",'Submittal Log'!$V$9:$V$208,"&lt;&gt;Void")=0,"",REPT("|",ROUND(IFERROR(COUNTIFS('Submittal Log'!$H$9:$H$208,"25 Integrated Automation",'Submittal Log'!$V$9:$V$208,"&lt;&gt;Closed",'Submittal Log'!$V$9:$V$208,"&lt;&gt;Superseded",'Submittal Log'!$V$9:$V$208,"&lt;&gt;Void")/COUNTIF('Submittal Log'!$J$9:$J$208,"?*"),0)*12,0)))</f>
        <v/>
      </c>
    </row>
    <row r="49" customFormat="false" ht="15.75" hidden="false" customHeight="true" outlineLevel="0" collapsed="false">
      <c r="B49" s="64"/>
      <c r="C49" s="64"/>
      <c r="D49" s="64"/>
      <c r="E49" s="64"/>
      <c r="G49" s="15" t="s">
        <v>192</v>
      </c>
      <c r="H49" s="54" t="n">
        <f aca="false">COUNTIFS('Submittal Log'!$H$9:$H$208,"26 Electrical",'Submittal Log'!$V$9:$V$208,"&lt;&gt;Closed",'Submittal Log'!$V$9:$V$208,"&lt;&gt;Superseded",'Submittal Log'!$V$9:$V$208,"&lt;&gt;Void")</f>
        <v>1</v>
      </c>
      <c r="I49" s="55" t="n">
        <f aca="false">IFERROR(COUNTIFS('Submittal Log'!$H$9:$H$208,"26 Electrical",'Submittal Log'!$V$9:$V$208,"&lt;&gt;Closed",'Submittal Log'!$V$9:$V$208,"&lt;&gt;Superseded",'Submittal Log'!$V$9:$V$208,"&lt;&gt;Void")/COUNTIF('Submittal Log'!$J$9:$J$208,"?*"),0)</f>
        <v>0.0384615384615385</v>
      </c>
      <c r="J49" s="56" t="str">
        <f aca="false">IF(COUNTIFS('Submittal Log'!$H$9:$H$208,"26 Electrical",'Submittal Log'!$V$9:$V$208,"&lt;&gt;Closed",'Submittal Log'!$V$9:$V$208,"&lt;&gt;Superseded",'Submittal Log'!$V$9:$V$208,"&lt;&gt;Void")=0,"",REPT("|",ROUND(IFERROR(COUNTIFS('Submittal Log'!$H$9:$H$208,"26 Electrical",'Submittal Log'!$V$9:$V$208,"&lt;&gt;Closed",'Submittal Log'!$V$9:$V$208,"&lt;&gt;Superseded",'Submittal Log'!$V$9:$V$208,"&lt;&gt;Void")/COUNTIF('Submittal Log'!$J$9:$J$208,"?*"),0)*12,0)))</f>
        <v/>
      </c>
    </row>
    <row r="50" customFormat="false" ht="15.75" hidden="false" customHeight="true" outlineLevel="0" collapsed="false">
      <c r="B50" s="64"/>
      <c r="C50" s="64"/>
      <c r="D50" s="64"/>
      <c r="E50" s="64"/>
      <c r="G50" s="12" t="s">
        <v>306</v>
      </c>
      <c r="H50" s="51" t="n">
        <f aca="false">COUNTIFS('Submittal Log'!$H$9:$H$208,"27 Communications",'Submittal Log'!$V$9:$V$208,"&lt;&gt;Closed",'Submittal Log'!$V$9:$V$208,"&lt;&gt;Superseded",'Submittal Log'!$V$9:$V$208,"&lt;&gt;Void")</f>
        <v>0</v>
      </c>
      <c r="I50" s="52" t="n">
        <f aca="false">IFERROR(COUNTIFS('Submittal Log'!$H$9:$H$208,"27 Communications",'Submittal Log'!$V$9:$V$208,"&lt;&gt;Closed",'Submittal Log'!$V$9:$V$208,"&lt;&gt;Superseded",'Submittal Log'!$V$9:$V$208,"&lt;&gt;Void")/COUNTIF('Submittal Log'!$J$9:$J$208,"?*"),0)</f>
        <v>0</v>
      </c>
      <c r="J50" s="53" t="str">
        <f aca="false">IF(COUNTIFS('Submittal Log'!$H$9:$H$208,"27 Communications",'Submittal Log'!$V$9:$V$208,"&lt;&gt;Closed",'Submittal Log'!$V$9:$V$208,"&lt;&gt;Superseded",'Submittal Log'!$V$9:$V$208,"&lt;&gt;Void")=0,"",REPT("|",ROUND(IFERROR(COUNTIFS('Submittal Log'!$H$9:$H$208,"27 Communications",'Submittal Log'!$V$9:$V$208,"&lt;&gt;Closed",'Submittal Log'!$V$9:$V$208,"&lt;&gt;Superseded",'Submittal Log'!$V$9:$V$208,"&lt;&gt;Void")/COUNTIF('Submittal Log'!$J$9:$J$208,"?*"),0)*12,0)))</f>
        <v/>
      </c>
    </row>
    <row r="51" customFormat="false" ht="30" hidden="false" customHeight="true" outlineLevel="0" collapsed="false">
      <c r="B51" s="64"/>
      <c r="C51" s="64"/>
      <c r="D51" s="64"/>
      <c r="E51" s="64"/>
      <c r="G51" s="15" t="s">
        <v>208</v>
      </c>
      <c r="H51" s="54" t="n">
        <f aca="false">COUNTIFS('Submittal Log'!$H$9:$H$208,"28 Electronic Safety and Security",'Submittal Log'!$V$9:$V$208,"&lt;&gt;Closed",'Submittal Log'!$V$9:$V$208,"&lt;&gt;Superseded",'Submittal Log'!$V$9:$V$208,"&lt;&gt;Void")</f>
        <v>1</v>
      </c>
      <c r="I51" s="55" t="n">
        <f aca="false">IFERROR(COUNTIFS('Submittal Log'!$H$9:$H$208,"28 Electronic Safety and Security",'Submittal Log'!$V$9:$V$208,"&lt;&gt;Closed",'Submittal Log'!$V$9:$V$208,"&lt;&gt;Superseded",'Submittal Log'!$V$9:$V$208,"&lt;&gt;Void")/COUNTIF('Submittal Log'!$J$9:$J$208,"?*"),0)</f>
        <v>0.0384615384615385</v>
      </c>
      <c r="J51" s="56" t="str">
        <f aca="false">IF(COUNTIFS('Submittal Log'!$H$9:$H$208,"28 Electronic Safety and Security",'Submittal Log'!$V$9:$V$208,"&lt;&gt;Closed",'Submittal Log'!$V$9:$V$208,"&lt;&gt;Superseded",'Submittal Log'!$V$9:$V$208,"&lt;&gt;Void")=0,"",REPT("|",ROUND(IFERROR(COUNTIFS('Submittal Log'!$H$9:$H$208,"28 Electronic Safety and Security",'Submittal Log'!$V$9:$V$208,"&lt;&gt;Closed",'Submittal Log'!$V$9:$V$208,"&lt;&gt;Superseded",'Submittal Log'!$V$9:$V$208,"&lt;&gt;Void")/COUNTIF('Submittal Log'!$J$9:$J$208,"?*"),0)*12,0)))</f>
        <v/>
      </c>
    </row>
    <row r="52" customFormat="false" ht="15.75" hidden="false" customHeight="true" outlineLevel="0" collapsed="false">
      <c r="G52" s="12" t="s">
        <v>213</v>
      </c>
      <c r="H52" s="51" t="n">
        <f aca="false">COUNTIFS('Submittal Log'!$H$9:$H$208,"31 Earthwork",'Submittal Log'!$V$9:$V$208,"&lt;&gt;Closed",'Submittal Log'!$V$9:$V$208,"&lt;&gt;Superseded",'Submittal Log'!$V$9:$V$208,"&lt;&gt;Void")</f>
        <v>0</v>
      </c>
      <c r="I52" s="52" t="n">
        <f aca="false">IFERROR(COUNTIFS('Submittal Log'!$H$9:$H$208,"31 Earthwork",'Submittal Log'!$V$9:$V$208,"&lt;&gt;Closed",'Submittal Log'!$V$9:$V$208,"&lt;&gt;Superseded",'Submittal Log'!$V$9:$V$208,"&lt;&gt;Void")/COUNTIF('Submittal Log'!$J$9:$J$208,"?*"),0)</f>
        <v>0</v>
      </c>
      <c r="J52" s="53" t="str">
        <f aca="false">IF(COUNTIFS('Submittal Log'!$H$9:$H$208,"31 Earthwork",'Submittal Log'!$V$9:$V$208,"&lt;&gt;Closed",'Submittal Log'!$V$9:$V$208,"&lt;&gt;Superseded",'Submittal Log'!$V$9:$V$208,"&lt;&gt;Void")=0,"",REPT("|",ROUND(IFERROR(COUNTIFS('Submittal Log'!$H$9:$H$208,"31 Earthwork",'Submittal Log'!$V$9:$V$208,"&lt;&gt;Closed",'Submittal Log'!$V$9:$V$208,"&lt;&gt;Superseded",'Submittal Log'!$V$9:$V$208,"&lt;&gt;Void")/COUNTIF('Submittal Log'!$J$9:$J$208,"?*"),0)*12,0)))</f>
        <v/>
      </c>
    </row>
    <row r="53" customFormat="false" ht="15.75" hidden="false" customHeight="true" outlineLevel="0" collapsed="false">
      <c r="G53" s="15" t="s">
        <v>221</v>
      </c>
      <c r="H53" s="54" t="n">
        <f aca="false">COUNTIFS('Submittal Log'!$H$9:$H$208,"32 Exterior Improvements",'Submittal Log'!$V$9:$V$208,"&lt;&gt;Closed",'Submittal Log'!$V$9:$V$208,"&lt;&gt;Superseded",'Submittal Log'!$V$9:$V$208,"&lt;&gt;Void")</f>
        <v>1</v>
      </c>
      <c r="I53" s="55" t="n">
        <f aca="false">IFERROR(COUNTIFS('Submittal Log'!$H$9:$H$208,"32 Exterior Improvements",'Submittal Log'!$V$9:$V$208,"&lt;&gt;Closed",'Submittal Log'!$V$9:$V$208,"&lt;&gt;Superseded",'Submittal Log'!$V$9:$V$208,"&lt;&gt;Void")/COUNTIF('Submittal Log'!$J$9:$J$208,"?*"),0)</f>
        <v>0.0384615384615385</v>
      </c>
      <c r="J53" s="56" t="str">
        <f aca="false">IF(COUNTIFS('Submittal Log'!$H$9:$H$208,"32 Exterior Improvements",'Submittal Log'!$V$9:$V$208,"&lt;&gt;Closed",'Submittal Log'!$V$9:$V$208,"&lt;&gt;Superseded",'Submittal Log'!$V$9:$V$208,"&lt;&gt;Void")=0,"",REPT("|",ROUND(IFERROR(COUNTIFS('Submittal Log'!$H$9:$H$208,"32 Exterior Improvements",'Submittal Log'!$V$9:$V$208,"&lt;&gt;Closed",'Submittal Log'!$V$9:$V$208,"&lt;&gt;Superseded",'Submittal Log'!$V$9:$V$208,"&lt;&gt;Void")/COUNTIF('Submittal Log'!$J$9:$J$208,"?*"),0)*12,0)))</f>
        <v/>
      </c>
    </row>
    <row r="54" customFormat="false" ht="15.75" hidden="false" customHeight="true" outlineLevel="0" collapsed="false">
      <c r="G54" s="12" t="s">
        <v>233</v>
      </c>
      <c r="H54" s="51" t="n">
        <f aca="false">COUNTIFS('Submittal Log'!$H$9:$H$208,"33 Utilities",'Submittal Log'!$V$9:$V$208,"&lt;&gt;Closed",'Submittal Log'!$V$9:$V$208,"&lt;&gt;Superseded",'Submittal Log'!$V$9:$V$208,"&lt;&gt;Void")</f>
        <v>0</v>
      </c>
      <c r="I54" s="52" t="n">
        <f aca="false">IFERROR(COUNTIFS('Submittal Log'!$H$9:$H$208,"33 Utilities",'Submittal Log'!$V$9:$V$208,"&lt;&gt;Closed",'Submittal Log'!$V$9:$V$208,"&lt;&gt;Superseded",'Submittal Log'!$V$9:$V$208,"&lt;&gt;Void")/COUNTIF('Submittal Log'!$J$9:$J$208,"?*"),0)</f>
        <v>0</v>
      </c>
      <c r="J54" s="53" t="str">
        <f aca="false">IF(COUNTIFS('Submittal Log'!$H$9:$H$208,"33 Utilities",'Submittal Log'!$V$9:$V$208,"&lt;&gt;Closed",'Submittal Log'!$V$9:$V$208,"&lt;&gt;Superseded",'Submittal Log'!$V$9:$V$208,"&lt;&gt;Void")=0,"",REPT("|",ROUND(IFERROR(COUNTIFS('Submittal Log'!$H$9:$H$208,"33 Utilities",'Submittal Log'!$V$9:$V$208,"&lt;&gt;Closed",'Submittal Log'!$V$9:$V$208,"&lt;&gt;Superseded",'Submittal Log'!$V$9:$V$208,"&lt;&gt;Void")/COUNTIF('Submittal Log'!$J$9:$J$208,"?*"),0)*12,0)))</f>
        <v/>
      </c>
    </row>
    <row r="55" customFormat="false" ht="15.75" hidden="false" customHeight="true" outlineLevel="0" collapsed="false">
      <c r="G55" s="15" t="s">
        <v>307</v>
      </c>
      <c r="H55" s="54" t="n">
        <f aca="false">COUNTIFS('Submittal Log'!$H$9:$H$208,"34 Transportation",'Submittal Log'!$V$9:$V$208,"&lt;&gt;Closed",'Submittal Log'!$V$9:$V$208,"&lt;&gt;Superseded",'Submittal Log'!$V$9:$V$208,"&lt;&gt;Void")</f>
        <v>0</v>
      </c>
      <c r="I55" s="55" t="n">
        <f aca="false">IFERROR(COUNTIFS('Submittal Log'!$H$9:$H$208,"34 Transportation",'Submittal Log'!$V$9:$V$208,"&lt;&gt;Closed",'Submittal Log'!$V$9:$V$208,"&lt;&gt;Superseded",'Submittal Log'!$V$9:$V$208,"&lt;&gt;Void")/COUNTIF('Submittal Log'!$J$9:$J$208,"?*"),0)</f>
        <v>0</v>
      </c>
      <c r="J55" s="56" t="str">
        <f aca="false">IF(COUNTIFS('Submittal Log'!$H$9:$H$208,"34 Transportation",'Submittal Log'!$V$9:$V$208,"&lt;&gt;Closed",'Submittal Log'!$V$9:$V$208,"&lt;&gt;Superseded",'Submittal Log'!$V$9:$V$208,"&lt;&gt;Void")=0,"",REPT("|",ROUND(IFERROR(COUNTIFS('Submittal Log'!$H$9:$H$208,"34 Transportation",'Submittal Log'!$V$9:$V$208,"&lt;&gt;Closed",'Submittal Log'!$V$9:$V$208,"&lt;&gt;Superseded",'Submittal Log'!$V$9:$V$208,"&lt;&gt;Void")/COUNTIF('Submittal Log'!$J$9:$J$208,"?*"),0)*12,0)))</f>
        <v/>
      </c>
    </row>
    <row r="56" customFormat="false" ht="30" hidden="false" customHeight="true" outlineLevel="0" collapsed="false">
      <c r="G56" s="12" t="s">
        <v>308</v>
      </c>
      <c r="H56" s="51" t="n">
        <f aca="false">COUNTIFS('Submittal Log'!$H$9:$H$208,"35 Waterway and Marine Construction",'Submittal Log'!$V$9:$V$208,"&lt;&gt;Closed",'Submittal Log'!$V$9:$V$208,"&lt;&gt;Superseded",'Submittal Log'!$V$9:$V$208,"&lt;&gt;Void")</f>
        <v>0</v>
      </c>
      <c r="I56" s="52" t="n">
        <f aca="false">IFERROR(COUNTIFS('Submittal Log'!$H$9:$H$208,"35 Waterway and Marine Construction",'Submittal Log'!$V$9:$V$208,"&lt;&gt;Closed",'Submittal Log'!$V$9:$V$208,"&lt;&gt;Superseded",'Submittal Log'!$V$9:$V$208,"&lt;&gt;Void")/COUNTIF('Submittal Log'!$J$9:$J$208,"?*"),0)</f>
        <v>0</v>
      </c>
      <c r="J56" s="53" t="str">
        <f aca="false">IF(COUNTIFS('Submittal Log'!$H$9:$H$208,"35 Waterway and Marine Construction",'Submittal Log'!$V$9:$V$208,"&lt;&gt;Closed",'Submittal Log'!$V$9:$V$208,"&lt;&gt;Superseded",'Submittal Log'!$V$9:$V$208,"&lt;&gt;Void")=0,"",REPT("|",ROUND(IFERROR(COUNTIFS('Submittal Log'!$H$9:$H$208,"35 Waterway and Marine Construction",'Submittal Log'!$V$9:$V$208,"&lt;&gt;Closed",'Submittal Log'!$V$9:$V$208,"&lt;&gt;Superseded",'Submittal Log'!$V$9:$V$208,"&lt;&gt;Void")/COUNTIF('Submittal Log'!$J$9:$J$208,"?*"),0)*12,0)))</f>
        <v/>
      </c>
    </row>
    <row r="57" customFormat="false" ht="30" hidden="false" customHeight="true" outlineLevel="0" collapsed="false">
      <c r="G57" s="15" t="s">
        <v>309</v>
      </c>
      <c r="H57" s="54" t="n">
        <f aca="false">COUNTIFS('Submittal Log'!$H$9:$H$208,"40 Process Interconnections",'Submittal Log'!$V$9:$V$208,"&lt;&gt;Closed",'Submittal Log'!$V$9:$V$208,"&lt;&gt;Superseded",'Submittal Log'!$V$9:$V$208,"&lt;&gt;Void")</f>
        <v>0</v>
      </c>
      <c r="I57" s="55" t="n">
        <f aca="false">IFERROR(COUNTIFS('Submittal Log'!$H$9:$H$208,"40 Process Interconnections",'Submittal Log'!$V$9:$V$208,"&lt;&gt;Closed",'Submittal Log'!$V$9:$V$208,"&lt;&gt;Superseded",'Submittal Log'!$V$9:$V$208,"&lt;&gt;Void")/COUNTIF('Submittal Log'!$J$9:$J$208,"?*"),0)</f>
        <v>0</v>
      </c>
      <c r="J57" s="56" t="str">
        <f aca="false">IF(COUNTIFS('Submittal Log'!$H$9:$H$208,"40 Process Interconnections",'Submittal Log'!$V$9:$V$208,"&lt;&gt;Closed",'Submittal Log'!$V$9:$V$208,"&lt;&gt;Superseded",'Submittal Log'!$V$9:$V$208,"&lt;&gt;Void")=0,"",REPT("|",ROUND(IFERROR(COUNTIFS('Submittal Log'!$H$9:$H$208,"40 Process Interconnections",'Submittal Log'!$V$9:$V$208,"&lt;&gt;Closed",'Submittal Log'!$V$9:$V$208,"&lt;&gt;Superseded",'Submittal Log'!$V$9:$V$208,"&lt;&gt;Void")/COUNTIF('Submittal Log'!$J$9:$J$208,"?*"),0)*12,0)))</f>
        <v/>
      </c>
    </row>
    <row r="58" customFormat="false" ht="30" hidden="false" customHeight="true" outlineLevel="0" collapsed="false">
      <c r="G58" s="12" t="s">
        <v>310</v>
      </c>
      <c r="H58" s="51" t="n">
        <f aca="false">COUNTIFS('Submittal Log'!$H$9:$H$208,"41 Material Processing and Handling Equipment",'Submittal Log'!$V$9:$V$208,"&lt;&gt;Closed",'Submittal Log'!$V$9:$V$208,"&lt;&gt;Superseded",'Submittal Log'!$V$9:$V$208,"&lt;&gt;Void")</f>
        <v>0</v>
      </c>
      <c r="I58" s="52" t="n">
        <f aca="false">IFERROR(COUNTIFS('Submittal Log'!$H$9:$H$208,"41 Material Processing and Handling Equipment",'Submittal Log'!$V$9:$V$208,"&lt;&gt;Closed",'Submittal Log'!$V$9:$V$208,"&lt;&gt;Superseded",'Submittal Log'!$V$9:$V$208,"&lt;&gt;Void")/COUNTIF('Submittal Log'!$J$9:$J$208,"?*"),0)</f>
        <v>0</v>
      </c>
      <c r="J58" s="53" t="str">
        <f aca="false">IF(COUNTIFS('Submittal Log'!$H$9:$H$208,"41 Material Processing and Handling Equipment",'Submittal Log'!$V$9:$V$208,"&lt;&gt;Closed",'Submittal Log'!$V$9:$V$208,"&lt;&gt;Superseded",'Submittal Log'!$V$9:$V$208,"&lt;&gt;Void")=0,"",REPT("|",ROUND(IFERROR(COUNTIFS('Submittal Log'!$H$9:$H$208,"41 Material Processing and Handling Equipment",'Submittal Log'!$V$9:$V$208,"&lt;&gt;Closed",'Submittal Log'!$V$9:$V$208,"&lt;&gt;Superseded",'Submittal Log'!$V$9:$V$208,"&lt;&gt;Void")/COUNTIF('Submittal Log'!$J$9:$J$208,"?*"),0)*12,0)))</f>
        <v/>
      </c>
    </row>
    <row r="59" customFormat="false" ht="30" hidden="false" customHeight="true" outlineLevel="0" collapsed="false">
      <c r="G59" s="15" t="s">
        <v>311</v>
      </c>
      <c r="H59" s="54" t="n">
        <f aca="false">COUNTIFS('Submittal Log'!$H$9:$H$208,"42 Process Heating, Cooling and Drying Equipment",'Submittal Log'!$V$9:$V$208,"&lt;&gt;Closed",'Submittal Log'!$V$9:$V$208,"&lt;&gt;Superseded",'Submittal Log'!$V$9:$V$208,"&lt;&gt;Void")</f>
        <v>0</v>
      </c>
      <c r="I59" s="55" t="n">
        <f aca="false">IFERROR(COUNTIFS('Submittal Log'!$H$9:$H$208,"42 Process Heating, Cooling and Drying Equipment",'Submittal Log'!$V$9:$V$208,"&lt;&gt;Closed",'Submittal Log'!$V$9:$V$208,"&lt;&gt;Superseded",'Submittal Log'!$V$9:$V$208,"&lt;&gt;Void")/COUNTIF('Submittal Log'!$J$9:$J$208,"?*"),0)</f>
        <v>0</v>
      </c>
      <c r="J59" s="56" t="str">
        <f aca="false">IF(COUNTIFS('Submittal Log'!$H$9:$H$208,"42 Process Heating, Cooling and Drying Equipment",'Submittal Log'!$V$9:$V$208,"&lt;&gt;Closed",'Submittal Log'!$V$9:$V$208,"&lt;&gt;Superseded",'Submittal Log'!$V$9:$V$208,"&lt;&gt;Void")=0,"",REPT("|",ROUND(IFERROR(COUNTIFS('Submittal Log'!$H$9:$H$208,"42 Process Heating, Cooling and Drying Equipment",'Submittal Log'!$V$9:$V$208,"&lt;&gt;Closed",'Submittal Log'!$V$9:$V$208,"&lt;&gt;Superseded",'Submittal Log'!$V$9:$V$208,"&lt;&gt;Void")/COUNTIF('Submittal Log'!$J$9:$J$208,"?*"),0)*12,0)))</f>
        <v/>
      </c>
    </row>
    <row r="60" customFormat="false" ht="30" hidden="false" customHeight="true" outlineLevel="0" collapsed="false">
      <c r="G60" s="12" t="s">
        <v>312</v>
      </c>
      <c r="H60" s="51" t="n">
        <f aca="false">COUNTIFS('Submittal Log'!$H$9:$H$208,"43 Process Gas and Liquid Handling and Storage",'Submittal Log'!$V$9:$V$208,"&lt;&gt;Closed",'Submittal Log'!$V$9:$V$208,"&lt;&gt;Superseded",'Submittal Log'!$V$9:$V$208,"&lt;&gt;Void")</f>
        <v>0</v>
      </c>
      <c r="I60" s="52" t="n">
        <f aca="false">IFERROR(COUNTIFS('Submittal Log'!$H$9:$H$208,"43 Process Gas and Liquid Handling and Storage",'Submittal Log'!$V$9:$V$208,"&lt;&gt;Closed",'Submittal Log'!$V$9:$V$208,"&lt;&gt;Superseded",'Submittal Log'!$V$9:$V$208,"&lt;&gt;Void")/COUNTIF('Submittal Log'!$J$9:$J$208,"?*"),0)</f>
        <v>0</v>
      </c>
      <c r="J60" s="53" t="str">
        <f aca="false">IF(COUNTIFS('Submittal Log'!$H$9:$H$208,"43 Process Gas and Liquid Handling and Storage",'Submittal Log'!$V$9:$V$208,"&lt;&gt;Closed",'Submittal Log'!$V$9:$V$208,"&lt;&gt;Superseded",'Submittal Log'!$V$9:$V$208,"&lt;&gt;Void")=0,"",REPT("|",ROUND(IFERROR(COUNTIFS('Submittal Log'!$H$9:$H$208,"43 Process Gas and Liquid Handling and Storage",'Submittal Log'!$V$9:$V$208,"&lt;&gt;Closed",'Submittal Log'!$V$9:$V$208,"&lt;&gt;Superseded",'Submittal Log'!$V$9:$V$208,"&lt;&gt;Void")/COUNTIF('Submittal Log'!$J$9:$J$208,"?*"),0)*12,0)))</f>
        <v/>
      </c>
    </row>
    <row r="61" customFormat="false" ht="30" hidden="false" customHeight="true" outlineLevel="0" collapsed="false">
      <c r="G61" s="15" t="s">
        <v>313</v>
      </c>
      <c r="H61" s="54" t="n">
        <f aca="false">COUNTIFS('Submittal Log'!$H$9:$H$208,"44 Pollution and Waste Control Equipment",'Submittal Log'!$V$9:$V$208,"&lt;&gt;Closed",'Submittal Log'!$V$9:$V$208,"&lt;&gt;Superseded",'Submittal Log'!$V$9:$V$208,"&lt;&gt;Void")</f>
        <v>0</v>
      </c>
      <c r="I61" s="55" t="n">
        <f aca="false">IFERROR(COUNTIFS('Submittal Log'!$H$9:$H$208,"44 Pollution and Waste Control Equipment",'Submittal Log'!$V$9:$V$208,"&lt;&gt;Closed",'Submittal Log'!$V$9:$V$208,"&lt;&gt;Superseded",'Submittal Log'!$V$9:$V$208,"&lt;&gt;Void")/COUNTIF('Submittal Log'!$J$9:$J$208,"?*"),0)</f>
        <v>0</v>
      </c>
      <c r="J61" s="56" t="str">
        <f aca="false">IF(COUNTIFS('Submittal Log'!$H$9:$H$208,"44 Pollution and Waste Control Equipment",'Submittal Log'!$V$9:$V$208,"&lt;&gt;Closed",'Submittal Log'!$V$9:$V$208,"&lt;&gt;Superseded",'Submittal Log'!$V$9:$V$208,"&lt;&gt;Void")=0,"",REPT("|",ROUND(IFERROR(COUNTIFS('Submittal Log'!$H$9:$H$208,"44 Pollution and Waste Control Equipment",'Submittal Log'!$V$9:$V$208,"&lt;&gt;Closed",'Submittal Log'!$V$9:$V$208,"&lt;&gt;Superseded",'Submittal Log'!$V$9:$V$208,"&lt;&gt;Void")/COUNTIF('Submittal Log'!$J$9:$J$208,"?*"),0)*12,0)))</f>
        <v/>
      </c>
    </row>
    <row r="62" customFormat="false" ht="30" hidden="false" customHeight="true" outlineLevel="0" collapsed="false">
      <c r="G62" s="12" t="s">
        <v>314</v>
      </c>
      <c r="H62" s="51" t="n">
        <f aca="false">COUNTIFS('Submittal Log'!$H$9:$H$208,"45 Industry-Specific Manufacturing Equipment",'Submittal Log'!$V$9:$V$208,"&lt;&gt;Closed",'Submittal Log'!$V$9:$V$208,"&lt;&gt;Superseded",'Submittal Log'!$V$9:$V$208,"&lt;&gt;Void")</f>
        <v>0</v>
      </c>
      <c r="I62" s="52" t="n">
        <f aca="false">IFERROR(COUNTIFS('Submittal Log'!$H$9:$H$208,"45 Industry-Specific Manufacturing Equipment",'Submittal Log'!$V$9:$V$208,"&lt;&gt;Closed",'Submittal Log'!$V$9:$V$208,"&lt;&gt;Superseded",'Submittal Log'!$V$9:$V$208,"&lt;&gt;Void")/COUNTIF('Submittal Log'!$J$9:$J$208,"?*"),0)</f>
        <v>0</v>
      </c>
      <c r="J62" s="53" t="str">
        <f aca="false">IF(COUNTIFS('Submittal Log'!$H$9:$H$208,"45 Industry-Specific Manufacturing Equipment",'Submittal Log'!$V$9:$V$208,"&lt;&gt;Closed",'Submittal Log'!$V$9:$V$208,"&lt;&gt;Superseded",'Submittal Log'!$V$9:$V$208,"&lt;&gt;Void")=0,"",REPT("|",ROUND(IFERROR(COUNTIFS('Submittal Log'!$H$9:$H$208,"45 Industry-Specific Manufacturing Equipment",'Submittal Log'!$V$9:$V$208,"&lt;&gt;Closed",'Submittal Log'!$V$9:$V$208,"&lt;&gt;Superseded",'Submittal Log'!$V$9:$V$208,"&lt;&gt;Void")/COUNTIF('Submittal Log'!$J$9:$J$208,"?*"),0)*12,0)))</f>
        <v/>
      </c>
    </row>
    <row r="63" customFormat="false" ht="30" hidden="false" customHeight="true" outlineLevel="0" collapsed="false">
      <c r="G63" s="15" t="s">
        <v>315</v>
      </c>
      <c r="H63" s="54" t="n">
        <f aca="false">COUNTIFS('Submittal Log'!$H$9:$H$208,"46 Water and Wastewater Equipment",'Submittal Log'!$V$9:$V$208,"&lt;&gt;Closed",'Submittal Log'!$V$9:$V$208,"&lt;&gt;Superseded",'Submittal Log'!$V$9:$V$208,"&lt;&gt;Void")</f>
        <v>0</v>
      </c>
      <c r="I63" s="55" t="n">
        <f aca="false">IFERROR(COUNTIFS('Submittal Log'!$H$9:$H$208,"46 Water and Wastewater Equipment",'Submittal Log'!$V$9:$V$208,"&lt;&gt;Closed",'Submittal Log'!$V$9:$V$208,"&lt;&gt;Superseded",'Submittal Log'!$V$9:$V$208,"&lt;&gt;Void")/COUNTIF('Submittal Log'!$J$9:$J$208,"?*"),0)</f>
        <v>0</v>
      </c>
      <c r="J63" s="56" t="str">
        <f aca="false">IF(COUNTIFS('Submittal Log'!$H$9:$H$208,"46 Water and Wastewater Equipment",'Submittal Log'!$V$9:$V$208,"&lt;&gt;Closed",'Submittal Log'!$V$9:$V$208,"&lt;&gt;Superseded",'Submittal Log'!$V$9:$V$208,"&lt;&gt;Void")=0,"",REPT("|",ROUND(IFERROR(COUNTIFS('Submittal Log'!$H$9:$H$208,"46 Water and Wastewater Equipment",'Submittal Log'!$V$9:$V$208,"&lt;&gt;Closed",'Submittal Log'!$V$9:$V$208,"&lt;&gt;Superseded",'Submittal Log'!$V$9:$V$208,"&lt;&gt;Void")/COUNTIF('Submittal Log'!$J$9:$J$208,"?*"),0)*12,0)))</f>
        <v/>
      </c>
    </row>
    <row r="64" customFormat="false" ht="30" hidden="false" customHeight="true" outlineLevel="0" collapsed="false">
      <c r="G64" s="12" t="s">
        <v>316</v>
      </c>
      <c r="H64" s="51" t="n">
        <f aca="false">COUNTIFS('Submittal Log'!$H$9:$H$208,"48 Electrical Power Generation",'Submittal Log'!$V$9:$V$208,"&lt;&gt;Closed",'Submittal Log'!$V$9:$V$208,"&lt;&gt;Superseded",'Submittal Log'!$V$9:$V$208,"&lt;&gt;Void")</f>
        <v>0</v>
      </c>
      <c r="I64" s="52" t="n">
        <f aca="false">IFERROR(COUNTIFS('Submittal Log'!$H$9:$H$208,"48 Electrical Power Generation",'Submittal Log'!$V$9:$V$208,"&lt;&gt;Closed",'Submittal Log'!$V$9:$V$208,"&lt;&gt;Superseded",'Submittal Log'!$V$9:$V$208,"&lt;&gt;Void")/COUNTIF('Submittal Log'!$J$9:$J$208,"?*"),0)</f>
        <v>0</v>
      </c>
      <c r="J64" s="53" t="str">
        <f aca="false">IF(COUNTIFS('Submittal Log'!$H$9:$H$208,"48 Electrical Power Generation",'Submittal Log'!$V$9:$V$208,"&lt;&gt;Closed",'Submittal Log'!$V$9:$V$208,"&lt;&gt;Superseded",'Submittal Log'!$V$9:$V$208,"&lt;&gt;Void")=0,"",REPT("|",ROUND(IFERROR(COUNTIFS('Submittal Log'!$H$9:$H$208,"48 Electrical Power Generation",'Submittal Log'!$V$9:$V$208,"&lt;&gt;Closed",'Submittal Log'!$V$9:$V$208,"&lt;&gt;Superseded",'Submittal Log'!$V$9:$V$208,"&lt;&gt;Void")/COUNTIF('Submittal Log'!$J$9:$J$208,"?*"),0)*12,0)))</f>
        <v/>
      </c>
    </row>
    <row r="66" customFormat="false" ht="15" hidden="false" customHeight="false" outlineLevel="0" collapsed="false">
      <c r="B66" s="29" t="s">
        <v>76</v>
      </c>
      <c r="C66" s="29"/>
      <c r="D66" s="29"/>
      <c r="E66" s="29"/>
      <c r="F66" s="29"/>
      <c r="G66" s="29"/>
      <c r="H66" s="29"/>
      <c r="I66" s="29"/>
      <c r="J66" s="29"/>
    </row>
  </sheetData>
  <mergeCells count="31">
    <mergeCell ref="B1:J1"/>
    <mergeCell ref="B2:J2"/>
    <mergeCell ref="B3:J3"/>
    <mergeCell ref="B4:J4"/>
    <mergeCell ref="B6:J6"/>
    <mergeCell ref="B7:C7"/>
    <mergeCell ref="D7:E7"/>
    <mergeCell ref="G7:H7"/>
    <mergeCell ref="I7:J7"/>
    <mergeCell ref="B8:C8"/>
    <mergeCell ref="D8:E8"/>
    <mergeCell ref="G8:H8"/>
    <mergeCell ref="I8:J8"/>
    <mergeCell ref="B9:C9"/>
    <mergeCell ref="D9:E9"/>
    <mergeCell ref="G9:H9"/>
    <mergeCell ref="I9:J9"/>
    <mergeCell ref="B10:C10"/>
    <mergeCell ref="D10:E10"/>
    <mergeCell ref="G10:H10"/>
    <mergeCell ref="I10:J10"/>
    <mergeCell ref="B11:J11"/>
    <mergeCell ref="G12:J12"/>
    <mergeCell ref="B13:E13"/>
    <mergeCell ref="G13:J13"/>
    <mergeCell ref="B23:E23"/>
    <mergeCell ref="G28:J28"/>
    <mergeCell ref="B29:E29"/>
    <mergeCell ref="B35:E35"/>
    <mergeCell ref="B44:E51"/>
    <mergeCell ref="B66:J66"/>
  </mergeCells>
  <conditionalFormatting sqref="B3:J3">
    <cfRule type="expression" priority="2" aboveAverage="0" equalAverage="0" bottom="0" percent="0" rank="0" text="" dxfId="18">
      <formula>LEN($B$3)&gt;0</formula>
    </cfRule>
  </conditionalFormatting>
  <conditionalFormatting sqref="I7">
    <cfRule type="cellIs" priority="3" operator="greaterThan" aboveAverage="0" equalAverage="0" bottom="0" percent="0" rank="0" text="" dxfId="0">
      <formula>0</formula>
    </cfRule>
  </conditionalFormatting>
  <conditionalFormatting sqref="I8">
    <cfRule type="cellIs" priority="4" operator="greaterThan" aboveAverage="0" equalAverage="0" bottom="0" percent="0" rank="0" text="" dxfId="0">
      <formula>0</formula>
    </cfRule>
  </conditionalFormatting>
  <conditionalFormatting sqref="I9">
    <cfRule type="cellIs" priority="5" operator="greaterThan" aboveAverage="0" equalAverage="0" bottom="0" percent="0" rank="0" text="" dxfId="0">
      <formula>0</formula>
    </cfRule>
  </conditionalFormatting>
  <hyperlinks>
    <hyperlink ref="B66" r:id="rId1" display="Built with Mastt  |  mastt.com"/>
  </hyperlinks>
  <printOptions headings="false" gridLines="false" gridLinesSet="true" horizontalCentered="false" verticalCentered="false"/>
  <pageMargins left="0.3" right="0.3"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H125"/>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6"/>
    <col collapsed="false" customWidth="true" hidden="false" outlineLevel="0" max="3" min="3" style="0" width="5"/>
    <col collapsed="false" customWidth="true" hidden="false" outlineLevel="0" max="4" min="4" style="0" width="36"/>
    <col collapsed="false" customWidth="true" hidden="false" outlineLevel="0" max="5" min="5" style="0" width="5"/>
    <col collapsed="false" customWidth="true" hidden="false" outlineLevel="0" max="6" min="6" style="0" width="30"/>
    <col collapsed="false" customWidth="true" hidden="false" outlineLevel="0" max="7" min="7" style="0" width="5"/>
    <col collapsed="false" customWidth="true" hidden="false" outlineLevel="0" max="8" min="8" style="0" width="22"/>
    <col collapsed="false" customWidth="true" hidden="false" outlineLevel="0" max="9" min="9" style="0" width="2.2"/>
  </cols>
  <sheetData>
    <row r="1" customFormat="false" ht="33.75" hidden="false" customHeight="true" outlineLevel="0" collapsed="false">
      <c r="B1" s="20" t="s">
        <v>317</v>
      </c>
      <c r="C1" s="20"/>
      <c r="D1" s="20"/>
      <c r="E1" s="20"/>
      <c r="F1" s="20"/>
      <c r="G1" s="20"/>
      <c r="H1" s="20"/>
    </row>
    <row r="2" customFormat="false" ht="4.5" hidden="false" customHeight="true" outlineLevel="0" collapsed="false">
      <c r="B2" s="21"/>
      <c r="C2" s="21"/>
      <c r="D2" s="21"/>
      <c r="E2" s="21"/>
      <c r="F2" s="21"/>
      <c r="G2" s="21"/>
      <c r="H2" s="21"/>
    </row>
    <row r="4" customFormat="false" ht="25.5" hidden="false" customHeight="true" outlineLevel="0" collapsed="false">
      <c r="B4" s="22" t="s">
        <v>318</v>
      </c>
      <c r="C4" s="22"/>
      <c r="D4" s="22"/>
      <c r="E4" s="22"/>
      <c r="F4" s="22"/>
      <c r="G4" s="22"/>
      <c r="H4" s="22"/>
    </row>
    <row r="6" customFormat="false" ht="25.5" hidden="false" customHeight="true" outlineLevel="0" collapsed="false">
      <c r="B6" s="9" t="s">
        <v>85</v>
      </c>
      <c r="D6" s="9" t="s">
        <v>88</v>
      </c>
      <c r="F6" s="9" t="s">
        <v>319</v>
      </c>
      <c r="H6" s="9" t="s">
        <v>86</v>
      </c>
    </row>
    <row r="7" customFormat="false" ht="15.75" hidden="false" customHeight="true" outlineLevel="0" collapsed="false">
      <c r="B7" s="65" t="s">
        <v>292</v>
      </c>
      <c r="D7" s="65" t="s">
        <v>320</v>
      </c>
      <c r="F7" s="65" t="s">
        <v>321</v>
      </c>
      <c r="H7" s="65" t="s">
        <v>112</v>
      </c>
    </row>
    <row r="8" customFormat="false" ht="15.75" hidden="false" customHeight="true" outlineLevel="0" collapsed="false">
      <c r="B8" s="65" t="s">
        <v>250</v>
      </c>
      <c r="D8" s="65" t="s">
        <v>125</v>
      </c>
      <c r="F8" s="65" t="s">
        <v>322</v>
      </c>
      <c r="H8" s="65" t="s">
        <v>135</v>
      </c>
    </row>
    <row r="9" customFormat="false" ht="15.75" hidden="false" customHeight="true" outlineLevel="0" collapsed="false">
      <c r="B9" s="65" t="s">
        <v>293</v>
      </c>
      <c r="D9" s="65" t="s">
        <v>137</v>
      </c>
      <c r="F9" s="65" t="s">
        <v>204</v>
      </c>
      <c r="H9" s="65" t="s">
        <v>149</v>
      </c>
    </row>
    <row r="10" customFormat="false" ht="15.75" hidden="false" customHeight="true" outlineLevel="0" collapsed="false">
      <c r="B10" s="65" t="s">
        <v>111</v>
      </c>
      <c r="D10" s="65" t="s">
        <v>151</v>
      </c>
      <c r="F10" s="65" t="s">
        <v>131</v>
      </c>
      <c r="H10" s="65" t="s">
        <v>182</v>
      </c>
    </row>
    <row r="11" customFormat="false" ht="15.75" hidden="false" customHeight="true" outlineLevel="0" collapsed="false">
      <c r="B11" s="65" t="s">
        <v>294</v>
      </c>
      <c r="D11" s="65" t="s">
        <v>170</v>
      </c>
      <c r="F11" s="65" t="s">
        <v>118</v>
      </c>
      <c r="H11" s="65" t="s">
        <v>193</v>
      </c>
    </row>
    <row r="12" customFormat="false" ht="15.75" hidden="false" customHeight="true" outlineLevel="0" collapsed="false">
      <c r="B12" s="65" t="s">
        <v>123</v>
      </c>
      <c r="D12" s="65" t="s">
        <v>216</v>
      </c>
      <c r="F12" s="65" t="s">
        <v>238</v>
      </c>
      <c r="H12" s="65" t="s">
        <v>176</v>
      </c>
    </row>
    <row r="13" customFormat="false" ht="15.75" hidden="false" customHeight="true" outlineLevel="0" collapsed="false">
      <c r="B13" s="65" t="s">
        <v>296</v>
      </c>
      <c r="D13" s="65" t="s">
        <v>202</v>
      </c>
      <c r="F13" s="65" t="s">
        <v>323</v>
      </c>
      <c r="H13" s="65" t="s">
        <v>168</v>
      </c>
    </row>
    <row r="14" customFormat="false" ht="15.75" hidden="false" customHeight="true" outlineLevel="0" collapsed="false">
      <c r="B14" s="65" t="s">
        <v>134</v>
      </c>
      <c r="D14" s="65" t="s">
        <v>324</v>
      </c>
      <c r="F14" s="65" t="s">
        <v>325</v>
      </c>
      <c r="H14" s="65" t="s">
        <v>161</v>
      </c>
    </row>
    <row r="15" customFormat="false" ht="15.75" hidden="false" customHeight="true" outlineLevel="0" collapsed="false">
      <c r="B15" s="65" t="s">
        <v>142</v>
      </c>
      <c r="D15" s="65" t="s">
        <v>326</v>
      </c>
      <c r="F15" s="65" t="s">
        <v>327</v>
      </c>
      <c r="H15" s="65" t="s">
        <v>214</v>
      </c>
    </row>
    <row r="16" customFormat="false" ht="15.75" hidden="false" customHeight="true" outlineLevel="0" collapsed="false">
      <c r="B16" s="65" t="s">
        <v>148</v>
      </c>
      <c r="D16" s="65" t="s">
        <v>253</v>
      </c>
      <c r="F16" s="65" t="s">
        <v>328</v>
      </c>
      <c r="H16" s="65" t="s">
        <v>226</v>
      </c>
    </row>
    <row r="17" customFormat="false" ht="15.75" hidden="false" customHeight="true" outlineLevel="0" collapsed="false">
      <c r="B17" s="65" t="s">
        <v>246</v>
      </c>
      <c r="D17" s="65" t="s">
        <v>259</v>
      </c>
      <c r="F17" s="65" t="s">
        <v>329</v>
      </c>
      <c r="H17" s="65" t="s">
        <v>263</v>
      </c>
    </row>
    <row r="18" customFormat="false" ht="15.75" hidden="false" customHeight="true" outlineLevel="0" collapsed="false">
      <c r="B18" s="65" t="s">
        <v>262</v>
      </c>
      <c r="D18" s="65" t="s">
        <v>330</v>
      </c>
      <c r="F18" s="65" t="s">
        <v>331</v>
      </c>
      <c r="H18" s="65" t="s">
        <v>251</v>
      </c>
    </row>
    <row r="19" customFormat="false" ht="15.75" hidden="false" customHeight="true" outlineLevel="0" collapsed="false">
      <c r="B19" s="65" t="s">
        <v>302</v>
      </c>
      <c r="D19" s="65" t="s">
        <v>114</v>
      </c>
      <c r="F19" s="65" t="s">
        <v>332</v>
      </c>
    </row>
    <row r="20" customFormat="false" ht="15.75" hidden="false" customHeight="true" outlineLevel="0" collapsed="false">
      <c r="B20" s="65" t="s">
        <v>303</v>
      </c>
      <c r="D20" s="65" t="s">
        <v>106</v>
      </c>
      <c r="F20" s="65" t="s">
        <v>333</v>
      </c>
    </row>
    <row r="21" customFormat="false" ht="15.75" hidden="false" customHeight="true" outlineLevel="0" collapsed="false">
      <c r="B21" s="65" t="s">
        <v>160</v>
      </c>
      <c r="D21" s="65" t="s">
        <v>334</v>
      </c>
      <c r="F21" s="65" t="s">
        <v>335</v>
      </c>
    </row>
    <row r="22" customFormat="false" ht="15.75" hidden="false" customHeight="true" outlineLevel="0" collapsed="false">
      <c r="B22" s="65" t="s">
        <v>167</v>
      </c>
      <c r="F22" s="65" t="s">
        <v>336</v>
      </c>
    </row>
    <row r="23" customFormat="false" ht="15.75" hidden="false" customHeight="true" outlineLevel="0" collapsed="false">
      <c r="B23" s="65" t="s">
        <v>175</v>
      </c>
      <c r="F23" s="65" t="s">
        <v>337</v>
      </c>
    </row>
    <row r="24" customFormat="false" ht="15.75" hidden="false" customHeight="true" outlineLevel="0" collapsed="false">
      <c r="B24" s="65" t="s">
        <v>181</v>
      </c>
      <c r="F24" s="65" t="s">
        <v>128</v>
      </c>
    </row>
    <row r="25" customFormat="false" ht="15.75" hidden="false" customHeight="true" outlineLevel="0" collapsed="false">
      <c r="B25" s="65" t="s">
        <v>305</v>
      </c>
      <c r="F25" s="65" t="s">
        <v>338</v>
      </c>
    </row>
    <row r="26" customFormat="false" ht="15.75" hidden="false" customHeight="true" outlineLevel="0" collapsed="false">
      <c r="B26" s="65" t="s">
        <v>192</v>
      </c>
      <c r="F26" s="65" t="s">
        <v>339</v>
      </c>
    </row>
    <row r="27" customFormat="false" ht="15.75" hidden="false" customHeight="true" outlineLevel="0" collapsed="false">
      <c r="B27" s="65" t="s">
        <v>306</v>
      </c>
      <c r="F27" s="65" t="s">
        <v>340</v>
      </c>
    </row>
    <row r="28" customFormat="false" ht="15.75" hidden="false" customHeight="true" outlineLevel="0" collapsed="false">
      <c r="B28" s="65" t="s">
        <v>208</v>
      </c>
    </row>
    <row r="29" customFormat="false" ht="15.75" hidden="false" customHeight="true" outlineLevel="0" collapsed="false">
      <c r="B29" s="65" t="s">
        <v>213</v>
      </c>
    </row>
    <row r="30" customFormat="false" ht="15.75" hidden="false" customHeight="true" outlineLevel="0" collapsed="false">
      <c r="B30" s="65" t="s">
        <v>221</v>
      </c>
    </row>
    <row r="31" customFormat="false" ht="15.75" hidden="false" customHeight="true" outlineLevel="0" collapsed="false">
      <c r="B31" s="65" t="s">
        <v>233</v>
      </c>
    </row>
    <row r="32" customFormat="false" ht="15.75" hidden="false" customHeight="true" outlineLevel="0" collapsed="false">
      <c r="B32" s="65" t="s">
        <v>307</v>
      </c>
    </row>
    <row r="33" customFormat="false" ht="15.75" hidden="false" customHeight="true" outlineLevel="0" collapsed="false">
      <c r="B33" s="65" t="s">
        <v>308</v>
      </c>
    </row>
    <row r="34" customFormat="false" ht="15.75" hidden="false" customHeight="true" outlineLevel="0" collapsed="false">
      <c r="B34" s="65" t="s">
        <v>309</v>
      </c>
    </row>
    <row r="35" customFormat="false" ht="15.75" hidden="false" customHeight="true" outlineLevel="0" collapsed="false">
      <c r="B35" s="65" t="s">
        <v>310</v>
      </c>
    </row>
    <row r="36" customFormat="false" ht="15.75" hidden="false" customHeight="true" outlineLevel="0" collapsed="false">
      <c r="B36" s="65" t="s">
        <v>311</v>
      </c>
    </row>
    <row r="37" customFormat="false" ht="15.75" hidden="false" customHeight="true" outlineLevel="0" collapsed="false">
      <c r="B37" s="65" t="s">
        <v>312</v>
      </c>
    </row>
    <row r="38" customFormat="false" ht="15.75" hidden="false" customHeight="true" outlineLevel="0" collapsed="false">
      <c r="B38" s="65" t="s">
        <v>313</v>
      </c>
    </row>
    <row r="39" customFormat="false" ht="15.75" hidden="false" customHeight="true" outlineLevel="0" collapsed="false">
      <c r="B39" s="65" t="s">
        <v>314</v>
      </c>
    </row>
    <row r="40" customFormat="false" ht="15.75" hidden="false" customHeight="true" outlineLevel="0" collapsed="false">
      <c r="B40" s="65" t="s">
        <v>315</v>
      </c>
    </row>
    <row r="41" customFormat="false" ht="15.75" hidden="false" customHeight="true" outlineLevel="0" collapsed="false">
      <c r="B41" s="65" t="s">
        <v>316</v>
      </c>
    </row>
    <row r="43" customFormat="false" ht="25.5" hidden="false" customHeight="true" outlineLevel="0" collapsed="false">
      <c r="B43" s="9" t="s">
        <v>99</v>
      </c>
      <c r="D43" s="9" t="s">
        <v>341</v>
      </c>
      <c r="F43" s="9" t="s">
        <v>89</v>
      </c>
      <c r="H43" s="9" t="s">
        <v>94</v>
      </c>
    </row>
    <row r="44" customFormat="false" ht="15.75" hidden="false" customHeight="true" outlineLevel="0" collapsed="false">
      <c r="B44" s="65" t="s">
        <v>280</v>
      </c>
      <c r="D44" s="65" t="s">
        <v>56</v>
      </c>
      <c r="F44" s="65" t="s">
        <v>286</v>
      </c>
      <c r="H44" s="65" t="s">
        <v>117</v>
      </c>
    </row>
    <row r="45" customFormat="false" ht="15.75" hidden="false" customHeight="true" outlineLevel="0" collapsed="false">
      <c r="B45" s="65" t="s">
        <v>281</v>
      </c>
      <c r="D45" s="65" t="s">
        <v>342</v>
      </c>
      <c r="F45" s="65" t="s">
        <v>287</v>
      </c>
      <c r="H45" s="65" t="s">
        <v>127</v>
      </c>
    </row>
    <row r="46" customFormat="false" ht="15.75" hidden="false" customHeight="true" outlineLevel="0" collapsed="false">
      <c r="B46" s="65" t="s">
        <v>282</v>
      </c>
      <c r="D46" s="65" t="s">
        <v>343</v>
      </c>
      <c r="F46" s="65" t="s">
        <v>288</v>
      </c>
    </row>
    <row r="47" customFormat="false" ht="25.5" hidden="false" customHeight="true" outlineLevel="0" collapsed="false">
      <c r="B47" s="65" t="s">
        <v>283</v>
      </c>
      <c r="D47" s="65" t="s">
        <v>344</v>
      </c>
      <c r="H47" s="9" t="s">
        <v>345</v>
      </c>
    </row>
    <row r="48" customFormat="false" ht="15.75" hidden="false" customHeight="true" outlineLevel="0" collapsed="false">
      <c r="B48" s="65" t="s">
        <v>271</v>
      </c>
      <c r="H48" s="65" t="s">
        <v>144</v>
      </c>
    </row>
    <row r="49" customFormat="false" ht="15.75" hidden="false" customHeight="true" outlineLevel="0" collapsed="false">
      <c r="B49" s="65" t="s">
        <v>284</v>
      </c>
      <c r="H49" s="65" t="s">
        <v>119</v>
      </c>
    </row>
    <row r="50" customFormat="false" ht="15.75" hidden="false" customHeight="true" outlineLevel="0" collapsed="false">
      <c r="B50" s="65" t="s">
        <v>107</v>
      </c>
    </row>
    <row r="52" customFormat="false" ht="15" hidden="false" customHeight="false" outlineLevel="0" collapsed="false">
      <c r="B52" s="66" t="s">
        <v>346</v>
      </c>
      <c r="C52" s="66"/>
      <c r="D52" s="66"/>
    </row>
    <row r="53" customFormat="false" ht="15.75" hidden="false" customHeight="true" outlineLevel="0" collapsed="false">
      <c r="B53" s="65" t="s">
        <v>320</v>
      </c>
      <c r="D53" s="67" t="s">
        <v>286</v>
      </c>
    </row>
    <row r="54" customFormat="false" ht="15.75" hidden="false" customHeight="true" outlineLevel="0" collapsed="false">
      <c r="B54" s="65" t="s">
        <v>125</v>
      </c>
      <c r="D54" s="67" t="s">
        <v>286</v>
      </c>
    </row>
    <row r="55" customFormat="false" ht="15.75" hidden="false" customHeight="true" outlineLevel="0" collapsed="false">
      <c r="B55" s="65" t="s">
        <v>137</v>
      </c>
      <c r="D55" s="67" t="s">
        <v>286</v>
      </c>
    </row>
    <row r="56" customFormat="false" ht="15.75" hidden="false" customHeight="true" outlineLevel="0" collapsed="false">
      <c r="B56" s="65" t="s">
        <v>151</v>
      </c>
      <c r="D56" s="67" t="s">
        <v>286</v>
      </c>
    </row>
    <row r="57" customFormat="false" ht="15.75" hidden="false" customHeight="true" outlineLevel="0" collapsed="false">
      <c r="B57" s="65" t="s">
        <v>170</v>
      </c>
      <c r="D57" s="67" t="s">
        <v>286</v>
      </c>
    </row>
    <row r="58" customFormat="false" ht="15.75" hidden="false" customHeight="true" outlineLevel="0" collapsed="false">
      <c r="B58" s="65" t="s">
        <v>216</v>
      </c>
      <c r="D58" s="67" t="s">
        <v>287</v>
      </c>
    </row>
    <row r="59" customFormat="false" ht="15.75" hidden="false" customHeight="true" outlineLevel="0" collapsed="false">
      <c r="B59" s="65" t="s">
        <v>202</v>
      </c>
      <c r="D59" s="67" t="s">
        <v>287</v>
      </c>
    </row>
    <row r="60" customFormat="false" ht="15.75" hidden="false" customHeight="true" outlineLevel="0" collapsed="false">
      <c r="B60" s="65" t="s">
        <v>324</v>
      </c>
      <c r="D60" s="67" t="s">
        <v>287</v>
      </c>
    </row>
    <row r="61" customFormat="false" ht="15.75" hidden="false" customHeight="true" outlineLevel="0" collapsed="false">
      <c r="B61" s="65" t="s">
        <v>326</v>
      </c>
      <c r="D61" s="67" t="s">
        <v>287</v>
      </c>
    </row>
    <row r="62" customFormat="false" ht="15.75" hidden="false" customHeight="true" outlineLevel="0" collapsed="false">
      <c r="B62" s="65" t="s">
        <v>253</v>
      </c>
      <c r="D62" s="67" t="s">
        <v>288</v>
      </c>
    </row>
    <row r="63" customFormat="false" ht="15.75" hidden="false" customHeight="true" outlineLevel="0" collapsed="false">
      <c r="B63" s="65" t="s">
        <v>259</v>
      </c>
      <c r="D63" s="67" t="s">
        <v>288</v>
      </c>
    </row>
    <row r="64" customFormat="false" ht="15.75" hidden="false" customHeight="true" outlineLevel="0" collapsed="false">
      <c r="B64" s="65" t="s">
        <v>330</v>
      </c>
      <c r="D64" s="67" t="s">
        <v>286</v>
      </c>
    </row>
    <row r="65" customFormat="false" ht="15.75" hidden="false" customHeight="true" outlineLevel="0" collapsed="false">
      <c r="B65" s="65" t="s">
        <v>114</v>
      </c>
      <c r="D65" s="67" t="s">
        <v>286</v>
      </c>
    </row>
    <row r="66" customFormat="false" ht="15.75" hidden="false" customHeight="true" outlineLevel="0" collapsed="false">
      <c r="B66" s="65" t="s">
        <v>106</v>
      </c>
      <c r="D66" s="67" t="s">
        <v>286</v>
      </c>
    </row>
    <row r="67" customFormat="false" ht="15.75" hidden="false" customHeight="true" outlineLevel="0" collapsed="false">
      <c r="B67" s="65" t="s">
        <v>334</v>
      </c>
      <c r="D67" s="67" t="s">
        <v>287</v>
      </c>
    </row>
    <row r="69" customFormat="false" ht="15" hidden="false" customHeight="false" outlineLevel="0" collapsed="false">
      <c r="B69" s="68" t="s">
        <v>347</v>
      </c>
      <c r="D69" s="66" t="s">
        <v>348</v>
      </c>
      <c r="E69" s="66"/>
      <c r="F69" s="66"/>
    </row>
    <row r="70" customFormat="false" ht="15.75" hidden="false" customHeight="true" outlineLevel="0" collapsed="false">
      <c r="B70" s="65" t="s">
        <v>131</v>
      </c>
      <c r="D70" s="65" t="s">
        <v>131</v>
      </c>
    </row>
    <row r="71" customFormat="false" ht="15.75" hidden="false" customHeight="true" outlineLevel="0" collapsed="false">
      <c r="B71" s="65" t="s">
        <v>118</v>
      </c>
      <c r="D71" s="65" t="s">
        <v>118</v>
      </c>
    </row>
    <row r="72" customFormat="false" ht="15.75" hidden="false" customHeight="true" outlineLevel="0" collapsed="false">
      <c r="B72" s="65" t="s">
        <v>323</v>
      </c>
      <c r="D72" s="65" t="s">
        <v>323</v>
      </c>
    </row>
    <row r="73" customFormat="false" ht="15.75" hidden="false" customHeight="true" outlineLevel="0" collapsed="false">
      <c r="B73" s="65" t="s">
        <v>204</v>
      </c>
      <c r="D73" s="65" t="s">
        <v>204</v>
      </c>
    </row>
    <row r="74" customFormat="false" ht="15.75" hidden="false" customHeight="true" outlineLevel="0" collapsed="false">
      <c r="B74" s="65" t="s">
        <v>331</v>
      </c>
      <c r="D74" s="65" t="s">
        <v>331</v>
      </c>
    </row>
    <row r="75" customFormat="false" ht="15.75" hidden="false" customHeight="true" outlineLevel="0" collapsed="false">
      <c r="B75" s="65" t="s">
        <v>329</v>
      </c>
      <c r="D75" s="65" t="s">
        <v>329</v>
      </c>
    </row>
    <row r="76" customFormat="false" ht="15.75" hidden="false" customHeight="true" outlineLevel="0" collapsed="false">
      <c r="B76" s="65" t="s">
        <v>335</v>
      </c>
      <c r="D76" s="65" t="s">
        <v>321</v>
      </c>
    </row>
    <row r="77" customFormat="false" ht="15.75" hidden="false" customHeight="true" outlineLevel="0" collapsed="false">
      <c r="B77" s="65" t="s">
        <v>328</v>
      </c>
      <c r="D77" s="65" t="s">
        <v>322</v>
      </c>
    </row>
    <row r="78" customFormat="false" ht="15.75" hidden="false" customHeight="true" outlineLevel="0" collapsed="false">
      <c r="B78" s="65" t="s">
        <v>337</v>
      </c>
    </row>
    <row r="79" customFormat="false" ht="15.75" hidden="false" customHeight="true" outlineLevel="0" collapsed="false">
      <c r="B79" s="65" t="s">
        <v>321</v>
      </c>
    </row>
    <row r="80" customFormat="false" ht="15.75" hidden="false" customHeight="true" outlineLevel="0" collapsed="false">
      <c r="B80" s="65" t="s">
        <v>322</v>
      </c>
    </row>
    <row r="83" customFormat="false" ht="19.5" hidden="false" customHeight="true" outlineLevel="0" collapsed="false">
      <c r="B83" s="50" t="s">
        <v>349</v>
      </c>
      <c r="C83" s="50"/>
      <c r="D83" s="50"/>
      <c r="E83" s="50"/>
      <c r="F83" s="50"/>
      <c r="G83" s="50"/>
      <c r="H83" s="50"/>
    </row>
    <row r="84" customFormat="false" ht="61.5" hidden="false" customHeight="true" outlineLevel="0" collapsed="false">
      <c r="B84" s="69" t="s">
        <v>56</v>
      </c>
      <c r="C84" s="70" t="s">
        <v>350</v>
      </c>
      <c r="D84" s="70"/>
      <c r="E84" s="70"/>
      <c r="F84" s="70"/>
      <c r="G84" s="70"/>
      <c r="H84" s="70"/>
    </row>
    <row r="85" customFormat="false" ht="61.5" hidden="false" customHeight="true" outlineLevel="0" collapsed="false">
      <c r="B85" s="69" t="s">
        <v>342</v>
      </c>
      <c r="C85" s="70" t="s">
        <v>351</v>
      </c>
      <c r="D85" s="70"/>
      <c r="E85" s="70"/>
      <c r="F85" s="70"/>
      <c r="G85" s="70"/>
      <c r="H85" s="70"/>
    </row>
    <row r="86" customFormat="false" ht="61.5" hidden="false" customHeight="true" outlineLevel="0" collapsed="false">
      <c r="B86" s="69" t="s">
        <v>343</v>
      </c>
      <c r="C86" s="70" t="s">
        <v>352</v>
      </c>
      <c r="D86" s="70"/>
      <c r="E86" s="70"/>
      <c r="F86" s="70"/>
      <c r="G86" s="70"/>
      <c r="H86" s="70"/>
    </row>
    <row r="87" customFormat="false" ht="61.5" hidden="false" customHeight="true" outlineLevel="0" collapsed="false">
      <c r="B87" s="69" t="s">
        <v>344</v>
      </c>
      <c r="C87" s="70" t="s">
        <v>353</v>
      </c>
      <c r="D87" s="70"/>
      <c r="E87" s="70"/>
      <c r="F87" s="70"/>
      <c r="G87" s="70"/>
      <c r="H87" s="70"/>
    </row>
    <row r="89" customFormat="false" ht="19.5" hidden="false" customHeight="true" outlineLevel="0" collapsed="false">
      <c r="B89" s="50" t="s">
        <v>354</v>
      </c>
      <c r="C89" s="50"/>
      <c r="D89" s="50"/>
      <c r="E89" s="50"/>
      <c r="F89" s="50"/>
      <c r="G89" s="50"/>
      <c r="H89" s="50"/>
    </row>
    <row r="90" customFormat="false" ht="19.5" hidden="false" customHeight="true" outlineLevel="0" collapsed="false">
      <c r="B90" s="9" t="s">
        <v>355</v>
      </c>
      <c r="C90" s="71"/>
      <c r="D90" s="9" t="s">
        <v>356</v>
      </c>
      <c r="E90" s="71"/>
      <c r="F90" s="9" t="s">
        <v>357</v>
      </c>
      <c r="G90" s="9"/>
      <c r="H90" s="9"/>
    </row>
    <row r="91" customFormat="false" ht="27.75" hidden="false" customHeight="true" outlineLevel="0" collapsed="false">
      <c r="B91" s="72" t="s">
        <v>358</v>
      </c>
      <c r="D91" s="73" t="s">
        <v>321</v>
      </c>
      <c r="F91" s="72" t="s">
        <v>359</v>
      </c>
      <c r="G91" s="72"/>
      <c r="H91" s="72"/>
    </row>
    <row r="92" customFormat="false" ht="27.75" hidden="false" customHeight="true" outlineLevel="0" collapsed="false">
      <c r="B92" s="72" t="s">
        <v>360</v>
      </c>
      <c r="D92" s="73" t="s">
        <v>322</v>
      </c>
      <c r="F92" s="72" t="s">
        <v>361</v>
      </c>
      <c r="G92" s="72"/>
      <c r="H92" s="72"/>
    </row>
    <row r="93" customFormat="false" ht="27.75" hidden="false" customHeight="true" outlineLevel="0" collapsed="false">
      <c r="B93" s="72" t="s">
        <v>238</v>
      </c>
      <c r="D93" s="73" t="s">
        <v>325</v>
      </c>
      <c r="F93" s="72" t="s">
        <v>362</v>
      </c>
      <c r="G93" s="72"/>
      <c r="H93" s="72"/>
    </row>
    <row r="94" customFormat="false" ht="27.75" hidden="false" customHeight="true" outlineLevel="0" collapsed="false">
      <c r="B94" s="72" t="s">
        <v>128</v>
      </c>
      <c r="D94" s="73" t="s">
        <v>327</v>
      </c>
      <c r="F94" s="72" t="s">
        <v>363</v>
      </c>
      <c r="G94" s="72"/>
      <c r="H94" s="72"/>
    </row>
    <row r="95" customFormat="false" ht="27.75" hidden="false" customHeight="true" outlineLevel="0" collapsed="false">
      <c r="B95" s="72" t="s">
        <v>364</v>
      </c>
      <c r="D95" s="73" t="s">
        <v>327</v>
      </c>
      <c r="F95" s="72" t="s">
        <v>365</v>
      </c>
      <c r="G95" s="72"/>
      <c r="H95" s="72"/>
    </row>
    <row r="96" customFormat="false" ht="27.75" hidden="false" customHeight="true" outlineLevel="0" collapsed="false">
      <c r="B96" s="72" t="s">
        <v>366</v>
      </c>
      <c r="D96" s="73" t="s">
        <v>367</v>
      </c>
      <c r="F96" s="72" t="s">
        <v>368</v>
      </c>
      <c r="G96" s="72"/>
      <c r="H96" s="72"/>
    </row>
    <row r="98" customFormat="false" ht="19.5" hidden="false" customHeight="true" outlineLevel="0" collapsed="false">
      <c r="B98" s="50" t="s">
        <v>369</v>
      </c>
      <c r="C98" s="50"/>
      <c r="D98" s="50"/>
      <c r="E98" s="50"/>
      <c r="F98" s="50"/>
      <c r="G98" s="50"/>
      <c r="H98" s="50"/>
    </row>
    <row r="99" customFormat="false" ht="39.75" hidden="false" customHeight="true" outlineLevel="0" collapsed="false">
      <c r="B99" s="74" t="s">
        <v>286</v>
      </c>
      <c r="C99" s="70" t="s">
        <v>370</v>
      </c>
      <c r="D99" s="70"/>
      <c r="E99" s="70"/>
      <c r="F99" s="70"/>
      <c r="G99" s="70"/>
      <c r="H99" s="70"/>
    </row>
    <row r="100" customFormat="false" ht="39.75" hidden="false" customHeight="true" outlineLevel="0" collapsed="false">
      <c r="B100" s="74" t="s">
        <v>287</v>
      </c>
      <c r="C100" s="70" t="s">
        <v>371</v>
      </c>
      <c r="D100" s="70"/>
      <c r="E100" s="70"/>
      <c r="F100" s="70"/>
      <c r="G100" s="70"/>
      <c r="H100" s="70"/>
    </row>
    <row r="101" customFormat="false" ht="39.75" hidden="false" customHeight="true" outlineLevel="0" collapsed="false">
      <c r="B101" s="74" t="s">
        <v>288</v>
      </c>
      <c r="C101" s="70" t="s">
        <v>372</v>
      </c>
      <c r="D101" s="70"/>
      <c r="E101" s="70"/>
      <c r="F101" s="70"/>
      <c r="G101" s="70"/>
      <c r="H101" s="70"/>
    </row>
    <row r="103" customFormat="false" ht="19.5" hidden="false" customHeight="true" outlineLevel="0" collapsed="false">
      <c r="B103" s="50" t="s">
        <v>373</v>
      </c>
      <c r="C103" s="50"/>
      <c r="D103" s="50"/>
      <c r="E103" s="50"/>
      <c r="F103" s="50"/>
      <c r="G103" s="50"/>
      <c r="H103" s="50"/>
    </row>
    <row r="104" customFormat="false" ht="30" hidden="false" customHeight="true" outlineLevel="0" collapsed="false">
      <c r="B104" s="75" t="s">
        <v>280</v>
      </c>
      <c r="C104" s="76" t="s">
        <v>374</v>
      </c>
      <c r="D104" s="76"/>
      <c r="E104" s="76"/>
      <c r="F104" s="76"/>
      <c r="G104" s="76"/>
      <c r="H104" s="76"/>
    </row>
    <row r="105" customFormat="false" ht="30" hidden="false" customHeight="true" outlineLevel="0" collapsed="false">
      <c r="B105" s="77" t="s">
        <v>281</v>
      </c>
      <c r="C105" s="76" t="s">
        <v>375</v>
      </c>
      <c r="D105" s="76"/>
      <c r="E105" s="76"/>
      <c r="F105" s="76"/>
      <c r="G105" s="76"/>
      <c r="H105" s="76"/>
    </row>
    <row r="106" customFormat="false" ht="30" hidden="false" customHeight="true" outlineLevel="0" collapsed="false">
      <c r="B106" s="78" t="s">
        <v>282</v>
      </c>
      <c r="C106" s="76" t="s">
        <v>376</v>
      </c>
      <c r="D106" s="76"/>
      <c r="E106" s="76"/>
      <c r="F106" s="76"/>
      <c r="G106" s="76"/>
      <c r="H106" s="76"/>
    </row>
    <row r="107" customFormat="false" ht="30" hidden="false" customHeight="true" outlineLevel="0" collapsed="false">
      <c r="B107" s="79" t="s">
        <v>283</v>
      </c>
      <c r="C107" s="76" t="s">
        <v>377</v>
      </c>
      <c r="D107" s="76"/>
      <c r="E107" s="76"/>
      <c r="F107" s="76"/>
      <c r="G107" s="76"/>
      <c r="H107" s="76"/>
    </row>
    <row r="108" customFormat="false" ht="30" hidden="false" customHeight="true" outlineLevel="0" collapsed="false">
      <c r="B108" s="80" t="s">
        <v>271</v>
      </c>
      <c r="C108" s="76" t="s">
        <v>378</v>
      </c>
      <c r="D108" s="76"/>
      <c r="E108" s="76"/>
      <c r="F108" s="76"/>
      <c r="G108" s="76"/>
      <c r="H108" s="76"/>
    </row>
    <row r="109" customFormat="false" ht="30" hidden="false" customHeight="true" outlineLevel="0" collapsed="false">
      <c r="B109" s="81" t="s">
        <v>284</v>
      </c>
      <c r="C109" s="76" t="s">
        <v>379</v>
      </c>
      <c r="D109" s="76"/>
      <c r="E109" s="76"/>
      <c r="F109" s="76"/>
      <c r="G109" s="76"/>
      <c r="H109" s="76"/>
    </row>
    <row r="110" customFormat="false" ht="30" hidden="false" customHeight="true" outlineLevel="0" collapsed="false">
      <c r="B110" s="82" t="s">
        <v>107</v>
      </c>
      <c r="C110" s="76" t="s">
        <v>380</v>
      </c>
      <c r="D110" s="76"/>
      <c r="E110" s="76"/>
      <c r="F110" s="76"/>
      <c r="G110" s="76"/>
      <c r="H110" s="76"/>
    </row>
    <row r="112" customFormat="false" ht="19.5" hidden="false" customHeight="true" outlineLevel="0" collapsed="false">
      <c r="B112" s="50" t="s">
        <v>381</v>
      </c>
      <c r="C112" s="50"/>
      <c r="D112" s="50"/>
      <c r="E112" s="50"/>
      <c r="F112" s="50"/>
      <c r="G112" s="50"/>
      <c r="H112" s="50"/>
    </row>
    <row r="113" customFormat="false" ht="18.75" hidden="false" customHeight="true" outlineLevel="0" collapsed="false">
      <c r="B113" s="83" t="s">
        <v>382</v>
      </c>
      <c r="C113" s="84" t="s">
        <v>383</v>
      </c>
      <c r="D113" s="84"/>
      <c r="E113" s="84"/>
      <c r="F113" s="84"/>
      <c r="G113" s="84"/>
      <c r="H113" s="84"/>
    </row>
    <row r="114" customFormat="false" ht="18.75" hidden="false" customHeight="true" outlineLevel="0" collapsed="false">
      <c r="B114" s="85" t="s">
        <v>384</v>
      </c>
      <c r="C114" s="84" t="s">
        <v>385</v>
      </c>
      <c r="D114" s="84"/>
      <c r="E114" s="84"/>
      <c r="F114" s="84"/>
      <c r="G114" s="84"/>
      <c r="H114" s="84"/>
    </row>
    <row r="115" customFormat="false" ht="18.75" hidden="false" customHeight="true" outlineLevel="0" collapsed="false">
      <c r="B115" s="85" t="s">
        <v>386</v>
      </c>
      <c r="C115" s="84" t="s">
        <v>387</v>
      </c>
      <c r="D115" s="84"/>
      <c r="E115" s="84"/>
      <c r="F115" s="84"/>
      <c r="G115" s="84"/>
      <c r="H115" s="84"/>
    </row>
    <row r="116" customFormat="false" ht="18.75" hidden="false" customHeight="true" outlineLevel="0" collapsed="false">
      <c r="B116" s="86" t="s">
        <v>388</v>
      </c>
      <c r="C116" s="84" t="s">
        <v>389</v>
      </c>
      <c r="D116" s="84"/>
      <c r="E116" s="84"/>
      <c r="F116" s="84"/>
      <c r="G116" s="84"/>
      <c r="H116" s="84"/>
    </row>
    <row r="118" customFormat="false" ht="19.5" hidden="false" customHeight="true" outlineLevel="0" collapsed="false">
      <c r="B118" s="50" t="s">
        <v>390</v>
      </c>
      <c r="C118" s="50"/>
      <c r="D118" s="50"/>
      <c r="E118" s="50"/>
      <c r="F118" s="50"/>
      <c r="G118" s="50"/>
      <c r="H118" s="50"/>
    </row>
    <row r="119" customFormat="false" ht="31.5" hidden="false" customHeight="true" outlineLevel="0" collapsed="false">
      <c r="B119" s="69" t="s">
        <v>52</v>
      </c>
      <c r="C119" s="70" t="s">
        <v>391</v>
      </c>
      <c r="D119" s="70"/>
      <c r="E119" s="70"/>
      <c r="F119" s="70"/>
      <c r="G119" s="70"/>
      <c r="H119" s="70"/>
    </row>
    <row r="120" customFormat="false" ht="31.5" hidden="false" customHeight="true" outlineLevel="0" collapsed="false">
      <c r="B120" s="69" t="s">
        <v>392</v>
      </c>
      <c r="C120" s="70" t="s">
        <v>393</v>
      </c>
      <c r="D120" s="70"/>
      <c r="E120" s="70"/>
      <c r="F120" s="70"/>
      <c r="G120" s="70"/>
      <c r="H120" s="70"/>
    </row>
    <row r="121" customFormat="false" ht="31.5" hidden="false" customHeight="true" outlineLevel="0" collapsed="false">
      <c r="B121" s="69" t="s">
        <v>394</v>
      </c>
      <c r="C121" s="70" t="s">
        <v>395</v>
      </c>
      <c r="D121" s="70"/>
      <c r="E121" s="70"/>
      <c r="F121" s="70"/>
      <c r="G121" s="70"/>
      <c r="H121" s="70"/>
    </row>
    <row r="122" customFormat="false" ht="31.5" hidden="false" customHeight="true" outlineLevel="0" collapsed="false">
      <c r="B122" s="69" t="s">
        <v>396</v>
      </c>
      <c r="C122" s="70" t="s">
        <v>397</v>
      </c>
      <c r="D122" s="70"/>
      <c r="E122" s="70"/>
      <c r="F122" s="70"/>
      <c r="G122" s="70"/>
      <c r="H122" s="70"/>
    </row>
    <row r="125" customFormat="false" ht="15" hidden="false" customHeight="false" outlineLevel="0" collapsed="false">
      <c r="B125" s="29" t="s">
        <v>76</v>
      </c>
      <c r="C125" s="29"/>
      <c r="D125" s="29"/>
      <c r="E125" s="29"/>
      <c r="F125" s="29"/>
      <c r="G125" s="29"/>
      <c r="H125" s="29"/>
    </row>
  </sheetData>
  <mergeCells count="41">
    <mergeCell ref="B1:H1"/>
    <mergeCell ref="B2:H2"/>
    <mergeCell ref="B4:H4"/>
    <mergeCell ref="B52:D52"/>
    <mergeCell ref="D69:F69"/>
    <mergeCell ref="B83:H83"/>
    <mergeCell ref="C84:H84"/>
    <mergeCell ref="C85:H85"/>
    <mergeCell ref="C86:H86"/>
    <mergeCell ref="C87:H87"/>
    <mergeCell ref="B89:H89"/>
    <mergeCell ref="F90:H90"/>
    <mergeCell ref="F91:H91"/>
    <mergeCell ref="F92:H92"/>
    <mergeCell ref="F93:H93"/>
    <mergeCell ref="F94:H94"/>
    <mergeCell ref="F95:H95"/>
    <mergeCell ref="F96:H96"/>
    <mergeCell ref="B98:H98"/>
    <mergeCell ref="C99:H99"/>
    <mergeCell ref="C100:H100"/>
    <mergeCell ref="C101:H101"/>
    <mergeCell ref="B103:H103"/>
    <mergeCell ref="C104:H104"/>
    <mergeCell ref="C105:H105"/>
    <mergeCell ref="C106:H106"/>
    <mergeCell ref="C107:H107"/>
    <mergeCell ref="C108:H108"/>
    <mergeCell ref="C109:H109"/>
    <mergeCell ref="C110:H110"/>
    <mergeCell ref="B112:H112"/>
    <mergeCell ref="C113:H113"/>
    <mergeCell ref="C114:H114"/>
    <mergeCell ref="C115:H115"/>
    <mergeCell ref="C116:H116"/>
    <mergeCell ref="B118:H118"/>
    <mergeCell ref="C119:H119"/>
    <mergeCell ref="C120:H120"/>
    <mergeCell ref="C121:H121"/>
    <mergeCell ref="C122:H122"/>
    <mergeCell ref="B125:H125"/>
  </mergeCells>
  <hyperlinks>
    <hyperlink ref="B125" r:id="rId1" display="Built with Mastt  |  mastt.com"/>
  </hyperlinks>
  <printOptions headings="false" gridLines="false" gridLinesSet="true" horizontalCentered="false" verticalCentered="false"/>
  <pageMargins left="0.3" right="0.3"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2026-08-12T03:22:40Z</dcterms:created>
  <dc:creator>Mastt</dc:creator>
  <dc:description>Construction submittal register with review tracking, ball in court and lead-time float. mastt.com</dc:description>
  <cp:keywords>submittal log submittal register shop drawings product data MasterFormat construction Mastt</cp:keywords>
  <dc:language>en-US</dc:language>
  <cp:lastModifiedBy/>
  <dcterms:modified xsi:type="dcterms:W3CDTF">2026-08-12T03:22:41Z</dcterms:modified>
  <cp:revision>0</cp:revision>
  <dc:subject/>
  <dc:title>Submittal Log Template</dc:title>
</cp:coreProperties>
</file>

<file path=docProps/custom.xml><?xml version="1.0" encoding="utf-8"?>
<Properties xmlns="http://schemas.openxmlformats.org/officeDocument/2006/custom-properties" xmlns:vt="http://schemas.openxmlformats.org/officeDocument/2006/docPropsVTypes"/>
</file>